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7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8.xml" ContentType="application/vnd.openxmlformats-officedocument.drawing+xml"/>
  <Override PartName="/xl/comments4.xml" ContentType="application/vnd.openxmlformats-officedocument.spreadsheetml.comment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9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0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1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12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13.xml" ContentType="application/vnd.openxmlformats-officedocument.drawing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14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5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16.xml" ContentType="application/vnd.openxmlformats-officedocument.drawing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7.xml" ContentType="application/vnd.openxmlformats-officedocument.drawing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18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19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20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21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drawings/drawing22.xml" ContentType="application/vnd.openxmlformats-officedocument.drawing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23.xml" ContentType="application/vnd.openxmlformats-officedocument.drawing+xml"/>
  <Override PartName="/xl/charts/chart44.xml" ContentType="application/vnd.openxmlformats-officedocument.drawingml.chart+xml"/>
  <Override PartName="/xl/drawings/drawing24.xml" ContentType="application/vnd.openxmlformats-officedocument.drawing+xml"/>
  <Override PartName="/xl/charts/chart45.xml" ContentType="application/vnd.openxmlformats-officedocument.drawingml.chart+xml"/>
  <Override PartName="/xl/drawings/drawing25.xml" ContentType="application/vnd.openxmlformats-officedocument.drawing+xml"/>
  <Override PartName="/xl/charts/chart46.xml" ContentType="application/vnd.openxmlformats-officedocument.drawingml.chart+xml"/>
  <Override PartName="/xl/drawings/drawing26.xml" ContentType="application/vnd.openxmlformats-officedocument.drawing+xml"/>
  <Override PartName="/xl/charts/chart47.xml" ContentType="application/vnd.openxmlformats-officedocument.drawingml.chart+xml"/>
  <Override PartName="/xl/drawings/drawing27.xml" ContentType="application/vnd.openxmlformats-officedocument.drawing+xml"/>
  <Override PartName="/xl/comments5.xml" ContentType="application/vnd.openxmlformats-officedocument.spreadsheetml.comments+xml"/>
  <Override PartName="/xl/charts/chart48.xml" ContentType="application/vnd.openxmlformats-officedocument.drawingml.chart+xml"/>
  <Override PartName="/xl/drawings/drawing28.xml" ContentType="application/vnd.openxmlformats-officedocument.drawing+xml"/>
  <Override PartName="/xl/charts/chart49.xml" ContentType="application/vnd.openxmlformats-officedocument.drawingml.chart+xml"/>
  <Override PartName="/xl/drawings/drawing29.xml" ContentType="application/vnd.openxmlformats-officedocument.drawing+xml"/>
  <Override PartName="/xl/charts/chart50.xml" ContentType="application/vnd.openxmlformats-officedocument.drawingml.chart+xml"/>
  <Override PartName="/xl/drawings/drawing30.xml" ContentType="application/vnd.openxmlformats-officedocument.drawing+xml"/>
  <Override PartName="/xl/charts/chart51.xml" ContentType="application/vnd.openxmlformats-officedocument.drawingml.chart+xml"/>
  <Override PartName="/xl/drawings/drawing31.xml" ContentType="application/vnd.openxmlformats-officedocument.drawing+xml"/>
  <Override PartName="/xl/charts/chart52.xml" ContentType="application/vnd.openxmlformats-officedocument.drawingml.chart+xml"/>
  <Override PartName="/xl/drawings/drawing32.xml" ContentType="application/vnd.openxmlformats-officedocument.drawing+xml"/>
  <Override PartName="/xl/charts/chart53.xml" ContentType="application/vnd.openxmlformats-officedocument.drawingml.chart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meal.psu.edu\data\Users\Faculty\jrw\Desktop\Zdrive\Utility\Current Cases\NARUC 2016\"/>
    </mc:Choice>
  </mc:AlternateContent>
  <bookViews>
    <workbookView xWindow="0" yWindow="0" windowWidth="24105" windowHeight="12105" tabRatio="873" activeTab="2"/>
  </bookViews>
  <sheets>
    <sheet name="II. Upgrades &amp; Downgrades" sheetId="5" r:id="rId1"/>
    <sheet name="III. Total Ratings Actions" sheetId="9" r:id="rId2"/>
    <sheet name="IV. Direction of Rating Action" sheetId="10" r:id="rId3"/>
    <sheet name="V. S&amp;P Rating by Comp. Category" sheetId="7" r:id="rId4"/>
    <sheet name="VI. Credit Ratings Scales" sheetId="6" r:id="rId5"/>
    <sheet name="Credit_2016Q4" sheetId="65" r:id="rId6"/>
    <sheet name="Credit_2016Q3" sheetId="64" r:id="rId7"/>
    <sheet name="Credit_2016Q2" sheetId="63" r:id="rId8"/>
    <sheet name="Credit_2016Q1" sheetId="61" r:id="rId9"/>
    <sheet name="Credit_2015Q4" sheetId="60" r:id="rId10"/>
    <sheet name="Credit_2015Q3" sheetId="58" r:id="rId11"/>
    <sheet name="Credit_2015Q2" sheetId="57" r:id="rId12"/>
    <sheet name="Credit_2015Q1" sheetId="56" r:id="rId13"/>
    <sheet name="Credit_2014Q4" sheetId="55" r:id="rId14"/>
    <sheet name="Credit_2014Q3" sheetId="54" r:id="rId15"/>
    <sheet name="Credit_2014Q2" sheetId="52" r:id="rId16"/>
    <sheet name="Credit_2014Q1" sheetId="51" r:id="rId17"/>
    <sheet name="Credit_2013Q4" sheetId="50" r:id="rId18"/>
    <sheet name="Credit_2013Q3" sheetId="49" r:id="rId19"/>
    <sheet name="Credit_2013Q2" sheetId="43" r:id="rId20"/>
    <sheet name="Credit_2013Q1" sheetId="40" r:id="rId21"/>
    <sheet name="Credit_2012Q4" sheetId="34" r:id="rId22"/>
    <sheet name="Credit_2012Q3" sheetId="45" r:id="rId23"/>
    <sheet name="Credit_2012Q2" sheetId="46" r:id="rId24"/>
    <sheet name="Credit_2012Q1" sheetId="47" r:id="rId25"/>
    <sheet name="Credit_2011Q4" sheetId="28" r:id="rId26"/>
    <sheet name="Credit_2011Q3" sheetId="27" r:id="rId27"/>
    <sheet name="Credit_2011Q2" sheetId="26" r:id="rId28"/>
    <sheet name="Credit_2011Q1" sheetId="25" r:id="rId29"/>
    <sheet name="Credit_2010Q4" sheetId="24" r:id="rId30"/>
    <sheet name="Credit_2009Q4" sheetId="20" r:id="rId31"/>
    <sheet name="Credit_2008Q4" sheetId="16" r:id="rId32"/>
    <sheet name="Credit_2007Q4" sheetId="17" r:id="rId33"/>
    <sheet name="Credit_2006Q4" sheetId="11" r:id="rId34"/>
    <sheet name="Credit_2001Q4" sheetId="8" r:id="rId35"/>
    <sheet name="Reg_Percent_2015" sheetId="62" r:id="rId36"/>
    <sheet name="Reg_Percent_2014" sheetId="59" r:id="rId37"/>
    <sheet name="Reg_Percent_2013" sheetId="53" r:id="rId38"/>
    <sheet name="Reg_Percent_2012" sheetId="44" r:id="rId39"/>
    <sheet name="Reg_Percent_2011" sheetId="38" r:id="rId40"/>
    <sheet name="Reg_Percent_2010" sheetId="48" r:id="rId41"/>
    <sheet name="Scale" sheetId="41" r:id="rId42"/>
  </sheets>
  <externalReferences>
    <externalReference r:id="rId43"/>
    <externalReference r:id="rId44"/>
    <externalReference r:id="rId45"/>
  </externalReferences>
  <definedNames>
    <definedName name="Format_Date">[1]Settings!$C$11</definedName>
    <definedName name="Label_Date_Asset">[1]Settings!$C$5</definedName>
    <definedName name="Label_Date_EOP_current">[1]Settings!$C$7</definedName>
    <definedName name="Label_Date_EOP_last">[1]Settings!$C$9</definedName>
    <definedName name="rating_scale_Fitch">Scale!$M$5:$M$30</definedName>
    <definedName name="rating_scale_Moody">Scale!$D$9:$D$29</definedName>
    <definedName name="rating_scale_SP">Scale!$I$5:$I$30</definedName>
    <definedName name="rating_scale_SP_invest">Scale!$I$9:$I$30</definedName>
    <definedName name="Sept03SharesOut">'[2]Shareholder Trends'!$G$1637</definedName>
    <definedName name="Sept04SharesOut">'[2]Shareholder Trends'!$G$746</definedName>
    <definedName name="Settings_As_Of">[3]Settings!$C$42</definedName>
    <definedName name="Settings_End_Date">[3]Settings!$C$44</definedName>
    <definedName name="Settings_Sheet_Toggle">[3]Settings!$C$5:$C$16</definedName>
    <definedName name="Settings_Sheet_Toggle_Extreme">[3]Settings!$C$20:$C$31</definedName>
  </definedNames>
  <calcPr calcId="152511" calcOnSave="0"/>
</workbook>
</file>

<file path=xl/calcChain.xml><?xml version="1.0" encoding="utf-8"?>
<calcChain xmlns="http://schemas.openxmlformats.org/spreadsheetml/2006/main">
  <c r="C68" i="65" l="1"/>
  <c r="B68" i="65" s="1"/>
  <c r="AH67" i="65"/>
  <c r="AG67" i="65"/>
  <c r="AF67" i="65"/>
  <c r="AH66" i="65"/>
  <c r="AG66" i="65"/>
  <c r="AF66" i="65"/>
  <c r="AH65" i="65"/>
  <c r="AG65" i="65"/>
  <c r="AF65" i="65"/>
  <c r="AH64" i="65"/>
  <c r="AG64" i="65"/>
  <c r="AF64" i="65"/>
  <c r="AV63" i="65"/>
  <c r="AH63" i="65"/>
  <c r="AG63" i="65"/>
  <c r="AF63" i="65"/>
  <c r="AV62" i="65"/>
  <c r="AH62" i="65"/>
  <c r="AG62" i="65"/>
  <c r="AF62" i="65"/>
  <c r="AV61" i="65"/>
  <c r="AV60" i="65"/>
  <c r="AH60" i="65"/>
  <c r="AG60" i="65"/>
  <c r="AF60" i="65"/>
  <c r="AF61" i="65" s="1"/>
  <c r="G60" i="65"/>
  <c r="E60" i="65" s="1"/>
  <c r="AV59" i="65"/>
  <c r="AH59" i="65"/>
  <c r="AG59" i="65"/>
  <c r="AF59" i="65"/>
  <c r="G59" i="65"/>
  <c r="E59" i="65" s="1"/>
  <c r="AV58" i="65"/>
  <c r="AH58" i="65"/>
  <c r="AG58" i="65"/>
  <c r="AF58" i="65"/>
  <c r="G58" i="65"/>
  <c r="AV57" i="65"/>
  <c r="AH57" i="65"/>
  <c r="AG57" i="65"/>
  <c r="AF57" i="65"/>
  <c r="G57" i="65"/>
  <c r="AV56" i="65"/>
  <c r="AH56" i="65"/>
  <c r="AG56" i="65"/>
  <c r="AF56" i="65"/>
  <c r="G56" i="65"/>
  <c r="AV55" i="65"/>
  <c r="AV54" i="65"/>
  <c r="AV53" i="65"/>
  <c r="AV52" i="65"/>
  <c r="AV51" i="65"/>
  <c r="AV50" i="65"/>
  <c r="AV49" i="65"/>
  <c r="AV48" i="65"/>
  <c r="AV47" i="65"/>
  <c r="AV46" i="65"/>
  <c r="AV45" i="65"/>
  <c r="AV44" i="65"/>
  <c r="AV43" i="65"/>
  <c r="AV42" i="65"/>
  <c r="AV41" i="65"/>
  <c r="AV40" i="65"/>
  <c r="AV39" i="65"/>
  <c r="AV38" i="65"/>
  <c r="AV37" i="65"/>
  <c r="AV36" i="65"/>
  <c r="AV35" i="65"/>
  <c r="AV34" i="65"/>
  <c r="AV33" i="65"/>
  <c r="AV32" i="65"/>
  <c r="AV31" i="65"/>
  <c r="AV30" i="65"/>
  <c r="AV29" i="65"/>
  <c r="AV28" i="65"/>
  <c r="AV27" i="65"/>
  <c r="AV26" i="65"/>
  <c r="AV25" i="65"/>
  <c r="AV24" i="65"/>
  <c r="AV23" i="65"/>
  <c r="AV22" i="65"/>
  <c r="AV21" i="65"/>
  <c r="AV20" i="65"/>
  <c r="AV19" i="65"/>
  <c r="AV18" i="65"/>
  <c r="AV17" i="65"/>
  <c r="AV16" i="65"/>
  <c r="L16" i="65" a="1"/>
  <c r="L16" i="65" s="1"/>
  <c r="AV15" i="65"/>
  <c r="AV14" i="65"/>
  <c r="AV13" i="65"/>
  <c r="L13" i="65"/>
  <c r="AV12" i="65"/>
  <c r="L12" i="65"/>
  <c r="AV11" i="65"/>
  <c r="L11" i="65"/>
  <c r="AV10" i="65"/>
  <c r="L10" i="65"/>
  <c r="AV9" i="65"/>
  <c r="L9" i="65"/>
  <c r="AV8" i="65"/>
  <c r="L8" i="65"/>
  <c r="BC7" i="65"/>
  <c r="BC8" i="65" s="1"/>
  <c r="BC9" i="65" s="1"/>
  <c r="BC10" i="65" s="1"/>
  <c r="BC11" i="65" s="1"/>
  <c r="BC12" i="65" s="1"/>
  <c r="BC13" i="65" s="1"/>
  <c r="BC14" i="65" s="1"/>
  <c r="AV7" i="65"/>
  <c r="AF7" i="65"/>
  <c r="AF8" i="65" s="1"/>
  <c r="AF9" i="65" s="1"/>
  <c r="AF10" i="65" s="1"/>
  <c r="AF11" i="65" s="1"/>
  <c r="AF12" i="65" s="1"/>
  <c r="AF13" i="65" s="1"/>
  <c r="AF14" i="65" s="1"/>
  <c r="AF15" i="65" s="1"/>
  <c r="AF16" i="65" s="1"/>
  <c r="AF17" i="65" s="1"/>
  <c r="AF18" i="65" s="1"/>
  <c r="AF19" i="65" s="1"/>
  <c r="AF20" i="65" s="1"/>
  <c r="AF21" i="65" s="1"/>
  <c r="AF22" i="65" s="1"/>
  <c r="AF23" i="65" s="1"/>
  <c r="AF24" i="65" s="1"/>
  <c r="AF25" i="65" s="1"/>
  <c r="AF26" i="65" s="1"/>
  <c r="AF27" i="65" s="1"/>
  <c r="AF28" i="65" s="1"/>
  <c r="AF29" i="65" s="1"/>
  <c r="AF30" i="65" s="1"/>
  <c r="AF31" i="65" s="1"/>
  <c r="AF32" i="65" s="1"/>
  <c r="AF33" i="65" s="1"/>
  <c r="AF34" i="65" s="1"/>
  <c r="AF35" i="65" s="1"/>
  <c r="AF36" i="65" s="1"/>
  <c r="AF37" i="65" s="1"/>
  <c r="AF38" i="65" s="1"/>
  <c r="AF39" i="65" s="1"/>
  <c r="AF40" i="65" s="1"/>
  <c r="AF41" i="65" s="1"/>
  <c r="AF42" i="65" s="1"/>
  <c r="AF43" i="65" s="1"/>
  <c r="AF44" i="65" s="1"/>
  <c r="AF45" i="65" s="1"/>
  <c r="AF46" i="65" s="1"/>
  <c r="AF47" i="65" s="1"/>
  <c r="AF48" i="65" s="1"/>
  <c r="AF49" i="65" s="1"/>
  <c r="AF50" i="65" s="1"/>
  <c r="AF51" i="65" s="1"/>
  <c r="AF52" i="65" s="1"/>
  <c r="AF53" i="65" s="1"/>
  <c r="AF54" i="65" s="1"/>
  <c r="AF55" i="65" s="1"/>
  <c r="AL4" i="65"/>
  <c r="AL2" i="65" s="1"/>
  <c r="AK4" i="65"/>
  <c r="AK2" i="65" s="1"/>
  <c r="AJ4" i="65"/>
  <c r="AJ2" i="65" s="1"/>
  <c r="G3" i="65"/>
  <c r="E2" i="65"/>
  <c r="E3" i="65" s="1"/>
  <c r="A1" i="65"/>
  <c r="AJ24" i="65"/>
  <c r="E6" i="65"/>
  <c r="AJ20" i="65"/>
  <c r="AW8" i="65" l="1"/>
  <c r="AX8" i="65" s="1"/>
  <c r="AW11" i="65"/>
  <c r="AX11" i="65" s="1"/>
  <c r="AW7" i="65"/>
  <c r="AX7" i="65" s="1"/>
  <c r="AW12" i="65"/>
  <c r="AX12" i="65" s="1"/>
  <c r="AW13" i="65"/>
  <c r="AX13" i="65" s="1"/>
  <c r="AW9" i="65"/>
  <c r="AX9" i="65" s="1"/>
  <c r="AW10" i="65"/>
  <c r="AX10" i="65" s="1"/>
  <c r="AW33" i="65"/>
  <c r="AX33" i="65" s="1"/>
  <c r="BC15" i="65"/>
  <c r="AW17" i="65"/>
  <c r="AX17" i="65" s="1"/>
  <c r="AW31" i="65"/>
  <c r="AX31" i="65" s="1"/>
  <c r="AW40" i="65"/>
  <c r="AX40" i="65" s="1"/>
  <c r="AW16" i="65"/>
  <c r="AW19" i="65"/>
  <c r="AX19" i="65" s="1"/>
  <c r="AW27" i="65"/>
  <c r="AX27" i="65" s="1"/>
  <c r="AW30" i="65"/>
  <c r="AX30" i="65" s="1"/>
  <c r="AX16" i="65"/>
  <c r="AW18" i="65"/>
  <c r="AX18" i="65" s="1"/>
  <c r="AW21" i="65"/>
  <c r="AX21" i="65" s="1"/>
  <c r="AW24" i="65"/>
  <c r="AX24" i="65" s="1"/>
  <c r="AW38" i="65"/>
  <c r="AX38" i="65" s="1"/>
  <c r="AW52" i="65"/>
  <c r="AX52" i="65" s="1"/>
  <c r="AW61" i="65"/>
  <c r="AX61" i="65" s="1"/>
  <c r="AW15" i="65"/>
  <c r="AX15" i="65" s="1"/>
  <c r="AW22" i="65"/>
  <c r="AX22" i="65" s="1"/>
  <c r="AW25" i="65"/>
  <c r="AX25" i="65" s="1"/>
  <c r="AW34" i="65"/>
  <c r="AX34" i="65" s="1"/>
  <c r="AW14" i="65"/>
  <c r="AX14" i="65" s="1"/>
  <c r="AW20" i="65"/>
  <c r="AX20" i="65" s="1"/>
  <c r="AW26" i="65"/>
  <c r="AX26" i="65" s="1"/>
  <c r="AW29" i="65"/>
  <c r="AX29" i="65" s="1"/>
  <c r="AW55" i="65"/>
  <c r="AX55" i="65" s="1"/>
  <c r="AW28" i="65"/>
  <c r="AX28" i="65" s="1"/>
  <c r="AW36" i="65"/>
  <c r="AX36" i="65" s="1"/>
  <c r="AW44" i="65"/>
  <c r="AX44" i="65" s="1"/>
  <c r="AW49" i="65"/>
  <c r="AX49" i="65" s="1"/>
  <c r="AW50" i="65"/>
  <c r="AX50" i="65" s="1"/>
  <c r="AW48" i="65"/>
  <c r="AX48" i="65" s="1"/>
  <c r="AW63" i="65"/>
  <c r="AX63" i="65" s="1"/>
  <c r="AW43" i="65"/>
  <c r="AX43" i="65" s="1"/>
  <c r="AW39" i="65"/>
  <c r="AX39" i="65" s="1"/>
  <c r="AW35" i="65"/>
  <c r="AX35" i="65" s="1"/>
  <c r="L14" i="65"/>
  <c r="AW23" i="65"/>
  <c r="AX23" i="65" s="1"/>
  <c r="AW32" i="65"/>
  <c r="AX32" i="65" s="1"/>
  <c r="AW42" i="65"/>
  <c r="AX42" i="65" s="1"/>
  <c r="AW46" i="65"/>
  <c r="AX46" i="65" s="1"/>
  <c r="AW47" i="65"/>
  <c r="AX47" i="65" s="1"/>
  <c r="AW51" i="65"/>
  <c r="AX51" i="65" s="1"/>
  <c r="AW54" i="65"/>
  <c r="AX54" i="65" s="1"/>
  <c r="AW57" i="65"/>
  <c r="AX57" i="65" s="1"/>
  <c r="AW56" i="65"/>
  <c r="AX56" i="65" s="1"/>
  <c r="AW58" i="65"/>
  <c r="AX58" i="65" s="1"/>
  <c r="AW37" i="65"/>
  <c r="AX37" i="65" s="1"/>
  <c r="AW41" i="65"/>
  <c r="AX41" i="65" s="1"/>
  <c r="AW62" i="65"/>
  <c r="AX62" i="65" s="1"/>
  <c r="AW45" i="65"/>
  <c r="AX45" i="65" s="1"/>
  <c r="AW53" i="65"/>
  <c r="AX53" i="65" s="1"/>
  <c r="AW59" i="65"/>
  <c r="AX59" i="65" s="1"/>
  <c r="AW60" i="65"/>
  <c r="AX60" i="65" s="1"/>
  <c r="C68" i="64"/>
  <c r="B68" i="64"/>
  <c r="AH67" i="64"/>
  <c r="AG67" i="64"/>
  <c r="AF67" i="64"/>
  <c r="AH66" i="64"/>
  <c r="AG66" i="64"/>
  <c r="AF66" i="64"/>
  <c r="AH65" i="64"/>
  <c r="AG65" i="64"/>
  <c r="AF65" i="64"/>
  <c r="AH64" i="64"/>
  <c r="AG64" i="64"/>
  <c r="AF64" i="64"/>
  <c r="AV63" i="64"/>
  <c r="AH63" i="64"/>
  <c r="AG63" i="64"/>
  <c r="AF63" i="64"/>
  <c r="AV62" i="64"/>
  <c r="AH62" i="64"/>
  <c r="AG62" i="64"/>
  <c r="AF62" i="64"/>
  <c r="AV61" i="64"/>
  <c r="AV60" i="64"/>
  <c r="AH60" i="64"/>
  <c r="AG60" i="64"/>
  <c r="AF60" i="64"/>
  <c r="AF61" i="64" s="1"/>
  <c r="G60" i="64"/>
  <c r="E60" i="64" s="1"/>
  <c r="AV59" i="64"/>
  <c r="AH59" i="64"/>
  <c r="AG59" i="64"/>
  <c r="AF59" i="64"/>
  <c r="G59" i="64"/>
  <c r="E59" i="64" s="1"/>
  <c r="AV58" i="64"/>
  <c r="AH58" i="64"/>
  <c r="AG58" i="64"/>
  <c r="AF58" i="64"/>
  <c r="G58" i="64"/>
  <c r="AV57" i="64"/>
  <c r="AH57" i="64"/>
  <c r="AG57" i="64"/>
  <c r="AF57" i="64"/>
  <c r="G57" i="64"/>
  <c r="AV56" i="64"/>
  <c r="AH56" i="64"/>
  <c r="AG56" i="64"/>
  <c r="AF56" i="64"/>
  <c r="G56" i="64"/>
  <c r="AV55" i="64"/>
  <c r="AV54" i="64"/>
  <c r="AV53" i="64"/>
  <c r="AV52" i="64"/>
  <c r="AV51" i="64"/>
  <c r="AV50" i="64"/>
  <c r="AV49" i="64"/>
  <c r="AV48" i="64"/>
  <c r="AV47" i="64"/>
  <c r="AV46" i="64"/>
  <c r="AV45" i="64"/>
  <c r="AV44" i="64"/>
  <c r="AV43" i="64"/>
  <c r="AV42" i="64"/>
  <c r="AV41" i="64"/>
  <c r="AV40" i="64"/>
  <c r="AV39" i="64"/>
  <c r="AV38" i="64"/>
  <c r="AV37" i="64"/>
  <c r="AV36" i="64"/>
  <c r="AV35" i="64"/>
  <c r="AV34" i="64"/>
  <c r="AV33" i="64"/>
  <c r="AV32" i="64"/>
  <c r="AV31" i="64"/>
  <c r="AV30" i="64"/>
  <c r="AV29" i="64"/>
  <c r="AV28" i="64"/>
  <c r="AV27" i="64"/>
  <c r="AV26" i="64"/>
  <c r="AV25" i="64"/>
  <c r="AV24" i="64"/>
  <c r="AV23" i="64"/>
  <c r="AV22" i="64"/>
  <c r="AV21" i="64"/>
  <c r="AV20" i="64"/>
  <c r="AV19" i="64"/>
  <c r="AV18" i="64"/>
  <c r="AV17" i="64"/>
  <c r="AV16" i="64"/>
  <c r="L16" i="64" a="1"/>
  <c r="L16" i="64" s="1"/>
  <c r="AV15" i="64"/>
  <c r="AV14" i="64"/>
  <c r="AV13" i="64"/>
  <c r="L13" i="64"/>
  <c r="AV12" i="64"/>
  <c r="L12" i="64"/>
  <c r="AV11" i="64"/>
  <c r="L11" i="64"/>
  <c r="AV10" i="64"/>
  <c r="L10" i="64"/>
  <c r="AV9" i="64"/>
  <c r="L9" i="64"/>
  <c r="AV8" i="64"/>
  <c r="L8" i="64"/>
  <c r="BC7" i="64"/>
  <c r="BC8" i="64" s="1"/>
  <c r="BC9" i="64" s="1"/>
  <c r="AV7" i="64"/>
  <c r="AF7" i="64"/>
  <c r="AF8" i="64" s="1"/>
  <c r="AF9" i="64" s="1"/>
  <c r="AF10" i="64" s="1"/>
  <c r="AF11" i="64" s="1"/>
  <c r="AF12" i="64" s="1"/>
  <c r="AF13" i="64" s="1"/>
  <c r="AF14" i="64" s="1"/>
  <c r="AF15" i="64" s="1"/>
  <c r="AF16" i="64" s="1"/>
  <c r="AF17" i="64" s="1"/>
  <c r="AF18" i="64" s="1"/>
  <c r="AF19" i="64" s="1"/>
  <c r="AF20" i="64" s="1"/>
  <c r="AF21" i="64" s="1"/>
  <c r="AF22" i="64" s="1"/>
  <c r="AF23" i="64" s="1"/>
  <c r="AF24" i="64" s="1"/>
  <c r="AF25" i="64" s="1"/>
  <c r="AF26" i="64" s="1"/>
  <c r="AF27" i="64" s="1"/>
  <c r="AF28" i="64" s="1"/>
  <c r="AF29" i="64" s="1"/>
  <c r="AF30" i="64" s="1"/>
  <c r="AF31" i="64" s="1"/>
  <c r="AF32" i="64" s="1"/>
  <c r="AF33" i="64" s="1"/>
  <c r="AF34" i="64" s="1"/>
  <c r="AF35" i="64" s="1"/>
  <c r="AF36" i="64" s="1"/>
  <c r="AF37" i="64" s="1"/>
  <c r="AF38" i="64" s="1"/>
  <c r="AF39" i="64" s="1"/>
  <c r="AF40" i="64" s="1"/>
  <c r="AF41" i="64" s="1"/>
  <c r="AF42" i="64" s="1"/>
  <c r="AF43" i="64" s="1"/>
  <c r="AF44" i="64" s="1"/>
  <c r="AF45" i="64" s="1"/>
  <c r="AF46" i="64" s="1"/>
  <c r="AF47" i="64" s="1"/>
  <c r="AF48" i="64" s="1"/>
  <c r="AF49" i="64" s="1"/>
  <c r="AF50" i="64" s="1"/>
  <c r="AF51" i="64" s="1"/>
  <c r="AF52" i="64" s="1"/>
  <c r="AF53" i="64" s="1"/>
  <c r="AF54" i="64" s="1"/>
  <c r="AF55" i="64" s="1"/>
  <c r="AL4" i="64"/>
  <c r="AL2" i="64" s="1"/>
  <c r="AK4" i="64"/>
  <c r="AK2" i="64" s="1"/>
  <c r="AJ4" i="64"/>
  <c r="AJ2" i="64" s="1"/>
  <c r="G3" i="64"/>
  <c r="E2" i="64"/>
  <c r="E3" i="64" s="1"/>
  <c r="A1" i="64"/>
  <c r="AJ22" i="65"/>
  <c r="AJ67" i="65"/>
  <c r="G14" i="65"/>
  <c r="AJ47" i="65"/>
  <c r="G24" i="65"/>
  <c r="G48" i="65"/>
  <c r="G39" i="65"/>
  <c r="G30" i="65"/>
  <c r="AJ57" i="65"/>
  <c r="G16" i="65"/>
  <c r="G49" i="65"/>
  <c r="AL24" i="65"/>
  <c r="G53" i="65"/>
  <c r="AJ34" i="65"/>
  <c r="AJ65" i="65"/>
  <c r="G18" i="65"/>
  <c r="AJ12" i="65"/>
  <c r="G38" i="65"/>
  <c r="AJ58" i="65"/>
  <c r="AL20" i="65"/>
  <c r="AJ26" i="65"/>
  <c r="AJ55" i="65"/>
  <c r="AJ37" i="65"/>
  <c r="G41" i="65"/>
  <c r="AJ31" i="65"/>
  <c r="G61" i="65"/>
  <c r="G19" i="65"/>
  <c r="AJ53" i="65"/>
  <c r="AJ45" i="65"/>
  <c r="G21" i="65"/>
  <c r="G10" i="65"/>
  <c r="AJ50" i="65"/>
  <c r="AJ7" i="65"/>
  <c r="G20" i="65"/>
  <c r="G50" i="65"/>
  <c r="G54" i="65"/>
  <c r="AJ43" i="65"/>
  <c r="G22" i="65"/>
  <c r="AJ51" i="65"/>
  <c r="G11" i="65"/>
  <c r="AJ54" i="65"/>
  <c r="G44" i="65"/>
  <c r="AJ63" i="65"/>
  <c r="AJ17" i="65"/>
  <c r="G43" i="65"/>
  <c r="AJ18" i="65"/>
  <c r="G17" i="65"/>
  <c r="G23" i="65"/>
  <c r="AJ41" i="65"/>
  <c r="AJ25" i="64"/>
  <c r="AJ30" i="65"/>
  <c r="G51" i="65"/>
  <c r="AJ16" i="65"/>
  <c r="AJ14" i="65"/>
  <c r="G32" i="65"/>
  <c r="G34" i="65"/>
  <c r="AJ38" i="65"/>
  <c r="G15" i="65"/>
  <c r="G35" i="65"/>
  <c r="AJ13" i="65"/>
  <c r="G42" i="65"/>
  <c r="G55" i="65"/>
  <c r="AJ36" i="65"/>
  <c r="G7" i="65"/>
  <c r="G40" i="65"/>
  <c r="AJ44" i="65"/>
  <c r="G25" i="65"/>
  <c r="AJ60" i="65"/>
  <c r="AJ19" i="65"/>
  <c r="AJ46" i="65"/>
  <c r="G62" i="65"/>
  <c r="G36" i="65"/>
  <c r="AJ61" i="65"/>
  <c r="G33" i="65"/>
  <c r="AJ35" i="65"/>
  <c r="AJ49" i="65"/>
  <c r="G8" i="65"/>
  <c r="AJ33" i="65"/>
  <c r="G28" i="65"/>
  <c r="AJ8" i="65"/>
  <c r="AJ62" i="65"/>
  <c r="AJ42" i="65"/>
  <c r="AJ10" i="65"/>
  <c r="AJ11" i="65"/>
  <c r="AK20" i="65"/>
  <c r="G46" i="65"/>
  <c r="AJ48" i="65"/>
  <c r="G26" i="65"/>
  <c r="G13" i="65"/>
  <c r="AJ27" i="65"/>
  <c r="AJ15" i="65"/>
  <c r="AJ29" i="65"/>
  <c r="AJ28" i="65"/>
  <c r="AJ39" i="65"/>
  <c r="AJ56" i="65"/>
  <c r="G52" i="65"/>
  <c r="G37" i="65"/>
  <c r="G29" i="65"/>
  <c r="AJ21" i="65"/>
  <c r="AK24" i="65"/>
  <c r="G27" i="65"/>
  <c r="G12" i="65"/>
  <c r="AJ66" i="65"/>
  <c r="AJ40" i="65"/>
  <c r="G31" i="65"/>
  <c r="G47" i="65"/>
  <c r="AJ25" i="65"/>
  <c r="G45" i="65"/>
  <c r="AJ64" i="65"/>
  <c r="AJ32" i="65"/>
  <c r="G9" i="65"/>
  <c r="AJ52" i="65"/>
  <c r="AJ9" i="65"/>
  <c r="AJ59" i="65"/>
  <c r="AJ23" i="65"/>
  <c r="AJ12" i="64"/>
  <c r="E6" i="64"/>
  <c r="AY54" i="65" l="1"/>
  <c r="AY42" i="65"/>
  <c r="AH20" i="65"/>
  <c r="AG20" i="65"/>
  <c r="AM20" i="65"/>
  <c r="AL64" i="65"/>
  <c r="AK64" i="65"/>
  <c r="AM64" i="65" s="1"/>
  <c r="AL60" i="65"/>
  <c r="AK60" i="65"/>
  <c r="AM60" i="65" s="1"/>
  <c r="AK59" i="65"/>
  <c r="AM59" i="65" s="1"/>
  <c r="AL59" i="65"/>
  <c r="AH24" i="65"/>
  <c r="AG24" i="65"/>
  <c r="AL63" i="65"/>
  <c r="AK63" i="65"/>
  <c r="AM63" i="65" s="1"/>
  <c r="AK56" i="65"/>
  <c r="AM56" i="65" s="1"/>
  <c r="AL56" i="65"/>
  <c r="AL57" i="65"/>
  <c r="AK57" i="65"/>
  <c r="AM57" i="65" s="1"/>
  <c r="AL65" i="65"/>
  <c r="AK65" i="65"/>
  <c r="AM65" i="65" s="1"/>
  <c r="AK58" i="65"/>
  <c r="AM58" i="65" s="1"/>
  <c r="AL58" i="65"/>
  <c r="AK67" i="65"/>
  <c r="AM67" i="65" s="1"/>
  <c r="AL67" i="65"/>
  <c r="AK66" i="65"/>
  <c r="AM66" i="65" s="1"/>
  <c r="AL66" i="65"/>
  <c r="AM24" i="65"/>
  <c r="AY34" i="65"/>
  <c r="AY41" i="65"/>
  <c r="AY28" i="65"/>
  <c r="AY60" i="65"/>
  <c r="AY49" i="65"/>
  <c r="AY55" i="65"/>
  <c r="AY38" i="65"/>
  <c r="AY17" i="65"/>
  <c r="AY21" i="65"/>
  <c r="AY32" i="65"/>
  <c r="AY18" i="65"/>
  <c r="AY59" i="65"/>
  <c r="AY57" i="65"/>
  <c r="AY46" i="65"/>
  <c r="AY29" i="65"/>
  <c r="AY14" i="65"/>
  <c r="AY12" i="65"/>
  <c r="AY8" i="65"/>
  <c r="AY7" i="65"/>
  <c r="AY9" i="65"/>
  <c r="AY13" i="65"/>
  <c r="AY11" i="65"/>
  <c r="AY10" i="65"/>
  <c r="AY37" i="65"/>
  <c r="M12" i="65"/>
  <c r="M8" i="65"/>
  <c r="M10" i="65"/>
  <c r="M14" i="65"/>
  <c r="M13" i="65"/>
  <c r="M9" i="65"/>
  <c r="M11" i="65"/>
  <c r="L5" i="65"/>
  <c r="AY24" i="65"/>
  <c r="AY63" i="65"/>
  <c r="AY20" i="65"/>
  <c r="AY61" i="65"/>
  <c r="AY16" i="65"/>
  <c r="BC16" i="65"/>
  <c r="AY50" i="65"/>
  <c r="AY58" i="65"/>
  <c r="AY23" i="65"/>
  <c r="AY35" i="65"/>
  <c r="AY48" i="65"/>
  <c r="AY52" i="65"/>
  <c r="AY19" i="65"/>
  <c r="AY33" i="65"/>
  <c r="AY62" i="65"/>
  <c r="AY45" i="65"/>
  <c r="AY43" i="65"/>
  <c r="AY25" i="65"/>
  <c r="AY15" i="65"/>
  <c r="AY27" i="65"/>
  <c r="AY53" i="65"/>
  <c r="AY51" i="65"/>
  <c r="C77" i="65"/>
  <c r="AY44" i="65"/>
  <c r="AY40" i="65"/>
  <c r="AY56" i="65"/>
  <c r="AY47" i="65"/>
  <c r="Y14" i="65"/>
  <c r="AY39" i="65"/>
  <c r="AY36" i="65"/>
  <c r="AY26" i="65"/>
  <c r="AY22" i="65"/>
  <c r="AY30" i="65"/>
  <c r="AY31" i="65"/>
  <c r="AW55" i="64"/>
  <c r="AX55" i="64" s="1"/>
  <c r="AW51" i="64"/>
  <c r="AX51" i="64" s="1"/>
  <c r="AW47" i="64"/>
  <c r="AX47" i="64" s="1"/>
  <c r="AW58" i="64"/>
  <c r="AX58" i="64" s="1"/>
  <c r="AW49" i="64"/>
  <c r="AX49" i="64" s="1"/>
  <c r="AW40" i="64"/>
  <c r="AX40" i="64" s="1"/>
  <c r="AW59" i="64"/>
  <c r="AX59" i="64" s="1"/>
  <c r="AW62" i="64"/>
  <c r="AX62" i="64" s="1"/>
  <c r="AW60" i="64"/>
  <c r="AX60" i="64" s="1"/>
  <c r="AW42" i="64"/>
  <c r="AX42" i="64" s="1"/>
  <c r="AW27" i="64"/>
  <c r="AX27" i="64" s="1"/>
  <c r="AW19" i="64"/>
  <c r="AX19" i="64" s="1"/>
  <c r="AW7" i="64"/>
  <c r="AX7" i="64" s="1"/>
  <c r="AW57" i="64"/>
  <c r="AX57" i="64" s="1"/>
  <c r="AW37" i="64"/>
  <c r="AX37" i="64" s="1"/>
  <c r="AW15" i="64"/>
  <c r="AX15" i="64" s="1"/>
  <c r="AW8" i="64"/>
  <c r="AX8" i="64" s="1"/>
  <c r="AW20" i="64"/>
  <c r="AX20" i="64" s="1"/>
  <c r="AW22" i="64"/>
  <c r="AX22" i="64" s="1"/>
  <c r="AW29" i="64"/>
  <c r="AX29" i="64" s="1"/>
  <c r="AW45" i="64"/>
  <c r="AX45" i="64" s="1"/>
  <c r="AW10" i="64"/>
  <c r="AX10" i="64" s="1"/>
  <c r="AW13" i="64"/>
  <c r="AX13" i="64" s="1"/>
  <c r="AW17" i="64"/>
  <c r="AX17" i="64" s="1"/>
  <c r="AW38" i="64"/>
  <c r="AX38" i="64" s="1"/>
  <c r="AW39" i="64"/>
  <c r="AX39" i="64" s="1"/>
  <c r="AW9" i="64"/>
  <c r="AX9" i="64" s="1"/>
  <c r="BC10" i="64"/>
  <c r="AW12" i="64"/>
  <c r="AX12" i="64" s="1"/>
  <c r="AW21" i="64"/>
  <c r="AX21" i="64" s="1"/>
  <c r="AW23" i="64"/>
  <c r="AX23" i="64" s="1"/>
  <c r="AW25" i="64"/>
  <c r="AX25" i="64" s="1"/>
  <c r="AW28" i="64"/>
  <c r="AX28" i="64" s="1"/>
  <c r="AW31" i="64"/>
  <c r="AX31" i="64" s="1"/>
  <c r="AW41" i="64"/>
  <c r="AX41" i="64" s="1"/>
  <c r="AW46" i="64"/>
  <c r="AX46" i="64" s="1"/>
  <c r="L14" i="64"/>
  <c r="M10" i="64" s="1"/>
  <c r="AW11" i="64"/>
  <c r="AX11" i="64" s="1"/>
  <c r="AW26" i="64"/>
  <c r="AX26" i="64" s="1"/>
  <c r="AW30" i="64"/>
  <c r="AX30" i="64" s="1"/>
  <c r="AW33" i="64"/>
  <c r="AX33" i="64" s="1"/>
  <c r="AW35" i="64"/>
  <c r="AX35" i="64" s="1"/>
  <c r="AW36" i="64"/>
  <c r="AX36" i="64" s="1"/>
  <c r="AW44" i="64"/>
  <c r="AX44" i="64" s="1"/>
  <c r="AW14" i="64"/>
  <c r="AX14" i="64" s="1"/>
  <c r="AW18" i="64"/>
  <c r="AX18" i="64" s="1"/>
  <c r="AW34" i="64"/>
  <c r="AX34" i="64" s="1"/>
  <c r="AW16" i="64"/>
  <c r="AX16" i="64" s="1"/>
  <c r="AW24" i="64"/>
  <c r="AX24" i="64" s="1"/>
  <c r="AW32" i="64"/>
  <c r="AX32" i="64" s="1"/>
  <c r="AW52" i="64"/>
  <c r="AX52" i="64" s="1"/>
  <c r="AW53" i="64"/>
  <c r="AX53" i="64" s="1"/>
  <c r="AW54" i="64"/>
  <c r="AX54" i="64" s="1"/>
  <c r="AW43" i="64"/>
  <c r="AX43" i="64" s="1"/>
  <c r="AW48" i="64"/>
  <c r="AX48" i="64" s="1"/>
  <c r="AW50" i="64"/>
  <c r="AX50" i="64" s="1"/>
  <c r="AW56" i="64"/>
  <c r="AX56" i="64" s="1"/>
  <c r="AW61" i="64"/>
  <c r="AX61" i="64" s="1"/>
  <c r="AW63" i="64"/>
  <c r="AX63" i="64" s="1"/>
  <c r="C68" i="63"/>
  <c r="B68" i="63" s="1"/>
  <c r="AH67" i="63"/>
  <c r="AG67" i="63"/>
  <c r="AF67" i="63"/>
  <c r="AH66" i="63"/>
  <c r="AG66" i="63"/>
  <c r="AF66" i="63"/>
  <c r="AH65" i="63"/>
  <c r="AG65" i="63"/>
  <c r="AF65" i="63"/>
  <c r="AH64" i="63"/>
  <c r="AG64" i="63"/>
  <c r="AF64" i="63"/>
  <c r="AV63" i="63"/>
  <c r="AH63" i="63"/>
  <c r="AG63" i="63"/>
  <c r="AF63" i="63"/>
  <c r="AV62" i="63"/>
  <c r="AH62" i="63"/>
  <c r="AG62" i="63"/>
  <c r="AF62" i="63"/>
  <c r="AV61" i="63"/>
  <c r="AV60" i="63"/>
  <c r="AH60" i="63"/>
  <c r="AG60" i="63"/>
  <c r="AF60" i="63"/>
  <c r="AF61" i="63" s="1"/>
  <c r="G60" i="63"/>
  <c r="E60" i="63" s="1"/>
  <c r="AV59" i="63"/>
  <c r="AH59" i="63"/>
  <c r="AG59" i="63"/>
  <c r="AF59" i="63"/>
  <c r="G59" i="63"/>
  <c r="E59" i="63" s="1"/>
  <c r="AV58" i="63"/>
  <c r="AH58" i="63"/>
  <c r="AG58" i="63"/>
  <c r="AF58" i="63"/>
  <c r="G58" i="63"/>
  <c r="AV57" i="63"/>
  <c r="AH57" i="63"/>
  <c r="AG57" i="63"/>
  <c r="AF57" i="63"/>
  <c r="G57" i="63"/>
  <c r="AV56" i="63"/>
  <c r="AH56" i="63"/>
  <c r="AG56" i="63"/>
  <c r="AF56" i="63"/>
  <c r="G56" i="63"/>
  <c r="AV55" i="63"/>
  <c r="AV54" i="63"/>
  <c r="AV53" i="63"/>
  <c r="AV52" i="63"/>
  <c r="AV51" i="63"/>
  <c r="AV50" i="63"/>
  <c r="AV49" i="63"/>
  <c r="AV48" i="63"/>
  <c r="AV47" i="63"/>
  <c r="AV46" i="63"/>
  <c r="AV45" i="63"/>
  <c r="AV44" i="63"/>
  <c r="AV43" i="63"/>
  <c r="AV42" i="63"/>
  <c r="AV41" i="63"/>
  <c r="AV40" i="63"/>
  <c r="AV39" i="63"/>
  <c r="AV38" i="63"/>
  <c r="AV37" i="63"/>
  <c r="AV36" i="63"/>
  <c r="AV35" i="63"/>
  <c r="AV34" i="63"/>
  <c r="AV33" i="63"/>
  <c r="AV32" i="63"/>
  <c r="AV31" i="63"/>
  <c r="AV30" i="63"/>
  <c r="AV29" i="63"/>
  <c r="AV28" i="63"/>
  <c r="AV27" i="63"/>
  <c r="AV26" i="63"/>
  <c r="AV25" i="63"/>
  <c r="AV24" i="63"/>
  <c r="AV23" i="63"/>
  <c r="AV22" i="63"/>
  <c r="AV21" i="63"/>
  <c r="AV20" i="63"/>
  <c r="AV19" i="63"/>
  <c r="AV18" i="63"/>
  <c r="AV17" i="63"/>
  <c r="AV16" i="63"/>
  <c r="L16" i="63" a="1"/>
  <c r="L16" i="63" s="1"/>
  <c r="AV15" i="63"/>
  <c r="AV14" i="63"/>
  <c r="AV13" i="63"/>
  <c r="L13" i="63"/>
  <c r="AV12" i="63"/>
  <c r="L12" i="63"/>
  <c r="AV11" i="63"/>
  <c r="L11" i="63"/>
  <c r="AV10" i="63"/>
  <c r="L10" i="63"/>
  <c r="AV9" i="63"/>
  <c r="L9" i="63"/>
  <c r="AV8" i="63"/>
  <c r="L8" i="63"/>
  <c r="BC7" i="63"/>
  <c r="BC8" i="63" s="1"/>
  <c r="BC9" i="63" s="1"/>
  <c r="BC10" i="63" s="1"/>
  <c r="BC11" i="63" s="1"/>
  <c r="BC12" i="63" s="1"/>
  <c r="BC13" i="63" s="1"/>
  <c r="AV7" i="63"/>
  <c r="AW7" i="63" s="1"/>
  <c r="AX7" i="63" s="1"/>
  <c r="AF7" i="63"/>
  <c r="AF8" i="63" s="1"/>
  <c r="AF9" i="63" s="1"/>
  <c r="AF10" i="63" s="1"/>
  <c r="AF11" i="63" s="1"/>
  <c r="AF12" i="63" s="1"/>
  <c r="AF13" i="63" s="1"/>
  <c r="AF14" i="63" s="1"/>
  <c r="AF15" i="63" s="1"/>
  <c r="AF16" i="63" s="1"/>
  <c r="AF17" i="63" s="1"/>
  <c r="AF18" i="63" s="1"/>
  <c r="AF19" i="63" s="1"/>
  <c r="AF20" i="63" s="1"/>
  <c r="AF21" i="63" s="1"/>
  <c r="AF22" i="63" s="1"/>
  <c r="AF23" i="63" s="1"/>
  <c r="AF24" i="63" s="1"/>
  <c r="AF25" i="63" s="1"/>
  <c r="AF26" i="63" s="1"/>
  <c r="AF27" i="63" s="1"/>
  <c r="AF28" i="63" s="1"/>
  <c r="AF29" i="63" s="1"/>
  <c r="AF30" i="63" s="1"/>
  <c r="AF31" i="63" s="1"/>
  <c r="AF32" i="63" s="1"/>
  <c r="AF33" i="63" s="1"/>
  <c r="AF34" i="63" s="1"/>
  <c r="AF35" i="63" s="1"/>
  <c r="AF36" i="63" s="1"/>
  <c r="AF37" i="63" s="1"/>
  <c r="AF38" i="63" s="1"/>
  <c r="AF39" i="63" s="1"/>
  <c r="AF40" i="63" s="1"/>
  <c r="AF41" i="63" s="1"/>
  <c r="AF42" i="63" s="1"/>
  <c r="AF43" i="63" s="1"/>
  <c r="AF44" i="63" s="1"/>
  <c r="AF45" i="63" s="1"/>
  <c r="AF46" i="63" s="1"/>
  <c r="AF47" i="63" s="1"/>
  <c r="AF48" i="63" s="1"/>
  <c r="AF49" i="63" s="1"/>
  <c r="AF50" i="63" s="1"/>
  <c r="AF51" i="63" s="1"/>
  <c r="AF52" i="63" s="1"/>
  <c r="AF53" i="63" s="1"/>
  <c r="AF54" i="63" s="1"/>
  <c r="AF55" i="63" s="1"/>
  <c r="AL4" i="63"/>
  <c r="AL2" i="63" s="1"/>
  <c r="AK4" i="63"/>
  <c r="AK2" i="63" s="1"/>
  <c r="AJ4" i="63"/>
  <c r="AJ2" i="63" s="1"/>
  <c r="G3" i="63"/>
  <c r="E2" i="63"/>
  <c r="E3" i="63" s="1"/>
  <c r="A1" i="63"/>
  <c r="AK41" i="65"/>
  <c r="AJ36" i="64"/>
  <c r="AJ15" i="63"/>
  <c r="AJ9" i="64"/>
  <c r="AJ61" i="64"/>
  <c r="AK52" i="65"/>
  <c r="E8" i="65"/>
  <c r="E62" i="65"/>
  <c r="E53" i="65"/>
  <c r="AK45" i="65"/>
  <c r="AJ50" i="64"/>
  <c r="AL12" i="64"/>
  <c r="G14" i="64"/>
  <c r="AL42" i="65"/>
  <c r="E29" i="65"/>
  <c r="AL44" i="65"/>
  <c r="AK23" i="65"/>
  <c r="E34" i="65"/>
  <c r="AJ13" i="64"/>
  <c r="AJ20" i="64"/>
  <c r="G48" i="64"/>
  <c r="G51" i="64"/>
  <c r="AL25" i="65"/>
  <c r="AK21" i="65"/>
  <c r="AL11" i="65"/>
  <c r="AJ58" i="64"/>
  <c r="E35" i="65"/>
  <c r="AJ49" i="64"/>
  <c r="E32" i="65"/>
  <c r="AK31" i="65"/>
  <c r="AJ52" i="64"/>
  <c r="AL21" i="65"/>
  <c r="G34" i="64"/>
  <c r="E7" i="65"/>
  <c r="E40" i="65"/>
  <c r="AK47" i="65"/>
  <c r="G39" i="64"/>
  <c r="AJ11" i="64"/>
  <c r="AK28" i="65"/>
  <c r="AK27" i="65"/>
  <c r="AL40" i="65"/>
  <c r="AJ31" i="64"/>
  <c r="AJ27" i="64"/>
  <c r="AJ56" i="64"/>
  <c r="AL55" i="65"/>
  <c r="AK12" i="65"/>
  <c r="E14" i="65"/>
  <c r="E49" i="65"/>
  <c r="AK49" i="65"/>
  <c r="E25" i="65"/>
  <c r="G29" i="64"/>
  <c r="E31" i="65"/>
  <c r="G62" i="64"/>
  <c r="AK36" i="65"/>
  <c r="AL10" i="65"/>
  <c r="G17" i="64"/>
  <c r="AL35" i="65"/>
  <c r="AL53" i="65"/>
  <c r="AL52" i="65"/>
  <c r="AK48" i="65"/>
  <c r="AL41" i="65"/>
  <c r="AL17" i="65"/>
  <c r="G44" i="64"/>
  <c r="AJ43" i="64"/>
  <c r="G38" i="64"/>
  <c r="AJ38" i="64"/>
  <c r="AL14" i="65"/>
  <c r="E17" i="65"/>
  <c r="E16" i="65"/>
  <c r="AK29" i="65"/>
  <c r="AJ66" i="64"/>
  <c r="G32" i="64"/>
  <c r="AJ63" i="64"/>
  <c r="AJ40" i="64"/>
  <c r="AL34" i="65"/>
  <c r="AL51" i="65"/>
  <c r="E13" i="65"/>
  <c r="E42" i="65"/>
  <c r="E54" i="65"/>
  <c r="G21" i="64"/>
  <c r="AJ23" i="64"/>
  <c r="G26" i="64"/>
  <c r="G46" i="64"/>
  <c r="AL23" i="65"/>
  <c r="AK30" i="65"/>
  <c r="AL46" i="65"/>
  <c r="AK42" i="65"/>
  <c r="AJ44" i="64"/>
  <c r="AJ65" i="64"/>
  <c r="AJ7" i="64"/>
  <c r="E48" i="65"/>
  <c r="AL28" i="65"/>
  <c r="AJ26" i="64"/>
  <c r="G49" i="64"/>
  <c r="AK32" i="65"/>
  <c r="G61" i="64"/>
  <c r="AJ15" i="64"/>
  <c r="AJ14" i="63"/>
  <c r="AK18" i="65"/>
  <c r="AJ33" i="64"/>
  <c r="G43" i="64"/>
  <c r="AK9" i="65"/>
  <c r="E55" i="65"/>
  <c r="AK8" i="65"/>
  <c r="AJ21" i="64"/>
  <c r="AL31" i="65"/>
  <c r="AK11" i="65"/>
  <c r="AK34" i="65"/>
  <c r="AL30" i="65"/>
  <c r="AL54" i="65"/>
  <c r="AK17" i="65"/>
  <c r="G40" i="64"/>
  <c r="G30" i="64"/>
  <c r="AJ37" i="64"/>
  <c r="G41" i="64"/>
  <c r="AK51" i="65"/>
  <c r="E11" i="65"/>
  <c r="AK55" i="65"/>
  <c r="AK25" i="65"/>
  <c r="AJ51" i="64"/>
  <c r="G11" i="64"/>
  <c r="AJ67" i="64"/>
  <c r="G53" i="64"/>
  <c r="AL16" i="65"/>
  <c r="AL26" i="65"/>
  <c r="AK13" i="65"/>
  <c r="AL33" i="65"/>
  <c r="AL39" i="65"/>
  <c r="AJ47" i="64"/>
  <c r="AJ19" i="64"/>
  <c r="AK53" i="65"/>
  <c r="E30" i="65"/>
  <c r="E22" i="65"/>
  <c r="AL50" i="65"/>
  <c r="G7" i="64"/>
  <c r="E51" i="65"/>
  <c r="G37" i="64"/>
  <c r="AJ39" i="64"/>
  <c r="G16" i="64"/>
  <c r="AK61" i="65"/>
  <c r="AL13" i="65"/>
  <c r="AL22" i="65"/>
  <c r="AJ46" i="64"/>
  <c r="G54" i="64"/>
  <c r="AJ35" i="64"/>
  <c r="AK46" i="65"/>
  <c r="AL12" i="65"/>
  <c r="AL32" i="65"/>
  <c r="AK44" i="65"/>
  <c r="AJ34" i="64"/>
  <c r="AL25" i="64"/>
  <c r="AJ14" i="64"/>
  <c r="AL29" i="65"/>
  <c r="AK62" i="65"/>
  <c r="E20" i="65"/>
  <c r="G50" i="64"/>
  <c r="G42" i="64"/>
  <c r="E39" i="65"/>
  <c r="AL18" i="65"/>
  <c r="G32" i="63"/>
  <c r="AK19" i="65"/>
  <c r="AJ41" i="64"/>
  <c r="AL27" i="65"/>
  <c r="E28" i="65"/>
  <c r="AJ22" i="64"/>
  <c r="AJ8" i="64"/>
  <c r="E46" i="65"/>
  <c r="AK33" i="65"/>
  <c r="G22" i="64"/>
  <c r="G55" i="64"/>
  <c r="E12" i="65"/>
  <c r="E9" i="65"/>
  <c r="AK22" i="65"/>
  <c r="AJ55" i="64"/>
  <c r="AJ62" i="64"/>
  <c r="AK25" i="64"/>
  <c r="G15" i="64"/>
  <c r="AK50" i="65"/>
  <c r="AK10" i="65"/>
  <c r="AL15" i="65"/>
  <c r="AL19" i="65"/>
  <c r="G52" i="64"/>
  <c r="E6" i="63"/>
  <c r="AL8" i="65"/>
  <c r="AL9" i="65"/>
  <c r="E44" i="65"/>
  <c r="AK14" i="65"/>
  <c r="G23" i="64"/>
  <c r="AJ16" i="64"/>
  <c r="AJ30" i="64"/>
  <c r="AJ53" i="64"/>
  <c r="AL47" i="65"/>
  <c r="AL36" i="65"/>
  <c r="E23" i="65"/>
  <c r="E36" i="65"/>
  <c r="E26" i="65"/>
  <c r="E61" i="65"/>
  <c r="AK15" i="65"/>
  <c r="AJ13" i="63"/>
  <c r="AL49" i="65"/>
  <c r="AK43" i="65"/>
  <c r="E43" i="65"/>
  <c r="AL62" i="65"/>
  <c r="G27" i="64"/>
  <c r="AJ64" i="64"/>
  <c r="G35" i="64"/>
  <c r="AJ42" i="64"/>
  <c r="G20" i="64"/>
  <c r="AK12" i="64"/>
  <c r="G25" i="64"/>
  <c r="AJ59" i="64"/>
  <c r="AL37" i="65"/>
  <c r="E21" i="65"/>
  <c r="E45" i="65"/>
  <c r="AK7" i="65"/>
  <c r="AK54" i="65"/>
  <c r="AJ24" i="64"/>
  <c r="AJ60" i="64"/>
  <c r="G24" i="64"/>
  <c r="AJ32" i="64"/>
  <c r="AK38" i="65"/>
  <c r="E24" i="65"/>
  <c r="AL48" i="65"/>
  <c r="E10" i="65"/>
  <c r="G10" i="64"/>
  <c r="G8" i="64"/>
  <c r="AJ10" i="64"/>
  <c r="G31" i="64"/>
  <c r="AL43" i="65"/>
  <c r="E38" i="65"/>
  <c r="AK16" i="65"/>
  <c r="E27" i="65"/>
  <c r="G28" i="64"/>
  <c r="G13" i="64"/>
  <c r="E52" i="65"/>
  <c r="AL45" i="65"/>
  <c r="G19" i="64"/>
  <c r="AL38" i="65"/>
  <c r="AK26" i="65"/>
  <c r="E19" i="65"/>
  <c r="AK37" i="65"/>
  <c r="G36" i="64"/>
  <c r="AJ28" i="64"/>
  <c r="G18" i="64"/>
  <c r="G33" i="64"/>
  <c r="E37" i="65"/>
  <c r="E41" i="65"/>
  <c r="AK40" i="65"/>
  <c r="G12" i="64"/>
  <c r="G45" i="64"/>
  <c r="E18" i="65"/>
  <c r="E15" i="65"/>
  <c r="AJ54" i="64"/>
  <c r="E50" i="65"/>
  <c r="AJ45" i="64"/>
  <c r="AJ57" i="64"/>
  <c r="G9" i="64"/>
  <c r="AL7" i="65"/>
  <c r="AJ48" i="64"/>
  <c r="AJ18" i="64"/>
  <c r="E47" i="65"/>
  <c r="AL61" i="65"/>
  <c r="AJ29" i="64"/>
  <c r="E33" i="65"/>
  <c r="AJ17" i="64"/>
  <c r="AK39" i="65"/>
  <c r="G47" i="64"/>
  <c r="AK35" i="65"/>
  <c r="G10" i="63"/>
  <c r="AM22" i="65" l="1"/>
  <c r="AH22" i="65"/>
  <c r="AG22" i="65"/>
  <c r="AM17" i="65"/>
  <c r="AG17" i="65"/>
  <c r="AH17" i="65"/>
  <c r="AG41" i="65"/>
  <c r="AH41" i="65"/>
  <c r="AM41" i="65"/>
  <c r="BD15" i="65"/>
  <c r="AH39" i="65"/>
  <c r="AG39" i="65"/>
  <c r="AM26" i="65"/>
  <c r="AM45" i="65"/>
  <c r="AM32" i="65"/>
  <c r="AM54" i="65"/>
  <c r="R16" i="65" a="1"/>
  <c r="R16" i="65" s="1"/>
  <c r="R13" i="65"/>
  <c r="S13" i="65" s="1"/>
  <c r="R12" i="65"/>
  <c r="R11" i="65"/>
  <c r="S11" i="65" s="1"/>
  <c r="R10" i="65"/>
  <c r="R9" i="65"/>
  <c r="R8" i="65"/>
  <c r="O16" i="65" a="1"/>
  <c r="O16" i="65" s="1"/>
  <c r="O13" i="65"/>
  <c r="U12" i="65"/>
  <c r="O9" i="65"/>
  <c r="U8" i="65"/>
  <c r="O11" i="65"/>
  <c r="U10" i="65"/>
  <c r="V10" i="65" s="1"/>
  <c r="O12" i="65"/>
  <c r="U11" i="65"/>
  <c r="U16" i="65" a="1"/>
  <c r="U16" i="65" s="1"/>
  <c r="U13" i="65"/>
  <c r="V13" i="65" s="1"/>
  <c r="O10" i="65"/>
  <c r="U9" i="65"/>
  <c r="V9" i="65" s="1"/>
  <c r="O8" i="65"/>
  <c r="AH40" i="65"/>
  <c r="AG40" i="65"/>
  <c r="AM35" i="65"/>
  <c r="AM33" i="65"/>
  <c r="AG28" i="65"/>
  <c r="AH28" i="65"/>
  <c r="AG19" i="65"/>
  <c r="AH19" i="65"/>
  <c r="AM44" i="65"/>
  <c r="AM49" i="65"/>
  <c r="AH10" i="65"/>
  <c r="AG10" i="65"/>
  <c r="AM31" i="65"/>
  <c r="AM25" i="65"/>
  <c r="AM14" i="65"/>
  <c r="AM43" i="65"/>
  <c r="AM29" i="65"/>
  <c r="AG21" i="65"/>
  <c r="AH21" i="65"/>
  <c r="AM40" i="65"/>
  <c r="AH35" i="65"/>
  <c r="AG35" i="65"/>
  <c r="AG33" i="65"/>
  <c r="AH33" i="65"/>
  <c r="AH53" i="65"/>
  <c r="AG53" i="65"/>
  <c r="AM7" i="65"/>
  <c r="AH61" i="65"/>
  <c r="AG61" i="65"/>
  <c r="AG50" i="65"/>
  <c r="AH50" i="65"/>
  <c r="AM23" i="65"/>
  <c r="AG38" i="65"/>
  <c r="AH38" i="65"/>
  <c r="AH15" i="65"/>
  <c r="AG15" i="65"/>
  <c r="AG46" i="65"/>
  <c r="AH46" i="65"/>
  <c r="AH48" i="65"/>
  <c r="AG48" i="65"/>
  <c r="AH45" i="65"/>
  <c r="AG45" i="65"/>
  <c r="AG32" i="65"/>
  <c r="AH32" i="65"/>
  <c r="AM12" i="65"/>
  <c r="AG54" i="65"/>
  <c r="AH54" i="65"/>
  <c r="AM55" i="65"/>
  <c r="AG11" i="65"/>
  <c r="AH11" i="65"/>
  <c r="AM16" i="65"/>
  <c r="AM62" i="65"/>
  <c r="AG52" i="65"/>
  <c r="AH52" i="65"/>
  <c r="AM47" i="65"/>
  <c r="AM34" i="65"/>
  <c r="AM13" i="65"/>
  <c r="AM37" i="65"/>
  <c r="AH18" i="65"/>
  <c r="AG18" i="65"/>
  <c r="AM27" i="65"/>
  <c r="AM19" i="65"/>
  <c r="AH44" i="65"/>
  <c r="AG44" i="65"/>
  <c r="AG49" i="65"/>
  <c r="AH49" i="65"/>
  <c r="AM10" i="65"/>
  <c r="AM30" i="65"/>
  <c r="AM48" i="65"/>
  <c r="AH12" i="65"/>
  <c r="AG12" i="65"/>
  <c r="AG55" i="65"/>
  <c r="AH55" i="65"/>
  <c r="AM11" i="65"/>
  <c r="AM21" i="65"/>
  <c r="AG9" i="65"/>
  <c r="AH9" i="65"/>
  <c r="AM18" i="65"/>
  <c r="AG27" i="65"/>
  <c r="AH27" i="65"/>
  <c r="AM39" i="65"/>
  <c r="AH26" i="65"/>
  <c r="AG26" i="65"/>
  <c r="AH30" i="65"/>
  <c r="AG30" i="65"/>
  <c r="AH36" i="65"/>
  <c r="AG36" i="65"/>
  <c r="AH51" i="65"/>
  <c r="AG51" i="65"/>
  <c r="AM8" i="65"/>
  <c r="AM9" i="65"/>
  <c r="AM28" i="65"/>
  <c r="AM42" i="65"/>
  <c r="AM61" i="65"/>
  <c r="AM50" i="65"/>
  <c r="AG23" i="65"/>
  <c r="AH23" i="65"/>
  <c r="AM38" i="65"/>
  <c r="AM15" i="65"/>
  <c r="AM46" i="65"/>
  <c r="AM36" i="65"/>
  <c r="AH31" i="65"/>
  <c r="AG31" i="65"/>
  <c r="AM51" i="65"/>
  <c r="AG25" i="65"/>
  <c r="AH25" i="65"/>
  <c r="AH8" i="65"/>
  <c r="AG8" i="65"/>
  <c r="AH14" i="65"/>
  <c r="AG14" i="65"/>
  <c r="AH43" i="65"/>
  <c r="AG43" i="65"/>
  <c r="AG29" i="65"/>
  <c r="AH29" i="65"/>
  <c r="AH16" i="65"/>
  <c r="AG16" i="65"/>
  <c r="AM52" i="65"/>
  <c r="AH47" i="65"/>
  <c r="AG47" i="65"/>
  <c r="AH34" i="65"/>
  <c r="AG34" i="65"/>
  <c r="AG13" i="65"/>
  <c r="AH13" i="65"/>
  <c r="AG37" i="65"/>
  <c r="AH37" i="65"/>
  <c r="AM53" i="65"/>
  <c r="AG42" i="65"/>
  <c r="AH42" i="65"/>
  <c r="AH7" i="65"/>
  <c r="AG7" i="65"/>
  <c r="BH15" i="65"/>
  <c r="BG15" i="65"/>
  <c r="BI15" i="65"/>
  <c r="BF15" i="65"/>
  <c r="BD16" i="65"/>
  <c r="BC17" i="65"/>
  <c r="BD10" i="65"/>
  <c r="BD11" i="65"/>
  <c r="BD7" i="65"/>
  <c r="BD12" i="65"/>
  <c r="BD14" i="65"/>
  <c r="BD8" i="65"/>
  <c r="BD9" i="65"/>
  <c r="BD13" i="65"/>
  <c r="M8" i="64"/>
  <c r="M9" i="64"/>
  <c r="C77" i="64"/>
  <c r="AY52" i="64"/>
  <c r="AL59" i="64"/>
  <c r="AK59" i="64"/>
  <c r="AM59" i="64" s="1"/>
  <c r="AK65" i="64"/>
  <c r="AM65" i="64" s="1"/>
  <c r="AL65" i="64"/>
  <c r="AG25" i="64"/>
  <c r="AH25" i="64"/>
  <c r="AK63" i="64"/>
  <c r="AM63" i="64" s="1"/>
  <c r="AL63" i="64"/>
  <c r="AK67" i="64"/>
  <c r="AM67" i="64" s="1"/>
  <c r="AL67" i="64"/>
  <c r="AL57" i="64"/>
  <c r="AK57" i="64"/>
  <c r="AM57" i="64" s="1"/>
  <c r="AG12" i="64"/>
  <c r="AH12" i="64"/>
  <c r="AL58" i="64"/>
  <c r="AK58" i="64"/>
  <c r="AM58" i="64" s="1"/>
  <c r="AL56" i="64"/>
  <c r="AK56" i="64"/>
  <c r="AM56" i="64" s="1"/>
  <c r="AK60" i="64"/>
  <c r="AM60" i="64" s="1"/>
  <c r="AL60" i="64"/>
  <c r="AM12" i="64"/>
  <c r="AL66" i="64"/>
  <c r="AK66" i="64"/>
  <c r="AM66" i="64" s="1"/>
  <c r="AK64" i="64"/>
  <c r="AM64" i="64" s="1"/>
  <c r="AL64" i="64"/>
  <c r="AM25" i="64"/>
  <c r="AY17" i="64"/>
  <c r="AY49" i="64"/>
  <c r="AY56" i="64"/>
  <c r="AY32" i="64"/>
  <c r="AY16" i="64"/>
  <c r="AY14" i="64"/>
  <c r="AY35" i="64"/>
  <c r="AY28" i="64"/>
  <c r="AY12" i="64"/>
  <c r="AY39" i="64"/>
  <c r="AY45" i="64"/>
  <c r="AY20" i="64"/>
  <c r="AY54" i="64"/>
  <c r="AY33" i="64"/>
  <c r="AY25" i="64"/>
  <c r="AY48" i="64"/>
  <c r="AY53" i="64"/>
  <c r="AY62" i="64"/>
  <c r="AY40" i="64"/>
  <c r="AY21" i="64"/>
  <c r="AY30" i="64"/>
  <c r="AY22" i="64"/>
  <c r="AY41" i="64"/>
  <c r="AY9" i="64"/>
  <c r="AY10" i="64"/>
  <c r="AY7" i="64"/>
  <c r="AY37" i="64"/>
  <c r="AY27" i="64"/>
  <c r="AY59" i="64"/>
  <c r="AY47" i="64"/>
  <c r="AY61" i="64"/>
  <c r="AY43" i="64"/>
  <c r="AY18" i="64"/>
  <c r="AY36" i="64"/>
  <c r="AY11" i="64"/>
  <c r="AY38" i="64"/>
  <c r="AY24" i="64"/>
  <c r="AY8" i="64"/>
  <c r="AY57" i="64"/>
  <c r="AY42" i="64"/>
  <c r="AY51" i="64"/>
  <c r="AY50" i="64"/>
  <c r="AY29" i="64"/>
  <c r="AY34" i="64"/>
  <c r="AY44" i="64"/>
  <c r="M14" i="64"/>
  <c r="L5" i="64"/>
  <c r="AY46" i="64"/>
  <c r="AY23" i="64"/>
  <c r="M13" i="64"/>
  <c r="BC11" i="64"/>
  <c r="AY13" i="64"/>
  <c r="M12" i="64"/>
  <c r="AY60" i="64"/>
  <c r="AY55" i="64"/>
  <c r="AY63" i="64"/>
  <c r="AY58" i="64"/>
  <c r="AY26" i="64"/>
  <c r="Y14" i="64"/>
  <c r="AY31" i="64"/>
  <c r="M11" i="64"/>
  <c r="AY15" i="64"/>
  <c r="AY19" i="64"/>
  <c r="AW9" i="63"/>
  <c r="AX9" i="63" s="1"/>
  <c r="AW11" i="63"/>
  <c r="AX11" i="63" s="1"/>
  <c r="AW13" i="63"/>
  <c r="AX13" i="63" s="1"/>
  <c r="AW10" i="63"/>
  <c r="AX10" i="63" s="1"/>
  <c r="AW8" i="63"/>
  <c r="AX8" i="63" s="1"/>
  <c r="AW12" i="63"/>
  <c r="AX12" i="63" s="1"/>
  <c r="L14" i="63"/>
  <c r="L5" i="63" s="1"/>
  <c r="AW15" i="63"/>
  <c r="AX15" i="63" s="1"/>
  <c r="BC14" i="63"/>
  <c r="AW18" i="63"/>
  <c r="AX18" i="63" s="1"/>
  <c r="AW22" i="63"/>
  <c r="AX22" i="63" s="1"/>
  <c r="AW26" i="63"/>
  <c r="AX26" i="63" s="1"/>
  <c r="AW30" i="63"/>
  <c r="AX30" i="63" s="1"/>
  <c r="AW34" i="63"/>
  <c r="AX34" i="63" s="1"/>
  <c r="M14" i="63"/>
  <c r="AW16" i="63"/>
  <c r="AX16" i="63" s="1"/>
  <c r="AW46" i="63"/>
  <c r="AX46" i="63" s="1"/>
  <c r="AW20" i="63"/>
  <c r="AX20" i="63" s="1"/>
  <c r="AW24" i="63"/>
  <c r="AX24" i="63" s="1"/>
  <c r="AW28" i="63"/>
  <c r="AX28" i="63" s="1"/>
  <c r="AW32" i="63"/>
  <c r="AX32" i="63" s="1"/>
  <c r="AW36" i="63"/>
  <c r="AX36" i="63" s="1"/>
  <c r="AW54" i="63"/>
  <c r="AX54" i="63" s="1"/>
  <c r="AW52" i="63"/>
  <c r="AX52" i="63" s="1"/>
  <c r="AW39" i="63"/>
  <c r="AX39" i="63" s="1"/>
  <c r="AW61" i="63"/>
  <c r="AW59" i="63"/>
  <c r="AX59" i="63" s="1"/>
  <c r="AW48" i="63"/>
  <c r="AX48" i="63" s="1"/>
  <c r="AW43" i="63"/>
  <c r="AX43" i="63" s="1"/>
  <c r="AW14" i="63"/>
  <c r="AX14" i="63" s="1"/>
  <c r="AW37" i="63"/>
  <c r="AX37" i="63" s="1"/>
  <c r="AW38" i="63"/>
  <c r="AX38" i="63" s="1"/>
  <c r="AW41" i="63"/>
  <c r="AX41" i="63" s="1"/>
  <c r="AW42" i="63"/>
  <c r="AX42" i="63" s="1"/>
  <c r="AW63" i="63"/>
  <c r="AX63" i="63" s="1"/>
  <c r="AW49" i="63"/>
  <c r="AX49" i="63" s="1"/>
  <c r="AW17" i="63"/>
  <c r="AX17" i="63" s="1"/>
  <c r="AW19" i="63"/>
  <c r="AX19" i="63" s="1"/>
  <c r="AW21" i="63"/>
  <c r="AX21" i="63" s="1"/>
  <c r="AW23" i="63"/>
  <c r="AX23" i="63" s="1"/>
  <c r="AW25" i="63"/>
  <c r="AX25" i="63" s="1"/>
  <c r="AW27" i="63"/>
  <c r="AX27" i="63" s="1"/>
  <c r="AW29" i="63"/>
  <c r="AX29" i="63" s="1"/>
  <c r="AW31" i="63"/>
  <c r="AX31" i="63" s="1"/>
  <c r="AW33" i="63"/>
  <c r="AX33" i="63" s="1"/>
  <c r="AW35" i="63"/>
  <c r="AX35" i="63" s="1"/>
  <c r="AW50" i="63"/>
  <c r="AX50" i="63" s="1"/>
  <c r="AW40" i="63"/>
  <c r="AX40" i="63" s="1"/>
  <c r="AW47" i="63"/>
  <c r="AX47" i="63" s="1"/>
  <c r="AW53" i="63"/>
  <c r="AX53" i="63" s="1"/>
  <c r="AW44" i="63"/>
  <c r="AX44" i="63" s="1"/>
  <c r="AW45" i="63"/>
  <c r="AX45" i="63" s="1"/>
  <c r="AW51" i="63"/>
  <c r="AX51" i="63" s="1"/>
  <c r="AW55" i="63"/>
  <c r="AX55" i="63" s="1"/>
  <c r="AW57" i="63"/>
  <c r="AX57" i="63" s="1"/>
  <c r="AW58" i="63"/>
  <c r="AX58" i="63" s="1"/>
  <c r="AW60" i="63"/>
  <c r="AX60" i="63" s="1"/>
  <c r="AW56" i="63"/>
  <c r="AX56" i="63" s="1"/>
  <c r="AX61" i="63"/>
  <c r="AW62" i="63"/>
  <c r="AX62" i="63" s="1"/>
  <c r="B57" i="62"/>
  <c r="B58" i="62" s="1"/>
  <c r="B59" i="62" s="1"/>
  <c r="B60" i="62" s="1"/>
  <c r="B61" i="62" s="1"/>
  <c r="B7" i="62"/>
  <c r="B8" i="62" s="1"/>
  <c r="B9" i="62" s="1"/>
  <c r="B10" i="62" s="1"/>
  <c r="B11" i="62" s="1"/>
  <c r="B12" i="62" s="1"/>
  <c r="B13" i="62" s="1"/>
  <c r="B14" i="62" s="1"/>
  <c r="B15" i="62" s="1"/>
  <c r="B16" i="62" s="1"/>
  <c r="B17" i="62" s="1"/>
  <c r="B18" i="62" s="1"/>
  <c r="B19" i="62" s="1"/>
  <c r="B20" i="62" s="1"/>
  <c r="B21" i="62" s="1"/>
  <c r="B22" i="62" s="1"/>
  <c r="B23" i="62" s="1"/>
  <c r="B24" i="62" s="1"/>
  <c r="B25" i="62" s="1"/>
  <c r="B26" i="62" s="1"/>
  <c r="B27" i="62" s="1"/>
  <c r="B28" i="62" s="1"/>
  <c r="B29" i="62" s="1"/>
  <c r="B30" i="62" s="1"/>
  <c r="B31" i="62" s="1"/>
  <c r="B32" i="62" s="1"/>
  <c r="B33" i="62" s="1"/>
  <c r="B34" i="62" s="1"/>
  <c r="B35" i="62" s="1"/>
  <c r="B36" i="62" s="1"/>
  <c r="B37" i="62" s="1"/>
  <c r="B38" i="62" s="1"/>
  <c r="B39" i="62" s="1"/>
  <c r="B40" i="62" s="1"/>
  <c r="B41" i="62" s="1"/>
  <c r="B42" i="62" s="1"/>
  <c r="B43" i="62" s="1"/>
  <c r="B44" i="62" s="1"/>
  <c r="B45" i="62" s="1"/>
  <c r="B46" i="62" s="1"/>
  <c r="B47" i="62" s="1"/>
  <c r="B48" i="62" s="1"/>
  <c r="B49" i="62" s="1"/>
  <c r="B50" i="62" s="1"/>
  <c r="B51" i="62" s="1"/>
  <c r="B52" i="62" s="1"/>
  <c r="G45" i="63"/>
  <c r="G13" i="63"/>
  <c r="G26" i="63"/>
  <c r="G51" i="63"/>
  <c r="BH13" i="65" l="1"/>
  <c r="BF13" i="65"/>
  <c r="BI13" i="65"/>
  <c r="BG13" i="65"/>
  <c r="BH12" i="65"/>
  <c r="BG12" i="65"/>
  <c r="BF12" i="65"/>
  <c r="BI12" i="65"/>
  <c r="BD17" i="65"/>
  <c r="BC18" i="65"/>
  <c r="AA8" i="65"/>
  <c r="O14" i="65"/>
  <c r="P8" i="65" s="1"/>
  <c r="BH9" i="65"/>
  <c r="BF9" i="65"/>
  <c r="BI9" i="65"/>
  <c r="BG9" i="65"/>
  <c r="BH7" i="65"/>
  <c r="BI7" i="65"/>
  <c r="BG7" i="65"/>
  <c r="BF7" i="65"/>
  <c r="BI16" i="65"/>
  <c r="BH16" i="65"/>
  <c r="BF16" i="65"/>
  <c r="BG16" i="65"/>
  <c r="U14" i="65"/>
  <c r="V12" i="65" s="1"/>
  <c r="V8" i="65"/>
  <c r="BH8" i="65"/>
  <c r="BG8" i="65"/>
  <c r="BI8" i="65"/>
  <c r="BF8" i="65"/>
  <c r="BH11" i="65"/>
  <c r="BI11" i="65"/>
  <c r="BF11" i="65"/>
  <c r="BG11" i="65"/>
  <c r="BG14" i="65"/>
  <c r="BI14" i="65"/>
  <c r="BH14" i="65"/>
  <c r="BF14" i="65"/>
  <c r="BH10" i="65"/>
  <c r="BG10" i="65"/>
  <c r="BF10" i="65"/>
  <c r="BI10" i="65"/>
  <c r="AA11" i="65"/>
  <c r="AA13" i="65"/>
  <c r="AA10" i="65"/>
  <c r="AA12" i="65"/>
  <c r="AA9" i="65"/>
  <c r="R14" i="65"/>
  <c r="S10" i="65" s="1"/>
  <c r="BD10" i="64"/>
  <c r="BF10" i="64" s="1"/>
  <c r="BD11" i="64"/>
  <c r="BC12" i="64"/>
  <c r="BD9" i="64"/>
  <c r="BD8" i="64"/>
  <c r="BD7" i="64"/>
  <c r="C77" i="63"/>
  <c r="Y14" i="63"/>
  <c r="M13" i="63"/>
  <c r="M12" i="63"/>
  <c r="M11" i="63"/>
  <c r="M10" i="63"/>
  <c r="M9" i="63"/>
  <c r="M8" i="63"/>
  <c r="AY37" i="63"/>
  <c r="AY45" i="63"/>
  <c r="AY47" i="63"/>
  <c r="AY36" i="63"/>
  <c r="AY38" i="63"/>
  <c r="AY16" i="63"/>
  <c r="AY53" i="63"/>
  <c r="AY54" i="63"/>
  <c r="AY59" i="63"/>
  <c r="AY50" i="63"/>
  <c r="AY41" i="63"/>
  <c r="AY29" i="63"/>
  <c r="AY63" i="63"/>
  <c r="AY57" i="63"/>
  <c r="AY51" i="63"/>
  <c r="AY40" i="63"/>
  <c r="AY33" i="63"/>
  <c r="AY25" i="63"/>
  <c r="AY17" i="63"/>
  <c r="AY13" i="63"/>
  <c r="AY7" i="63"/>
  <c r="AY32" i="63"/>
  <c r="AY24" i="63"/>
  <c r="AY35" i="63"/>
  <c r="AY27" i="63"/>
  <c r="AY19" i="63"/>
  <c r="AY34" i="63"/>
  <c r="AY26" i="63"/>
  <c r="AY18" i="63"/>
  <c r="AY11" i="63"/>
  <c r="AY62" i="63"/>
  <c r="AY60" i="63"/>
  <c r="AY44" i="63"/>
  <c r="AY42" i="63"/>
  <c r="AY43" i="63"/>
  <c r="AY39" i="63"/>
  <c r="BC15" i="63"/>
  <c r="AY10" i="63"/>
  <c r="AY61" i="63"/>
  <c r="AY55" i="63"/>
  <c r="AY21" i="63"/>
  <c r="AY15" i="63"/>
  <c r="AY49" i="63"/>
  <c r="AY48" i="63"/>
  <c r="AY52" i="63"/>
  <c r="AY28" i="63"/>
  <c r="AY20" i="63"/>
  <c r="AY31" i="63"/>
  <c r="AY23" i="63"/>
  <c r="AY30" i="63"/>
  <c r="AY22" i="63"/>
  <c r="AY9" i="63"/>
  <c r="AY56" i="63"/>
  <c r="AY58" i="63"/>
  <c r="AY46" i="63"/>
  <c r="AY14" i="63"/>
  <c r="AY12" i="63"/>
  <c r="AY8" i="63"/>
  <c r="BE7" i="7"/>
  <c r="BE11" i="7"/>
  <c r="BE21" i="7"/>
  <c r="BE31" i="7"/>
  <c r="AJ40" i="63"/>
  <c r="AL9" i="64"/>
  <c r="AL29" i="64"/>
  <c r="G49" i="63"/>
  <c r="G35" i="63"/>
  <c r="AL44" i="64"/>
  <c r="E10" i="63"/>
  <c r="AJ39" i="63"/>
  <c r="AJ67" i="63"/>
  <c r="AJ59" i="63"/>
  <c r="AK16" i="64"/>
  <c r="AJ25" i="63"/>
  <c r="AJ10" i="63"/>
  <c r="AK21" i="64"/>
  <c r="E32" i="63"/>
  <c r="AJ11" i="63"/>
  <c r="AL47" i="64"/>
  <c r="E36" i="64"/>
  <c r="AL26" i="64"/>
  <c r="AK49" i="64"/>
  <c r="G44" i="63"/>
  <c r="AJ56" i="63"/>
  <c r="AL55" i="64"/>
  <c r="AJ60" i="63"/>
  <c r="AJ62" i="63"/>
  <c r="G28" i="63"/>
  <c r="AL7" i="64"/>
  <c r="E46" i="64"/>
  <c r="AK29" i="64"/>
  <c r="G15" i="63"/>
  <c r="AK28" i="64"/>
  <c r="AL11" i="64"/>
  <c r="AK48" i="64"/>
  <c r="AL61" i="64"/>
  <c r="AL13" i="64"/>
  <c r="E9" i="64"/>
  <c r="E44" i="64"/>
  <c r="E30" i="64"/>
  <c r="E22" i="64"/>
  <c r="G50" i="63"/>
  <c r="E39" i="64"/>
  <c r="E13" i="64"/>
  <c r="E11" i="64"/>
  <c r="AJ29" i="63"/>
  <c r="G61" i="63"/>
  <c r="AK10" i="64"/>
  <c r="E35" i="64"/>
  <c r="G11" i="63"/>
  <c r="AL28" i="64"/>
  <c r="AJ49" i="63"/>
  <c r="AK46" i="64"/>
  <c r="E15" i="64"/>
  <c r="AL18" i="64"/>
  <c r="G62" i="63"/>
  <c r="AK9" i="64"/>
  <c r="E37" i="64"/>
  <c r="AK13" i="63"/>
  <c r="AK62" i="64"/>
  <c r="AJ41" i="63"/>
  <c r="AJ63" i="63"/>
  <c r="E14" i="64"/>
  <c r="G8" i="63"/>
  <c r="AL37" i="64"/>
  <c r="G36" i="63"/>
  <c r="AL8" i="64"/>
  <c r="G20" i="63"/>
  <c r="E62" i="64"/>
  <c r="AJ31" i="63"/>
  <c r="E49" i="64"/>
  <c r="E41" i="64"/>
  <c r="AJ27" i="63"/>
  <c r="AL40" i="64"/>
  <c r="AJ50" i="63"/>
  <c r="AK33" i="64"/>
  <c r="AJ52" i="63"/>
  <c r="AK47" i="64"/>
  <c r="AL16" i="64"/>
  <c r="G24" i="63"/>
  <c r="AL15" i="64"/>
  <c r="AL53" i="64"/>
  <c r="AK54" i="64"/>
  <c r="E26" i="64"/>
  <c r="AJ33" i="63"/>
  <c r="AJ44" i="63"/>
  <c r="AK17" i="64"/>
  <c r="AK42" i="64"/>
  <c r="AK27" i="64"/>
  <c r="AK52" i="64"/>
  <c r="AK15" i="63"/>
  <c r="AK22" i="64"/>
  <c r="G34" i="63"/>
  <c r="E54" i="64"/>
  <c r="E45" i="63"/>
  <c r="E12" i="64"/>
  <c r="AK51" i="64"/>
  <c r="AK14" i="63"/>
  <c r="G7" i="63"/>
  <c r="AL14" i="63"/>
  <c r="E16" i="64"/>
  <c r="AL20" i="64"/>
  <c r="AL23" i="64"/>
  <c r="G47" i="63"/>
  <c r="E51" i="64"/>
  <c r="E40" i="64"/>
  <c r="E55" i="64"/>
  <c r="AK24" i="64"/>
  <c r="AL36" i="64"/>
  <c r="E18" i="64"/>
  <c r="AJ28" i="63"/>
  <c r="AK43" i="64"/>
  <c r="E8" i="64"/>
  <c r="E7" i="64"/>
  <c r="AL17" i="64"/>
  <c r="G52" i="63"/>
  <c r="AK32" i="64"/>
  <c r="AL32" i="64"/>
  <c r="AJ48" i="63"/>
  <c r="G12" i="63"/>
  <c r="E47" i="64"/>
  <c r="G29" i="63"/>
  <c r="AJ8" i="63"/>
  <c r="AJ9" i="63"/>
  <c r="AL14" i="64"/>
  <c r="G30" i="63"/>
  <c r="AJ18" i="63"/>
  <c r="AL48" i="64"/>
  <c r="AK35" i="64"/>
  <c r="G38" i="63"/>
  <c r="AK39" i="64"/>
  <c r="G19" i="63"/>
  <c r="AO7" i="7"/>
  <c r="AL38" i="64"/>
  <c r="G55" i="63"/>
  <c r="AK18" i="64"/>
  <c r="G25" i="63"/>
  <c r="AJ53" i="63"/>
  <c r="AJ36" i="63"/>
  <c r="G22" i="63"/>
  <c r="AJ26" i="63"/>
  <c r="AK20" i="64"/>
  <c r="AK14" i="64"/>
  <c r="AL51" i="64"/>
  <c r="E61" i="64"/>
  <c r="G14" i="63"/>
  <c r="AJ47" i="63"/>
  <c r="E53" i="64"/>
  <c r="AL45" i="64"/>
  <c r="AL30" i="64"/>
  <c r="AJ20" i="63"/>
  <c r="E28" i="64"/>
  <c r="AK8" i="64"/>
  <c r="E21" i="64"/>
  <c r="AK40" i="64"/>
  <c r="AJ42" i="63"/>
  <c r="G46" i="63"/>
  <c r="G27" i="63"/>
  <c r="AL33" i="64"/>
  <c r="G37" i="63"/>
  <c r="AL22" i="64"/>
  <c r="G42" i="63"/>
  <c r="AL35" i="64"/>
  <c r="AJ30" i="63"/>
  <c r="G48" i="63"/>
  <c r="AJ19" i="63"/>
  <c r="AJ16" i="63"/>
  <c r="AJ45" i="63"/>
  <c r="E19" i="64"/>
  <c r="AK55" i="64"/>
  <c r="AJ23" i="63"/>
  <c r="AL27" i="64"/>
  <c r="AJ12" i="63"/>
  <c r="E45" i="64"/>
  <c r="AK34" i="64"/>
  <c r="E52" i="64"/>
  <c r="E17" i="64"/>
  <c r="AK36" i="64"/>
  <c r="AJ65" i="63"/>
  <c r="AJ35" i="63"/>
  <c r="AJ58" i="63"/>
  <c r="AK45" i="64"/>
  <c r="AL31" i="64"/>
  <c r="E29" i="64"/>
  <c r="AL39" i="64"/>
  <c r="AL41" i="64"/>
  <c r="E32" i="64"/>
  <c r="E31" i="64"/>
  <c r="AJ21" i="63"/>
  <c r="AK15" i="64"/>
  <c r="AK13" i="64"/>
  <c r="AK50" i="64"/>
  <c r="AJ32" i="63"/>
  <c r="E10" i="64"/>
  <c r="G18" i="63"/>
  <c r="AK41" i="64"/>
  <c r="AL49" i="64"/>
  <c r="E38" i="64"/>
  <c r="AK7" i="64"/>
  <c r="E20" i="64"/>
  <c r="AK23" i="64"/>
  <c r="AJ34" i="63"/>
  <c r="AJ46" i="63"/>
  <c r="AL62" i="64"/>
  <c r="E27" i="64"/>
  <c r="E50" i="64"/>
  <c r="AJ37" i="63"/>
  <c r="G9" i="63"/>
  <c r="AK26" i="64"/>
  <c r="AJ54" i="63"/>
  <c r="G41" i="63"/>
  <c r="G21" i="63"/>
  <c r="E33" i="64"/>
  <c r="AL24" i="64"/>
  <c r="AK44" i="64"/>
  <c r="AL15" i="63"/>
  <c r="E24" i="64"/>
  <c r="AK11" i="64"/>
  <c r="E23" i="64"/>
  <c r="E13" i="63"/>
  <c r="AL19" i="64"/>
  <c r="E43" i="64"/>
  <c r="AK61" i="64"/>
  <c r="AK53" i="64"/>
  <c r="AL46" i="64"/>
  <c r="AK38" i="64"/>
  <c r="E48" i="64"/>
  <c r="AL10" i="64"/>
  <c r="AJ55" i="63"/>
  <c r="G54" i="63"/>
  <c r="AK31" i="64"/>
  <c r="G23" i="63"/>
  <c r="AJ64" i="63"/>
  <c r="AJ22" i="63"/>
  <c r="E25" i="64"/>
  <c r="AL34" i="64"/>
  <c r="G33" i="63"/>
  <c r="G16" i="63"/>
  <c r="E51" i="63"/>
  <c r="G40" i="63"/>
  <c r="G43" i="63"/>
  <c r="G31" i="63"/>
  <c r="AL54" i="64"/>
  <c r="AL52" i="64"/>
  <c r="AJ24" i="63"/>
  <c r="AL21" i="64"/>
  <c r="AK37" i="64"/>
  <c r="AL43" i="64"/>
  <c r="E42" i="64"/>
  <c r="G39" i="63"/>
  <c r="AJ43" i="63"/>
  <c r="G17" i="63"/>
  <c r="G53" i="63"/>
  <c r="AL42" i="64"/>
  <c r="AJ17" i="63"/>
  <c r="AJ7" i="63"/>
  <c r="AJ38" i="63"/>
  <c r="AL13" i="63"/>
  <c r="E26" i="63"/>
  <c r="AJ66" i="63"/>
  <c r="AJ51" i="63"/>
  <c r="AK19" i="64"/>
  <c r="AK30" i="64"/>
  <c r="AJ57" i="63"/>
  <c r="AJ61" i="63"/>
  <c r="AL50" i="64"/>
  <c r="E34" i="64"/>
  <c r="BI10" i="64" l="1"/>
  <c r="BH10" i="64"/>
  <c r="P12" i="65"/>
  <c r="BG10" i="64"/>
  <c r="S8" i="65"/>
  <c r="P13" i="65"/>
  <c r="P9" i="65"/>
  <c r="P10" i="65"/>
  <c r="P11" i="65"/>
  <c r="AA14" i="65"/>
  <c r="R5" i="65"/>
  <c r="S14" i="65"/>
  <c r="S9" i="65"/>
  <c r="V11" i="65"/>
  <c r="BC19" i="65"/>
  <c r="BD18" i="65"/>
  <c r="S12" i="65"/>
  <c r="O5" i="65"/>
  <c r="P14" i="65"/>
  <c r="V14" i="65"/>
  <c r="U5" i="65"/>
  <c r="BF17" i="65"/>
  <c r="BI17" i="65"/>
  <c r="BH17" i="65"/>
  <c r="BG17" i="65"/>
  <c r="AM61" i="64"/>
  <c r="AH32" i="64"/>
  <c r="AG32" i="64"/>
  <c r="AM46" i="64"/>
  <c r="AH9" i="64"/>
  <c r="AG9" i="64"/>
  <c r="AM45" i="64"/>
  <c r="AH7" i="64"/>
  <c r="AG7" i="64"/>
  <c r="AM22" i="64"/>
  <c r="AM29" i="64"/>
  <c r="AH51" i="64"/>
  <c r="AG51" i="64"/>
  <c r="AM40" i="64"/>
  <c r="AH61" i="64"/>
  <c r="AG61" i="64"/>
  <c r="AG49" i="64"/>
  <c r="AH49" i="64"/>
  <c r="AH41" i="64"/>
  <c r="AG41" i="64"/>
  <c r="AM34" i="64"/>
  <c r="AG29" i="64"/>
  <c r="AH29" i="64"/>
  <c r="AG14" i="64"/>
  <c r="AH14" i="64"/>
  <c r="AH16" i="64"/>
  <c r="AG16" i="64"/>
  <c r="AM10" i="64"/>
  <c r="AM24" i="64"/>
  <c r="AH53" i="64"/>
  <c r="AG53" i="64"/>
  <c r="AH38" i="64"/>
  <c r="AG38" i="64"/>
  <c r="AM53" i="64"/>
  <c r="AM7" i="64"/>
  <c r="AM43" i="64"/>
  <c r="AG24" i="64"/>
  <c r="AH24" i="64"/>
  <c r="AH47" i="64"/>
  <c r="AG47" i="64"/>
  <c r="AG37" i="64"/>
  <c r="AH37" i="64"/>
  <c r="AH23" i="64"/>
  <c r="AG23" i="64"/>
  <c r="AM44" i="64"/>
  <c r="AG22" i="64"/>
  <c r="AH22" i="64"/>
  <c r="AM47" i="64"/>
  <c r="AM32" i="64"/>
  <c r="AM27" i="64"/>
  <c r="AG50" i="64"/>
  <c r="AH50" i="64"/>
  <c r="AM51" i="64"/>
  <c r="AG34" i="64"/>
  <c r="AH34" i="64"/>
  <c r="AM21" i="64"/>
  <c r="AM54" i="64"/>
  <c r="AH30" i="64"/>
  <c r="AG30" i="64"/>
  <c r="AH26" i="64"/>
  <c r="AG26" i="64"/>
  <c r="AG46" i="64"/>
  <c r="AH46" i="64"/>
  <c r="AH10" i="64"/>
  <c r="AG10" i="64"/>
  <c r="AM31" i="64"/>
  <c r="AH54" i="64"/>
  <c r="AG54" i="64"/>
  <c r="AM30" i="64"/>
  <c r="AM52" i="64"/>
  <c r="AM28" i="64"/>
  <c r="AH14" i="63"/>
  <c r="AG14" i="63"/>
  <c r="AM13" i="63"/>
  <c r="AK65" i="63"/>
  <c r="AM65" i="63" s="1"/>
  <c r="AL65" i="63"/>
  <c r="AL60" i="63"/>
  <c r="AK60" i="63"/>
  <c r="AM60" i="63" s="1"/>
  <c r="AK58" i="63"/>
  <c r="AM58" i="63" s="1"/>
  <c r="AL58" i="63"/>
  <c r="AH13" i="63"/>
  <c r="AG13" i="63"/>
  <c r="AG44" i="64"/>
  <c r="AH44" i="64"/>
  <c r="AH36" i="64"/>
  <c r="AG36" i="64"/>
  <c r="AH27" i="64"/>
  <c r="AG27" i="64"/>
  <c r="AG55" i="64"/>
  <c r="AH55" i="64"/>
  <c r="AM14" i="64"/>
  <c r="AM62" i="64"/>
  <c r="AM18" i="64"/>
  <c r="AM49" i="64"/>
  <c r="AG35" i="64"/>
  <c r="AH35" i="64"/>
  <c r="AM17" i="64"/>
  <c r="AH45" i="64"/>
  <c r="AG45" i="64"/>
  <c r="AG40" i="64"/>
  <c r="AH40" i="64"/>
  <c r="AH18" i="64"/>
  <c r="AG18" i="64"/>
  <c r="AM23" i="64"/>
  <c r="AG48" i="64"/>
  <c r="AH48" i="64"/>
  <c r="AM33" i="64"/>
  <c r="U13" i="64"/>
  <c r="V13" i="64" s="1"/>
  <c r="U11" i="64"/>
  <c r="U9" i="64"/>
  <c r="V9" i="64" s="1"/>
  <c r="O16" i="64" a="1"/>
  <c r="O16" i="64" s="1"/>
  <c r="O13" i="64"/>
  <c r="O11" i="64"/>
  <c r="O9" i="64"/>
  <c r="R9" i="64"/>
  <c r="R13" i="64"/>
  <c r="S13" i="64" s="1"/>
  <c r="U16" i="64" a="1"/>
  <c r="U16" i="64" s="1"/>
  <c r="O10" i="64"/>
  <c r="R12" i="64"/>
  <c r="U10" i="64"/>
  <c r="V10" i="64" s="1"/>
  <c r="U8" i="64"/>
  <c r="V8" i="64" s="1"/>
  <c r="U12" i="64"/>
  <c r="O8" i="64"/>
  <c r="R8" i="64"/>
  <c r="O12" i="64"/>
  <c r="R11" i="64"/>
  <c r="S11" i="64" s="1"/>
  <c r="R10" i="64"/>
  <c r="R16" i="64" a="1"/>
  <c r="R16" i="64" s="1"/>
  <c r="AM13" i="64"/>
  <c r="AG52" i="64"/>
  <c r="AH52" i="64"/>
  <c r="AH28" i="64"/>
  <c r="AG28" i="64"/>
  <c r="AM19" i="64"/>
  <c r="AH21" i="64"/>
  <c r="AG21" i="64"/>
  <c r="AG13" i="64"/>
  <c r="AH13" i="64"/>
  <c r="AM38" i="64"/>
  <c r="AK56" i="63"/>
  <c r="AM56" i="63" s="1"/>
  <c r="AL56" i="63"/>
  <c r="AM15" i="63"/>
  <c r="AL57" i="63"/>
  <c r="AK57" i="63"/>
  <c r="AM57" i="63" s="1"/>
  <c r="AG15" i="63"/>
  <c r="AH15" i="63"/>
  <c r="AH8" i="64"/>
  <c r="AG8" i="64"/>
  <c r="AM15" i="64"/>
  <c r="AG11" i="64"/>
  <c r="AH11" i="64"/>
  <c r="AG20" i="64"/>
  <c r="AH20" i="64"/>
  <c r="AM35" i="64"/>
  <c r="AM9" i="64"/>
  <c r="AM50" i="64"/>
  <c r="AM8" i="64"/>
  <c r="AG15" i="64"/>
  <c r="AH15" i="64"/>
  <c r="AM37" i="64"/>
  <c r="AM11" i="64"/>
  <c r="AM55" i="64"/>
  <c r="AM16" i="64"/>
  <c r="AG19" i="64"/>
  <c r="AH19" i="64"/>
  <c r="AH17" i="64"/>
  <c r="AG17" i="64"/>
  <c r="AH31" i="64"/>
  <c r="AG31" i="64"/>
  <c r="AM20" i="64"/>
  <c r="AM42" i="64"/>
  <c r="AM39" i="64"/>
  <c r="AG43" i="64"/>
  <c r="AH43" i="64"/>
  <c r="AM48" i="64"/>
  <c r="AH33" i="64"/>
  <c r="AG33" i="64"/>
  <c r="AM41" i="64"/>
  <c r="AM36" i="64"/>
  <c r="AH42" i="64"/>
  <c r="AG42" i="64"/>
  <c r="AG39" i="64"/>
  <c r="AH39" i="64"/>
  <c r="AM26" i="64"/>
  <c r="AK59" i="63"/>
  <c r="AM59" i="63" s="1"/>
  <c r="AL59" i="63"/>
  <c r="AK63" i="63"/>
  <c r="AM63" i="63" s="1"/>
  <c r="AL63" i="63"/>
  <c r="AM14" i="63"/>
  <c r="AK66" i="63"/>
  <c r="AM66" i="63" s="1"/>
  <c r="AL66" i="63"/>
  <c r="AK64" i="63"/>
  <c r="AM64" i="63" s="1"/>
  <c r="AL64" i="63"/>
  <c r="AL67" i="63"/>
  <c r="AK67" i="63"/>
  <c r="AM67" i="63" s="1"/>
  <c r="BI8" i="64"/>
  <c r="BF8" i="64"/>
  <c r="BH8" i="64"/>
  <c r="BG8" i="64"/>
  <c r="BI9" i="64"/>
  <c r="BF9" i="64"/>
  <c r="BG9" i="64"/>
  <c r="BH9" i="64"/>
  <c r="BC13" i="64"/>
  <c r="BD12" i="64"/>
  <c r="BI7" i="64"/>
  <c r="BH7" i="64"/>
  <c r="BF7" i="64"/>
  <c r="BG7" i="64"/>
  <c r="BI11" i="64"/>
  <c r="BF11" i="64"/>
  <c r="BG11" i="64"/>
  <c r="BH11" i="64"/>
  <c r="BD14" i="63"/>
  <c r="BG14" i="63" s="1"/>
  <c r="BD15" i="63"/>
  <c r="BC16" i="63"/>
  <c r="BD12" i="63"/>
  <c r="BD10" i="63"/>
  <c r="BD11" i="63"/>
  <c r="BD9" i="63"/>
  <c r="BD8" i="63"/>
  <c r="BD7" i="63"/>
  <c r="BD13" i="63"/>
  <c r="BM40" i="5"/>
  <c r="BH62" i="5"/>
  <c r="BG62" i="5"/>
  <c r="BF62" i="5"/>
  <c r="BH61" i="5"/>
  <c r="BH63" i="5" s="1"/>
  <c r="BG61" i="5"/>
  <c r="BG63" i="5" s="1"/>
  <c r="BF61" i="5"/>
  <c r="BF63" i="5" s="1"/>
  <c r="BI57" i="5"/>
  <c r="BH57" i="5"/>
  <c r="BI62" i="5" s="1"/>
  <c r="Q12" i="10" s="1"/>
  <c r="BG57" i="5"/>
  <c r="BF57" i="5"/>
  <c r="BI56" i="5"/>
  <c r="BH56" i="5"/>
  <c r="BG56" i="5"/>
  <c r="BG58" i="5" s="1"/>
  <c r="BF56" i="5"/>
  <c r="BF58" i="5" s="1"/>
  <c r="BI47" i="5"/>
  <c r="BH47" i="5"/>
  <c r="BG47" i="5"/>
  <c r="BF47" i="5"/>
  <c r="BI46" i="5"/>
  <c r="BH46" i="5"/>
  <c r="BH52" i="5" s="1"/>
  <c r="BG46" i="5"/>
  <c r="BG52" i="5" s="1"/>
  <c r="BF46" i="5"/>
  <c r="BF52" i="5" s="1"/>
  <c r="BI45" i="5"/>
  <c r="BH45" i="5"/>
  <c r="BG45" i="5"/>
  <c r="BF45" i="5"/>
  <c r="BI44" i="5"/>
  <c r="BH44" i="5"/>
  <c r="BH51" i="5" s="1"/>
  <c r="BH53" i="5" s="1"/>
  <c r="BG44" i="5"/>
  <c r="BG51" i="5" s="1"/>
  <c r="BG53" i="5" s="1"/>
  <c r="BF44" i="5"/>
  <c r="BF51" i="5" s="1"/>
  <c r="BF53" i="5" s="1"/>
  <c r="BI43" i="5"/>
  <c r="BH43" i="5"/>
  <c r="BG43" i="5"/>
  <c r="BF43" i="5"/>
  <c r="BI42" i="5"/>
  <c r="BH42" i="5"/>
  <c r="BH50" i="5" s="1"/>
  <c r="BG42" i="5"/>
  <c r="BG50" i="5" s="1"/>
  <c r="BF42" i="5"/>
  <c r="BF50" i="5" s="1"/>
  <c r="BI40" i="5"/>
  <c r="BH40" i="5"/>
  <c r="BG40" i="5"/>
  <c r="BF40" i="5"/>
  <c r="C68" i="61"/>
  <c r="B68" i="61" s="1"/>
  <c r="AH67" i="61"/>
  <c r="AG67" i="61"/>
  <c r="AF67" i="61"/>
  <c r="AH66" i="61"/>
  <c r="AG66" i="61"/>
  <c r="AF66" i="61"/>
  <c r="AH65" i="61"/>
  <c r="AG65" i="61"/>
  <c r="AF65" i="61"/>
  <c r="AH64" i="61"/>
  <c r="AG64" i="61"/>
  <c r="AF64" i="61"/>
  <c r="AV63" i="61"/>
  <c r="AH63" i="61"/>
  <c r="AG63" i="61"/>
  <c r="AF63" i="61"/>
  <c r="AV62" i="61"/>
  <c r="AH62" i="61"/>
  <c r="AG62" i="61"/>
  <c r="AF62" i="61"/>
  <c r="AV61" i="61"/>
  <c r="AV60" i="61"/>
  <c r="AH60" i="61"/>
  <c r="AG60" i="61"/>
  <c r="AF60" i="61"/>
  <c r="AF61" i="61" s="1"/>
  <c r="G60" i="61"/>
  <c r="E60" i="61" s="1"/>
  <c r="AV59" i="61"/>
  <c r="AH59" i="61"/>
  <c r="AG59" i="61"/>
  <c r="AF59" i="61"/>
  <c r="G59" i="61"/>
  <c r="E59" i="61" s="1"/>
  <c r="AV58" i="61"/>
  <c r="AH58" i="61"/>
  <c r="AG58" i="61"/>
  <c r="AF58" i="61"/>
  <c r="G58" i="61"/>
  <c r="AV57" i="61"/>
  <c r="AH57" i="61"/>
  <c r="AG57" i="61"/>
  <c r="AF57" i="61"/>
  <c r="G57" i="61"/>
  <c r="AV56" i="61"/>
  <c r="AV55" i="61"/>
  <c r="AV54" i="61"/>
  <c r="AV53" i="61"/>
  <c r="AV52" i="61"/>
  <c r="AV51" i="61"/>
  <c r="AV50" i="61"/>
  <c r="AV49" i="61"/>
  <c r="AV48" i="61"/>
  <c r="AV47" i="61"/>
  <c r="AV46" i="61"/>
  <c r="AV45" i="61"/>
  <c r="AV44" i="61"/>
  <c r="AV43" i="61"/>
  <c r="AV42" i="61"/>
  <c r="AV41" i="61"/>
  <c r="AV40" i="61"/>
  <c r="AV39" i="61"/>
  <c r="AV38" i="61"/>
  <c r="AV37" i="61"/>
  <c r="AV36" i="61"/>
  <c r="AV35" i="61"/>
  <c r="AV34" i="61"/>
  <c r="AV33" i="61"/>
  <c r="AV32" i="61"/>
  <c r="AV31" i="61"/>
  <c r="AV30" i="61"/>
  <c r="AV29" i="61"/>
  <c r="AV28" i="61"/>
  <c r="AV27" i="61"/>
  <c r="AV26" i="61"/>
  <c r="AV25" i="61"/>
  <c r="AV24" i="61"/>
  <c r="AV23" i="61"/>
  <c r="AV22" i="61"/>
  <c r="AV21" i="61"/>
  <c r="AV20" i="61"/>
  <c r="AV19" i="61"/>
  <c r="AV18" i="61"/>
  <c r="AV17" i="61"/>
  <c r="AV16" i="61"/>
  <c r="L16" i="61" a="1"/>
  <c r="L16" i="61" s="1"/>
  <c r="AV15" i="61"/>
  <c r="AV14" i="61"/>
  <c r="AV13" i="61"/>
  <c r="L13" i="61"/>
  <c r="AV12" i="61"/>
  <c r="L12" i="61"/>
  <c r="AV11" i="61"/>
  <c r="L11" i="61"/>
  <c r="AV10" i="61"/>
  <c r="L10" i="61"/>
  <c r="AV9" i="61"/>
  <c r="L9" i="61"/>
  <c r="AV8" i="61"/>
  <c r="L8" i="61"/>
  <c r="BC7" i="61"/>
  <c r="AV7" i="61"/>
  <c r="AF7" i="61"/>
  <c r="AF8" i="61" s="1"/>
  <c r="AF9" i="61" s="1"/>
  <c r="AF10" i="61" s="1"/>
  <c r="AF11" i="61" s="1"/>
  <c r="AF12" i="61" s="1"/>
  <c r="AF13" i="61" s="1"/>
  <c r="AF14" i="61" s="1"/>
  <c r="AF15" i="61" s="1"/>
  <c r="AF16" i="61" s="1"/>
  <c r="AF17" i="61" s="1"/>
  <c r="AF18" i="61" s="1"/>
  <c r="AF19" i="61" s="1"/>
  <c r="AF20" i="61" s="1"/>
  <c r="AF21" i="61" s="1"/>
  <c r="AF22" i="61" s="1"/>
  <c r="AF23" i="61" s="1"/>
  <c r="AF24" i="61" s="1"/>
  <c r="AF25" i="61" s="1"/>
  <c r="AF26" i="61" s="1"/>
  <c r="AF27" i="61" s="1"/>
  <c r="AF28" i="61" s="1"/>
  <c r="AF29" i="61" s="1"/>
  <c r="AF30" i="61" s="1"/>
  <c r="AF31" i="61" s="1"/>
  <c r="AF32" i="61" s="1"/>
  <c r="AF33" i="61" s="1"/>
  <c r="AF34" i="61" s="1"/>
  <c r="AF35" i="61" s="1"/>
  <c r="AF36" i="61" s="1"/>
  <c r="AF37" i="61" s="1"/>
  <c r="AF38" i="61" s="1"/>
  <c r="AF39" i="61" s="1"/>
  <c r="AF40" i="61" s="1"/>
  <c r="AF41" i="61" s="1"/>
  <c r="AF42" i="61" s="1"/>
  <c r="AF43" i="61" s="1"/>
  <c r="AF44" i="61" s="1"/>
  <c r="AF45" i="61" s="1"/>
  <c r="AF46" i="61" s="1"/>
  <c r="AF47" i="61" s="1"/>
  <c r="AF48" i="61" s="1"/>
  <c r="AF49" i="61" s="1"/>
  <c r="AF50" i="61" s="1"/>
  <c r="AF51" i="61" s="1"/>
  <c r="AF52" i="61" s="1"/>
  <c r="AF53" i="61" s="1"/>
  <c r="AF54" i="61" s="1"/>
  <c r="AF55" i="61" s="1"/>
  <c r="AF56" i="61" s="1"/>
  <c r="AL4" i="61"/>
  <c r="AL2" i="61" s="1"/>
  <c r="AK4" i="61"/>
  <c r="AJ4" i="61"/>
  <c r="G3" i="61"/>
  <c r="AK2" i="61"/>
  <c r="AJ2" i="61"/>
  <c r="E2" i="61"/>
  <c r="E3" i="61" s="1"/>
  <c r="A1" i="61"/>
  <c r="E14" i="63"/>
  <c r="AL30" i="63"/>
  <c r="E15" i="63"/>
  <c r="E40" i="63"/>
  <c r="AK46" i="63"/>
  <c r="AK20" i="63"/>
  <c r="AL32" i="63"/>
  <c r="E31" i="63"/>
  <c r="AL41" i="63"/>
  <c r="AL36" i="63"/>
  <c r="AK23" i="63"/>
  <c r="AK21" i="63"/>
  <c r="AL55" i="63"/>
  <c r="E41" i="63"/>
  <c r="E61" i="63"/>
  <c r="AL61" i="63"/>
  <c r="E49" i="63"/>
  <c r="AK40" i="63"/>
  <c r="AK29" i="63"/>
  <c r="AL34" i="63"/>
  <c r="AL43" i="63"/>
  <c r="AK16" i="63"/>
  <c r="AK55" i="63"/>
  <c r="E23" i="63"/>
  <c r="AL54" i="63"/>
  <c r="AL20" i="63"/>
  <c r="E52" i="63"/>
  <c r="AK51" i="63"/>
  <c r="AL8" i="63"/>
  <c r="AK36" i="63"/>
  <c r="E36" i="63"/>
  <c r="AK50" i="63"/>
  <c r="E7" i="63"/>
  <c r="E20" i="63"/>
  <c r="E27" i="63"/>
  <c r="AK33" i="63"/>
  <c r="AL19" i="63"/>
  <c r="E24" i="63"/>
  <c r="AL17" i="63"/>
  <c r="E16" i="63"/>
  <c r="AK49" i="63"/>
  <c r="AL21" i="63"/>
  <c r="AL39" i="63"/>
  <c r="AL23" i="63"/>
  <c r="AK47" i="63"/>
  <c r="E43" i="63"/>
  <c r="AL50" i="63"/>
  <c r="AK35" i="63"/>
  <c r="AK30" i="63"/>
  <c r="AL16" i="63"/>
  <c r="E37" i="63"/>
  <c r="AL45" i="63"/>
  <c r="AK38" i="63"/>
  <c r="AK27" i="63"/>
  <c r="E21" i="63"/>
  <c r="AL49" i="63"/>
  <c r="AL47" i="63"/>
  <c r="AL18" i="63"/>
  <c r="AL38" i="63"/>
  <c r="E50" i="63"/>
  <c r="AK11" i="63"/>
  <c r="E12" i="63"/>
  <c r="AK53" i="63"/>
  <c r="E9" i="63"/>
  <c r="AK54" i="63"/>
  <c r="AL9" i="63"/>
  <c r="AK37" i="63"/>
  <c r="AK28" i="63"/>
  <c r="E18" i="63"/>
  <c r="E30" i="63"/>
  <c r="AK45" i="63"/>
  <c r="AK17" i="63"/>
  <c r="E17" i="63"/>
  <c r="E25" i="63"/>
  <c r="AK25" i="63"/>
  <c r="AK8" i="63"/>
  <c r="AL10" i="63"/>
  <c r="AK32" i="63"/>
  <c r="E46" i="63"/>
  <c r="AL42" i="63"/>
  <c r="E35" i="63"/>
  <c r="AL11" i="63"/>
  <c r="E22" i="63"/>
  <c r="AL12" i="63"/>
  <c r="E47" i="63"/>
  <c r="E29" i="63"/>
  <c r="AK19" i="63"/>
  <c r="E33" i="63"/>
  <c r="E42" i="63"/>
  <c r="E39" i="63"/>
  <c r="E48" i="63"/>
  <c r="E38" i="63"/>
  <c r="AK61" i="63"/>
  <c r="AL46" i="63"/>
  <c r="AL22" i="63"/>
  <c r="AK12" i="63"/>
  <c r="E19" i="63"/>
  <c r="AK18" i="63"/>
  <c r="AL35" i="63"/>
  <c r="AL52" i="63"/>
  <c r="AL44" i="63"/>
  <c r="AK22" i="63"/>
  <c r="E55" i="63"/>
  <c r="AK10" i="63"/>
  <c r="AK31" i="63"/>
  <c r="AK62" i="63"/>
  <c r="AL62" i="63"/>
  <c r="AK52" i="63"/>
  <c r="AL33" i="63"/>
  <c r="AK43" i="63"/>
  <c r="E54" i="63"/>
  <c r="AL25" i="63"/>
  <c r="AL37" i="63"/>
  <c r="E11" i="63"/>
  <c r="E28" i="63"/>
  <c r="AK48" i="63"/>
  <c r="E6" i="61"/>
  <c r="AL28" i="63"/>
  <c r="AK39" i="63"/>
  <c r="AL40" i="63"/>
  <c r="E44" i="63"/>
  <c r="AL53" i="63"/>
  <c r="AL7" i="63"/>
  <c r="AK44" i="63"/>
  <c r="AK24" i="63"/>
  <c r="E34" i="63"/>
  <c r="AK41" i="63"/>
  <c r="AL48" i="63"/>
  <c r="AK42" i="63"/>
  <c r="AL26" i="63"/>
  <c r="AL29" i="63"/>
  <c r="AK26" i="63"/>
  <c r="AL27" i="63"/>
  <c r="AL31" i="63"/>
  <c r="AL51" i="63"/>
  <c r="E8" i="63"/>
  <c r="AL24" i="63"/>
  <c r="E62" i="63"/>
  <c r="AK7" i="63"/>
  <c r="AK34" i="63"/>
  <c r="AK9" i="63"/>
  <c r="E53" i="63"/>
  <c r="AJ10" i="61"/>
  <c r="BI61" i="5" l="1"/>
  <c r="BI50" i="5"/>
  <c r="Q11" i="9" s="1"/>
  <c r="Q14" i="9" s="1"/>
  <c r="BI51" i="5"/>
  <c r="Q12" i="9" s="1"/>
  <c r="BI52" i="5"/>
  <c r="Q13" i="9" s="1"/>
  <c r="BI58" i="5"/>
  <c r="AA13" i="64"/>
  <c r="AA12" i="64"/>
  <c r="AA10" i="64"/>
  <c r="BG18" i="65"/>
  <c r="BH18" i="65"/>
  <c r="BI18" i="65"/>
  <c r="BF18" i="65"/>
  <c r="BD19" i="65"/>
  <c r="BC20" i="65"/>
  <c r="O14" i="64"/>
  <c r="P12" i="64" s="1"/>
  <c r="R14" i="64"/>
  <c r="S12" i="64" s="1"/>
  <c r="AA11" i="64"/>
  <c r="U14" i="64"/>
  <c r="V12" i="64" s="1"/>
  <c r="AM8" i="63"/>
  <c r="AM34" i="63"/>
  <c r="AG25" i="63"/>
  <c r="AH25" i="63"/>
  <c r="AH12" i="63"/>
  <c r="AG12" i="63"/>
  <c r="AM52" i="63"/>
  <c r="AM42" i="63"/>
  <c r="AM32" i="63"/>
  <c r="AM9" i="63"/>
  <c r="AM39" i="63"/>
  <c r="AG11" i="63"/>
  <c r="AH11" i="63"/>
  <c r="AH31" i="63"/>
  <c r="AG31" i="63"/>
  <c r="AM22" i="63"/>
  <c r="AM53" i="63"/>
  <c r="AM38" i="63"/>
  <c r="AH41" i="63"/>
  <c r="AG41" i="63"/>
  <c r="AM61" i="63"/>
  <c r="AM51" i="63"/>
  <c r="AM37" i="63"/>
  <c r="AM40" i="63"/>
  <c r="AH28" i="63"/>
  <c r="AG28" i="63"/>
  <c r="AM33" i="63"/>
  <c r="AH24" i="63"/>
  <c r="AG24" i="63"/>
  <c r="AM35" i="63"/>
  <c r="AH49" i="63"/>
  <c r="AG49" i="63"/>
  <c r="AG26" i="63"/>
  <c r="AH26" i="63"/>
  <c r="AM19" i="63"/>
  <c r="AM25" i="63"/>
  <c r="AH42" i="63"/>
  <c r="AG42" i="63"/>
  <c r="AH47" i="63"/>
  <c r="AG47" i="63"/>
  <c r="R16" i="63" a="1"/>
  <c r="R16" i="63" s="1"/>
  <c r="O13" i="63"/>
  <c r="O11" i="63"/>
  <c r="O9" i="63"/>
  <c r="R11" i="63"/>
  <c r="R13" i="63"/>
  <c r="S13" i="63" s="1"/>
  <c r="U12" i="63"/>
  <c r="U10" i="63"/>
  <c r="V10" i="63" s="1"/>
  <c r="U8" i="63"/>
  <c r="V8" i="63" s="1"/>
  <c r="R10" i="63"/>
  <c r="O16" i="63" a="1"/>
  <c r="O16" i="63" s="1"/>
  <c r="O12" i="63"/>
  <c r="O10" i="63"/>
  <c r="O8" i="63"/>
  <c r="R9" i="63"/>
  <c r="U13" i="63"/>
  <c r="V13" i="63" s="1"/>
  <c r="U11" i="63"/>
  <c r="U9" i="63"/>
  <c r="V9" i="63" s="1"/>
  <c r="R12" i="63"/>
  <c r="R8" i="63"/>
  <c r="U16" i="63" a="1"/>
  <c r="U16" i="63" s="1"/>
  <c r="AG10" i="63"/>
  <c r="AH10" i="63"/>
  <c r="AM11" i="63"/>
  <c r="AM31" i="63"/>
  <c r="AG7" i="63"/>
  <c r="AH7" i="63"/>
  <c r="AM54" i="63"/>
  <c r="AH53" i="63"/>
  <c r="AG53" i="63"/>
  <c r="AH38" i="63"/>
  <c r="AG38" i="63"/>
  <c r="AM50" i="63"/>
  <c r="AM36" i="63"/>
  <c r="AM41" i="63"/>
  <c r="AH61" i="63"/>
  <c r="AG61" i="63"/>
  <c r="AH44" i="63"/>
  <c r="AG44" i="63"/>
  <c r="AH37" i="63"/>
  <c r="AG37" i="63"/>
  <c r="AG40" i="63"/>
  <c r="AH40" i="63"/>
  <c r="AM28" i="63"/>
  <c r="AH16" i="63"/>
  <c r="AG16" i="63"/>
  <c r="AG43" i="63"/>
  <c r="AH43" i="63"/>
  <c r="AM24" i="63"/>
  <c r="AG45" i="63"/>
  <c r="AH45" i="63"/>
  <c r="AH35" i="63"/>
  <c r="AG35" i="63"/>
  <c r="AM20" i="63"/>
  <c r="AM21" i="63"/>
  <c r="AG46" i="63"/>
  <c r="AH46" i="63"/>
  <c r="AM27" i="63"/>
  <c r="AG27" i="63"/>
  <c r="AH27" i="63"/>
  <c r="AG29" i="63"/>
  <c r="AH29" i="63"/>
  <c r="AM47" i="63"/>
  <c r="AM23" i="63"/>
  <c r="AM10" i="63"/>
  <c r="AH55" i="63"/>
  <c r="AG55" i="63"/>
  <c r="AM7" i="63"/>
  <c r="AG54" i="63"/>
  <c r="AH54" i="63"/>
  <c r="AG50" i="63"/>
  <c r="AH50" i="63"/>
  <c r="AH36" i="63"/>
  <c r="AG36" i="63"/>
  <c r="AH18" i="63"/>
  <c r="AG18" i="63"/>
  <c r="AM30" i="63"/>
  <c r="AM44" i="63"/>
  <c r="AM48" i="63"/>
  <c r="AM16" i="63"/>
  <c r="AM43" i="63"/>
  <c r="AM17" i="63"/>
  <c r="AM45" i="63"/>
  <c r="AG20" i="63"/>
  <c r="AH20" i="63"/>
  <c r="AG21" i="63"/>
  <c r="AH21" i="63"/>
  <c r="AM46" i="63"/>
  <c r="AM12" i="63"/>
  <c r="AM29" i="63"/>
  <c r="AH52" i="63"/>
  <c r="AG52" i="63"/>
  <c r="AG8" i="63"/>
  <c r="AH8" i="63"/>
  <c r="AH32" i="63"/>
  <c r="AG32" i="63"/>
  <c r="AG34" i="63"/>
  <c r="AH34" i="63"/>
  <c r="AH9" i="63"/>
  <c r="AG9" i="63"/>
  <c r="AG23" i="63"/>
  <c r="AH23" i="63"/>
  <c r="AG39" i="63"/>
  <c r="AH39" i="63"/>
  <c r="AM55" i="63"/>
  <c r="AG22" i="63"/>
  <c r="AH22" i="63"/>
  <c r="AM18" i="63"/>
  <c r="AH51" i="63"/>
  <c r="AG51" i="63"/>
  <c r="AG30" i="63"/>
  <c r="AH30" i="63"/>
  <c r="AM62" i="63"/>
  <c r="AH48" i="63"/>
  <c r="AG48" i="63"/>
  <c r="AG33" i="63"/>
  <c r="AH33" i="63"/>
  <c r="AH17" i="63"/>
  <c r="AG17" i="63"/>
  <c r="AM49" i="63"/>
  <c r="AM26" i="63"/>
  <c r="AG19" i="63"/>
  <c r="AH19" i="63"/>
  <c r="AA8" i="64"/>
  <c r="AA9" i="64"/>
  <c r="S9" i="64"/>
  <c r="BI12" i="64"/>
  <c r="BF12" i="64"/>
  <c r="BH12" i="64"/>
  <c r="BG12" i="64"/>
  <c r="U5" i="64"/>
  <c r="BD13" i="64"/>
  <c r="BC14" i="64"/>
  <c r="BF14" i="63"/>
  <c r="BI14" i="63"/>
  <c r="BH14" i="63"/>
  <c r="BF8" i="63"/>
  <c r="BH8" i="63"/>
  <c r="BG8" i="63"/>
  <c r="BI8" i="63"/>
  <c r="BD16" i="63"/>
  <c r="BC17" i="63"/>
  <c r="BF13" i="63"/>
  <c r="BH13" i="63"/>
  <c r="BG13" i="63"/>
  <c r="BI13" i="63"/>
  <c r="BF11" i="63"/>
  <c r="BH11" i="63"/>
  <c r="BG11" i="63"/>
  <c r="BI11" i="63"/>
  <c r="BF15" i="63"/>
  <c r="BH15" i="63"/>
  <c r="BG15" i="63"/>
  <c r="BI15" i="63"/>
  <c r="BF12" i="63"/>
  <c r="BG12" i="63"/>
  <c r="BI12" i="63"/>
  <c r="BH12" i="63"/>
  <c r="BF9" i="63"/>
  <c r="BH9" i="63"/>
  <c r="BG9" i="63"/>
  <c r="BI9" i="63"/>
  <c r="BF7" i="63"/>
  <c r="BH7" i="63"/>
  <c r="BG7" i="63"/>
  <c r="BI7" i="63"/>
  <c r="BF10" i="63"/>
  <c r="BH10" i="63"/>
  <c r="BG10" i="63"/>
  <c r="BI10" i="63"/>
  <c r="BI63" i="5"/>
  <c r="Q11" i="10"/>
  <c r="BH58" i="5"/>
  <c r="AW10" i="61"/>
  <c r="AX10" i="61" s="1"/>
  <c r="AW57" i="61"/>
  <c r="AX57" i="61" s="1"/>
  <c r="AW54" i="61"/>
  <c r="AX54" i="61" s="1"/>
  <c r="AW50" i="61"/>
  <c r="AX50" i="61" s="1"/>
  <c r="AW46" i="61"/>
  <c r="AX46" i="61" s="1"/>
  <c r="AW39" i="61"/>
  <c r="AX39" i="61" s="1"/>
  <c r="AW31" i="61"/>
  <c r="AX31" i="61" s="1"/>
  <c r="AW60" i="61"/>
  <c r="AX60" i="61" s="1"/>
  <c r="AW49" i="61"/>
  <c r="AX49" i="61" s="1"/>
  <c r="AW43" i="61"/>
  <c r="AX43" i="61" s="1"/>
  <c r="AW35" i="61"/>
  <c r="AX35" i="61" s="1"/>
  <c r="AW7" i="61"/>
  <c r="AX7" i="61" s="1"/>
  <c r="AW34" i="61"/>
  <c r="AX34" i="61" s="1"/>
  <c r="AW33" i="61"/>
  <c r="AX33" i="61" s="1"/>
  <c r="AW29" i="61"/>
  <c r="AX29" i="61" s="1"/>
  <c r="AW26" i="61"/>
  <c r="AX26" i="61" s="1"/>
  <c r="AW24" i="61"/>
  <c r="AX24" i="61" s="1"/>
  <c r="AW16" i="61"/>
  <c r="AX16" i="61" s="1"/>
  <c r="AW59" i="61"/>
  <c r="AX59" i="61" s="1"/>
  <c r="AW53" i="61"/>
  <c r="AX53" i="61" s="1"/>
  <c r="AW45" i="61"/>
  <c r="AX45" i="61" s="1"/>
  <c r="AW30" i="61"/>
  <c r="AX30" i="61" s="1"/>
  <c r="AW22" i="61"/>
  <c r="AX22" i="61" s="1"/>
  <c r="AW20" i="61"/>
  <c r="AX20" i="61" s="1"/>
  <c r="AW18" i="61"/>
  <c r="AX18" i="61" s="1"/>
  <c r="AW14" i="61"/>
  <c r="AX14" i="61" s="1"/>
  <c r="BC8" i="61"/>
  <c r="AW11" i="61"/>
  <c r="AX11" i="61" s="1"/>
  <c r="AW13" i="61"/>
  <c r="AX13" i="61" s="1"/>
  <c r="AW40" i="61"/>
  <c r="AX40" i="61" s="1"/>
  <c r="AW42" i="61"/>
  <c r="AX42" i="61" s="1"/>
  <c r="AW47" i="61"/>
  <c r="AX47" i="61" s="1"/>
  <c r="AW8" i="61"/>
  <c r="AX8" i="61" s="1"/>
  <c r="AW12" i="61"/>
  <c r="AX12" i="61" s="1"/>
  <c r="AW15" i="61"/>
  <c r="AX15" i="61" s="1"/>
  <c r="AW17" i="61"/>
  <c r="AX17" i="61" s="1"/>
  <c r="AW19" i="61"/>
  <c r="AX19" i="61" s="1"/>
  <c r="AW21" i="61"/>
  <c r="AX21" i="61" s="1"/>
  <c r="AW23" i="61"/>
  <c r="AX23" i="61" s="1"/>
  <c r="AW25" i="61"/>
  <c r="AX25" i="61" s="1"/>
  <c r="AW27" i="61"/>
  <c r="AX27" i="61" s="1"/>
  <c r="AW55" i="61"/>
  <c r="AX55" i="61" s="1"/>
  <c r="AW38" i="61"/>
  <c r="AX38" i="61" s="1"/>
  <c r="AW9" i="61"/>
  <c r="AX9" i="61" s="1"/>
  <c r="L14" i="61"/>
  <c r="M10" i="61" s="1"/>
  <c r="AW32" i="61"/>
  <c r="AX32" i="61" s="1"/>
  <c r="AW36" i="61"/>
  <c r="AX36" i="61" s="1"/>
  <c r="AW41" i="61"/>
  <c r="AX41" i="61" s="1"/>
  <c r="AW28" i="61"/>
  <c r="AX28" i="61" s="1"/>
  <c r="AW37" i="61"/>
  <c r="AX37" i="61" s="1"/>
  <c r="AW44" i="61"/>
  <c r="AX44" i="61" s="1"/>
  <c r="AW51" i="61"/>
  <c r="AX51" i="61" s="1"/>
  <c r="AW58" i="61"/>
  <c r="AX58" i="61" s="1"/>
  <c r="AW63" i="61"/>
  <c r="AX63" i="61" s="1"/>
  <c r="AW48" i="61"/>
  <c r="AX48" i="61" s="1"/>
  <c r="AW52" i="61"/>
  <c r="AX52" i="61" s="1"/>
  <c r="AW56" i="61"/>
  <c r="AX56" i="61" s="1"/>
  <c r="AW61" i="61"/>
  <c r="AX61" i="61" s="1"/>
  <c r="AW62" i="61"/>
  <c r="AX62" i="61" s="1"/>
  <c r="C68" i="60"/>
  <c r="B68" i="60" s="1"/>
  <c r="AH67" i="60"/>
  <c r="AG67" i="60"/>
  <c r="AF67" i="60"/>
  <c r="AH66" i="60"/>
  <c r="AG66" i="60"/>
  <c r="AF66" i="60"/>
  <c r="AH65" i="60"/>
  <c r="AG65" i="60"/>
  <c r="AF65" i="60"/>
  <c r="AH64" i="60"/>
  <c r="AG64" i="60"/>
  <c r="AF64" i="60"/>
  <c r="AV63" i="60"/>
  <c r="AH63" i="60"/>
  <c r="AG63" i="60"/>
  <c r="AF63" i="60"/>
  <c r="AV62" i="60"/>
  <c r="AH62" i="60"/>
  <c r="AG62" i="60"/>
  <c r="AF62" i="60"/>
  <c r="AV61" i="60"/>
  <c r="AV60" i="60"/>
  <c r="AH60" i="60"/>
  <c r="AG60" i="60"/>
  <c r="AF60" i="60"/>
  <c r="AF61" i="60" s="1"/>
  <c r="G60" i="60"/>
  <c r="E60" i="60" s="1"/>
  <c r="AV59" i="60"/>
  <c r="AH59" i="60"/>
  <c r="AG59" i="60"/>
  <c r="AF59" i="60"/>
  <c r="G59" i="60"/>
  <c r="E59" i="60" s="1"/>
  <c r="AV58" i="60"/>
  <c r="AH58" i="60"/>
  <c r="AG58" i="60"/>
  <c r="AF58" i="60"/>
  <c r="G58" i="60"/>
  <c r="AV57" i="60"/>
  <c r="AV56" i="60"/>
  <c r="AV55" i="60"/>
  <c r="AV54" i="60"/>
  <c r="AV53" i="60"/>
  <c r="AV52" i="60"/>
  <c r="AV51" i="60"/>
  <c r="AV50" i="60"/>
  <c r="AV49" i="60"/>
  <c r="AV48" i="60"/>
  <c r="AV47" i="60"/>
  <c r="AV46" i="60"/>
  <c r="AV45" i="60"/>
  <c r="AV44" i="60"/>
  <c r="AV43" i="60"/>
  <c r="AV42" i="60"/>
  <c r="AV41" i="60"/>
  <c r="AV40" i="60"/>
  <c r="AV39" i="60"/>
  <c r="AV38" i="60"/>
  <c r="AV37" i="60"/>
  <c r="AV36" i="60"/>
  <c r="AV35" i="60"/>
  <c r="AV34" i="60"/>
  <c r="AV33" i="60"/>
  <c r="AV32" i="60"/>
  <c r="AV31" i="60"/>
  <c r="AV30" i="60"/>
  <c r="AV29" i="60"/>
  <c r="AV28" i="60"/>
  <c r="AV27" i="60"/>
  <c r="AV26" i="60"/>
  <c r="AV25" i="60"/>
  <c r="AV24" i="60"/>
  <c r="AV23" i="60"/>
  <c r="AV22" i="60"/>
  <c r="AV21" i="60"/>
  <c r="AV20" i="60"/>
  <c r="AV19" i="60"/>
  <c r="AV18" i="60"/>
  <c r="AV17" i="60"/>
  <c r="AV16" i="60"/>
  <c r="L16" i="60" a="1"/>
  <c r="L16" i="60" s="1"/>
  <c r="AV15" i="60"/>
  <c r="AV14" i="60"/>
  <c r="AV13" i="60"/>
  <c r="L13" i="60"/>
  <c r="AV12" i="60"/>
  <c r="L12" i="60"/>
  <c r="AV11" i="60"/>
  <c r="L11" i="60"/>
  <c r="AV10" i="60"/>
  <c r="L10" i="60"/>
  <c r="AV9" i="60"/>
  <c r="L9" i="60"/>
  <c r="AV8" i="60"/>
  <c r="L8" i="60"/>
  <c r="BC7" i="60"/>
  <c r="BC8" i="60" s="1"/>
  <c r="BC9" i="60" s="1"/>
  <c r="AV7" i="60"/>
  <c r="AF7" i="60"/>
  <c r="AF8" i="60" s="1"/>
  <c r="AF9" i="60" s="1"/>
  <c r="AF10" i="60" s="1"/>
  <c r="AF11" i="60" s="1"/>
  <c r="AF12" i="60" s="1"/>
  <c r="AF13" i="60" s="1"/>
  <c r="AF14" i="60" s="1"/>
  <c r="AF15" i="60" s="1"/>
  <c r="AF16" i="60" s="1"/>
  <c r="AF17" i="60" s="1"/>
  <c r="AF18" i="60" s="1"/>
  <c r="AF19" i="60" s="1"/>
  <c r="AF20" i="60" s="1"/>
  <c r="AF21" i="60" s="1"/>
  <c r="AF22" i="60" s="1"/>
  <c r="AF23" i="60" s="1"/>
  <c r="AF24" i="60" s="1"/>
  <c r="AF25" i="60" s="1"/>
  <c r="AF26" i="60" s="1"/>
  <c r="AF27" i="60" s="1"/>
  <c r="AF28" i="60" s="1"/>
  <c r="AF29" i="60" s="1"/>
  <c r="AF30" i="60" s="1"/>
  <c r="AF31" i="60" s="1"/>
  <c r="AF32" i="60" s="1"/>
  <c r="AF33" i="60" s="1"/>
  <c r="AF34" i="60" s="1"/>
  <c r="AF35" i="60" s="1"/>
  <c r="AF36" i="60" s="1"/>
  <c r="AF37" i="60" s="1"/>
  <c r="AF38" i="60" s="1"/>
  <c r="AF39" i="60" s="1"/>
  <c r="AF40" i="60" s="1"/>
  <c r="AF41" i="60" s="1"/>
  <c r="AF42" i="60" s="1"/>
  <c r="AF43" i="60" s="1"/>
  <c r="AF44" i="60" s="1"/>
  <c r="AF45" i="60" s="1"/>
  <c r="AF46" i="60" s="1"/>
  <c r="AF47" i="60" s="1"/>
  <c r="AF48" i="60" s="1"/>
  <c r="AF49" i="60" s="1"/>
  <c r="AF50" i="60" s="1"/>
  <c r="AF51" i="60" s="1"/>
  <c r="AF52" i="60" s="1"/>
  <c r="AF53" i="60" s="1"/>
  <c r="AF54" i="60" s="1"/>
  <c r="AF55" i="60" s="1"/>
  <c r="AF56" i="60" s="1"/>
  <c r="AF57" i="60" s="1"/>
  <c r="AL4" i="60"/>
  <c r="AL2" i="60" s="1"/>
  <c r="AK4" i="60"/>
  <c r="AK2" i="60" s="1"/>
  <c r="AJ4" i="60"/>
  <c r="AJ2" i="60" s="1"/>
  <c r="G3" i="60"/>
  <c r="E2" i="60"/>
  <c r="E3" i="60" s="1"/>
  <c r="A1" i="60"/>
  <c r="G56" i="61"/>
  <c r="AJ19" i="61"/>
  <c r="AJ8" i="60"/>
  <c r="AJ7" i="61"/>
  <c r="G62" i="61"/>
  <c r="AJ31" i="61"/>
  <c r="G47" i="61"/>
  <c r="G41" i="60"/>
  <c r="G9" i="61"/>
  <c r="G36" i="61"/>
  <c r="G41" i="61"/>
  <c r="AJ33" i="61"/>
  <c r="G61" i="61"/>
  <c r="AJ8" i="61"/>
  <c r="AJ55" i="61"/>
  <c r="G15" i="60"/>
  <c r="AJ34" i="61"/>
  <c r="G35" i="60"/>
  <c r="AJ32" i="61"/>
  <c r="AJ53" i="61"/>
  <c r="AJ44" i="61"/>
  <c r="AJ27" i="61"/>
  <c r="AJ9" i="61"/>
  <c r="G33" i="61"/>
  <c r="AJ28" i="61"/>
  <c r="G17" i="61"/>
  <c r="G19" i="61"/>
  <c r="G21" i="61"/>
  <c r="AJ36" i="61"/>
  <c r="E6" i="60"/>
  <c r="AJ43" i="61"/>
  <c r="AJ42" i="61"/>
  <c r="AJ24" i="61"/>
  <c r="G26" i="61"/>
  <c r="G15" i="61"/>
  <c r="AJ47" i="61"/>
  <c r="AJ64" i="61"/>
  <c r="G35" i="61"/>
  <c r="G8" i="60"/>
  <c r="AJ12" i="60"/>
  <c r="G51" i="61"/>
  <c r="G18" i="61"/>
  <c r="G50" i="61"/>
  <c r="G24" i="61"/>
  <c r="AJ18" i="61"/>
  <c r="AJ38" i="61"/>
  <c r="AJ67" i="61"/>
  <c r="G42" i="61"/>
  <c r="AJ45" i="61"/>
  <c r="G12" i="61"/>
  <c r="AJ21" i="61"/>
  <c r="G9" i="60"/>
  <c r="AJ58" i="61"/>
  <c r="G10" i="60"/>
  <c r="G16" i="61"/>
  <c r="G11" i="60"/>
  <c r="G53" i="61"/>
  <c r="AJ20" i="61"/>
  <c r="AJ46" i="61"/>
  <c r="G10" i="61"/>
  <c r="G16" i="60"/>
  <c r="G8" i="61"/>
  <c r="AJ23" i="61"/>
  <c r="AJ15" i="61"/>
  <c r="G7" i="61"/>
  <c r="G28" i="61"/>
  <c r="AJ25" i="61"/>
  <c r="AJ56" i="61"/>
  <c r="G20" i="61"/>
  <c r="AJ35" i="61"/>
  <c r="G39" i="61"/>
  <c r="AJ60" i="61"/>
  <c r="G38" i="61"/>
  <c r="G46" i="61"/>
  <c r="G14" i="61"/>
  <c r="AJ29" i="61"/>
  <c r="G30" i="61"/>
  <c r="AJ52" i="61"/>
  <c r="AJ39" i="61"/>
  <c r="G23" i="61"/>
  <c r="AJ11" i="61"/>
  <c r="AJ63" i="61"/>
  <c r="AJ17" i="61"/>
  <c r="AK10" i="61"/>
  <c r="G54" i="61"/>
  <c r="AJ61" i="61"/>
  <c r="AJ41" i="61"/>
  <c r="G27" i="61"/>
  <c r="G48" i="61"/>
  <c r="G43" i="61"/>
  <c r="AJ59" i="61"/>
  <c r="AJ62" i="61"/>
  <c r="AJ22" i="61"/>
  <c r="AJ49" i="61"/>
  <c r="AJ48" i="61"/>
  <c r="AJ66" i="61"/>
  <c r="AJ37" i="61"/>
  <c r="G32" i="61"/>
  <c r="G31" i="61"/>
  <c r="G44" i="61"/>
  <c r="G25" i="61"/>
  <c r="G49" i="61"/>
  <c r="AJ54" i="61"/>
  <c r="AJ51" i="61"/>
  <c r="AJ30" i="61"/>
  <c r="G37" i="61"/>
  <c r="AJ50" i="61"/>
  <c r="G45" i="61"/>
  <c r="AJ12" i="61"/>
  <c r="AJ40" i="61"/>
  <c r="G55" i="61"/>
  <c r="AJ16" i="61"/>
  <c r="G13" i="61"/>
  <c r="AJ14" i="61"/>
  <c r="AJ57" i="61"/>
  <c r="AJ26" i="61"/>
  <c r="G22" i="61"/>
  <c r="G40" i="61"/>
  <c r="G34" i="61"/>
  <c r="AL10" i="61"/>
  <c r="G52" i="61"/>
  <c r="AJ65" i="61"/>
  <c r="G11" i="61"/>
  <c r="G29" i="61"/>
  <c r="AJ13" i="61"/>
  <c r="AJ10" i="60"/>
  <c r="R5" i="64" l="1"/>
  <c r="AA13" i="63"/>
  <c r="P13" i="64"/>
  <c r="O5" i="64"/>
  <c r="P8" i="64"/>
  <c r="BI53" i="5"/>
  <c r="V11" i="64"/>
  <c r="P10" i="64"/>
  <c r="P9" i="64"/>
  <c r="V14" i="64"/>
  <c r="P14" i="64"/>
  <c r="P11" i="64"/>
  <c r="AA12" i="63"/>
  <c r="AA11" i="63"/>
  <c r="U14" i="63"/>
  <c r="V12" i="63" s="1"/>
  <c r="BD20" i="65"/>
  <c r="BC21" i="65"/>
  <c r="BH19" i="65"/>
  <c r="BI19" i="65"/>
  <c r="BG19" i="65"/>
  <c r="BF19" i="65"/>
  <c r="S8" i="64"/>
  <c r="O14" i="63"/>
  <c r="P12" i="63" s="1"/>
  <c r="AA10" i="63"/>
  <c r="S14" i="64"/>
  <c r="S10" i="64"/>
  <c r="AA14" i="64"/>
  <c r="R14" i="63"/>
  <c r="S8" i="63" s="1"/>
  <c r="AA8" i="63"/>
  <c r="AA9" i="63"/>
  <c r="BC15" i="64"/>
  <c r="BD14" i="64"/>
  <c r="BH13" i="64"/>
  <c r="BI13" i="64"/>
  <c r="BG13" i="64"/>
  <c r="BF13" i="64"/>
  <c r="BD17" i="63"/>
  <c r="BC18" i="63"/>
  <c r="S11" i="63"/>
  <c r="BI16" i="63"/>
  <c r="BG16" i="63"/>
  <c r="BF16" i="63"/>
  <c r="BH16" i="63"/>
  <c r="Q13" i="10"/>
  <c r="Q14" i="10"/>
  <c r="M8" i="61"/>
  <c r="M13" i="61"/>
  <c r="AY20" i="61"/>
  <c r="Y14" i="61"/>
  <c r="M9" i="61"/>
  <c r="M12" i="61"/>
  <c r="C77" i="61"/>
  <c r="AK58" i="61"/>
  <c r="AM58" i="61" s="1"/>
  <c r="AL58" i="61"/>
  <c r="AK63" i="61"/>
  <c r="AM63" i="61" s="1"/>
  <c r="AL63" i="61"/>
  <c r="AK66" i="61"/>
  <c r="AM66" i="61" s="1"/>
  <c r="AL66" i="61"/>
  <c r="AK57" i="61"/>
  <c r="AM57" i="61" s="1"/>
  <c r="AL57" i="61"/>
  <c r="AK65" i="61"/>
  <c r="AM65" i="61" s="1"/>
  <c r="AL65" i="61"/>
  <c r="AG10" i="61"/>
  <c r="AH10" i="61"/>
  <c r="AL59" i="61"/>
  <c r="AK59" i="61"/>
  <c r="AM59" i="61" s="1"/>
  <c r="AL64" i="61"/>
  <c r="AK64" i="61"/>
  <c r="AM64" i="61" s="1"/>
  <c r="AL67" i="61"/>
  <c r="AK67" i="61"/>
  <c r="AM67" i="61" s="1"/>
  <c r="AL60" i="61"/>
  <c r="AK60" i="61"/>
  <c r="AM60" i="61" s="1"/>
  <c r="AM10" i="61"/>
  <c r="AY24" i="61"/>
  <c r="AY49" i="61"/>
  <c r="AY40" i="61"/>
  <c r="AY62" i="61"/>
  <c r="AY13" i="61"/>
  <c r="AY52" i="61"/>
  <c r="AY44" i="61"/>
  <c r="AY16" i="61"/>
  <c r="AY53" i="61"/>
  <c r="AY63" i="61"/>
  <c r="AY36" i="61"/>
  <c r="AY15" i="61"/>
  <c r="AY11" i="61"/>
  <c r="AY42" i="61"/>
  <c r="AY34" i="61"/>
  <c r="AY30" i="61"/>
  <c r="AY56" i="61"/>
  <c r="AY48" i="61"/>
  <c r="AY58" i="61"/>
  <c r="AY28" i="61"/>
  <c r="AY32" i="61"/>
  <c r="AY38" i="61"/>
  <c r="AY60" i="61"/>
  <c r="AY29" i="61"/>
  <c r="M14" i="61"/>
  <c r="L5" i="61"/>
  <c r="AY9" i="61"/>
  <c r="AY27" i="61"/>
  <c r="AY19" i="61"/>
  <c r="AY12" i="61"/>
  <c r="AY8" i="61"/>
  <c r="M11" i="61"/>
  <c r="AY14" i="61"/>
  <c r="AY35" i="61"/>
  <c r="AY31" i="61"/>
  <c r="AY54" i="61"/>
  <c r="AY45" i="61"/>
  <c r="AY33" i="61"/>
  <c r="AY23" i="61"/>
  <c r="AY7" i="61"/>
  <c r="AY46" i="61"/>
  <c r="AY10" i="61"/>
  <c r="AY61" i="61"/>
  <c r="AY21" i="61"/>
  <c r="AY22" i="61"/>
  <c r="AY26" i="61"/>
  <c r="AY50" i="61"/>
  <c r="AY59" i="61"/>
  <c r="AY51" i="61"/>
  <c r="AY37" i="61"/>
  <c r="AY41" i="61"/>
  <c r="AY55" i="61"/>
  <c r="AY25" i="61"/>
  <c r="AY17" i="61"/>
  <c r="AY47" i="61"/>
  <c r="BC9" i="61"/>
  <c r="AY18" i="61"/>
  <c r="AY43" i="61"/>
  <c r="AY39" i="61"/>
  <c r="AY57" i="61"/>
  <c r="AW8" i="60"/>
  <c r="BC10" i="60"/>
  <c r="AW62" i="60"/>
  <c r="AX62" i="60" s="1"/>
  <c r="AW43" i="60"/>
  <c r="AX43" i="60" s="1"/>
  <c r="AW51" i="60"/>
  <c r="AX51" i="60" s="1"/>
  <c r="AW42" i="60"/>
  <c r="AX42" i="60" s="1"/>
  <c r="AW41" i="60"/>
  <c r="AX41" i="60" s="1"/>
  <c r="AW38" i="60"/>
  <c r="AX38" i="60" s="1"/>
  <c r="AW33" i="60"/>
  <c r="AX33" i="60" s="1"/>
  <c r="AW29" i="60"/>
  <c r="AX29" i="60" s="1"/>
  <c r="AW59" i="60"/>
  <c r="AX59" i="60" s="1"/>
  <c r="AW39" i="60"/>
  <c r="AX39" i="60" s="1"/>
  <c r="AW32" i="60"/>
  <c r="AX32" i="60" s="1"/>
  <c r="AW25" i="60"/>
  <c r="AX25" i="60" s="1"/>
  <c r="AW17" i="60"/>
  <c r="AX17" i="60" s="1"/>
  <c r="AW58" i="60"/>
  <c r="AX58" i="60" s="1"/>
  <c r="AW21" i="60"/>
  <c r="AX21" i="60" s="1"/>
  <c r="AW55" i="60"/>
  <c r="AX55" i="60" s="1"/>
  <c r="AW10" i="60"/>
  <c r="AX10" i="60" s="1"/>
  <c r="AW13" i="60"/>
  <c r="AX13" i="60" s="1"/>
  <c r="AW31" i="60"/>
  <c r="AX31" i="60" s="1"/>
  <c r="AW57" i="60"/>
  <c r="AX57" i="60" s="1"/>
  <c r="AW7" i="60"/>
  <c r="AX7" i="60" s="1"/>
  <c r="L14" i="60"/>
  <c r="M9" i="60" s="1"/>
  <c r="AX8" i="60"/>
  <c r="AW11" i="60"/>
  <c r="AX11" i="60" s="1"/>
  <c r="AW15" i="60"/>
  <c r="AX15" i="60" s="1"/>
  <c r="AW47" i="60"/>
  <c r="AX47" i="60" s="1"/>
  <c r="AW12" i="60"/>
  <c r="AX12" i="60" s="1"/>
  <c r="AW14" i="60"/>
  <c r="AW35" i="60"/>
  <c r="AX35" i="60" s="1"/>
  <c r="AW37" i="60"/>
  <c r="AX37" i="60" s="1"/>
  <c r="AW9" i="60"/>
  <c r="AX9" i="60" s="1"/>
  <c r="AX14" i="60"/>
  <c r="AW16" i="60"/>
  <c r="AX16" i="60" s="1"/>
  <c r="AW19" i="60"/>
  <c r="AX19" i="60" s="1"/>
  <c r="AW20" i="60"/>
  <c r="AX20" i="60" s="1"/>
  <c r="AW23" i="60"/>
  <c r="AX23" i="60" s="1"/>
  <c r="AW24" i="60"/>
  <c r="AX24" i="60" s="1"/>
  <c r="AW27" i="60"/>
  <c r="AX27" i="60" s="1"/>
  <c r="AW28" i="60"/>
  <c r="AX28" i="60" s="1"/>
  <c r="AW40" i="60"/>
  <c r="AX40" i="60" s="1"/>
  <c r="AW49" i="60"/>
  <c r="AX49" i="60" s="1"/>
  <c r="AW18" i="60"/>
  <c r="AX18" i="60" s="1"/>
  <c r="AW26" i="60"/>
  <c r="AX26" i="60" s="1"/>
  <c r="AW22" i="60"/>
  <c r="AX22" i="60" s="1"/>
  <c r="AW30" i="60"/>
  <c r="AX30" i="60" s="1"/>
  <c r="AW34" i="60"/>
  <c r="AX34" i="60" s="1"/>
  <c r="AW50" i="60"/>
  <c r="AX50" i="60" s="1"/>
  <c r="AW63" i="60"/>
  <c r="AX63" i="60" s="1"/>
  <c r="AW36" i="60"/>
  <c r="AX36" i="60" s="1"/>
  <c r="AW45" i="60"/>
  <c r="AX45" i="60" s="1"/>
  <c r="AW53" i="60"/>
  <c r="AX53" i="60" s="1"/>
  <c r="AW44" i="60"/>
  <c r="AX44" i="60" s="1"/>
  <c r="AW46" i="60"/>
  <c r="AX46" i="60" s="1"/>
  <c r="AW54" i="60"/>
  <c r="AX54" i="60" s="1"/>
  <c r="AW60" i="60"/>
  <c r="AX60" i="60" s="1"/>
  <c r="AW48" i="60"/>
  <c r="AX48" i="60" s="1"/>
  <c r="AW52" i="60"/>
  <c r="AX52" i="60" s="1"/>
  <c r="AW56" i="60"/>
  <c r="AX56" i="60" s="1"/>
  <c r="AW61" i="60"/>
  <c r="AX61" i="60" s="1"/>
  <c r="C68" i="58"/>
  <c r="B68" i="58" s="1"/>
  <c r="AH67" i="58"/>
  <c r="AG67" i="58"/>
  <c r="AF67" i="58"/>
  <c r="AH66" i="58"/>
  <c r="AG66" i="58"/>
  <c r="AF66" i="58"/>
  <c r="AH65" i="58"/>
  <c r="AG65" i="58"/>
  <c r="AF65" i="58"/>
  <c r="AH64" i="58"/>
  <c r="AG64" i="58"/>
  <c r="AF64" i="58"/>
  <c r="AV63" i="58"/>
  <c r="AH63" i="58"/>
  <c r="AG63" i="58"/>
  <c r="AF63" i="58"/>
  <c r="AV62" i="58"/>
  <c r="AH62" i="58"/>
  <c r="AG62" i="58"/>
  <c r="AF62" i="58"/>
  <c r="AV61" i="58"/>
  <c r="AV60" i="58"/>
  <c r="AH60" i="58"/>
  <c r="AG60" i="58"/>
  <c r="AF60" i="58"/>
  <c r="AF61" i="58" s="1"/>
  <c r="G60" i="58"/>
  <c r="E60" i="58" s="1"/>
  <c r="AV59" i="58"/>
  <c r="AH59" i="58"/>
  <c r="AG59" i="58"/>
  <c r="AF59" i="58"/>
  <c r="G59" i="58"/>
  <c r="E59" i="58" s="1"/>
  <c r="AV58" i="58"/>
  <c r="AH58" i="58"/>
  <c r="AG58" i="58"/>
  <c r="AF58" i="58"/>
  <c r="G58" i="58"/>
  <c r="E58" i="58" s="1"/>
  <c r="AV57" i="58"/>
  <c r="AV56" i="58"/>
  <c r="AV55" i="58"/>
  <c r="AV54" i="58"/>
  <c r="AV53" i="58"/>
  <c r="AV52" i="58"/>
  <c r="AV51" i="58"/>
  <c r="AV50" i="58"/>
  <c r="AV49" i="58"/>
  <c r="AV48" i="58"/>
  <c r="AV47" i="58"/>
  <c r="AV46" i="58"/>
  <c r="AV45" i="58"/>
  <c r="AV44" i="58"/>
  <c r="AV43" i="58"/>
  <c r="AV42" i="58"/>
  <c r="AV41" i="58"/>
  <c r="AV40" i="58"/>
  <c r="AV39" i="58"/>
  <c r="AV38" i="58"/>
  <c r="AV37" i="58"/>
  <c r="AV36" i="58"/>
  <c r="AV35" i="58"/>
  <c r="AV34" i="58"/>
  <c r="AV33" i="58"/>
  <c r="AV32" i="58"/>
  <c r="AV31" i="58"/>
  <c r="AV30" i="58"/>
  <c r="AV29" i="58"/>
  <c r="AV28" i="58"/>
  <c r="AV27" i="58"/>
  <c r="AV26" i="58"/>
  <c r="AV25" i="58"/>
  <c r="AV24" i="58"/>
  <c r="AV23" i="58"/>
  <c r="AV22" i="58"/>
  <c r="AV21" i="58"/>
  <c r="AV20" i="58"/>
  <c r="AV19" i="58"/>
  <c r="AV18" i="58"/>
  <c r="AV17" i="58"/>
  <c r="AV16" i="58"/>
  <c r="L16" i="58" a="1"/>
  <c r="L16" i="58" s="1"/>
  <c r="AV15" i="58"/>
  <c r="AV14" i="58"/>
  <c r="AV13" i="58"/>
  <c r="L13" i="58"/>
  <c r="AV12" i="58"/>
  <c r="L12" i="58"/>
  <c r="AV11" i="58"/>
  <c r="L11" i="58"/>
  <c r="AV10" i="58"/>
  <c r="L10" i="58"/>
  <c r="AV9" i="58"/>
  <c r="L9" i="58"/>
  <c r="AV8" i="58"/>
  <c r="L8" i="58"/>
  <c r="BC7" i="58"/>
  <c r="BC8" i="58" s="1"/>
  <c r="AV7" i="58"/>
  <c r="AF7" i="58"/>
  <c r="AF8" i="58" s="1"/>
  <c r="AF9" i="58" s="1"/>
  <c r="AF10" i="58" s="1"/>
  <c r="AF11" i="58" s="1"/>
  <c r="AF12" i="58" s="1"/>
  <c r="AF13" i="58" s="1"/>
  <c r="AF14" i="58" s="1"/>
  <c r="AF15" i="58" s="1"/>
  <c r="AF16" i="58" s="1"/>
  <c r="AF17" i="58" s="1"/>
  <c r="AF18" i="58" s="1"/>
  <c r="AF19" i="58" s="1"/>
  <c r="AF20" i="58" s="1"/>
  <c r="AF21" i="58" s="1"/>
  <c r="AF22" i="58" s="1"/>
  <c r="AF23" i="58" s="1"/>
  <c r="AF24" i="58" s="1"/>
  <c r="AF25" i="58" s="1"/>
  <c r="AF26" i="58" s="1"/>
  <c r="AF27" i="58" s="1"/>
  <c r="AF28" i="58" s="1"/>
  <c r="AF29" i="58" s="1"/>
  <c r="AF30" i="58" s="1"/>
  <c r="AF31" i="58" s="1"/>
  <c r="AF32" i="58" s="1"/>
  <c r="AF33" i="58" s="1"/>
  <c r="AF34" i="58" s="1"/>
  <c r="AF35" i="58" s="1"/>
  <c r="AF36" i="58" s="1"/>
  <c r="AF37" i="58" s="1"/>
  <c r="AF38" i="58" s="1"/>
  <c r="AF39" i="58" s="1"/>
  <c r="AF40" i="58" s="1"/>
  <c r="AF41" i="58" s="1"/>
  <c r="AF42" i="58" s="1"/>
  <c r="AF43" i="58" s="1"/>
  <c r="AF44" i="58" s="1"/>
  <c r="AF45" i="58" s="1"/>
  <c r="AF46" i="58" s="1"/>
  <c r="AF47" i="58" s="1"/>
  <c r="AF48" i="58" s="1"/>
  <c r="AF49" i="58" s="1"/>
  <c r="AF50" i="58" s="1"/>
  <c r="AF51" i="58" s="1"/>
  <c r="AF52" i="58" s="1"/>
  <c r="AF53" i="58" s="1"/>
  <c r="AF54" i="58" s="1"/>
  <c r="AF55" i="58" s="1"/>
  <c r="AF56" i="58" s="1"/>
  <c r="AF57" i="58" s="1"/>
  <c r="AL4" i="58"/>
  <c r="AL2" i="58" s="1"/>
  <c r="AK4" i="58"/>
  <c r="AJ4" i="58"/>
  <c r="AJ2" i="58" s="1"/>
  <c r="G3" i="58"/>
  <c r="AK2" i="58"/>
  <c r="E2" i="58"/>
  <c r="E3" i="58" s="1"/>
  <c r="A1" i="58"/>
  <c r="G57" i="60"/>
  <c r="AK56" i="61"/>
  <c r="AL56" i="61"/>
  <c r="AK15" i="61"/>
  <c r="AL44" i="61"/>
  <c r="AJ35" i="60"/>
  <c r="G28" i="60"/>
  <c r="G54" i="60"/>
  <c r="G20" i="60"/>
  <c r="AJ47" i="60"/>
  <c r="AJ34" i="60"/>
  <c r="G42" i="60"/>
  <c r="AK12" i="60"/>
  <c r="AJ54" i="60"/>
  <c r="AJ30" i="60"/>
  <c r="AJ52" i="60"/>
  <c r="AJ57" i="60"/>
  <c r="AJ51" i="60"/>
  <c r="AJ50" i="60"/>
  <c r="AJ56" i="60"/>
  <c r="G29" i="60"/>
  <c r="AL10" i="60"/>
  <c r="AJ61" i="60"/>
  <c r="G7" i="58"/>
  <c r="G51" i="58"/>
  <c r="AJ11" i="60"/>
  <c r="AJ63" i="60"/>
  <c r="AK10" i="60"/>
  <c r="AK23" i="61"/>
  <c r="AJ55" i="60"/>
  <c r="AL15" i="61"/>
  <c r="AK44" i="61"/>
  <c r="G49" i="60"/>
  <c r="AJ31" i="60"/>
  <c r="G45" i="60"/>
  <c r="G21" i="60"/>
  <c r="AJ15" i="60"/>
  <c r="G24" i="60"/>
  <c r="G53" i="60"/>
  <c r="AJ60" i="60"/>
  <c r="AL23" i="61"/>
  <c r="AL53" i="61"/>
  <c r="AJ46" i="60"/>
  <c r="AJ36" i="60"/>
  <c r="AJ26" i="60"/>
  <c r="AJ14" i="60"/>
  <c r="G55" i="60"/>
  <c r="AJ42" i="60"/>
  <c r="E35" i="60"/>
  <c r="AJ44" i="60"/>
  <c r="E10" i="60"/>
  <c r="AK9" i="61"/>
  <c r="AK19" i="61"/>
  <c r="E15" i="60"/>
  <c r="G30" i="60"/>
  <c r="AJ66" i="60"/>
  <c r="G22" i="60"/>
  <c r="G39" i="60"/>
  <c r="G43" i="60"/>
  <c r="AJ41" i="60"/>
  <c r="G34" i="60"/>
  <c r="G23" i="60"/>
  <c r="AJ59" i="60"/>
  <c r="G17" i="60"/>
  <c r="G27" i="60"/>
  <c r="AJ49" i="60"/>
  <c r="AK8" i="60"/>
  <c r="G36" i="60"/>
  <c r="AL12" i="60"/>
  <c r="AL9" i="61"/>
  <c r="AL19" i="61"/>
  <c r="E8" i="60"/>
  <c r="AL8" i="60"/>
  <c r="AK27" i="61"/>
  <c r="G44" i="60"/>
  <c r="G62" i="60"/>
  <c r="AJ7" i="60"/>
  <c r="G13" i="60"/>
  <c r="AJ53" i="60"/>
  <c r="AL25" i="61"/>
  <c r="AJ29" i="60"/>
  <c r="G18" i="60"/>
  <c r="AJ21" i="60"/>
  <c r="G33" i="60"/>
  <c r="AJ20" i="60"/>
  <c r="AJ48" i="60"/>
  <c r="E11" i="60"/>
  <c r="G38" i="60"/>
  <c r="AJ33" i="60"/>
  <c r="AK21" i="61"/>
  <c r="G19" i="60"/>
  <c r="AJ45" i="60"/>
  <c r="G8" i="58"/>
  <c r="AJ28" i="60"/>
  <c r="G52" i="60"/>
  <c r="AJ24" i="60"/>
  <c r="AJ58" i="60"/>
  <c r="E9" i="60"/>
  <c r="E41" i="60"/>
  <c r="G47" i="60"/>
  <c r="G12" i="60"/>
  <c r="G31" i="60"/>
  <c r="AJ19" i="60"/>
  <c r="AJ64" i="60"/>
  <c r="G14" i="60"/>
  <c r="AK53" i="61"/>
  <c r="G48" i="60"/>
  <c r="AJ27" i="60"/>
  <c r="E16" i="60"/>
  <c r="G9" i="58"/>
  <c r="AJ18" i="60"/>
  <c r="AL17" i="61"/>
  <c r="G46" i="60"/>
  <c r="AL27" i="61"/>
  <c r="AJ37" i="60"/>
  <c r="G25" i="60"/>
  <c r="AJ25" i="60"/>
  <c r="G32" i="60"/>
  <c r="AJ38" i="60"/>
  <c r="G15" i="58"/>
  <c r="AJ13" i="60"/>
  <c r="AJ43" i="60"/>
  <c r="AJ40" i="60"/>
  <c r="AK25" i="61"/>
  <c r="G37" i="60"/>
  <c r="G50" i="60"/>
  <c r="G61" i="60"/>
  <c r="AJ67" i="60"/>
  <c r="AJ9" i="60"/>
  <c r="G51" i="60"/>
  <c r="G26" i="60"/>
  <c r="AJ39" i="60"/>
  <c r="G11" i="58"/>
  <c r="AL21" i="61"/>
  <c r="G56" i="60"/>
  <c r="G40" i="60"/>
  <c r="AK17" i="61"/>
  <c r="AJ16" i="60"/>
  <c r="G7" i="60"/>
  <c r="AJ23" i="60"/>
  <c r="AJ17" i="60"/>
  <c r="G10" i="58"/>
  <c r="AJ62" i="60"/>
  <c r="AJ65" i="60"/>
  <c r="AJ22" i="60"/>
  <c r="AJ32" i="60"/>
  <c r="AJ10" i="58"/>
  <c r="G38" i="58"/>
  <c r="E6" i="58"/>
  <c r="O5" i="63" l="1"/>
  <c r="V11" i="63"/>
  <c r="U5" i="63"/>
  <c r="S9" i="63"/>
  <c r="AH27" i="61"/>
  <c r="AG27" i="61"/>
  <c r="AM53" i="61"/>
  <c r="AM27" i="61"/>
  <c r="AG19" i="61"/>
  <c r="AH19" i="61"/>
  <c r="AG9" i="61"/>
  <c r="AH9" i="61"/>
  <c r="AM19" i="61"/>
  <c r="AM9" i="61"/>
  <c r="AG53" i="61"/>
  <c r="AH53" i="61"/>
  <c r="AG23" i="61"/>
  <c r="AH23" i="61"/>
  <c r="AM44" i="61"/>
  <c r="AG15" i="61"/>
  <c r="AH15" i="61"/>
  <c r="AM23" i="61"/>
  <c r="AG44" i="61"/>
  <c r="AH44" i="61"/>
  <c r="AM15" i="61"/>
  <c r="P9" i="63"/>
  <c r="S10" i="63"/>
  <c r="R5" i="63"/>
  <c r="V14" i="63"/>
  <c r="AA14" i="63"/>
  <c r="BC22" i="65"/>
  <c r="BD21" i="65"/>
  <c r="BI20" i="65"/>
  <c r="BF20" i="65"/>
  <c r="BH20" i="65"/>
  <c r="BG20" i="65"/>
  <c r="P11" i="63"/>
  <c r="P8" i="63"/>
  <c r="P14" i="63"/>
  <c r="P13" i="63"/>
  <c r="P10" i="63"/>
  <c r="S14" i="63"/>
  <c r="S12" i="63"/>
  <c r="AH17" i="61"/>
  <c r="AG17" i="61"/>
  <c r="AM17" i="61"/>
  <c r="AH21" i="61"/>
  <c r="AG21" i="61"/>
  <c r="AM25" i="61"/>
  <c r="AM21" i="61"/>
  <c r="AG25" i="61"/>
  <c r="AH25" i="61"/>
  <c r="BG14" i="64"/>
  <c r="BF14" i="64"/>
  <c r="BH14" i="64"/>
  <c r="BI14" i="64"/>
  <c r="BD15" i="64"/>
  <c r="BC16" i="64"/>
  <c r="BF17" i="63"/>
  <c r="BH17" i="63"/>
  <c r="BI17" i="63"/>
  <c r="BG17" i="63"/>
  <c r="BC19" i="63"/>
  <c r="BD18" i="63"/>
  <c r="BD8" i="61"/>
  <c r="BF8" i="61" s="1"/>
  <c r="AG56" i="61"/>
  <c r="AH56" i="61"/>
  <c r="AM56" i="61"/>
  <c r="BD7" i="61"/>
  <c r="BD9" i="61"/>
  <c r="BC10" i="61"/>
  <c r="C77" i="60"/>
  <c r="AY50" i="60"/>
  <c r="AY11" i="60"/>
  <c r="AL58" i="60"/>
  <c r="AK58" i="60"/>
  <c r="AM58" i="60" s="1"/>
  <c r="AG10" i="60"/>
  <c r="AH10" i="60"/>
  <c r="AL65" i="60"/>
  <c r="AK65" i="60"/>
  <c r="AM65" i="60" s="1"/>
  <c r="AL67" i="60"/>
  <c r="AK67" i="60"/>
  <c r="AM67" i="60" s="1"/>
  <c r="AG12" i="60"/>
  <c r="AH12" i="60"/>
  <c r="AL63" i="60"/>
  <c r="AK63" i="60"/>
  <c r="AM63" i="60" s="1"/>
  <c r="AK64" i="60"/>
  <c r="AM64" i="60" s="1"/>
  <c r="AL64" i="60"/>
  <c r="AL59" i="60"/>
  <c r="AK59" i="60"/>
  <c r="AM59" i="60" s="1"/>
  <c r="AM12" i="60"/>
  <c r="AG8" i="60"/>
  <c r="AH8" i="60"/>
  <c r="AL66" i="60"/>
  <c r="AK66" i="60"/>
  <c r="AM66" i="60" s="1"/>
  <c r="AK60" i="60"/>
  <c r="AM60" i="60" s="1"/>
  <c r="AL60" i="60"/>
  <c r="AM10" i="60"/>
  <c r="AM8" i="60"/>
  <c r="AY61" i="60"/>
  <c r="AY45" i="60"/>
  <c r="AY12" i="60"/>
  <c r="AY44" i="60"/>
  <c r="AY19" i="60"/>
  <c r="AY41" i="60"/>
  <c r="AY62" i="60"/>
  <c r="AY54" i="60"/>
  <c r="AY63" i="60"/>
  <c r="AY30" i="60"/>
  <c r="AY49" i="60"/>
  <c r="AY16" i="60"/>
  <c r="AY57" i="60"/>
  <c r="AY22" i="60"/>
  <c r="AY23" i="60"/>
  <c r="AY28" i="60"/>
  <c r="AY13" i="60"/>
  <c r="AY35" i="60"/>
  <c r="AY31" i="60"/>
  <c r="AY59" i="60"/>
  <c r="AY52" i="60"/>
  <c r="AY27" i="60"/>
  <c r="AY10" i="60"/>
  <c r="AY24" i="60"/>
  <c r="AY25" i="60"/>
  <c r="AY29" i="60"/>
  <c r="AY42" i="60"/>
  <c r="AY9" i="60"/>
  <c r="M11" i="60"/>
  <c r="AY58" i="60"/>
  <c r="AY48" i="60"/>
  <c r="AY40" i="60"/>
  <c r="AY26" i="60"/>
  <c r="AY21" i="60"/>
  <c r="AY32" i="60"/>
  <c r="AY33" i="60"/>
  <c r="AY51" i="60"/>
  <c r="AY56" i="60"/>
  <c r="AY37" i="60"/>
  <c r="AY20" i="60"/>
  <c r="L5" i="60"/>
  <c r="M12" i="60"/>
  <c r="M10" i="60"/>
  <c r="M14" i="60"/>
  <c r="M8" i="60"/>
  <c r="AY55" i="60"/>
  <c r="AY17" i="60"/>
  <c r="M13" i="60"/>
  <c r="AY47" i="60"/>
  <c r="Y14" i="60"/>
  <c r="AY7" i="60"/>
  <c r="AY60" i="60"/>
  <c r="AY46" i="60"/>
  <c r="AY53" i="60"/>
  <c r="AY36" i="60"/>
  <c r="AY34" i="60"/>
  <c r="AY18" i="60"/>
  <c r="AY14" i="60"/>
  <c r="AY8" i="60"/>
  <c r="AY15" i="60"/>
  <c r="AY39" i="60"/>
  <c r="AY38" i="60"/>
  <c r="AY43" i="60"/>
  <c r="BC11" i="60"/>
  <c r="AW27" i="58"/>
  <c r="AW35" i="58"/>
  <c r="AX35" i="58" s="1"/>
  <c r="L14" i="58"/>
  <c r="M12" i="58" s="1"/>
  <c r="AW60" i="58"/>
  <c r="AX60" i="58" s="1"/>
  <c r="AW31" i="58"/>
  <c r="AX31" i="58" s="1"/>
  <c r="AW13" i="58"/>
  <c r="AX13" i="58" s="1"/>
  <c r="AW19" i="58"/>
  <c r="AX19" i="58" s="1"/>
  <c r="AW36" i="58"/>
  <c r="AX36" i="58" s="1"/>
  <c r="AW62" i="58"/>
  <c r="AX62" i="58" s="1"/>
  <c r="AW58" i="58"/>
  <c r="AX58" i="58" s="1"/>
  <c r="AW54" i="58"/>
  <c r="AX54" i="58" s="1"/>
  <c r="AW50" i="58"/>
  <c r="AX50" i="58" s="1"/>
  <c r="AW46" i="58"/>
  <c r="AX46" i="58" s="1"/>
  <c r="AW61" i="58"/>
  <c r="AX61" i="58" s="1"/>
  <c r="AW63" i="58"/>
  <c r="AX63" i="58" s="1"/>
  <c r="AW57" i="58"/>
  <c r="AX57" i="58" s="1"/>
  <c r="AW49" i="58"/>
  <c r="AX49" i="58" s="1"/>
  <c r="AW45" i="58"/>
  <c r="AX45" i="58" s="1"/>
  <c r="AW33" i="58"/>
  <c r="AX33" i="58" s="1"/>
  <c r="AW29" i="58"/>
  <c r="AX29" i="58" s="1"/>
  <c r="AW25" i="58"/>
  <c r="AX25" i="58" s="1"/>
  <c r="AW21" i="58"/>
  <c r="AX21" i="58" s="1"/>
  <c r="AW17" i="58"/>
  <c r="AX17" i="58" s="1"/>
  <c r="AW53" i="58"/>
  <c r="AX53" i="58" s="1"/>
  <c r="AW40" i="58"/>
  <c r="AX40" i="58" s="1"/>
  <c r="AW12" i="58"/>
  <c r="AX12" i="58" s="1"/>
  <c r="AW41" i="58"/>
  <c r="AX41" i="58" s="1"/>
  <c r="AW32" i="58"/>
  <c r="AX32" i="58" s="1"/>
  <c r="AW28" i="58"/>
  <c r="AX28" i="58" s="1"/>
  <c r="AW24" i="58"/>
  <c r="AX24" i="58" s="1"/>
  <c r="AW20" i="58"/>
  <c r="AX20" i="58" s="1"/>
  <c r="AW16" i="58"/>
  <c r="AX16" i="58" s="1"/>
  <c r="AW7" i="58"/>
  <c r="AX7" i="58" s="1"/>
  <c r="AW9" i="58"/>
  <c r="AX9" i="58" s="1"/>
  <c r="AW11" i="58"/>
  <c r="AX11" i="58" s="1"/>
  <c r="AW14" i="58"/>
  <c r="AX14" i="58" s="1"/>
  <c r="AW15" i="58"/>
  <c r="AX15" i="58" s="1"/>
  <c r="AW8" i="58"/>
  <c r="AX8" i="58" s="1"/>
  <c r="BC9" i="58"/>
  <c r="AW10" i="58"/>
  <c r="AX10" i="58" s="1"/>
  <c r="AW23" i="58"/>
  <c r="AX23" i="58" s="1"/>
  <c r="AW37" i="58"/>
  <c r="AX37" i="58" s="1"/>
  <c r="AW43" i="58"/>
  <c r="AX43" i="58" s="1"/>
  <c r="AW55" i="58"/>
  <c r="AX55" i="58" s="1"/>
  <c r="AW18" i="58"/>
  <c r="AX18" i="58" s="1"/>
  <c r="AW22" i="58"/>
  <c r="AX22" i="58" s="1"/>
  <c r="AW26" i="58"/>
  <c r="AX26" i="58" s="1"/>
  <c r="AW30" i="58"/>
  <c r="AX30" i="58" s="1"/>
  <c r="AW34" i="58"/>
  <c r="AX34" i="58" s="1"/>
  <c r="AX27" i="58"/>
  <c r="AW39" i="58"/>
  <c r="AX39" i="58" s="1"/>
  <c r="AW47" i="58"/>
  <c r="AX47" i="58" s="1"/>
  <c r="AW59" i="58"/>
  <c r="AX59" i="58" s="1"/>
  <c r="AW51" i="58"/>
  <c r="AX51" i="58" s="1"/>
  <c r="AW38" i="58"/>
  <c r="AX38" i="58" s="1"/>
  <c r="AW42" i="58"/>
  <c r="AX42" i="58" s="1"/>
  <c r="AW44" i="58"/>
  <c r="AX44" i="58" s="1"/>
  <c r="AW48" i="58"/>
  <c r="AX48" i="58" s="1"/>
  <c r="AW52" i="58"/>
  <c r="AX52" i="58" s="1"/>
  <c r="AW56" i="58"/>
  <c r="AX56" i="58" s="1"/>
  <c r="P13" i="9"/>
  <c r="BD62" i="5"/>
  <c r="BC62" i="5"/>
  <c r="BB62" i="5"/>
  <c r="BD61" i="5"/>
  <c r="BD63" i="5" s="1"/>
  <c r="BC61" i="5"/>
  <c r="BC63" i="5" s="1"/>
  <c r="BB61" i="5"/>
  <c r="BB63" i="5" s="1"/>
  <c r="BE57" i="5"/>
  <c r="BD57" i="5"/>
  <c r="BC57" i="5"/>
  <c r="BB57" i="5"/>
  <c r="BE56" i="5"/>
  <c r="BE58" i="5" s="1"/>
  <c r="BD56" i="5"/>
  <c r="BC56" i="5"/>
  <c r="BB56" i="5"/>
  <c r="BE47" i="5"/>
  <c r="BD47" i="5"/>
  <c r="BC47" i="5"/>
  <c r="BB47" i="5"/>
  <c r="BE46" i="5"/>
  <c r="BE52" i="5" s="1"/>
  <c r="BD46" i="5"/>
  <c r="BD52" i="5" s="1"/>
  <c r="BC46" i="5"/>
  <c r="BC52" i="5" s="1"/>
  <c r="BB46" i="5"/>
  <c r="BB52" i="5" s="1"/>
  <c r="BE45" i="5"/>
  <c r="BD45" i="5"/>
  <c r="BC45" i="5"/>
  <c r="BB45" i="5"/>
  <c r="BE44" i="5"/>
  <c r="BE51" i="5" s="1"/>
  <c r="P12" i="9" s="1"/>
  <c r="BD44" i="5"/>
  <c r="BD51" i="5" s="1"/>
  <c r="BD53" i="5" s="1"/>
  <c r="BC44" i="5"/>
  <c r="BC51" i="5" s="1"/>
  <c r="BC53" i="5" s="1"/>
  <c r="BB44" i="5"/>
  <c r="BB51" i="5" s="1"/>
  <c r="BB53" i="5" s="1"/>
  <c r="BE43" i="5"/>
  <c r="BD43" i="5"/>
  <c r="BC43" i="5"/>
  <c r="BB43" i="5"/>
  <c r="BE42" i="5"/>
  <c r="BE50" i="5" s="1"/>
  <c r="P11" i="9" s="1"/>
  <c r="BD42" i="5"/>
  <c r="BD50" i="5" s="1"/>
  <c r="BC42" i="5"/>
  <c r="BC50" i="5" s="1"/>
  <c r="BB42" i="5"/>
  <c r="BB50" i="5" s="1"/>
  <c r="BE40" i="5"/>
  <c r="BD40" i="5"/>
  <c r="BC40" i="5"/>
  <c r="BB40" i="5"/>
  <c r="BI31" i="7"/>
  <c r="BI21" i="7"/>
  <c r="BI11" i="7"/>
  <c r="BI7" i="7"/>
  <c r="AL57" i="60"/>
  <c r="AK57" i="60"/>
  <c r="AJ9" i="58"/>
  <c r="AJ67" i="58"/>
  <c r="AJ8" i="58"/>
  <c r="AJ18" i="58"/>
  <c r="AJ44" i="58"/>
  <c r="AK35" i="60"/>
  <c r="AJ7" i="58"/>
  <c r="AL35" i="60"/>
  <c r="AJ30" i="58"/>
  <c r="AJ34" i="58"/>
  <c r="AH35" i="60" l="1"/>
  <c r="AG35" i="60"/>
  <c r="AM35" i="60"/>
  <c r="AK67" i="58"/>
  <c r="AM67" i="58" s="1"/>
  <c r="AL67" i="58"/>
  <c r="BC58" i="5"/>
  <c r="M8" i="58"/>
  <c r="BD58" i="5"/>
  <c r="BF21" i="65"/>
  <c r="BH21" i="65"/>
  <c r="BG21" i="65"/>
  <c r="BI21" i="65"/>
  <c r="BC23" i="65"/>
  <c r="BD22" i="65"/>
  <c r="BD16" i="64"/>
  <c r="BC17" i="64"/>
  <c r="BH15" i="64"/>
  <c r="BG15" i="64"/>
  <c r="BI15" i="64"/>
  <c r="BF15" i="64"/>
  <c r="BD19" i="63"/>
  <c r="BC20" i="63"/>
  <c r="BG18" i="63"/>
  <c r="BI18" i="63"/>
  <c r="BF18" i="63"/>
  <c r="BH18" i="63"/>
  <c r="P14" i="9"/>
  <c r="BH8" i="61"/>
  <c r="BG8" i="61"/>
  <c r="BI8" i="61"/>
  <c r="BI9" i="61"/>
  <c r="BF9" i="61"/>
  <c r="BH9" i="61"/>
  <c r="BG9" i="61"/>
  <c r="BI7" i="61"/>
  <c r="BH7" i="61"/>
  <c r="BG7" i="61"/>
  <c r="BF7" i="61"/>
  <c r="BD10" i="61"/>
  <c r="BC11" i="61"/>
  <c r="AM57" i="60"/>
  <c r="AG57" i="60"/>
  <c r="AH57" i="60"/>
  <c r="BD7" i="60"/>
  <c r="BD9" i="60"/>
  <c r="BD8" i="60"/>
  <c r="BC12" i="60"/>
  <c r="BD11" i="60"/>
  <c r="BD10" i="60"/>
  <c r="M10" i="58"/>
  <c r="Y14" i="58"/>
  <c r="M13" i="58"/>
  <c r="M9" i="58"/>
  <c r="M14" i="58"/>
  <c r="C77" i="58"/>
  <c r="L5" i="58"/>
  <c r="M11" i="58"/>
  <c r="AY59" i="58"/>
  <c r="AY23" i="58"/>
  <c r="AY34" i="58"/>
  <c r="AY10" i="58"/>
  <c r="AY60" i="58"/>
  <c r="AY56" i="58"/>
  <c r="AY51" i="58"/>
  <c r="AY22" i="58"/>
  <c r="AY43" i="58"/>
  <c r="AY45" i="58"/>
  <c r="AY8" i="58"/>
  <c r="AY9" i="58"/>
  <c r="AY18" i="58"/>
  <c r="AY11" i="58"/>
  <c r="AY7" i="58"/>
  <c r="AY38" i="58"/>
  <c r="AY47" i="58"/>
  <c r="AY30" i="58"/>
  <c r="AY28" i="58"/>
  <c r="AY61" i="58"/>
  <c r="AY48" i="58"/>
  <c r="AY35" i="58"/>
  <c r="AY19" i="58"/>
  <c r="AY32" i="58"/>
  <c r="AY25" i="58"/>
  <c r="AY62" i="58"/>
  <c r="AY15" i="58"/>
  <c r="AY20" i="58"/>
  <c r="AY41" i="58"/>
  <c r="AY53" i="58"/>
  <c r="AY29" i="58"/>
  <c r="AY57" i="58"/>
  <c r="AY50" i="58"/>
  <c r="AY52" i="58"/>
  <c r="AY44" i="58"/>
  <c r="AY39" i="58"/>
  <c r="AY55" i="58"/>
  <c r="AY14" i="58"/>
  <c r="AY12" i="58"/>
  <c r="AY21" i="58"/>
  <c r="AY58" i="58"/>
  <c r="AY13" i="58"/>
  <c r="AY27" i="58"/>
  <c r="AY16" i="58"/>
  <c r="AY40" i="58"/>
  <c r="AY49" i="58"/>
  <c r="AY46" i="58"/>
  <c r="AY42" i="58"/>
  <c r="AY31" i="58"/>
  <c r="AY26" i="58"/>
  <c r="AY37" i="58"/>
  <c r="BC10" i="58"/>
  <c r="AY24" i="58"/>
  <c r="AY17" i="58"/>
  <c r="AY33" i="58"/>
  <c r="AY63" i="58"/>
  <c r="AY54" i="58"/>
  <c r="AY36" i="58"/>
  <c r="BE61" i="5"/>
  <c r="BE62" i="5"/>
  <c r="P12" i="10" s="1"/>
  <c r="BE53" i="5"/>
  <c r="BB58" i="5"/>
  <c r="E20" i="61"/>
  <c r="E21" i="61"/>
  <c r="AK11" i="60"/>
  <c r="E15" i="61"/>
  <c r="AK8" i="58"/>
  <c r="G62" i="58"/>
  <c r="AK46" i="61"/>
  <c r="AL47" i="61"/>
  <c r="AJ15" i="58"/>
  <c r="E51" i="60"/>
  <c r="AK7" i="60"/>
  <c r="E10" i="58"/>
  <c r="E55" i="61"/>
  <c r="AJ56" i="58"/>
  <c r="AL33" i="60"/>
  <c r="E35" i="61"/>
  <c r="AJ12" i="58"/>
  <c r="G27" i="58"/>
  <c r="AJ43" i="58"/>
  <c r="AK25" i="60"/>
  <c r="G30" i="58"/>
  <c r="AK28" i="60"/>
  <c r="E30" i="60"/>
  <c r="AJ52" i="58"/>
  <c r="AJ48" i="58"/>
  <c r="G61" i="58"/>
  <c r="AL34" i="61"/>
  <c r="E36" i="60"/>
  <c r="AL38" i="61"/>
  <c r="G32" i="58"/>
  <c r="AJ54" i="58"/>
  <c r="E11" i="58"/>
  <c r="AK43" i="61"/>
  <c r="E32" i="61"/>
  <c r="AK12" i="61"/>
  <c r="AL37" i="60"/>
  <c r="G14" i="58"/>
  <c r="G23" i="58"/>
  <c r="E27" i="61"/>
  <c r="AK54" i="61"/>
  <c r="AL30" i="58"/>
  <c r="E31" i="60"/>
  <c r="G33" i="58"/>
  <c r="AJ23" i="58"/>
  <c r="AK38" i="61"/>
  <c r="AL21" i="60"/>
  <c r="E38" i="58"/>
  <c r="E53" i="60"/>
  <c r="AJ13" i="58"/>
  <c r="AL45" i="61"/>
  <c r="AL36" i="61"/>
  <c r="AL22" i="61"/>
  <c r="E37" i="61"/>
  <c r="AK41" i="60"/>
  <c r="AK39" i="61"/>
  <c r="E31" i="61"/>
  <c r="AL48" i="60"/>
  <c r="E47" i="61"/>
  <c r="AK36" i="60"/>
  <c r="AK62" i="60"/>
  <c r="E46" i="61"/>
  <c r="AJ65" i="58"/>
  <c r="E42" i="61"/>
  <c r="AL38" i="60"/>
  <c r="AK28" i="61"/>
  <c r="AL17" i="60"/>
  <c r="AL20" i="60"/>
  <c r="AL13" i="61"/>
  <c r="AL55" i="61"/>
  <c r="AL53" i="60"/>
  <c r="AK20" i="60"/>
  <c r="E47" i="60"/>
  <c r="AL44" i="58"/>
  <c r="E12" i="61"/>
  <c r="AK55" i="60"/>
  <c r="E22" i="61"/>
  <c r="E43" i="61"/>
  <c r="E25" i="61"/>
  <c r="AJ50" i="58"/>
  <c r="AL23" i="60"/>
  <c r="AJ17" i="58"/>
  <c r="E41" i="61"/>
  <c r="G56" i="58"/>
  <c r="AJ63" i="58"/>
  <c r="E29" i="60"/>
  <c r="AL48" i="61"/>
  <c r="AK20" i="61"/>
  <c r="E7" i="58"/>
  <c r="G18" i="58"/>
  <c r="AK17" i="60"/>
  <c r="G54" i="58"/>
  <c r="E17" i="60"/>
  <c r="E45" i="61"/>
  <c r="G57" i="58"/>
  <c r="G55" i="58"/>
  <c r="AL12" i="61"/>
  <c r="AK8" i="61"/>
  <c r="AJ19" i="58"/>
  <c r="AJ27" i="58"/>
  <c r="G17" i="58"/>
  <c r="AJ64" i="58"/>
  <c r="G46" i="58"/>
  <c r="E24" i="60"/>
  <c r="AK22" i="61"/>
  <c r="AK50" i="61"/>
  <c r="AK39" i="60"/>
  <c r="E33" i="61"/>
  <c r="AL32" i="61"/>
  <c r="G25" i="58"/>
  <c r="G13" i="58"/>
  <c r="AL62" i="61"/>
  <c r="AK49" i="61"/>
  <c r="G47" i="58"/>
  <c r="G43" i="58"/>
  <c r="AJ60" i="58"/>
  <c r="AJ33" i="58"/>
  <c r="E52" i="60"/>
  <c r="E26" i="60"/>
  <c r="E48" i="61"/>
  <c r="AL9" i="60"/>
  <c r="AL31" i="60"/>
  <c r="AL37" i="61"/>
  <c r="E14" i="61"/>
  <c r="E27" i="60"/>
  <c r="AK45" i="61"/>
  <c r="AK23" i="60"/>
  <c r="AK46" i="60"/>
  <c r="E9" i="58"/>
  <c r="E49" i="60"/>
  <c r="AL26" i="60"/>
  <c r="E29" i="61"/>
  <c r="AL8" i="61"/>
  <c r="E40" i="60"/>
  <c r="E46" i="60"/>
  <c r="E43" i="60"/>
  <c r="AJ21" i="58"/>
  <c r="AJ45" i="58"/>
  <c r="AL45" i="60"/>
  <c r="AJ66" i="58"/>
  <c r="AK40" i="60"/>
  <c r="E18" i="61"/>
  <c r="E49" i="61"/>
  <c r="E28" i="61"/>
  <c r="AJ11" i="58"/>
  <c r="AL42" i="60"/>
  <c r="E32" i="60"/>
  <c r="AJ38" i="58"/>
  <c r="E34" i="60"/>
  <c r="AK55" i="61"/>
  <c r="AL44" i="60"/>
  <c r="G42" i="58"/>
  <c r="E50" i="61"/>
  <c r="E44" i="61"/>
  <c r="AK14" i="61"/>
  <c r="AK26" i="61"/>
  <c r="AJ37" i="58"/>
  <c r="E20" i="60"/>
  <c r="AJ59" i="58"/>
  <c r="G45" i="58"/>
  <c r="G40" i="58"/>
  <c r="AJ53" i="58"/>
  <c r="E50" i="60"/>
  <c r="E37" i="60"/>
  <c r="E48" i="60"/>
  <c r="AL14" i="60"/>
  <c r="AK36" i="61"/>
  <c r="AL39" i="60"/>
  <c r="AK42" i="60"/>
  <c r="AL28" i="61"/>
  <c r="AK15" i="60"/>
  <c r="AK19" i="60"/>
  <c r="AK43" i="60"/>
  <c r="AL11" i="61"/>
  <c r="AK33" i="61"/>
  <c r="AJ20" i="58"/>
  <c r="AJ61" i="58"/>
  <c r="E7" i="60"/>
  <c r="AK44" i="58"/>
  <c r="G19" i="58"/>
  <c r="AU7" i="7"/>
  <c r="AL51" i="61"/>
  <c r="E52" i="61"/>
  <c r="AL34" i="60"/>
  <c r="AK13" i="61"/>
  <c r="G36" i="58"/>
  <c r="E39" i="61"/>
  <c r="AJ24" i="58"/>
  <c r="AK62" i="61"/>
  <c r="E33" i="60"/>
  <c r="AK27" i="60"/>
  <c r="AK11" i="61"/>
  <c r="AK31" i="61"/>
  <c r="AL24" i="61"/>
  <c r="AL30" i="61"/>
  <c r="E40" i="61"/>
  <c r="AK45" i="60"/>
  <c r="AL30" i="60"/>
  <c r="AL35" i="61"/>
  <c r="AL32" i="60"/>
  <c r="G48" i="58"/>
  <c r="G50" i="58"/>
  <c r="AL7" i="60"/>
  <c r="AK7" i="61"/>
  <c r="AL25" i="60"/>
  <c r="E17" i="61"/>
  <c r="E28" i="60"/>
  <c r="AK37" i="61"/>
  <c r="E22" i="60"/>
  <c r="E16" i="61"/>
  <c r="AJ55" i="58"/>
  <c r="AK21" i="60"/>
  <c r="G37" i="58"/>
  <c r="E8" i="61"/>
  <c r="AK29" i="60"/>
  <c r="AL52" i="60"/>
  <c r="G26" i="58"/>
  <c r="AL62" i="60"/>
  <c r="G16" i="58"/>
  <c r="AK10" i="58"/>
  <c r="AK13" i="60"/>
  <c r="AK18" i="60"/>
  <c r="AJ29" i="58"/>
  <c r="E12" i="60"/>
  <c r="AK24" i="60"/>
  <c r="AJ40" i="58"/>
  <c r="AK32" i="61"/>
  <c r="E51" i="61"/>
  <c r="AJ58" i="58"/>
  <c r="E25" i="60"/>
  <c r="AJ28" i="58"/>
  <c r="AK30" i="58"/>
  <c r="AL47" i="60"/>
  <c r="AK56" i="60"/>
  <c r="AL10" i="58"/>
  <c r="E39" i="60"/>
  <c r="AL31" i="61"/>
  <c r="AL14" i="61"/>
  <c r="AL7" i="61"/>
  <c r="AK48" i="60"/>
  <c r="AL54" i="61"/>
  <c r="AL40" i="60"/>
  <c r="AL29" i="60"/>
  <c r="AK52" i="61"/>
  <c r="G52" i="58"/>
  <c r="AJ47" i="58"/>
  <c r="G31" i="58"/>
  <c r="AJ62" i="58"/>
  <c r="AK34" i="60"/>
  <c r="E24" i="61"/>
  <c r="AL24" i="60"/>
  <c r="AK61" i="60"/>
  <c r="AL22" i="60"/>
  <c r="AL51" i="60"/>
  <c r="E10" i="61"/>
  <c r="E19" i="60"/>
  <c r="AL43" i="61"/>
  <c r="G22" i="58"/>
  <c r="AK44" i="60"/>
  <c r="AJ26" i="58"/>
  <c r="E61" i="60"/>
  <c r="E61" i="61"/>
  <c r="E13" i="60"/>
  <c r="E19" i="61"/>
  <c r="E8" i="58"/>
  <c r="E38" i="61"/>
  <c r="AJ57" i="58"/>
  <c r="AL46" i="60"/>
  <c r="AL55" i="60"/>
  <c r="AL15" i="60"/>
  <c r="E53" i="61"/>
  <c r="AK14" i="60"/>
  <c r="E56" i="60"/>
  <c r="E44" i="60"/>
  <c r="AK9" i="58"/>
  <c r="AL43" i="60"/>
  <c r="E42" i="60"/>
  <c r="AK26" i="60"/>
  <c r="AK52" i="60"/>
  <c r="AJ42" i="58"/>
  <c r="AL18" i="58"/>
  <c r="AL18" i="60"/>
  <c r="AJ14" i="58"/>
  <c r="AL27" i="60"/>
  <c r="E23" i="61"/>
  <c r="AK54" i="60"/>
  <c r="AL20" i="61"/>
  <c r="AK16" i="60"/>
  <c r="AK30" i="60"/>
  <c r="AL41" i="61"/>
  <c r="E62" i="60"/>
  <c r="E9" i="61"/>
  <c r="AL34" i="58"/>
  <c r="E18" i="60"/>
  <c r="AK35" i="61"/>
  <c r="AK37" i="60"/>
  <c r="AL8" i="58"/>
  <c r="AK33" i="60"/>
  <c r="AK29" i="61"/>
  <c r="G44" i="58"/>
  <c r="AL61" i="60"/>
  <c r="E14" i="60"/>
  <c r="G29" i="58"/>
  <c r="E51" i="58"/>
  <c r="G20" i="58"/>
  <c r="E15" i="58"/>
  <c r="G12" i="58"/>
  <c r="E45" i="60"/>
  <c r="AL29" i="61"/>
  <c r="AL52" i="61"/>
  <c r="AL18" i="61"/>
  <c r="G34" i="58"/>
  <c r="AJ49" i="58"/>
  <c r="AJ16" i="58"/>
  <c r="E11" i="61"/>
  <c r="AL9" i="58"/>
  <c r="AK18" i="58"/>
  <c r="E23" i="60"/>
  <c r="AK42" i="61"/>
  <c r="E7" i="61"/>
  <c r="AK22" i="60"/>
  <c r="AL7" i="58"/>
  <c r="AK51" i="61"/>
  <c r="AK38" i="60"/>
  <c r="AL56" i="60"/>
  <c r="AL41" i="60"/>
  <c r="AK49" i="60"/>
  <c r="AK53" i="60"/>
  <c r="AK48" i="61"/>
  <c r="AK7" i="58"/>
  <c r="AJ25" i="58"/>
  <c r="AK31" i="60"/>
  <c r="G41" i="58"/>
  <c r="AL40" i="61"/>
  <c r="AL26" i="61"/>
  <c r="AK34" i="58"/>
  <c r="AK50" i="60"/>
  <c r="AK61" i="61"/>
  <c r="E62" i="61"/>
  <c r="AL39" i="61"/>
  <c r="AK18" i="61"/>
  <c r="E30" i="61"/>
  <c r="AL28" i="60"/>
  <c r="AL61" i="61"/>
  <c r="AK40" i="61"/>
  <c r="AK51" i="60"/>
  <c r="AK47" i="61"/>
  <c r="AK34" i="61"/>
  <c r="E54" i="60"/>
  <c r="AK9" i="60"/>
  <c r="AJ32" i="58"/>
  <c r="G53" i="58"/>
  <c r="AL16" i="61"/>
  <c r="AJ39" i="58"/>
  <c r="E21" i="60"/>
  <c r="AL49" i="61"/>
  <c r="AL42" i="61"/>
  <c r="AK30" i="61"/>
  <c r="E38" i="60"/>
  <c r="AL50" i="61"/>
  <c r="AK41" i="61"/>
  <c r="AJ46" i="58"/>
  <c r="G35" i="58"/>
  <c r="AJ51" i="58"/>
  <c r="AL49" i="60"/>
  <c r="G24" i="58"/>
  <c r="AL46" i="61"/>
  <c r="G39" i="58"/>
  <c r="E34" i="61"/>
  <c r="AJ36" i="58"/>
  <c r="AL19" i="60"/>
  <c r="AK32" i="60"/>
  <c r="AL11" i="60"/>
  <c r="E55" i="60"/>
  <c r="G21" i="58"/>
  <c r="AK47" i="60"/>
  <c r="AJ22" i="58"/>
  <c r="E36" i="61"/>
  <c r="AL13" i="60"/>
  <c r="AL33" i="61"/>
  <c r="E54" i="61"/>
  <c r="E13" i="61"/>
  <c r="AJ35" i="58"/>
  <c r="G49" i="58"/>
  <c r="AJ41" i="58"/>
  <c r="AL36" i="60"/>
  <c r="AL54" i="60"/>
  <c r="AL50" i="60"/>
  <c r="E26" i="61"/>
  <c r="AL16" i="60"/>
  <c r="AK16" i="61"/>
  <c r="G28" i="58"/>
  <c r="AJ31" i="58"/>
  <c r="AK24" i="61"/>
  <c r="BG22" i="65" l="1"/>
  <c r="BF22" i="65"/>
  <c r="BH22" i="65"/>
  <c r="BI22" i="65"/>
  <c r="BD23" i="65"/>
  <c r="BC24" i="65"/>
  <c r="AH35" i="61"/>
  <c r="AG35" i="61"/>
  <c r="AM53" i="60"/>
  <c r="AG32" i="61"/>
  <c r="AH32" i="61"/>
  <c r="AM50" i="60"/>
  <c r="AK60" i="58"/>
  <c r="AM60" i="58" s="1"/>
  <c r="AL60" i="58"/>
  <c r="AH40" i="61"/>
  <c r="AG40" i="61"/>
  <c r="AM47" i="61"/>
  <c r="AG13" i="61"/>
  <c r="AH13" i="61"/>
  <c r="AM30" i="60"/>
  <c r="AH50" i="61"/>
  <c r="AG50" i="61"/>
  <c r="AG30" i="61"/>
  <c r="AH30" i="61"/>
  <c r="AM62" i="60"/>
  <c r="AM20" i="60"/>
  <c r="AM33" i="61"/>
  <c r="AH16" i="61"/>
  <c r="AG16" i="61"/>
  <c r="AM32" i="60"/>
  <c r="AG53" i="60"/>
  <c r="AH53" i="60"/>
  <c r="AM11" i="61"/>
  <c r="AH16" i="60"/>
  <c r="AG16" i="60"/>
  <c r="AH43" i="60"/>
  <c r="AG43" i="60"/>
  <c r="AG39" i="61"/>
  <c r="AH39" i="61"/>
  <c r="AM35" i="61"/>
  <c r="AH7" i="61"/>
  <c r="AG7" i="61"/>
  <c r="AM16" i="60"/>
  <c r="AG31" i="60"/>
  <c r="AH31" i="60"/>
  <c r="AH10" i="58"/>
  <c r="AG10" i="58"/>
  <c r="AM41" i="61"/>
  <c r="AH9" i="60"/>
  <c r="AG9" i="60"/>
  <c r="AM61" i="61"/>
  <c r="AG49" i="61"/>
  <c r="AH49" i="61"/>
  <c r="AM7" i="60"/>
  <c r="AM15" i="60"/>
  <c r="AH51" i="60"/>
  <c r="AG51" i="60"/>
  <c r="AM36" i="61"/>
  <c r="AG22" i="60"/>
  <c r="AH22" i="60"/>
  <c r="AH27" i="60"/>
  <c r="AG27" i="60"/>
  <c r="AM40" i="61"/>
  <c r="AM41" i="60"/>
  <c r="AG49" i="60"/>
  <c r="AH49" i="60"/>
  <c r="AM51" i="60"/>
  <c r="AM14" i="61"/>
  <c r="AG22" i="61"/>
  <c r="AH22" i="61"/>
  <c r="AH42" i="61"/>
  <c r="AG42" i="61"/>
  <c r="AG40" i="60"/>
  <c r="AH40" i="60"/>
  <c r="AM23" i="60"/>
  <c r="AH44" i="60"/>
  <c r="AG44" i="60"/>
  <c r="AM39" i="60"/>
  <c r="AL45" i="58"/>
  <c r="AG45" i="58" s="1"/>
  <c r="AK45" i="58"/>
  <c r="AM45" i="58" s="1"/>
  <c r="AM54" i="60"/>
  <c r="AM7" i="61"/>
  <c r="AG7" i="60"/>
  <c r="AH7" i="60"/>
  <c r="AM14" i="60"/>
  <c r="AL66" i="58"/>
  <c r="AK66" i="58"/>
  <c r="AM66" i="58" s="1"/>
  <c r="AM7" i="58"/>
  <c r="AM42" i="61"/>
  <c r="AM52" i="61"/>
  <c r="AG46" i="61"/>
  <c r="AH46" i="61"/>
  <c r="AM46" i="61"/>
  <c r="AH29" i="61"/>
  <c r="AG29" i="61"/>
  <c r="AG24" i="60"/>
  <c r="AH24" i="60"/>
  <c r="AM11" i="60"/>
  <c r="AG23" i="60"/>
  <c r="AH23" i="60"/>
  <c r="AH28" i="60"/>
  <c r="AG28" i="60"/>
  <c r="AM43" i="60"/>
  <c r="AG50" i="60"/>
  <c r="AH50" i="60"/>
  <c r="AM29" i="61"/>
  <c r="AM50" i="61"/>
  <c r="AG41" i="60"/>
  <c r="AH41" i="60"/>
  <c r="AM45" i="60"/>
  <c r="AG26" i="60"/>
  <c r="AH26" i="60"/>
  <c r="AK58" i="58"/>
  <c r="AM58" i="58" s="1"/>
  <c r="AL58" i="58"/>
  <c r="AH51" i="61"/>
  <c r="AG51" i="61"/>
  <c r="AG48" i="61"/>
  <c r="AH48" i="61"/>
  <c r="AH34" i="61"/>
  <c r="AG34" i="61"/>
  <c r="AM24" i="61"/>
  <c r="AH26" i="61"/>
  <c r="AG26" i="61"/>
  <c r="AG52" i="61"/>
  <c r="AH52" i="61"/>
  <c r="AM9" i="60"/>
  <c r="AH15" i="60"/>
  <c r="AG15" i="60"/>
  <c r="AM52" i="60"/>
  <c r="AM40" i="60"/>
  <c r="AM22" i="60"/>
  <c r="AH55" i="60"/>
  <c r="AG55" i="60"/>
  <c r="AM44" i="60"/>
  <c r="AM44" i="58"/>
  <c r="AM28" i="61"/>
  <c r="AG14" i="61"/>
  <c r="AH14" i="61"/>
  <c r="AH55" i="61"/>
  <c r="AG55" i="61"/>
  <c r="AM13" i="61"/>
  <c r="AM61" i="60"/>
  <c r="AG17" i="60"/>
  <c r="AH17" i="60"/>
  <c r="AM56" i="60"/>
  <c r="AM37" i="60"/>
  <c r="AG61" i="61"/>
  <c r="AH61" i="61"/>
  <c r="AM31" i="61"/>
  <c r="AM48" i="61"/>
  <c r="AG28" i="61"/>
  <c r="AH28" i="61"/>
  <c r="AH52" i="60"/>
  <c r="AG52" i="60"/>
  <c r="AM21" i="60"/>
  <c r="AM18" i="60"/>
  <c r="AG14" i="60"/>
  <c r="AH14" i="60"/>
  <c r="AH46" i="60"/>
  <c r="AG46" i="60"/>
  <c r="AG39" i="60"/>
  <c r="AH39" i="60"/>
  <c r="AG48" i="60"/>
  <c r="AH48" i="60"/>
  <c r="AM10" i="58"/>
  <c r="AH11" i="61"/>
  <c r="AG11" i="61"/>
  <c r="AH33" i="61"/>
  <c r="AG33" i="61"/>
  <c r="AG41" i="61"/>
  <c r="AH41" i="61"/>
  <c r="AH43" i="61"/>
  <c r="AG43" i="61"/>
  <c r="AM12" i="61"/>
  <c r="AM55" i="61"/>
  <c r="O8" i="60"/>
  <c r="O9" i="60"/>
  <c r="R9" i="60"/>
  <c r="U9" i="60"/>
  <c r="V9" i="60" s="1"/>
  <c r="R13" i="60"/>
  <c r="S13" i="60" s="1"/>
  <c r="O12" i="60"/>
  <c r="O13" i="60"/>
  <c r="U12" i="60"/>
  <c r="U13" i="60"/>
  <c r="V13" i="60" s="1"/>
  <c r="R8" i="60"/>
  <c r="O10" i="60"/>
  <c r="U10" i="60"/>
  <c r="R16" i="60" a="1"/>
  <c r="R16" i="60" s="1"/>
  <c r="R12" i="60"/>
  <c r="U16" i="60" a="1"/>
  <c r="U16" i="60" s="1"/>
  <c r="U8" i="60"/>
  <c r="R10" i="60"/>
  <c r="O11" i="60"/>
  <c r="U11" i="60"/>
  <c r="V11" i="60" s="1"/>
  <c r="O16" i="60" a="1"/>
  <c r="O16" i="60" s="1"/>
  <c r="R11" i="60"/>
  <c r="AG32" i="60"/>
  <c r="AH32" i="60"/>
  <c r="AG42" i="60"/>
  <c r="AH42" i="60"/>
  <c r="AM47" i="60"/>
  <c r="AH18" i="60"/>
  <c r="AG18" i="60"/>
  <c r="AM28" i="60"/>
  <c r="AH11" i="60"/>
  <c r="AG11" i="60"/>
  <c r="AM30" i="58"/>
  <c r="AG7" i="58"/>
  <c r="AH7" i="58"/>
  <c r="AM54" i="61"/>
  <c r="AM24" i="60"/>
  <c r="AG34" i="60"/>
  <c r="AH34" i="60"/>
  <c r="AL65" i="58"/>
  <c r="AK65" i="58"/>
  <c r="AM65" i="58" s="1"/>
  <c r="AG37" i="61"/>
  <c r="AH37" i="61"/>
  <c r="AH38" i="61"/>
  <c r="AG38" i="61"/>
  <c r="AM38" i="60"/>
  <c r="AG36" i="60"/>
  <c r="AH36" i="60"/>
  <c r="AM25" i="60"/>
  <c r="AM49" i="60"/>
  <c r="AM33" i="60"/>
  <c r="AM34" i="58"/>
  <c r="AL63" i="58"/>
  <c r="AK63" i="58"/>
  <c r="AM63" i="58" s="1"/>
  <c r="AH18" i="58"/>
  <c r="AG18" i="58"/>
  <c r="AM20" i="61"/>
  <c r="AH8" i="61"/>
  <c r="AG8" i="61"/>
  <c r="AG12" i="61"/>
  <c r="AH12" i="61"/>
  <c r="AM16" i="61"/>
  <c r="AH45" i="61"/>
  <c r="AG45" i="61"/>
  <c r="AM62" i="61"/>
  <c r="AG24" i="61"/>
  <c r="AH24" i="61"/>
  <c r="AG13" i="60"/>
  <c r="AH13" i="60"/>
  <c r="AG38" i="60"/>
  <c r="AH38" i="60"/>
  <c r="AG56" i="60"/>
  <c r="AH56" i="60"/>
  <c r="AH30" i="60"/>
  <c r="AG30" i="60"/>
  <c r="AH20" i="60"/>
  <c r="AG20" i="60"/>
  <c r="AM48" i="60"/>
  <c r="AG19" i="60"/>
  <c r="AH19" i="60"/>
  <c r="AG9" i="58"/>
  <c r="AH9" i="58"/>
  <c r="AH34" i="58"/>
  <c r="AG34" i="58"/>
  <c r="AG31" i="61"/>
  <c r="AH31" i="61"/>
  <c r="AH33" i="60"/>
  <c r="AG33" i="60"/>
  <c r="AM36" i="60"/>
  <c r="AH47" i="60"/>
  <c r="AG47" i="60"/>
  <c r="AG20" i="61"/>
  <c r="AH20" i="61"/>
  <c r="AM30" i="61"/>
  <c r="AM43" i="61"/>
  <c r="AM37" i="61"/>
  <c r="AM38" i="61"/>
  <c r="AM32" i="61"/>
  <c r="AM19" i="60"/>
  <c r="AM42" i="60"/>
  <c r="AH25" i="60"/>
  <c r="AG25" i="60"/>
  <c r="AG45" i="60"/>
  <c r="AH45" i="60"/>
  <c r="AM13" i="60"/>
  <c r="AM26" i="60"/>
  <c r="AG44" i="58"/>
  <c r="AH44" i="58"/>
  <c r="AM49" i="61"/>
  <c r="AG18" i="61"/>
  <c r="AH18" i="61"/>
  <c r="AM39" i="61"/>
  <c r="AM34" i="61"/>
  <c r="AH36" i="61"/>
  <c r="AG36" i="61"/>
  <c r="AM26" i="61"/>
  <c r="AG37" i="60"/>
  <c r="AH37" i="60"/>
  <c r="AG21" i="60"/>
  <c r="AH21" i="60"/>
  <c r="AM55" i="60"/>
  <c r="AM17" i="60"/>
  <c r="AM9" i="58"/>
  <c r="AL64" i="58"/>
  <c r="AK64" i="58"/>
  <c r="AM64" i="58" s="1"/>
  <c r="AM45" i="61"/>
  <c r="AM8" i="61"/>
  <c r="AM51" i="61"/>
  <c r="AM22" i="61"/>
  <c r="AM46" i="60"/>
  <c r="AM34" i="60"/>
  <c r="AM18" i="58"/>
  <c r="AH30" i="58"/>
  <c r="AG30" i="58"/>
  <c r="AM8" i="58"/>
  <c r="R13" i="61"/>
  <c r="S13" i="61" s="1"/>
  <c r="U13" i="61"/>
  <c r="V13" i="61" s="1"/>
  <c r="O16" i="61" a="1"/>
  <c r="O16" i="61" s="1"/>
  <c r="R10" i="61"/>
  <c r="O13" i="61"/>
  <c r="U8" i="61"/>
  <c r="V8" i="61" s="1"/>
  <c r="U12" i="61"/>
  <c r="O11" i="61"/>
  <c r="R16" i="61" a="1"/>
  <c r="R16" i="61" s="1"/>
  <c r="U16" i="61" a="1"/>
  <c r="U16" i="61" s="1"/>
  <c r="O9" i="61"/>
  <c r="R11" i="61"/>
  <c r="U11" i="61"/>
  <c r="R9" i="61"/>
  <c r="R12" i="61"/>
  <c r="U9" i="61"/>
  <c r="V9" i="61" s="1"/>
  <c r="U10" i="61"/>
  <c r="V10" i="61" s="1"/>
  <c r="O12" i="61"/>
  <c r="R8" i="61"/>
  <c r="O10" i="61"/>
  <c r="O8" i="61"/>
  <c r="AH54" i="61"/>
  <c r="AG54" i="61"/>
  <c r="AG47" i="61"/>
  <c r="AH47" i="61"/>
  <c r="AM18" i="61"/>
  <c r="AM29" i="60"/>
  <c r="AM31" i="60"/>
  <c r="AH54" i="60"/>
  <c r="AG54" i="60"/>
  <c r="AG29" i="60"/>
  <c r="AH29" i="60"/>
  <c r="AG61" i="60"/>
  <c r="AH61" i="60"/>
  <c r="AM27" i="60"/>
  <c r="AH8" i="58"/>
  <c r="AG8" i="58"/>
  <c r="AL59" i="58"/>
  <c r="AK59" i="58"/>
  <c r="AM59" i="58" s="1"/>
  <c r="BD17" i="64"/>
  <c r="BC18" i="64"/>
  <c r="BI16" i="64"/>
  <c r="BF16" i="64"/>
  <c r="BG16" i="64"/>
  <c r="BH16" i="64"/>
  <c r="BH19" i="63"/>
  <c r="BF19" i="63"/>
  <c r="BI19" i="63"/>
  <c r="BG19" i="63"/>
  <c r="BD20" i="63"/>
  <c r="BC21" i="63"/>
  <c r="BD11" i="61"/>
  <c r="BC12" i="61"/>
  <c r="BI10" i="61"/>
  <c r="BH10" i="61"/>
  <c r="BG10" i="61"/>
  <c r="BF10" i="61"/>
  <c r="BF11" i="60"/>
  <c r="BI11" i="60"/>
  <c r="BH11" i="60"/>
  <c r="BG11" i="60"/>
  <c r="BF7" i="60"/>
  <c r="BI7" i="60"/>
  <c r="BG7" i="60"/>
  <c r="BH7" i="60"/>
  <c r="AA9" i="60"/>
  <c r="BF10" i="60"/>
  <c r="BI10" i="60"/>
  <c r="BH10" i="60"/>
  <c r="BG10" i="60"/>
  <c r="BF9" i="60"/>
  <c r="BG9" i="60"/>
  <c r="BI9" i="60"/>
  <c r="BH9" i="60"/>
  <c r="BC13" i="60"/>
  <c r="BD12" i="60"/>
  <c r="BF8" i="60"/>
  <c r="BH8" i="60"/>
  <c r="BI8" i="60"/>
  <c r="BG8" i="60"/>
  <c r="AH45" i="58"/>
  <c r="BD10" i="58"/>
  <c r="BC11" i="58"/>
  <c r="BD8" i="58"/>
  <c r="BD7" i="58"/>
  <c r="BD9" i="58"/>
  <c r="BE63" i="5"/>
  <c r="P11" i="10"/>
  <c r="P14" i="10" s="1"/>
  <c r="P13" i="10" s="1"/>
  <c r="AL24" i="58"/>
  <c r="AL62" i="58"/>
  <c r="AK15" i="58"/>
  <c r="AK28" i="58"/>
  <c r="E42" i="58"/>
  <c r="AL39" i="58"/>
  <c r="AL47" i="58"/>
  <c r="AL11" i="58"/>
  <c r="AK47" i="58"/>
  <c r="AK37" i="58"/>
  <c r="E34" i="58"/>
  <c r="E28" i="58"/>
  <c r="AL61" i="58"/>
  <c r="AK40" i="58"/>
  <c r="E24" i="58"/>
  <c r="AL28" i="58"/>
  <c r="AK43" i="58"/>
  <c r="AL21" i="58"/>
  <c r="AL16" i="58"/>
  <c r="E31" i="58"/>
  <c r="AK17" i="58"/>
  <c r="E55" i="58"/>
  <c r="E37" i="58"/>
  <c r="AK22" i="58"/>
  <c r="AL41" i="58"/>
  <c r="AK12" i="58"/>
  <c r="AK52" i="58"/>
  <c r="AK49" i="58"/>
  <c r="AK31" i="58"/>
  <c r="E32" i="58"/>
  <c r="E21" i="58"/>
  <c r="AL13" i="58"/>
  <c r="AK51" i="58"/>
  <c r="AK53" i="58"/>
  <c r="E13" i="58"/>
  <c r="AL46" i="58"/>
  <c r="E50" i="58"/>
  <c r="AK13" i="58"/>
  <c r="AL20" i="58"/>
  <c r="E22" i="58"/>
  <c r="AK20" i="58"/>
  <c r="E62" i="58"/>
  <c r="E45" i="58"/>
  <c r="AL36" i="58"/>
  <c r="E47" i="58"/>
  <c r="AL26" i="58"/>
  <c r="E39" i="58"/>
  <c r="AL27" i="58"/>
  <c r="AK21" i="58"/>
  <c r="AL32" i="58"/>
  <c r="AK25" i="58"/>
  <c r="E56" i="58"/>
  <c r="E41" i="58"/>
  <c r="E30" i="58"/>
  <c r="E40" i="58"/>
  <c r="E43" i="58"/>
  <c r="AL51" i="58"/>
  <c r="AK16" i="58"/>
  <c r="AK14" i="58"/>
  <c r="E23" i="58"/>
  <c r="E16" i="58"/>
  <c r="AK24" i="58"/>
  <c r="AL23" i="58"/>
  <c r="AK50" i="58"/>
  <c r="AL19" i="58"/>
  <c r="AK19" i="58"/>
  <c r="AL37" i="58"/>
  <c r="AK41" i="58"/>
  <c r="AK26" i="58"/>
  <c r="AL35" i="58"/>
  <c r="AL53" i="58"/>
  <c r="E49" i="58"/>
  <c r="AL25" i="58"/>
  <c r="E35" i="58"/>
  <c r="E14" i="58"/>
  <c r="AL31" i="58"/>
  <c r="AK36" i="58"/>
  <c r="AK27" i="58"/>
  <c r="E26" i="58"/>
  <c r="E54" i="58"/>
  <c r="E20" i="58"/>
  <c r="AK11" i="58"/>
  <c r="AL57" i="58"/>
  <c r="AK32" i="58"/>
  <c r="AK55" i="58"/>
  <c r="E12" i="58"/>
  <c r="E18" i="58"/>
  <c r="AK35" i="58"/>
  <c r="AL15" i="58"/>
  <c r="AK57" i="58"/>
  <c r="E44" i="58"/>
  <c r="AL49" i="58"/>
  <c r="E33" i="58"/>
  <c r="AL52" i="58"/>
  <c r="AL43" i="58"/>
  <c r="AK54" i="58"/>
  <c r="AL54" i="58"/>
  <c r="AL50" i="58"/>
  <c r="AL55" i="58"/>
  <c r="AK42" i="58"/>
  <c r="AK23" i="58"/>
  <c r="AK39" i="58"/>
  <c r="E53" i="58"/>
  <c r="E61" i="58"/>
  <c r="AK61" i="58"/>
  <c r="AL14" i="58"/>
  <c r="E52" i="58"/>
  <c r="AK33" i="58"/>
  <c r="E48" i="58"/>
  <c r="E57" i="58"/>
  <c r="AK29" i="58"/>
  <c r="AL33" i="58"/>
  <c r="AL48" i="58"/>
  <c r="AL12" i="58"/>
  <c r="AL56" i="58"/>
  <c r="AK46" i="58"/>
  <c r="E36" i="58"/>
  <c r="AK48" i="58"/>
  <c r="E27" i="58"/>
  <c r="AK62" i="58"/>
  <c r="E29" i="58"/>
  <c r="E46" i="58"/>
  <c r="E25" i="58"/>
  <c r="AL40" i="58"/>
  <c r="AK56" i="58"/>
  <c r="AL29" i="58"/>
  <c r="E19" i="58"/>
  <c r="AK38" i="58"/>
  <c r="AL17" i="58"/>
  <c r="AL38" i="58"/>
  <c r="AL22" i="58"/>
  <c r="AL42" i="58"/>
  <c r="E17" i="58"/>
  <c r="AA11" i="61" l="1"/>
  <c r="U14" i="61"/>
  <c r="V12" i="61" s="1"/>
  <c r="AA12" i="61"/>
  <c r="U14" i="60"/>
  <c r="V10" i="60" s="1"/>
  <c r="AA10" i="60"/>
  <c r="AA13" i="60"/>
  <c r="AA8" i="60"/>
  <c r="AA8" i="61"/>
  <c r="V8" i="60"/>
  <c r="O14" i="61"/>
  <c r="P10" i="61" s="1"/>
  <c r="AA10" i="61"/>
  <c r="AA11" i="60"/>
  <c r="R14" i="60"/>
  <c r="S8" i="60" s="1"/>
  <c r="AA12" i="60"/>
  <c r="O14" i="60"/>
  <c r="P8" i="60" s="1"/>
  <c r="BD24" i="65"/>
  <c r="BC25" i="65"/>
  <c r="BH23" i="65"/>
  <c r="BF23" i="65"/>
  <c r="BG23" i="65"/>
  <c r="BI23" i="65"/>
  <c r="AH61" i="58"/>
  <c r="AG61" i="58"/>
  <c r="AM47" i="58"/>
  <c r="AM41" i="58"/>
  <c r="AH33" i="58"/>
  <c r="AG33" i="58"/>
  <c r="AM51" i="58"/>
  <c r="AM32" i="58"/>
  <c r="AM22" i="58"/>
  <c r="AH14" i="58"/>
  <c r="AG14" i="58"/>
  <c r="AM25" i="58"/>
  <c r="AM16" i="58"/>
  <c r="AM54" i="58"/>
  <c r="AG28" i="58"/>
  <c r="AH28" i="58"/>
  <c r="AM31" i="58"/>
  <c r="AM39" i="58"/>
  <c r="AG11" i="58"/>
  <c r="AH11" i="58"/>
  <c r="AH15" i="58"/>
  <c r="AG15" i="58"/>
  <c r="AH35" i="58"/>
  <c r="AG35" i="58"/>
  <c r="AM17" i="58"/>
  <c r="AM23" i="58"/>
  <c r="AM48" i="58"/>
  <c r="AM53" i="58"/>
  <c r="AH56" i="58"/>
  <c r="AG56" i="58"/>
  <c r="AM13" i="58"/>
  <c r="AM61" i="58"/>
  <c r="AH47" i="58"/>
  <c r="AG47" i="58"/>
  <c r="AG41" i="58"/>
  <c r="AH41" i="58"/>
  <c r="AH52" i="58"/>
  <c r="AG52" i="58"/>
  <c r="AH12" i="58"/>
  <c r="AG12" i="58"/>
  <c r="AG51" i="58"/>
  <c r="AH51" i="58"/>
  <c r="AG26" i="58"/>
  <c r="AH26" i="58"/>
  <c r="AH21" i="58"/>
  <c r="AG21" i="58"/>
  <c r="AH57" i="58"/>
  <c r="AG57" i="58"/>
  <c r="AM14" i="58"/>
  <c r="AG38" i="58"/>
  <c r="AH38" i="58"/>
  <c r="AH16" i="58"/>
  <c r="AG16" i="58"/>
  <c r="AH54" i="58"/>
  <c r="AG54" i="58"/>
  <c r="AM28" i="58"/>
  <c r="AH31" i="58"/>
  <c r="AG31" i="58"/>
  <c r="AH50" i="58"/>
  <c r="AG50" i="58"/>
  <c r="AM24" i="58"/>
  <c r="AM35" i="58"/>
  <c r="AG17" i="58"/>
  <c r="AH17" i="58"/>
  <c r="AG55" i="58"/>
  <c r="AH55" i="58"/>
  <c r="AH48" i="58"/>
  <c r="AG48" i="58"/>
  <c r="AG37" i="58"/>
  <c r="AH37" i="58"/>
  <c r="AM27" i="58"/>
  <c r="U9" i="58"/>
  <c r="V9" i="58" s="1"/>
  <c r="U10" i="58"/>
  <c r="O10" i="58"/>
  <c r="O9" i="58"/>
  <c r="R16" i="58" a="1"/>
  <c r="R16" i="58" s="1"/>
  <c r="O16" i="58" a="1"/>
  <c r="O16" i="58" s="1"/>
  <c r="U8" i="58"/>
  <c r="V8" i="58" s="1"/>
  <c r="R11" i="58"/>
  <c r="R13" i="58"/>
  <c r="S13" i="58" s="1"/>
  <c r="U12" i="58"/>
  <c r="R12" i="58"/>
  <c r="O11" i="58"/>
  <c r="R8" i="58"/>
  <c r="R9" i="58"/>
  <c r="O12" i="58"/>
  <c r="U16" i="58" a="1"/>
  <c r="U16" i="58" s="1"/>
  <c r="U13" i="58"/>
  <c r="V13" i="58" s="1"/>
  <c r="O8" i="58"/>
  <c r="U11" i="58"/>
  <c r="V11" i="58" s="1"/>
  <c r="R10" i="58"/>
  <c r="O13" i="58"/>
  <c r="AH53" i="58"/>
  <c r="AG53" i="58"/>
  <c r="AM56" i="58"/>
  <c r="AG49" i="58"/>
  <c r="AH49" i="58"/>
  <c r="AM52" i="58"/>
  <c r="AM12" i="58"/>
  <c r="AH40" i="58"/>
  <c r="AG40" i="58"/>
  <c r="AM26" i="58"/>
  <c r="AM21" i="58"/>
  <c r="AM57" i="58"/>
  <c r="AG46" i="58"/>
  <c r="AH46" i="58"/>
  <c r="AM38" i="58"/>
  <c r="AM19" i="58"/>
  <c r="AM50" i="58"/>
  <c r="AH24" i="58"/>
  <c r="AG24" i="58"/>
  <c r="AH36" i="58"/>
  <c r="AG36" i="58"/>
  <c r="AG42" i="58"/>
  <c r="AH42" i="58"/>
  <c r="AH20" i="58"/>
  <c r="AG20" i="58"/>
  <c r="AM55" i="58"/>
  <c r="AM37" i="58"/>
  <c r="AG27" i="58"/>
  <c r="AH27" i="58"/>
  <c r="AH43" i="58"/>
  <c r="AG43" i="58"/>
  <c r="AH29" i="58"/>
  <c r="AG29" i="58"/>
  <c r="AM49" i="58"/>
  <c r="AM33" i="58"/>
  <c r="AM40" i="58"/>
  <c r="AH32" i="58"/>
  <c r="AG32" i="58"/>
  <c r="AG22" i="58"/>
  <c r="AH22" i="58"/>
  <c r="AM46" i="58"/>
  <c r="AH25" i="58"/>
  <c r="AG25" i="58"/>
  <c r="AG19" i="58"/>
  <c r="AH19" i="58"/>
  <c r="AG39" i="58"/>
  <c r="AH39" i="58"/>
  <c r="AM11" i="58"/>
  <c r="AM15" i="58"/>
  <c r="AM36" i="58"/>
  <c r="AM42" i="58"/>
  <c r="AM62" i="58"/>
  <c r="AM20" i="58"/>
  <c r="AG23" i="58"/>
  <c r="AH23" i="58"/>
  <c r="AM43" i="58"/>
  <c r="AM29" i="58"/>
  <c r="AH13" i="58"/>
  <c r="AG13" i="58"/>
  <c r="AA13" i="61"/>
  <c r="R14" i="61"/>
  <c r="AA9" i="61"/>
  <c r="P8" i="61"/>
  <c r="BC19" i="64"/>
  <c r="BD18" i="64"/>
  <c r="BF17" i="64"/>
  <c r="BH17" i="64"/>
  <c r="BI17" i="64"/>
  <c r="BG17" i="64"/>
  <c r="BI20" i="63"/>
  <c r="BG20" i="63"/>
  <c r="BF20" i="63"/>
  <c r="BH20" i="63"/>
  <c r="BD21" i="63"/>
  <c r="BC22" i="63"/>
  <c r="P9" i="61"/>
  <c r="P14" i="61"/>
  <c r="U5" i="61"/>
  <c r="V14" i="61"/>
  <c r="V11" i="61"/>
  <c r="BD12" i="61"/>
  <c r="BC13" i="61"/>
  <c r="BI11" i="61"/>
  <c r="BH11" i="61"/>
  <c r="BG11" i="61"/>
  <c r="BF11" i="61"/>
  <c r="V12" i="60"/>
  <c r="BC14" i="60"/>
  <c r="BD13" i="60"/>
  <c r="BF12" i="60"/>
  <c r="BH12" i="60"/>
  <c r="BG12" i="60"/>
  <c r="BI12" i="60"/>
  <c r="BF9" i="58"/>
  <c r="BI9" i="58"/>
  <c r="BH9" i="58"/>
  <c r="BG9" i="58"/>
  <c r="BF10" i="58"/>
  <c r="BI10" i="58"/>
  <c r="BH10" i="58"/>
  <c r="BG10" i="58"/>
  <c r="BC12" i="58"/>
  <c r="BD11" i="58"/>
  <c r="BF7" i="58"/>
  <c r="BI7" i="58"/>
  <c r="BH7" i="58"/>
  <c r="BG7" i="58"/>
  <c r="BF8" i="58"/>
  <c r="BI8" i="58"/>
  <c r="BH8" i="58"/>
  <c r="BG8" i="58"/>
  <c r="C68" i="57"/>
  <c r="B68" i="57" s="1"/>
  <c r="AH67" i="57"/>
  <c r="AG67" i="57"/>
  <c r="AF67" i="57"/>
  <c r="AH66" i="57"/>
  <c r="AG66" i="57"/>
  <c r="AF66" i="57"/>
  <c r="AH65" i="57"/>
  <c r="AG65" i="57"/>
  <c r="AF65" i="57"/>
  <c r="AH64" i="57"/>
  <c r="AG64" i="57"/>
  <c r="AF64" i="57"/>
  <c r="AV63" i="57"/>
  <c r="AH63" i="57"/>
  <c r="AG63" i="57"/>
  <c r="AF63" i="57"/>
  <c r="AV62" i="57"/>
  <c r="AH62" i="57"/>
  <c r="AG62" i="57"/>
  <c r="AF62" i="57"/>
  <c r="AV61" i="57"/>
  <c r="AV60" i="57"/>
  <c r="AH60" i="57"/>
  <c r="AG60" i="57"/>
  <c r="AF60" i="57"/>
  <c r="AF61" i="57" s="1"/>
  <c r="G60" i="57"/>
  <c r="E60" i="57" s="1"/>
  <c r="AV59" i="57"/>
  <c r="AH59" i="57"/>
  <c r="AG59" i="57"/>
  <c r="AF59" i="57"/>
  <c r="G59" i="57"/>
  <c r="E59" i="57" s="1"/>
  <c r="AV58" i="57"/>
  <c r="AV57" i="57"/>
  <c r="AV56" i="57"/>
  <c r="AV55" i="57"/>
  <c r="AV54" i="57"/>
  <c r="AV53" i="57"/>
  <c r="AV52" i="57"/>
  <c r="AV51" i="57"/>
  <c r="AV50" i="57"/>
  <c r="AV49" i="57"/>
  <c r="AV48" i="57"/>
  <c r="AV47" i="57"/>
  <c r="AV46" i="57"/>
  <c r="AV45" i="57"/>
  <c r="AV44" i="57"/>
  <c r="AV43" i="57"/>
  <c r="AV42" i="57"/>
  <c r="AV41" i="57"/>
  <c r="AV40" i="57"/>
  <c r="AV39" i="57"/>
  <c r="AV38" i="57"/>
  <c r="AV37" i="57"/>
  <c r="AV36" i="57"/>
  <c r="AV35" i="57"/>
  <c r="AV34" i="57"/>
  <c r="AV33" i="57"/>
  <c r="AV32" i="57"/>
  <c r="AV31" i="57"/>
  <c r="AV30" i="57"/>
  <c r="AV29" i="57"/>
  <c r="AV28" i="57"/>
  <c r="AV27" i="57"/>
  <c r="AV26" i="57"/>
  <c r="AV25" i="57"/>
  <c r="AV24" i="57"/>
  <c r="AV23" i="57"/>
  <c r="AV22" i="57"/>
  <c r="AV21" i="57"/>
  <c r="AV20" i="57"/>
  <c r="AV19" i="57"/>
  <c r="AV18" i="57"/>
  <c r="AV17" i="57"/>
  <c r="AV16" i="57"/>
  <c r="L16" i="57" a="1"/>
  <c r="L16" i="57" s="1"/>
  <c r="AV15" i="57"/>
  <c r="AV14" i="57"/>
  <c r="AV13" i="57"/>
  <c r="L13" i="57"/>
  <c r="AV12" i="57"/>
  <c r="L12" i="57"/>
  <c r="AV11" i="57"/>
  <c r="L11" i="57"/>
  <c r="AV10" i="57"/>
  <c r="L10" i="57"/>
  <c r="AV9" i="57"/>
  <c r="L9" i="57"/>
  <c r="AV8" i="57"/>
  <c r="L8" i="57"/>
  <c r="BC7" i="57"/>
  <c r="BC8" i="57" s="1"/>
  <c r="BC9" i="57" s="1"/>
  <c r="AV7" i="57"/>
  <c r="AF7" i="57"/>
  <c r="AF8" i="57" s="1"/>
  <c r="AF9" i="57" s="1"/>
  <c r="AF10" i="57" s="1"/>
  <c r="AF11" i="57" s="1"/>
  <c r="AF12" i="57" s="1"/>
  <c r="AF13" i="57" s="1"/>
  <c r="AF14" i="57" s="1"/>
  <c r="AF15" i="57" s="1"/>
  <c r="AF16" i="57" s="1"/>
  <c r="AF17" i="57" s="1"/>
  <c r="AF18" i="57" s="1"/>
  <c r="AF19" i="57" s="1"/>
  <c r="AF20" i="57" s="1"/>
  <c r="AF21" i="57" s="1"/>
  <c r="AF22" i="57" s="1"/>
  <c r="AF23" i="57" s="1"/>
  <c r="AF24" i="57" s="1"/>
  <c r="AF25" i="57" s="1"/>
  <c r="AF26" i="57" s="1"/>
  <c r="AF27" i="57" s="1"/>
  <c r="AF28" i="57" s="1"/>
  <c r="AF29" i="57" s="1"/>
  <c r="AF30" i="57" s="1"/>
  <c r="AF31" i="57" s="1"/>
  <c r="AF32" i="57" s="1"/>
  <c r="AF33" i="57" s="1"/>
  <c r="AF34" i="57" s="1"/>
  <c r="AF35" i="57" s="1"/>
  <c r="AF36" i="57" s="1"/>
  <c r="AF37" i="57" s="1"/>
  <c r="AF38" i="57" s="1"/>
  <c r="AF39" i="57" s="1"/>
  <c r="AF40" i="57" s="1"/>
  <c r="AF41" i="57" s="1"/>
  <c r="AF42" i="57" s="1"/>
  <c r="AF43" i="57" s="1"/>
  <c r="AF44" i="57" s="1"/>
  <c r="AF45" i="57" s="1"/>
  <c r="AF46" i="57" s="1"/>
  <c r="AF47" i="57" s="1"/>
  <c r="AF48" i="57" s="1"/>
  <c r="AF49" i="57" s="1"/>
  <c r="AF50" i="57" s="1"/>
  <c r="AF51" i="57" s="1"/>
  <c r="AF52" i="57" s="1"/>
  <c r="AF53" i="57" s="1"/>
  <c r="AF54" i="57" s="1"/>
  <c r="AF55" i="57" s="1"/>
  <c r="AF56" i="57" s="1"/>
  <c r="AF57" i="57" s="1"/>
  <c r="AF58" i="57" s="1"/>
  <c r="AL4" i="57"/>
  <c r="AK4" i="57"/>
  <c r="AJ4" i="57"/>
  <c r="G3" i="57"/>
  <c r="AL2" i="57"/>
  <c r="AK2" i="57"/>
  <c r="AJ2" i="57"/>
  <c r="E2" i="57"/>
  <c r="E3" i="57" s="1"/>
  <c r="A1" i="57"/>
  <c r="G7" i="57"/>
  <c r="G11" i="57"/>
  <c r="G14" i="57"/>
  <c r="G16" i="57"/>
  <c r="G9" i="57"/>
  <c r="G10" i="57"/>
  <c r="E6" i="57"/>
  <c r="G12" i="57"/>
  <c r="AJ28" i="57"/>
  <c r="U5" i="60" l="1"/>
  <c r="R14" i="58"/>
  <c r="S12" i="58" s="1"/>
  <c r="R5" i="60"/>
  <c r="P12" i="60"/>
  <c r="AA11" i="58"/>
  <c r="AA9" i="58"/>
  <c r="AA14" i="60"/>
  <c r="P10" i="60"/>
  <c r="AW8" i="57"/>
  <c r="AX8" i="57" s="1"/>
  <c r="P9" i="60"/>
  <c r="O5" i="60"/>
  <c r="P13" i="60"/>
  <c r="P14" i="60"/>
  <c r="S9" i="60"/>
  <c r="P11" i="60"/>
  <c r="AA13" i="58"/>
  <c r="V14" i="60"/>
  <c r="P12" i="61"/>
  <c r="O5" i="61"/>
  <c r="P13" i="61"/>
  <c r="AA8" i="58"/>
  <c r="AA14" i="61"/>
  <c r="P11" i="61"/>
  <c r="AA12" i="58"/>
  <c r="S14" i="60"/>
  <c r="O14" i="58"/>
  <c r="P11" i="58" s="1"/>
  <c r="U14" i="58"/>
  <c r="V10" i="58" s="1"/>
  <c r="S12" i="60"/>
  <c r="S10" i="60"/>
  <c r="S11" i="60"/>
  <c r="AA10" i="58"/>
  <c r="BC26" i="65"/>
  <c r="BD25" i="65"/>
  <c r="BI24" i="65"/>
  <c r="BH24" i="65"/>
  <c r="BG24" i="65"/>
  <c r="BF24" i="65"/>
  <c r="S12" i="61"/>
  <c r="S10" i="61"/>
  <c r="S14" i="61"/>
  <c r="S8" i="61"/>
  <c r="R5" i="61"/>
  <c r="S9" i="61"/>
  <c r="S11" i="61"/>
  <c r="BG18" i="64"/>
  <c r="BF18" i="64"/>
  <c r="BI18" i="64"/>
  <c r="BH18" i="64"/>
  <c r="BC20" i="64"/>
  <c r="BD19" i="64"/>
  <c r="BF21" i="63"/>
  <c r="BH21" i="63"/>
  <c r="BI21" i="63"/>
  <c r="BG21" i="63"/>
  <c r="BC23" i="63"/>
  <c r="BD22" i="63"/>
  <c r="S8" i="58"/>
  <c r="BI12" i="61"/>
  <c r="BG12" i="61"/>
  <c r="BF12" i="61"/>
  <c r="BH12" i="61"/>
  <c r="BC14" i="61"/>
  <c r="BD13" i="61"/>
  <c r="BH13" i="60"/>
  <c r="BF13" i="60"/>
  <c r="BG13" i="60"/>
  <c r="BI13" i="60"/>
  <c r="BC15" i="60"/>
  <c r="BD14" i="60"/>
  <c r="S9" i="58"/>
  <c r="R5" i="58"/>
  <c r="BG11" i="58"/>
  <c r="BH11" i="58"/>
  <c r="BF11" i="58"/>
  <c r="BI11" i="58"/>
  <c r="BC13" i="58"/>
  <c r="BD12" i="58"/>
  <c r="S11" i="58"/>
  <c r="AW29" i="57"/>
  <c r="AW17" i="57"/>
  <c r="AX17" i="57" s="1"/>
  <c r="AW25" i="57"/>
  <c r="AW31" i="57"/>
  <c r="AX31" i="57" s="1"/>
  <c r="AW12" i="57"/>
  <c r="AX12" i="57" s="1"/>
  <c r="L14" i="57"/>
  <c r="M8" i="57" s="1"/>
  <c r="AW33" i="57"/>
  <c r="AW10" i="57"/>
  <c r="AX10" i="57" s="1"/>
  <c r="AW19" i="57"/>
  <c r="AX19" i="57" s="1"/>
  <c r="AW21" i="57"/>
  <c r="AW27" i="57"/>
  <c r="AX27" i="57" s="1"/>
  <c r="AW52" i="57"/>
  <c r="AX52" i="57" s="1"/>
  <c r="AW13" i="57"/>
  <c r="AX13" i="57" s="1"/>
  <c r="AW15" i="57"/>
  <c r="AX15" i="57" s="1"/>
  <c r="AW23" i="57"/>
  <c r="AX23" i="57" s="1"/>
  <c r="AW9" i="57"/>
  <c r="AX9" i="57" s="1"/>
  <c r="BC10" i="57"/>
  <c r="AW61" i="57"/>
  <c r="AX61" i="57" s="1"/>
  <c r="AW57" i="57"/>
  <c r="AX57" i="57" s="1"/>
  <c r="AW53" i="57"/>
  <c r="AX53" i="57" s="1"/>
  <c r="AW63" i="57"/>
  <c r="AX63" i="57" s="1"/>
  <c r="AW45" i="57"/>
  <c r="AX45" i="57" s="1"/>
  <c r="AW38" i="57"/>
  <c r="AX38" i="57" s="1"/>
  <c r="AW14" i="57"/>
  <c r="AX14" i="57" s="1"/>
  <c r="AW49" i="57"/>
  <c r="AX49" i="57" s="1"/>
  <c r="AW47" i="57"/>
  <c r="AX47" i="57" s="1"/>
  <c r="AW42" i="57"/>
  <c r="AX42" i="57" s="1"/>
  <c r="AW34" i="57"/>
  <c r="AX34" i="57" s="1"/>
  <c r="AW30" i="57"/>
  <c r="AX30" i="57" s="1"/>
  <c r="AW26" i="57"/>
  <c r="AX26" i="57" s="1"/>
  <c r="AW22" i="57"/>
  <c r="AX22" i="57" s="1"/>
  <c r="AW18" i="57"/>
  <c r="AX18" i="57" s="1"/>
  <c r="AW7" i="57"/>
  <c r="AX7" i="57" s="1"/>
  <c r="AW11" i="57"/>
  <c r="AX11" i="57" s="1"/>
  <c r="AW35" i="57"/>
  <c r="AX35" i="57" s="1"/>
  <c r="AW48" i="57"/>
  <c r="AX48" i="57" s="1"/>
  <c r="AW60" i="57"/>
  <c r="AX60" i="57" s="1"/>
  <c r="AW16" i="57"/>
  <c r="AX16" i="57" s="1"/>
  <c r="AW20" i="57"/>
  <c r="AX20" i="57" s="1"/>
  <c r="AW24" i="57"/>
  <c r="AX24" i="57" s="1"/>
  <c r="AW28" i="57"/>
  <c r="AX28" i="57" s="1"/>
  <c r="AW32" i="57"/>
  <c r="AX32" i="57" s="1"/>
  <c r="AW36" i="57"/>
  <c r="AX36" i="57" s="1"/>
  <c r="AW39" i="57"/>
  <c r="AX39" i="57" s="1"/>
  <c r="AW41" i="57"/>
  <c r="AX41" i="57" s="1"/>
  <c r="AW44" i="57"/>
  <c r="AX44" i="57" s="1"/>
  <c r="AX21" i="57"/>
  <c r="AX25" i="57"/>
  <c r="AX29" i="57"/>
  <c r="AX33" i="57"/>
  <c r="AW37" i="57"/>
  <c r="AX37" i="57" s="1"/>
  <c r="AW54" i="57"/>
  <c r="AX54" i="57" s="1"/>
  <c r="AW43" i="57"/>
  <c r="AX43" i="57" s="1"/>
  <c r="AW46" i="57"/>
  <c r="AX46" i="57" s="1"/>
  <c r="AW50" i="57"/>
  <c r="AX50" i="57" s="1"/>
  <c r="AX56" i="57"/>
  <c r="AW58" i="57"/>
  <c r="AX58" i="57" s="1"/>
  <c r="AW59" i="57"/>
  <c r="AX59" i="57" s="1"/>
  <c r="AW40" i="57"/>
  <c r="AX40" i="57" s="1"/>
  <c r="AW56" i="57"/>
  <c r="AW62" i="57"/>
  <c r="AX62" i="57" s="1"/>
  <c r="AW51" i="57"/>
  <c r="AX51" i="57" s="1"/>
  <c r="AW55" i="57"/>
  <c r="AX55" i="57" s="1"/>
  <c r="G58" i="57"/>
  <c r="AJ21" i="57"/>
  <c r="AJ34" i="57"/>
  <c r="AJ56" i="57"/>
  <c r="AJ11" i="57"/>
  <c r="AJ43" i="57"/>
  <c r="AJ7" i="57"/>
  <c r="AJ32" i="57"/>
  <c r="E7" i="57"/>
  <c r="G25" i="57"/>
  <c r="G52" i="57"/>
  <c r="AJ46" i="57"/>
  <c r="AJ64" i="57"/>
  <c r="AJ40" i="57"/>
  <c r="G51" i="57"/>
  <c r="G8" i="57"/>
  <c r="AJ49" i="57"/>
  <c r="AJ58" i="57"/>
  <c r="G22" i="57"/>
  <c r="G40" i="57"/>
  <c r="AK28" i="57"/>
  <c r="G47" i="57"/>
  <c r="AJ37" i="57"/>
  <c r="G37" i="57"/>
  <c r="AJ19" i="57"/>
  <c r="AJ18" i="57"/>
  <c r="AJ41" i="57"/>
  <c r="G38" i="57"/>
  <c r="G43" i="57"/>
  <c r="G50" i="57"/>
  <c r="AJ61" i="57"/>
  <c r="AJ23" i="57"/>
  <c r="AJ16" i="57"/>
  <c r="E10" i="57"/>
  <c r="G13" i="57"/>
  <c r="AJ47" i="57"/>
  <c r="AJ25" i="57"/>
  <c r="AJ12" i="57"/>
  <c r="AL28" i="57"/>
  <c r="AJ53" i="57"/>
  <c r="G34" i="57"/>
  <c r="AJ59" i="57"/>
  <c r="G20" i="57"/>
  <c r="E16" i="57"/>
  <c r="G56" i="57"/>
  <c r="AJ67" i="57"/>
  <c r="G36" i="57"/>
  <c r="E9" i="57"/>
  <c r="G44" i="57"/>
  <c r="G42" i="57"/>
  <c r="AJ29" i="57"/>
  <c r="G32" i="57"/>
  <c r="AJ13" i="57"/>
  <c r="G27" i="57"/>
  <c r="AJ26" i="57"/>
  <c r="G48" i="57"/>
  <c r="AJ22" i="57"/>
  <c r="AJ31" i="57"/>
  <c r="AJ45" i="57"/>
  <c r="AJ44" i="57"/>
  <c r="AJ66" i="57"/>
  <c r="G30" i="57"/>
  <c r="AJ33" i="57"/>
  <c r="AJ48" i="57"/>
  <c r="E14" i="57"/>
  <c r="AJ62" i="57"/>
  <c r="AJ10" i="57"/>
  <c r="G53" i="57"/>
  <c r="AJ55" i="57"/>
  <c r="G26" i="57"/>
  <c r="AJ42" i="57"/>
  <c r="AJ65" i="57"/>
  <c r="E12" i="57"/>
  <c r="AJ24" i="57"/>
  <c r="AJ36" i="57"/>
  <c r="G41" i="57"/>
  <c r="AJ30" i="57"/>
  <c r="G54" i="57"/>
  <c r="AJ27" i="57"/>
  <c r="G31" i="57"/>
  <c r="G45" i="57"/>
  <c r="G33" i="57"/>
  <c r="AJ8" i="57"/>
  <c r="AJ38" i="57"/>
  <c r="G15" i="57"/>
  <c r="AJ9" i="57"/>
  <c r="G28" i="57"/>
  <c r="G17" i="57"/>
  <c r="G35" i="57"/>
  <c r="G21" i="57"/>
  <c r="AJ51" i="57"/>
  <c r="G24" i="57"/>
  <c r="G18" i="57"/>
  <c r="AJ15" i="57"/>
  <c r="G29" i="57"/>
  <c r="G61" i="57"/>
  <c r="G46" i="57"/>
  <c r="AJ17" i="57"/>
  <c r="G55" i="57"/>
  <c r="AJ63" i="57"/>
  <c r="G19" i="57"/>
  <c r="AJ14" i="57"/>
  <c r="E11" i="57"/>
  <c r="AJ52" i="57"/>
  <c r="G62" i="57"/>
  <c r="AJ20" i="57"/>
  <c r="AJ50" i="57"/>
  <c r="G23" i="57"/>
  <c r="AJ39" i="57"/>
  <c r="AJ54" i="57"/>
  <c r="AJ57" i="57"/>
  <c r="G39" i="57"/>
  <c r="G57" i="57"/>
  <c r="AJ35" i="57"/>
  <c r="G49" i="57"/>
  <c r="AJ60" i="57"/>
  <c r="AA14" i="58" l="1"/>
  <c r="S14" i="58"/>
  <c r="S10" i="58"/>
  <c r="U5" i="58"/>
  <c r="M11" i="57"/>
  <c r="M10" i="57"/>
  <c r="P14" i="58"/>
  <c r="C77" i="57"/>
  <c r="P8" i="58"/>
  <c r="P9" i="58"/>
  <c r="O5" i="58"/>
  <c r="P12" i="58"/>
  <c r="P10" i="58"/>
  <c r="P13" i="58"/>
  <c r="V14" i="58"/>
  <c r="V12" i="58"/>
  <c r="BF25" i="65"/>
  <c r="BI25" i="65"/>
  <c r="BH25" i="65"/>
  <c r="BG25" i="65"/>
  <c r="BC27" i="65"/>
  <c r="BD26" i="65"/>
  <c r="BH19" i="64"/>
  <c r="BF19" i="64"/>
  <c r="BG19" i="64"/>
  <c r="BI19" i="64"/>
  <c r="BD20" i="64"/>
  <c r="BC21" i="64"/>
  <c r="BD23" i="63"/>
  <c r="BC24" i="63"/>
  <c r="BG22" i="63"/>
  <c r="BI22" i="63"/>
  <c r="BF22" i="63"/>
  <c r="BH22" i="63"/>
  <c r="BG13" i="61"/>
  <c r="BI13" i="61"/>
  <c r="BH13" i="61"/>
  <c r="BF13" i="61"/>
  <c r="BD14" i="61"/>
  <c r="BC15" i="61"/>
  <c r="BG14" i="60"/>
  <c r="BI14" i="60"/>
  <c r="BH14" i="60"/>
  <c r="BF14" i="60"/>
  <c r="BD15" i="60"/>
  <c r="BC16" i="60"/>
  <c r="BD13" i="58"/>
  <c r="BC14" i="58"/>
  <c r="BG12" i="58"/>
  <c r="BF12" i="58"/>
  <c r="BI12" i="58"/>
  <c r="BH12" i="58"/>
  <c r="AY41" i="57"/>
  <c r="AL63" i="57"/>
  <c r="AK63" i="57"/>
  <c r="AM63" i="57" s="1"/>
  <c r="AK66" i="57"/>
  <c r="AM66" i="57" s="1"/>
  <c r="AL66" i="57"/>
  <c r="AM28" i="57"/>
  <c r="AL64" i="57"/>
  <c r="AK64" i="57"/>
  <c r="AM64" i="57" s="1"/>
  <c r="AL60" i="57"/>
  <c r="AK60" i="57"/>
  <c r="AM60" i="57" s="1"/>
  <c r="AL59" i="57"/>
  <c r="AK59" i="57"/>
  <c r="AM59" i="57" s="1"/>
  <c r="AL65" i="57"/>
  <c r="AK65" i="57"/>
  <c r="AM65" i="57" s="1"/>
  <c r="AL67" i="57"/>
  <c r="AK67" i="57"/>
  <c r="AM67" i="57" s="1"/>
  <c r="AG28" i="57"/>
  <c r="AH28" i="57"/>
  <c r="AY20" i="57"/>
  <c r="AY51" i="57"/>
  <c r="AY40" i="57"/>
  <c r="AY28" i="57"/>
  <c r="AY47" i="57"/>
  <c r="AY17" i="57"/>
  <c r="AY36" i="57"/>
  <c r="AY12" i="57"/>
  <c r="AY46" i="57"/>
  <c r="AY44" i="57"/>
  <c r="AY60" i="57"/>
  <c r="AY9" i="57"/>
  <c r="AY43" i="57"/>
  <c r="AY39" i="57"/>
  <c r="AY24" i="57"/>
  <c r="AY16" i="57"/>
  <c r="AY48" i="57"/>
  <c r="AY11" i="57"/>
  <c r="AY61" i="57"/>
  <c r="AY19" i="57"/>
  <c r="AY30" i="57"/>
  <c r="AY63" i="57"/>
  <c r="AY15" i="57"/>
  <c r="AY31" i="57"/>
  <c r="AY13" i="57"/>
  <c r="AY62" i="57"/>
  <c r="AY50" i="57"/>
  <c r="AY29" i="57"/>
  <c r="AY18" i="57"/>
  <c r="AY34" i="57"/>
  <c r="AY14" i="57"/>
  <c r="AY53" i="57"/>
  <c r="AY8" i="57"/>
  <c r="M13" i="57"/>
  <c r="M12" i="57"/>
  <c r="AY58" i="57"/>
  <c r="AY37" i="57"/>
  <c r="AY21" i="57"/>
  <c r="AY32" i="57"/>
  <c r="AY35" i="57"/>
  <c r="AY26" i="57"/>
  <c r="AY45" i="57"/>
  <c r="BC11" i="57"/>
  <c r="AY27" i="57"/>
  <c r="AY56" i="57"/>
  <c r="AY33" i="57"/>
  <c r="AY7" i="57"/>
  <c r="AY49" i="57"/>
  <c r="AY55" i="57"/>
  <c r="AY59" i="57"/>
  <c r="AY54" i="57"/>
  <c r="AY25" i="57"/>
  <c r="AY22" i="57"/>
  <c r="AY42" i="57"/>
  <c r="AY38" i="57"/>
  <c r="AY57" i="57"/>
  <c r="AY23" i="57"/>
  <c r="AY52" i="57"/>
  <c r="AY10" i="57"/>
  <c r="M14" i="57"/>
  <c r="L5" i="57"/>
  <c r="M9" i="57"/>
  <c r="Y14" i="57"/>
  <c r="AK58" i="57"/>
  <c r="AL58" i="57"/>
  <c r="E58" i="57"/>
  <c r="BG26" i="65" l="1"/>
  <c r="BF26" i="65"/>
  <c r="BI26" i="65"/>
  <c r="BH26" i="65"/>
  <c r="BC28" i="65"/>
  <c r="BD27" i="65"/>
  <c r="BD21" i="64"/>
  <c r="BC22" i="64"/>
  <c r="BI20" i="64"/>
  <c r="BH20" i="64"/>
  <c r="BG20" i="64"/>
  <c r="BF20" i="64"/>
  <c r="BH23" i="63"/>
  <c r="BF23" i="63"/>
  <c r="BI23" i="63"/>
  <c r="BG23" i="63"/>
  <c r="BD24" i="63"/>
  <c r="BC25" i="63"/>
  <c r="BF14" i="61"/>
  <c r="BH14" i="61"/>
  <c r="BI14" i="61"/>
  <c r="BG14" i="61"/>
  <c r="BC16" i="61"/>
  <c r="BD15" i="61"/>
  <c r="BC17" i="60"/>
  <c r="BD16" i="60"/>
  <c r="BH15" i="60"/>
  <c r="BF15" i="60"/>
  <c r="BI15" i="60"/>
  <c r="BG15" i="60"/>
  <c r="BC15" i="58"/>
  <c r="BD14" i="58"/>
  <c r="BG13" i="58"/>
  <c r="BI13" i="58"/>
  <c r="BH13" i="58"/>
  <c r="BF13" i="58"/>
  <c r="BD10" i="57"/>
  <c r="BF10" i="57" s="1"/>
  <c r="AH58" i="57"/>
  <c r="AG58" i="57"/>
  <c r="AM58" i="57"/>
  <c r="BD11" i="57"/>
  <c r="BC12" i="57"/>
  <c r="BD8" i="57"/>
  <c r="BD9" i="57"/>
  <c r="BD7" i="57"/>
  <c r="AK45" i="57"/>
  <c r="AK51" i="57"/>
  <c r="AL27" i="57"/>
  <c r="E21" i="57"/>
  <c r="AL31" i="57"/>
  <c r="AK36" i="57"/>
  <c r="AL9" i="57"/>
  <c r="AL41" i="57"/>
  <c r="E23" i="57"/>
  <c r="AK20" i="57"/>
  <c r="E53" i="57"/>
  <c r="AL10" i="57"/>
  <c r="AL23" i="57"/>
  <c r="AL44" i="57"/>
  <c r="AL34" i="57"/>
  <c r="AK39" i="57"/>
  <c r="AL43" i="57"/>
  <c r="E62" i="57"/>
  <c r="AL11" i="57"/>
  <c r="AK21" i="57"/>
  <c r="AK38" i="57"/>
  <c r="AK61" i="57"/>
  <c r="E55" i="57"/>
  <c r="E25" i="57"/>
  <c r="AL51" i="57"/>
  <c r="AK26" i="57"/>
  <c r="E50" i="57"/>
  <c r="AK9" i="57"/>
  <c r="E47" i="57"/>
  <c r="AL25" i="57"/>
  <c r="E39" i="57"/>
  <c r="E29" i="57"/>
  <c r="AK19" i="57"/>
  <c r="E37" i="57"/>
  <c r="E40" i="57"/>
  <c r="AK10" i="57"/>
  <c r="E54" i="57"/>
  <c r="E36" i="57"/>
  <c r="AL46" i="57"/>
  <c r="AK52" i="57"/>
  <c r="AL8" i="57"/>
  <c r="AL24" i="57"/>
  <c r="AL16" i="57"/>
  <c r="AK27" i="57"/>
  <c r="AK15" i="57"/>
  <c r="AL56" i="57"/>
  <c r="AK31" i="57"/>
  <c r="AL38" i="57"/>
  <c r="E8" i="57"/>
  <c r="E22" i="57"/>
  <c r="AK56" i="57"/>
  <c r="AK46" i="57"/>
  <c r="AL12" i="57"/>
  <c r="AK18" i="57"/>
  <c r="AK53" i="57"/>
  <c r="AL13" i="57"/>
  <c r="E33" i="57"/>
  <c r="AL53" i="57"/>
  <c r="E38" i="57"/>
  <c r="AK35" i="57"/>
  <c r="E15" i="57"/>
  <c r="E42" i="57"/>
  <c r="E18" i="57"/>
  <c r="AK44" i="57"/>
  <c r="AK8" i="57"/>
  <c r="AL26" i="57"/>
  <c r="AL20" i="57"/>
  <c r="AK48" i="57"/>
  <c r="AL40" i="57"/>
  <c r="AL57" i="57"/>
  <c r="AL55" i="57"/>
  <c r="AL14" i="57"/>
  <c r="AL18" i="57"/>
  <c r="AK24" i="57"/>
  <c r="AL7" i="57"/>
  <c r="AL54" i="57"/>
  <c r="E44" i="57"/>
  <c r="AL17" i="57"/>
  <c r="AK32" i="57"/>
  <c r="E32" i="57"/>
  <c r="AK57" i="57"/>
  <c r="E34" i="57"/>
  <c r="AK7" i="57"/>
  <c r="AL45" i="57"/>
  <c r="AK23" i="57"/>
  <c r="E56" i="57"/>
  <c r="AL48" i="57"/>
  <c r="AK33" i="57"/>
  <c r="AK29" i="57"/>
  <c r="E35" i="57"/>
  <c r="AL19" i="57"/>
  <c r="AK14" i="57"/>
  <c r="AK37" i="57"/>
  <c r="E31" i="57"/>
  <c r="AK54" i="57"/>
  <c r="AL39" i="57"/>
  <c r="AU11" i="7"/>
  <c r="AL52" i="57"/>
  <c r="E45" i="57"/>
  <c r="AL47" i="57"/>
  <c r="AL36" i="57"/>
  <c r="E49" i="57"/>
  <c r="AL29" i="57"/>
  <c r="AK55" i="57"/>
  <c r="AK43" i="57"/>
  <c r="E48" i="57"/>
  <c r="E13" i="57"/>
  <c r="E51" i="57"/>
  <c r="E52" i="57"/>
  <c r="AK49" i="57"/>
  <c r="E17" i="57"/>
  <c r="AK62" i="57"/>
  <c r="AL22" i="57"/>
  <c r="AL37" i="57"/>
  <c r="AL32" i="57"/>
  <c r="E46" i="57"/>
  <c r="AL50" i="57"/>
  <c r="E41" i="57"/>
  <c r="AL62" i="57"/>
  <c r="E24" i="57"/>
  <c r="AK50" i="57"/>
  <c r="AK34" i="57"/>
  <c r="AK13" i="57"/>
  <c r="AK22" i="57"/>
  <c r="AL42" i="57"/>
  <c r="AL33" i="57"/>
  <c r="E30" i="57"/>
  <c r="E19" i="57"/>
  <c r="AK16" i="57"/>
  <c r="AL49" i="57"/>
  <c r="E20" i="57"/>
  <c r="AL61" i="57"/>
  <c r="E28" i="57"/>
  <c r="AK12" i="57"/>
  <c r="E57" i="57"/>
  <c r="E26" i="57"/>
  <c r="AK41" i="57"/>
  <c r="E27" i="57"/>
  <c r="AK11" i="57"/>
  <c r="AL30" i="57"/>
  <c r="AK25" i="57"/>
  <c r="E43" i="57"/>
  <c r="AK17" i="57"/>
  <c r="AK42" i="57"/>
  <c r="AK30" i="57"/>
  <c r="AL21" i="57"/>
  <c r="AK40" i="57"/>
  <c r="AK47" i="57"/>
  <c r="AL35" i="57"/>
  <c r="AL15" i="57"/>
  <c r="E61" i="57"/>
  <c r="BH27" i="65" l="1"/>
  <c r="BG27" i="65"/>
  <c r="BF27" i="65"/>
  <c r="BI27" i="65"/>
  <c r="BD28" i="65"/>
  <c r="BC29" i="65"/>
  <c r="AM55" i="57"/>
  <c r="AH24" i="57"/>
  <c r="AG24" i="57"/>
  <c r="AG15" i="57"/>
  <c r="AH15" i="57"/>
  <c r="AG55" i="57"/>
  <c r="AH55" i="57"/>
  <c r="AH16" i="57"/>
  <c r="AG16" i="57"/>
  <c r="AM49" i="57"/>
  <c r="AM7" i="57"/>
  <c r="AM53" i="57"/>
  <c r="AG33" i="57"/>
  <c r="AH33" i="57"/>
  <c r="AM10" i="57"/>
  <c r="AG26" i="57"/>
  <c r="AH26" i="57"/>
  <c r="AM35" i="57"/>
  <c r="AG50" i="57"/>
  <c r="AH50" i="57"/>
  <c r="AH23" i="57"/>
  <c r="AG23" i="57"/>
  <c r="AM29" i="57"/>
  <c r="AM39" i="57"/>
  <c r="AG49" i="57"/>
  <c r="AH49" i="57"/>
  <c r="AM23" i="57"/>
  <c r="AG8" i="57"/>
  <c r="AH8" i="57"/>
  <c r="AM27" i="57"/>
  <c r="AH40" i="57"/>
  <c r="AG40" i="57"/>
  <c r="AM43" i="57"/>
  <c r="AM25" i="57"/>
  <c r="AH12" i="57"/>
  <c r="AG12" i="57"/>
  <c r="AM42" i="57"/>
  <c r="AM48" i="57"/>
  <c r="AH22" i="57"/>
  <c r="AG22" i="57"/>
  <c r="AH42" i="57"/>
  <c r="AG42" i="57"/>
  <c r="AH17" i="57"/>
  <c r="AG17" i="57"/>
  <c r="AG32" i="57"/>
  <c r="AH32" i="57"/>
  <c r="AG18" i="57"/>
  <c r="AH18" i="57"/>
  <c r="AG29" i="57"/>
  <c r="AH29" i="57"/>
  <c r="AM50" i="57"/>
  <c r="AM13" i="57"/>
  <c r="AG48" i="57"/>
  <c r="AH48" i="57"/>
  <c r="AM12" i="57"/>
  <c r="AM18" i="57"/>
  <c r="AG9" i="57"/>
  <c r="AH9" i="57"/>
  <c r="R11" i="57"/>
  <c r="R8" i="57"/>
  <c r="U11" i="57"/>
  <c r="R13" i="57"/>
  <c r="S13" i="57" s="1"/>
  <c r="R10" i="57"/>
  <c r="R16" i="57" a="1"/>
  <c r="R16" i="57" s="1"/>
  <c r="U10" i="57"/>
  <c r="R9" i="57"/>
  <c r="R12" i="57"/>
  <c r="O11" i="57"/>
  <c r="U16" i="57" a="1"/>
  <c r="U16" i="57" s="1"/>
  <c r="O12" i="57"/>
  <c r="U8" i="57"/>
  <c r="V8" i="57" s="1"/>
  <c r="U13" i="57"/>
  <c r="V13" i="57" s="1"/>
  <c r="U9" i="57"/>
  <c r="V9" i="57" s="1"/>
  <c r="O10" i="57"/>
  <c r="O13" i="57"/>
  <c r="U12" i="57"/>
  <c r="O16" i="57" a="1"/>
  <c r="O16" i="57" s="1"/>
  <c r="O9" i="57"/>
  <c r="O8" i="57"/>
  <c r="AM14" i="57"/>
  <c r="AM32" i="57"/>
  <c r="AM31" i="57"/>
  <c r="AG46" i="57"/>
  <c r="AH46" i="57"/>
  <c r="AM61" i="57"/>
  <c r="AG19" i="57"/>
  <c r="AH19" i="57"/>
  <c r="AH31" i="57"/>
  <c r="AG31" i="57"/>
  <c r="AM9" i="57"/>
  <c r="AH13" i="57"/>
  <c r="AG13" i="57"/>
  <c r="AH54" i="57"/>
  <c r="AG54" i="57"/>
  <c r="AM16" i="57"/>
  <c r="AH61" i="57"/>
  <c r="AG61" i="57"/>
  <c r="AH57" i="57"/>
  <c r="AG57" i="57"/>
  <c r="AG52" i="57"/>
  <c r="AH52" i="57"/>
  <c r="AM47" i="57"/>
  <c r="AM62" i="57"/>
  <c r="AM38" i="57"/>
  <c r="AH10" i="57"/>
  <c r="AG10" i="57"/>
  <c r="AM20" i="57"/>
  <c r="AG14" i="57"/>
  <c r="AH14" i="57"/>
  <c r="AM17" i="57"/>
  <c r="AM51" i="57"/>
  <c r="AG47" i="57"/>
  <c r="AH47" i="57"/>
  <c r="AM46" i="57"/>
  <c r="AM11" i="57"/>
  <c r="AG36" i="57"/>
  <c r="AH36" i="57"/>
  <c r="AM54" i="57"/>
  <c r="AM44" i="57"/>
  <c r="AH45" i="57"/>
  <c r="AG45" i="57"/>
  <c r="AM40" i="57"/>
  <c r="AM57" i="57"/>
  <c r="AM19" i="57"/>
  <c r="AG35" i="57"/>
  <c r="AH35" i="57"/>
  <c r="AH53" i="57"/>
  <c r="AG53" i="57"/>
  <c r="AM24" i="57"/>
  <c r="AG34" i="57"/>
  <c r="AH34" i="57"/>
  <c r="AM56" i="57"/>
  <c r="AM34" i="57"/>
  <c r="AG7" i="57"/>
  <c r="AH7" i="57"/>
  <c r="AG44" i="57"/>
  <c r="AH44" i="57"/>
  <c r="AH41" i="57"/>
  <c r="AG41" i="57"/>
  <c r="AM37" i="57"/>
  <c r="AH25" i="57"/>
  <c r="AG25" i="57"/>
  <c r="AM8" i="57"/>
  <c r="AH20" i="57"/>
  <c r="AG20" i="57"/>
  <c r="AG11" i="57"/>
  <c r="AH11" i="57"/>
  <c r="AH56" i="57"/>
  <c r="AG56" i="57"/>
  <c r="AH39" i="57"/>
  <c r="AG39" i="57"/>
  <c r="AM30" i="57"/>
  <c r="AH51" i="57"/>
  <c r="AG51" i="57"/>
  <c r="AM21" i="57"/>
  <c r="AG21" i="57"/>
  <c r="AH21" i="57"/>
  <c r="AM36" i="57"/>
  <c r="AM45" i="57"/>
  <c r="AM41" i="57"/>
  <c r="AM52" i="57"/>
  <c r="AH27" i="57"/>
  <c r="AG27" i="57"/>
  <c r="AH37" i="57"/>
  <c r="AG37" i="57"/>
  <c r="AM26" i="57"/>
  <c r="AM33" i="57"/>
  <c r="AG30" i="57"/>
  <c r="AH30" i="57"/>
  <c r="AM22" i="57"/>
  <c r="AM15" i="57"/>
  <c r="AH43" i="57"/>
  <c r="AG43" i="57"/>
  <c r="AG38" i="57"/>
  <c r="AH38" i="57"/>
  <c r="BC23" i="64"/>
  <c r="BD22" i="64"/>
  <c r="BF21" i="64"/>
  <c r="BG21" i="64"/>
  <c r="BI21" i="64"/>
  <c r="BH21" i="64"/>
  <c r="BI24" i="63"/>
  <c r="BG24" i="63"/>
  <c r="BF24" i="63"/>
  <c r="BH24" i="63"/>
  <c r="BD25" i="63"/>
  <c r="BC26" i="63"/>
  <c r="BG15" i="61"/>
  <c r="BI15" i="61"/>
  <c r="BH15" i="61"/>
  <c r="BF15" i="61"/>
  <c r="BD16" i="61"/>
  <c r="BC17" i="61"/>
  <c r="BG16" i="60"/>
  <c r="BH16" i="60"/>
  <c r="BI16" i="60"/>
  <c r="BF16" i="60"/>
  <c r="BC18" i="60"/>
  <c r="BD17" i="60"/>
  <c r="BH10" i="57"/>
  <c r="BG10" i="57"/>
  <c r="BI10" i="57"/>
  <c r="BF14" i="58"/>
  <c r="BH14" i="58"/>
  <c r="BG14" i="58"/>
  <c r="BI14" i="58"/>
  <c r="BC16" i="58"/>
  <c r="BD15" i="58"/>
  <c r="V11" i="57"/>
  <c r="BI9" i="57"/>
  <c r="BH9" i="57"/>
  <c r="BF9" i="57"/>
  <c r="BG9" i="57"/>
  <c r="BC13" i="57"/>
  <c r="BD12" i="57"/>
  <c r="BI7" i="57"/>
  <c r="BF7" i="57"/>
  <c r="BH7" i="57"/>
  <c r="BG7" i="57"/>
  <c r="BF11" i="57"/>
  <c r="BI11" i="57"/>
  <c r="BH11" i="57"/>
  <c r="BG11" i="57"/>
  <c r="BI8" i="57"/>
  <c r="BG8" i="57"/>
  <c r="BH8" i="57"/>
  <c r="BF8" i="57"/>
  <c r="AA8" i="57" l="1"/>
  <c r="O14" i="57"/>
  <c r="P10" i="57" s="1"/>
  <c r="U14" i="57"/>
  <c r="V10" i="57" s="1"/>
  <c r="AA11" i="57"/>
  <c r="BC30" i="65"/>
  <c r="BD29" i="65"/>
  <c r="BI28" i="65"/>
  <c r="BH28" i="65"/>
  <c r="BG28" i="65"/>
  <c r="BF28" i="65"/>
  <c r="AA13" i="57"/>
  <c r="AA9" i="57"/>
  <c r="AA10" i="57"/>
  <c r="AA12" i="57"/>
  <c r="R14" i="57"/>
  <c r="S8" i="57" s="1"/>
  <c r="BG22" i="64"/>
  <c r="BH22" i="64"/>
  <c r="BI22" i="64"/>
  <c r="BF22" i="64"/>
  <c r="BD23" i="64"/>
  <c r="BC24" i="64"/>
  <c r="BC27" i="63"/>
  <c r="BD26" i="63"/>
  <c r="BF25" i="63"/>
  <c r="BH25" i="63"/>
  <c r="BI25" i="63"/>
  <c r="BG25" i="63"/>
  <c r="BH16" i="61"/>
  <c r="BF16" i="61"/>
  <c r="BI16" i="61"/>
  <c r="BG16" i="61"/>
  <c r="BD17" i="61"/>
  <c r="BC18" i="61"/>
  <c r="BH17" i="60"/>
  <c r="BF17" i="60"/>
  <c r="BI17" i="60"/>
  <c r="BG17" i="60"/>
  <c r="BD18" i="60"/>
  <c r="BC19" i="60"/>
  <c r="BG15" i="58"/>
  <c r="BI15" i="58"/>
  <c r="BF15" i="58"/>
  <c r="BH15" i="58"/>
  <c r="BC17" i="58"/>
  <c r="BD16" i="58"/>
  <c r="P9" i="57"/>
  <c r="P8" i="57"/>
  <c r="P13" i="57"/>
  <c r="BI12" i="57"/>
  <c r="BF12" i="57"/>
  <c r="BG12" i="57"/>
  <c r="BH12" i="57"/>
  <c r="O5" i="57"/>
  <c r="V14" i="57"/>
  <c r="BC14" i="57"/>
  <c r="BD13" i="57"/>
  <c r="P12" i="57" l="1"/>
  <c r="AA14" i="57"/>
  <c r="S10" i="57"/>
  <c r="V12" i="57"/>
  <c r="S11" i="57"/>
  <c r="U5" i="57"/>
  <c r="P14" i="57"/>
  <c r="P11" i="57"/>
  <c r="BF29" i="65"/>
  <c r="BG29" i="65"/>
  <c r="BI29" i="65"/>
  <c r="BH29" i="65"/>
  <c r="BC31" i="65"/>
  <c r="BD30" i="65"/>
  <c r="R5" i="57"/>
  <c r="S12" i="57"/>
  <c r="S14" i="57"/>
  <c r="S9" i="57"/>
  <c r="BD24" i="64"/>
  <c r="BC25" i="64"/>
  <c r="BH23" i="64"/>
  <c r="BI23" i="64"/>
  <c r="BF23" i="64"/>
  <c r="BG23" i="64"/>
  <c r="BD27" i="63"/>
  <c r="BC28" i="63"/>
  <c r="BG26" i="63"/>
  <c r="BI26" i="63"/>
  <c r="BF26" i="63"/>
  <c r="BH26" i="63"/>
  <c r="BI17" i="61"/>
  <c r="BG17" i="61"/>
  <c r="BH17" i="61"/>
  <c r="BF17" i="61"/>
  <c r="BD18" i="61"/>
  <c r="BC19" i="61"/>
  <c r="BI18" i="60"/>
  <c r="BH18" i="60"/>
  <c r="BF18" i="60"/>
  <c r="BG18" i="60"/>
  <c r="BD19" i="60"/>
  <c r="BC20" i="60"/>
  <c r="BH16" i="58"/>
  <c r="BG16" i="58"/>
  <c r="BI16" i="58"/>
  <c r="BF16" i="58"/>
  <c r="BD17" i="58"/>
  <c r="BC18" i="58"/>
  <c r="BD14" i="57"/>
  <c r="BC15" i="57"/>
  <c r="BI13" i="57"/>
  <c r="BH13" i="57"/>
  <c r="BG13" i="57"/>
  <c r="BF13" i="57"/>
  <c r="BG30" i="65" l="1"/>
  <c r="BI30" i="65"/>
  <c r="BF30" i="65"/>
  <c r="BH30" i="65"/>
  <c r="BD31" i="65"/>
  <c r="BC32" i="65"/>
  <c r="BC26" i="64"/>
  <c r="BD25" i="64"/>
  <c r="BI24" i="64"/>
  <c r="BF24" i="64"/>
  <c r="BG24" i="64"/>
  <c r="BH24" i="64"/>
  <c r="BH27" i="63"/>
  <c r="BF27" i="63"/>
  <c r="BI27" i="63"/>
  <c r="BG27" i="63"/>
  <c r="BD28" i="63"/>
  <c r="BC29" i="63"/>
  <c r="BF18" i="61"/>
  <c r="BH18" i="61"/>
  <c r="BI18" i="61"/>
  <c r="BG18" i="61"/>
  <c r="BC20" i="61"/>
  <c r="BD19" i="61"/>
  <c r="BF19" i="60"/>
  <c r="BH19" i="60"/>
  <c r="BI19" i="60"/>
  <c r="BG19" i="60"/>
  <c r="BC21" i="60"/>
  <c r="BD20" i="60"/>
  <c r="BD18" i="58"/>
  <c r="BC19" i="58"/>
  <c r="BI17" i="58"/>
  <c r="BH17" i="58"/>
  <c r="BF17" i="58"/>
  <c r="BG17" i="58"/>
  <c r="BH14" i="57"/>
  <c r="BF14" i="57"/>
  <c r="BG14" i="57"/>
  <c r="BI14" i="57"/>
  <c r="BD15" i="57"/>
  <c r="BC16" i="57"/>
  <c r="BD32" i="65" l="1"/>
  <c r="BC33" i="65"/>
  <c r="BH31" i="65"/>
  <c r="BF31" i="65"/>
  <c r="BI31" i="65"/>
  <c r="BG31" i="65"/>
  <c r="BF25" i="64"/>
  <c r="BH25" i="64"/>
  <c r="BI25" i="64"/>
  <c r="BG25" i="64"/>
  <c r="BC27" i="64"/>
  <c r="BD26" i="64"/>
  <c r="BI28" i="63"/>
  <c r="BG28" i="63"/>
  <c r="BF28" i="63"/>
  <c r="BH28" i="63"/>
  <c r="BD29" i="63"/>
  <c r="BC30" i="63"/>
  <c r="BD20" i="61"/>
  <c r="BC21" i="61"/>
  <c r="BG19" i="61"/>
  <c r="BI19" i="61"/>
  <c r="BH19" i="61"/>
  <c r="BF19" i="61"/>
  <c r="BC22" i="60"/>
  <c r="BD21" i="60"/>
  <c r="BG20" i="60"/>
  <c r="BH20" i="60"/>
  <c r="BI20" i="60"/>
  <c r="BF20" i="60"/>
  <c r="BC20" i="58"/>
  <c r="BD19" i="58"/>
  <c r="BF18" i="58"/>
  <c r="BI18" i="58"/>
  <c r="BG18" i="58"/>
  <c r="BH18" i="58"/>
  <c r="BD16" i="57"/>
  <c r="BC17" i="57"/>
  <c r="BI15" i="57"/>
  <c r="BH15" i="57"/>
  <c r="BG15" i="57"/>
  <c r="BF15" i="57"/>
  <c r="BD33" i="65" l="1"/>
  <c r="BC34" i="65"/>
  <c r="BI32" i="65"/>
  <c r="BG32" i="65"/>
  <c r="BH32" i="65"/>
  <c r="BF32" i="65"/>
  <c r="BG26" i="64"/>
  <c r="BF26" i="64"/>
  <c r="BI26" i="64"/>
  <c r="BH26" i="64"/>
  <c r="BC28" i="64"/>
  <c r="BD27" i="64"/>
  <c r="BF29" i="63"/>
  <c r="BH29" i="63"/>
  <c r="BI29" i="63"/>
  <c r="BG29" i="63"/>
  <c r="BC31" i="63"/>
  <c r="BD30" i="63"/>
  <c r="BH20" i="61"/>
  <c r="BF20" i="61"/>
  <c r="BI20" i="61"/>
  <c r="BG20" i="61"/>
  <c r="BD21" i="61"/>
  <c r="BC22" i="61"/>
  <c r="BD22" i="60"/>
  <c r="BC23" i="60"/>
  <c r="BH21" i="60"/>
  <c r="BI21" i="60"/>
  <c r="BF21" i="60"/>
  <c r="BG21" i="60"/>
  <c r="BG19" i="58"/>
  <c r="BF19" i="58"/>
  <c r="BH19" i="58"/>
  <c r="BI19" i="58"/>
  <c r="BC21" i="58"/>
  <c r="BD20" i="58"/>
  <c r="BC18" i="57"/>
  <c r="BD17" i="57"/>
  <c r="BF16" i="57"/>
  <c r="BI16" i="57"/>
  <c r="BH16" i="57"/>
  <c r="BG16" i="57"/>
  <c r="BC35" i="65" l="1"/>
  <c r="BD34" i="65"/>
  <c r="BF33" i="65"/>
  <c r="BI33" i="65"/>
  <c r="BH33" i="65"/>
  <c r="BG33" i="65"/>
  <c r="BH27" i="64"/>
  <c r="BF27" i="64"/>
  <c r="BG27" i="64"/>
  <c r="BI27" i="64"/>
  <c r="BD28" i="64"/>
  <c r="BC29" i="64"/>
  <c r="BD31" i="63"/>
  <c r="BC32" i="63"/>
  <c r="BG30" i="63"/>
  <c r="BI30" i="63"/>
  <c r="BF30" i="63"/>
  <c r="BH30" i="63"/>
  <c r="BI21" i="61"/>
  <c r="BG21" i="61"/>
  <c r="BH21" i="61"/>
  <c r="BF21" i="61"/>
  <c r="BD22" i="61"/>
  <c r="BC23" i="61"/>
  <c r="BI22" i="60"/>
  <c r="BF22" i="60"/>
  <c r="BH22" i="60"/>
  <c r="BG22" i="60"/>
  <c r="BD23" i="60"/>
  <c r="BC24" i="60"/>
  <c r="BH20" i="58"/>
  <c r="BG20" i="58"/>
  <c r="BI20" i="58"/>
  <c r="BF20" i="58"/>
  <c r="BD21" i="58"/>
  <c r="BC22" i="58"/>
  <c r="BG17" i="57"/>
  <c r="BF17" i="57"/>
  <c r="BH17" i="57"/>
  <c r="BI17" i="57"/>
  <c r="BC19" i="57"/>
  <c r="BD18" i="57"/>
  <c r="BG34" i="65" l="1"/>
  <c r="BH34" i="65"/>
  <c r="BF34" i="65"/>
  <c r="BI34" i="65"/>
  <c r="BC36" i="65"/>
  <c r="BD35" i="65"/>
  <c r="BD29" i="64"/>
  <c r="BC30" i="64"/>
  <c r="BI28" i="64"/>
  <c r="BH28" i="64"/>
  <c r="BG28" i="64"/>
  <c r="BF28" i="64"/>
  <c r="BH31" i="63"/>
  <c r="BF31" i="63"/>
  <c r="BI31" i="63"/>
  <c r="BG31" i="63"/>
  <c r="BD32" i="63"/>
  <c r="BC33" i="63"/>
  <c r="BF22" i="61"/>
  <c r="BH22" i="61"/>
  <c r="BI22" i="61"/>
  <c r="BG22" i="61"/>
  <c r="BC24" i="61"/>
  <c r="BD23" i="61"/>
  <c r="BF23" i="60"/>
  <c r="BH23" i="60"/>
  <c r="BI23" i="60"/>
  <c r="BG23" i="60"/>
  <c r="BC25" i="60"/>
  <c r="BD24" i="60"/>
  <c r="BD22" i="58"/>
  <c r="BC23" i="58"/>
  <c r="BI21" i="58"/>
  <c r="BH21" i="58"/>
  <c r="BF21" i="58"/>
  <c r="BG21" i="58"/>
  <c r="BH18" i="57"/>
  <c r="BG18" i="57"/>
  <c r="BI18" i="57"/>
  <c r="BF18" i="57"/>
  <c r="BD19" i="57"/>
  <c r="BC20" i="57"/>
  <c r="BG35" i="65" l="1"/>
  <c r="BH35" i="65"/>
  <c r="BI35" i="65"/>
  <c r="BF35" i="65"/>
  <c r="BD36" i="65"/>
  <c r="BC37" i="65"/>
  <c r="BC31" i="64"/>
  <c r="BD30" i="64"/>
  <c r="BF29" i="64"/>
  <c r="BG29" i="64"/>
  <c r="BH29" i="64"/>
  <c r="BI29" i="64"/>
  <c r="BI32" i="63"/>
  <c r="BG32" i="63"/>
  <c r="BF32" i="63"/>
  <c r="BH32" i="63"/>
  <c r="BD33" i="63"/>
  <c r="BC34" i="63"/>
  <c r="BD24" i="61"/>
  <c r="BC25" i="61"/>
  <c r="BG23" i="61"/>
  <c r="BI23" i="61"/>
  <c r="BF23" i="61"/>
  <c r="BH23" i="61"/>
  <c r="BC26" i="60"/>
  <c r="BD25" i="60"/>
  <c r="BG24" i="60"/>
  <c r="BH24" i="60"/>
  <c r="BI24" i="60"/>
  <c r="BF24" i="60"/>
  <c r="BC24" i="58"/>
  <c r="BD23" i="58"/>
  <c r="BF22" i="58"/>
  <c r="BI22" i="58"/>
  <c r="BG22" i="58"/>
  <c r="BH22" i="58"/>
  <c r="BD20" i="57"/>
  <c r="BC21" i="57"/>
  <c r="BI19" i="57"/>
  <c r="BH19" i="57"/>
  <c r="BF19" i="57"/>
  <c r="BG19" i="57"/>
  <c r="BD37" i="65" l="1"/>
  <c r="BC38" i="65"/>
  <c r="BH36" i="65"/>
  <c r="BI36" i="65"/>
  <c r="BF36" i="65"/>
  <c r="BG36" i="65"/>
  <c r="BG30" i="64"/>
  <c r="BH30" i="64"/>
  <c r="BI30" i="64"/>
  <c r="BF30" i="64"/>
  <c r="BD31" i="64"/>
  <c r="BC32" i="64"/>
  <c r="BF33" i="63"/>
  <c r="BH33" i="63"/>
  <c r="BI33" i="63"/>
  <c r="BG33" i="63"/>
  <c r="BC35" i="63"/>
  <c r="BD34" i="63"/>
  <c r="BH24" i="61"/>
  <c r="BF24" i="61"/>
  <c r="BI24" i="61"/>
  <c r="BG24" i="61"/>
  <c r="BD25" i="61"/>
  <c r="BC26" i="61"/>
  <c r="BD26" i="60"/>
  <c r="BC27" i="60"/>
  <c r="BH25" i="60"/>
  <c r="BF25" i="60"/>
  <c r="BI25" i="60"/>
  <c r="BG25" i="60"/>
  <c r="BG23" i="58"/>
  <c r="BF23" i="58"/>
  <c r="BH23" i="58"/>
  <c r="BI23" i="58"/>
  <c r="BC25" i="58"/>
  <c r="BD24" i="58"/>
  <c r="BC22" i="57"/>
  <c r="BD21" i="57"/>
  <c r="BF20" i="57"/>
  <c r="BI20" i="57"/>
  <c r="BH20" i="57"/>
  <c r="BG20" i="57"/>
  <c r="BC39" i="65" l="1"/>
  <c r="BD38" i="65"/>
  <c r="BI37" i="65"/>
  <c r="BF37" i="65"/>
  <c r="BH37" i="65"/>
  <c r="BG37" i="65"/>
  <c r="BD32" i="64"/>
  <c r="BC33" i="64"/>
  <c r="BH31" i="64"/>
  <c r="BI31" i="64"/>
  <c r="BG31" i="64"/>
  <c r="BF31" i="64"/>
  <c r="BD35" i="63"/>
  <c r="BC36" i="63"/>
  <c r="BG34" i="63"/>
  <c r="BI34" i="63"/>
  <c r="BF34" i="63"/>
  <c r="BH34" i="63"/>
  <c r="BI25" i="61"/>
  <c r="BG25" i="61"/>
  <c r="BH25" i="61"/>
  <c r="BF25" i="61"/>
  <c r="BD26" i="61"/>
  <c r="BC27" i="61"/>
  <c r="BI26" i="60"/>
  <c r="BH26" i="60"/>
  <c r="BF26" i="60"/>
  <c r="BG26" i="60"/>
  <c r="BD27" i="60"/>
  <c r="BC28" i="60"/>
  <c r="BH24" i="58"/>
  <c r="BG24" i="58"/>
  <c r="BI24" i="58"/>
  <c r="BF24" i="58"/>
  <c r="BD25" i="58"/>
  <c r="BC26" i="58"/>
  <c r="BG21" i="57"/>
  <c r="BF21" i="57"/>
  <c r="BH21" i="57"/>
  <c r="BI21" i="57"/>
  <c r="BC23" i="57"/>
  <c r="BD22" i="57"/>
  <c r="BF38" i="65" l="1"/>
  <c r="BG38" i="65"/>
  <c r="BI38" i="65"/>
  <c r="BH38" i="65"/>
  <c r="BC40" i="65"/>
  <c r="BD39" i="65"/>
  <c r="BC34" i="64"/>
  <c r="BD33" i="64"/>
  <c r="BI32" i="64"/>
  <c r="BF32" i="64"/>
  <c r="BG32" i="64"/>
  <c r="BH32" i="64"/>
  <c r="BH35" i="63"/>
  <c r="BF35" i="63"/>
  <c r="BI35" i="63"/>
  <c r="BG35" i="63"/>
  <c r="BD36" i="63"/>
  <c r="BC37" i="63"/>
  <c r="BF26" i="61"/>
  <c r="BH26" i="61"/>
  <c r="BI26" i="61"/>
  <c r="BG26" i="61"/>
  <c r="BD27" i="61"/>
  <c r="BC28" i="61"/>
  <c r="BF27" i="60"/>
  <c r="BH27" i="60"/>
  <c r="BI27" i="60"/>
  <c r="BG27" i="60"/>
  <c r="BC29" i="60"/>
  <c r="BD28" i="60"/>
  <c r="BD26" i="58"/>
  <c r="BC27" i="58"/>
  <c r="BI25" i="58"/>
  <c r="BH25" i="58"/>
  <c r="BF25" i="58"/>
  <c r="BG25" i="58"/>
  <c r="BH22" i="57"/>
  <c r="BG22" i="57"/>
  <c r="BI22" i="57"/>
  <c r="BF22" i="57"/>
  <c r="BD23" i="57"/>
  <c r="BC24" i="57"/>
  <c r="BG39" i="65" l="1"/>
  <c r="BH39" i="65"/>
  <c r="BI39" i="65"/>
  <c r="BF39" i="65"/>
  <c r="BD40" i="65"/>
  <c r="BC41" i="65"/>
  <c r="BF33" i="64"/>
  <c r="BH33" i="64"/>
  <c r="BI33" i="64"/>
  <c r="BG33" i="64"/>
  <c r="BC35" i="64"/>
  <c r="BD34" i="64"/>
  <c r="BI36" i="63"/>
  <c r="BF36" i="63"/>
  <c r="BH36" i="63"/>
  <c r="BG36" i="63"/>
  <c r="BD37" i="63"/>
  <c r="BC38" i="63"/>
  <c r="BG27" i="61"/>
  <c r="BI27" i="61"/>
  <c r="BH27" i="61"/>
  <c r="BF27" i="61"/>
  <c r="BD28" i="61"/>
  <c r="BC29" i="61"/>
  <c r="BD29" i="60"/>
  <c r="BC30" i="60"/>
  <c r="BH28" i="60"/>
  <c r="BG28" i="60"/>
  <c r="BI28" i="60"/>
  <c r="BF28" i="60"/>
  <c r="BC28" i="58"/>
  <c r="BD27" i="58"/>
  <c r="BF26" i="58"/>
  <c r="BI26" i="58"/>
  <c r="BG26" i="58"/>
  <c r="BH26" i="58"/>
  <c r="BD24" i="57"/>
  <c r="BC25" i="57"/>
  <c r="BI23" i="57"/>
  <c r="BH23" i="57"/>
  <c r="BF23" i="57"/>
  <c r="BG23" i="57"/>
  <c r="BD41" i="65" l="1"/>
  <c r="BC42" i="65"/>
  <c r="BH40" i="65"/>
  <c r="BI40" i="65"/>
  <c r="BG40" i="65"/>
  <c r="BF40" i="65"/>
  <c r="BG34" i="64"/>
  <c r="BF34" i="64"/>
  <c r="BI34" i="64"/>
  <c r="BH34" i="64"/>
  <c r="BC36" i="64"/>
  <c r="BD35" i="64"/>
  <c r="BF37" i="63"/>
  <c r="BH37" i="63"/>
  <c r="BG37" i="63"/>
  <c r="BI37" i="63"/>
  <c r="BC39" i="63"/>
  <c r="BD38" i="63"/>
  <c r="BI28" i="61"/>
  <c r="BF28" i="61"/>
  <c r="BH28" i="61"/>
  <c r="BG28" i="61"/>
  <c r="BD29" i="61"/>
  <c r="BC30" i="61"/>
  <c r="BI29" i="60"/>
  <c r="BH29" i="60"/>
  <c r="BG29" i="60"/>
  <c r="BF29" i="60"/>
  <c r="BD30" i="60"/>
  <c r="BC31" i="60"/>
  <c r="BG27" i="58"/>
  <c r="BF27" i="58"/>
  <c r="BH27" i="58"/>
  <c r="BI27" i="58"/>
  <c r="BC29" i="58"/>
  <c r="BD28" i="58"/>
  <c r="BC26" i="57"/>
  <c r="BD25" i="57"/>
  <c r="BF24" i="57"/>
  <c r="BI24" i="57"/>
  <c r="BH24" i="57"/>
  <c r="BG24" i="57"/>
  <c r="BC43" i="65" l="1"/>
  <c r="BD42" i="65"/>
  <c r="BI41" i="65"/>
  <c r="BF41" i="65"/>
  <c r="BH41" i="65"/>
  <c r="BG41" i="65"/>
  <c r="BF35" i="64"/>
  <c r="BG35" i="64"/>
  <c r="BI35" i="64"/>
  <c r="BH35" i="64"/>
  <c r="BC37" i="64"/>
  <c r="BD36" i="64"/>
  <c r="BG38" i="63"/>
  <c r="BH38" i="63"/>
  <c r="BF38" i="63"/>
  <c r="BI38" i="63"/>
  <c r="BC40" i="63"/>
  <c r="BD39" i="63"/>
  <c r="BF29" i="61"/>
  <c r="BH29" i="61"/>
  <c r="BG29" i="61"/>
  <c r="BI29" i="61"/>
  <c r="BC31" i="61"/>
  <c r="BD30" i="61"/>
  <c r="BF30" i="60"/>
  <c r="BI30" i="60"/>
  <c r="BH30" i="60"/>
  <c r="BG30" i="60"/>
  <c r="BC32" i="60"/>
  <c r="BD31" i="60"/>
  <c r="BH28" i="58"/>
  <c r="BG28" i="58"/>
  <c r="BI28" i="58"/>
  <c r="BF28" i="58"/>
  <c r="BD29" i="58"/>
  <c r="BC30" i="58"/>
  <c r="BC27" i="57"/>
  <c r="BD26" i="57"/>
  <c r="BG25" i="57"/>
  <c r="BF25" i="57"/>
  <c r="BH25" i="57"/>
  <c r="BI25" i="57"/>
  <c r="BF42" i="65" l="1"/>
  <c r="BG42" i="65"/>
  <c r="BH42" i="65"/>
  <c r="BI42" i="65"/>
  <c r="BC44" i="65"/>
  <c r="BD43" i="65"/>
  <c r="BG36" i="64"/>
  <c r="BI36" i="64"/>
  <c r="BF36" i="64"/>
  <c r="BH36" i="64"/>
  <c r="BD37" i="64"/>
  <c r="BC38" i="64"/>
  <c r="BH39" i="63"/>
  <c r="BF39" i="63"/>
  <c r="BI39" i="63"/>
  <c r="BG39" i="63"/>
  <c r="BD40" i="63"/>
  <c r="BC41" i="63"/>
  <c r="BC32" i="61"/>
  <c r="BD31" i="61"/>
  <c r="BG30" i="61"/>
  <c r="BH30" i="61"/>
  <c r="BF30" i="61"/>
  <c r="BI30" i="61"/>
  <c r="BC33" i="60"/>
  <c r="BD32" i="60"/>
  <c r="BG31" i="60"/>
  <c r="BF31" i="60"/>
  <c r="BI31" i="60"/>
  <c r="BH31" i="60"/>
  <c r="BD30" i="58"/>
  <c r="BC31" i="58"/>
  <c r="BI29" i="58"/>
  <c r="BH29" i="58"/>
  <c r="BF29" i="58"/>
  <c r="BG29" i="58"/>
  <c r="BD27" i="57"/>
  <c r="BC28" i="57"/>
  <c r="BH26" i="57"/>
  <c r="BG26" i="57"/>
  <c r="BI26" i="57"/>
  <c r="BF26" i="57"/>
  <c r="BG43" i="65" l="1"/>
  <c r="BH43" i="65"/>
  <c r="BI43" i="65"/>
  <c r="BF43" i="65"/>
  <c r="BD44" i="65"/>
  <c r="BC45" i="65"/>
  <c r="BD38" i="64"/>
  <c r="BC39" i="64"/>
  <c r="BH37" i="64"/>
  <c r="BF37" i="64"/>
  <c r="BG37" i="64"/>
  <c r="BI37" i="64"/>
  <c r="BD41" i="63"/>
  <c r="BC42" i="63"/>
  <c r="BI40" i="63"/>
  <c r="BH40" i="63"/>
  <c r="BF40" i="63"/>
  <c r="BG40" i="63"/>
  <c r="BD32" i="61"/>
  <c r="BC33" i="61"/>
  <c r="BH31" i="61"/>
  <c r="BF31" i="61"/>
  <c r="BI31" i="61"/>
  <c r="BG31" i="61"/>
  <c r="BD33" i="60"/>
  <c r="BC34" i="60"/>
  <c r="BH32" i="60"/>
  <c r="BG32" i="60"/>
  <c r="BI32" i="60"/>
  <c r="BF32" i="60"/>
  <c r="BC32" i="58"/>
  <c r="BD31" i="58"/>
  <c r="BF30" i="58"/>
  <c r="BI30" i="58"/>
  <c r="BH30" i="58"/>
  <c r="BG30" i="58"/>
  <c r="BI27" i="57"/>
  <c r="BH27" i="57"/>
  <c r="BF27" i="57"/>
  <c r="BG27" i="57"/>
  <c r="BD28" i="57"/>
  <c r="BC29" i="57"/>
  <c r="BD45" i="65" l="1"/>
  <c r="BC46" i="65"/>
  <c r="BH44" i="65"/>
  <c r="BI44" i="65"/>
  <c r="BF44" i="65"/>
  <c r="BG44" i="65"/>
  <c r="BD39" i="64"/>
  <c r="BC40" i="64"/>
  <c r="BI38" i="64"/>
  <c r="BH38" i="64"/>
  <c r="BG38" i="64"/>
  <c r="BF38" i="64"/>
  <c r="BC43" i="63"/>
  <c r="BD42" i="63"/>
  <c r="BF41" i="63"/>
  <c r="BH41" i="63"/>
  <c r="BG41" i="63"/>
  <c r="BI41" i="63"/>
  <c r="BI32" i="61"/>
  <c r="BH32" i="61"/>
  <c r="BF32" i="61"/>
  <c r="BG32" i="61"/>
  <c r="BD33" i="61"/>
  <c r="BC34" i="61"/>
  <c r="BI33" i="60"/>
  <c r="BH33" i="60"/>
  <c r="BG33" i="60"/>
  <c r="BF33" i="60"/>
  <c r="BD34" i="60"/>
  <c r="BC35" i="60"/>
  <c r="BG31" i="58"/>
  <c r="BF31" i="58"/>
  <c r="BH31" i="58"/>
  <c r="BI31" i="58"/>
  <c r="BC33" i="58"/>
  <c r="BD32" i="58"/>
  <c r="BF28" i="57"/>
  <c r="BI28" i="57"/>
  <c r="BH28" i="57"/>
  <c r="BG28" i="57"/>
  <c r="BC30" i="57"/>
  <c r="BD29" i="57"/>
  <c r="BC47" i="65" l="1"/>
  <c r="BD46" i="65"/>
  <c r="BI45" i="65"/>
  <c r="BF45" i="65"/>
  <c r="BG45" i="65"/>
  <c r="BH45" i="65"/>
  <c r="BC41" i="64"/>
  <c r="BD40" i="64"/>
  <c r="BI39" i="64"/>
  <c r="BG39" i="64"/>
  <c r="BF39" i="64"/>
  <c r="BH39" i="64"/>
  <c r="BG42" i="63"/>
  <c r="BH42" i="63"/>
  <c r="BF42" i="63"/>
  <c r="BI42" i="63"/>
  <c r="BC44" i="63"/>
  <c r="BD43" i="63"/>
  <c r="BF33" i="61"/>
  <c r="BH33" i="61"/>
  <c r="BG33" i="61"/>
  <c r="BI33" i="61"/>
  <c r="BC35" i="61"/>
  <c r="BD34" i="61"/>
  <c r="BF34" i="60"/>
  <c r="BI34" i="60"/>
  <c r="BH34" i="60"/>
  <c r="BG34" i="60"/>
  <c r="BD35" i="60"/>
  <c r="BC36" i="60"/>
  <c r="BH32" i="58"/>
  <c r="BG32" i="58"/>
  <c r="BI32" i="58"/>
  <c r="BF32" i="58"/>
  <c r="BD33" i="58"/>
  <c r="BC34" i="58"/>
  <c r="BG29" i="57"/>
  <c r="BF29" i="57"/>
  <c r="BH29" i="57"/>
  <c r="BI29" i="57"/>
  <c r="BC31" i="57"/>
  <c r="BD30" i="57"/>
  <c r="BF46" i="65" l="1"/>
  <c r="BH46" i="65"/>
  <c r="BI46" i="65"/>
  <c r="BG46" i="65"/>
  <c r="BC48" i="65"/>
  <c r="BD47" i="65"/>
  <c r="BF40" i="64"/>
  <c r="BI40" i="64"/>
  <c r="BH40" i="64"/>
  <c r="BG40" i="64"/>
  <c r="BC42" i="64"/>
  <c r="BD41" i="64"/>
  <c r="BH43" i="63"/>
  <c r="BI43" i="63"/>
  <c r="BF43" i="63"/>
  <c r="BG43" i="63"/>
  <c r="BD44" i="63"/>
  <c r="BC45" i="63"/>
  <c r="BG34" i="61"/>
  <c r="BH34" i="61"/>
  <c r="BF34" i="61"/>
  <c r="BI34" i="61"/>
  <c r="BC36" i="61"/>
  <c r="BD35" i="61"/>
  <c r="BD36" i="60"/>
  <c r="BC37" i="60"/>
  <c r="BG35" i="60"/>
  <c r="BF35" i="60"/>
  <c r="BI35" i="60"/>
  <c r="BH35" i="60"/>
  <c r="BD34" i="58"/>
  <c r="BC35" i="58"/>
  <c r="BI33" i="58"/>
  <c r="BH33" i="58"/>
  <c r="BF33" i="58"/>
  <c r="BG33" i="58"/>
  <c r="BH30" i="57"/>
  <c r="BG30" i="57"/>
  <c r="BI30" i="57"/>
  <c r="BF30" i="57"/>
  <c r="BD31" i="57"/>
  <c r="BC32" i="57"/>
  <c r="BG47" i="65" l="1"/>
  <c r="BF47" i="65"/>
  <c r="BH47" i="65"/>
  <c r="BI47" i="65"/>
  <c r="BC49" i="65"/>
  <c r="BD48" i="65"/>
  <c r="BG41" i="64"/>
  <c r="BF41" i="64"/>
  <c r="BI41" i="64"/>
  <c r="BH41" i="64"/>
  <c r="BC43" i="64"/>
  <c r="BD42" i="64"/>
  <c r="BD45" i="63"/>
  <c r="BC46" i="63"/>
  <c r="BH44" i="63"/>
  <c r="BF44" i="63"/>
  <c r="BI44" i="63"/>
  <c r="BG44" i="63"/>
  <c r="BH35" i="61"/>
  <c r="BI35" i="61"/>
  <c r="BF35" i="61"/>
  <c r="BG35" i="61"/>
  <c r="BD36" i="61"/>
  <c r="BC37" i="61"/>
  <c r="BC38" i="60"/>
  <c r="BD37" i="60"/>
  <c r="BI36" i="60"/>
  <c r="BG36" i="60"/>
  <c r="BF36" i="60"/>
  <c r="BH36" i="60"/>
  <c r="BD35" i="58"/>
  <c r="BC36" i="58"/>
  <c r="BF34" i="58"/>
  <c r="BI34" i="58"/>
  <c r="BH34" i="58"/>
  <c r="BG34" i="58"/>
  <c r="BD32" i="57"/>
  <c r="BC33" i="57"/>
  <c r="BI31" i="57"/>
  <c r="BH31" i="57"/>
  <c r="BF31" i="57"/>
  <c r="BG31" i="57"/>
  <c r="BH48" i="65" l="1"/>
  <c r="BF48" i="65"/>
  <c r="BG48" i="65"/>
  <c r="BI48" i="65"/>
  <c r="BD49" i="65"/>
  <c r="BC50" i="65"/>
  <c r="BH42" i="64"/>
  <c r="BG42" i="64"/>
  <c r="BF42" i="64"/>
  <c r="BI42" i="64"/>
  <c r="BC44" i="64"/>
  <c r="BD43" i="64"/>
  <c r="BD46" i="63"/>
  <c r="BC47" i="63"/>
  <c r="BI45" i="63"/>
  <c r="BG45" i="63"/>
  <c r="BH45" i="63"/>
  <c r="BF45" i="63"/>
  <c r="BC38" i="61"/>
  <c r="BD37" i="61"/>
  <c r="BI36" i="61"/>
  <c r="BG36" i="61"/>
  <c r="BH36" i="61"/>
  <c r="BF36" i="61"/>
  <c r="BF37" i="60"/>
  <c r="BI37" i="60"/>
  <c r="BH37" i="60"/>
  <c r="BG37" i="60"/>
  <c r="BC39" i="60"/>
  <c r="BD38" i="60"/>
  <c r="BC37" i="58"/>
  <c r="BD36" i="58"/>
  <c r="BG35" i="58"/>
  <c r="BF35" i="58"/>
  <c r="BH35" i="58"/>
  <c r="BI35" i="58"/>
  <c r="BC34" i="57"/>
  <c r="BD33" i="57"/>
  <c r="BF32" i="57"/>
  <c r="BI32" i="57"/>
  <c r="BH32" i="57"/>
  <c r="BG32" i="57"/>
  <c r="BI49" i="65" l="1"/>
  <c r="BH49" i="65"/>
  <c r="BG49" i="65"/>
  <c r="BF49" i="65"/>
  <c r="BD50" i="65"/>
  <c r="BC51" i="65"/>
  <c r="BI43" i="64"/>
  <c r="BG43" i="64"/>
  <c r="BF43" i="64"/>
  <c r="BH43" i="64"/>
  <c r="BD44" i="64"/>
  <c r="BC45" i="64"/>
  <c r="BC48" i="63"/>
  <c r="BD47" i="63"/>
  <c r="BF46" i="63"/>
  <c r="BH46" i="63"/>
  <c r="BI46" i="63"/>
  <c r="BG46" i="63"/>
  <c r="BF37" i="61"/>
  <c r="BI37" i="61"/>
  <c r="BG37" i="61"/>
  <c r="BH37" i="61"/>
  <c r="BC39" i="61"/>
  <c r="BD38" i="61"/>
  <c r="BG38" i="60"/>
  <c r="BF38" i="60"/>
  <c r="BI38" i="60"/>
  <c r="BH38" i="60"/>
  <c r="BC40" i="60"/>
  <c r="BD39" i="60"/>
  <c r="BG36" i="58"/>
  <c r="BH36" i="58"/>
  <c r="BF36" i="58"/>
  <c r="BI36" i="58"/>
  <c r="BC38" i="58"/>
  <c r="BD37" i="58"/>
  <c r="BG33" i="57"/>
  <c r="BF33" i="57"/>
  <c r="BH33" i="57"/>
  <c r="BI33" i="57"/>
  <c r="BC35" i="57"/>
  <c r="BD34" i="57"/>
  <c r="BF50" i="65" l="1"/>
  <c r="BG50" i="65"/>
  <c r="BH50" i="65"/>
  <c r="BI50" i="65"/>
  <c r="BC52" i="65"/>
  <c r="BD51" i="65"/>
  <c r="BC46" i="64"/>
  <c r="BD45" i="64"/>
  <c r="BI44" i="64"/>
  <c r="BF44" i="64"/>
  <c r="BG44" i="64"/>
  <c r="BH44" i="64"/>
  <c r="BG47" i="63"/>
  <c r="BI47" i="63"/>
  <c r="BF47" i="63"/>
  <c r="BH47" i="63"/>
  <c r="BD48" i="63"/>
  <c r="BC49" i="63"/>
  <c r="BG38" i="61"/>
  <c r="BF38" i="61"/>
  <c r="BI38" i="61"/>
  <c r="BH38" i="61"/>
  <c r="BC40" i="61"/>
  <c r="BD39" i="61"/>
  <c r="BH39" i="60"/>
  <c r="BG39" i="60"/>
  <c r="BF39" i="60"/>
  <c r="BI39" i="60"/>
  <c r="BD40" i="60"/>
  <c r="BC41" i="60"/>
  <c r="BH37" i="58"/>
  <c r="BI37" i="58"/>
  <c r="BG37" i="58"/>
  <c r="BF37" i="58"/>
  <c r="BD38" i="58"/>
  <c r="BC39" i="58"/>
  <c r="BH34" i="57"/>
  <c r="BG34" i="57"/>
  <c r="BI34" i="57"/>
  <c r="BF34" i="57"/>
  <c r="BD35" i="57"/>
  <c r="BC36" i="57"/>
  <c r="BG51" i="65" l="1"/>
  <c r="BH51" i="65"/>
  <c r="BI51" i="65"/>
  <c r="BF51" i="65"/>
  <c r="BC53" i="65"/>
  <c r="BD52" i="65"/>
  <c r="BF45" i="64"/>
  <c r="BG45" i="64"/>
  <c r="BH45" i="64"/>
  <c r="BI45" i="64"/>
  <c r="BC47" i="64"/>
  <c r="BD46" i="64"/>
  <c r="BD49" i="63"/>
  <c r="BC50" i="63"/>
  <c r="BH48" i="63"/>
  <c r="BF48" i="63"/>
  <c r="BG48" i="63"/>
  <c r="BI48" i="63"/>
  <c r="BH39" i="61"/>
  <c r="BG39" i="61"/>
  <c r="BF39" i="61"/>
  <c r="BI39" i="61"/>
  <c r="BD40" i="61"/>
  <c r="BC41" i="61"/>
  <c r="BC42" i="60"/>
  <c r="BD41" i="60"/>
  <c r="BI40" i="60"/>
  <c r="BH40" i="60"/>
  <c r="BG40" i="60"/>
  <c r="BF40" i="60"/>
  <c r="BC40" i="58"/>
  <c r="BD39" i="58"/>
  <c r="BI38" i="58"/>
  <c r="BF38" i="58"/>
  <c r="BH38" i="58"/>
  <c r="BG38" i="58"/>
  <c r="BI35" i="57"/>
  <c r="BH35" i="57"/>
  <c r="BF35" i="57"/>
  <c r="BG35" i="57"/>
  <c r="BD36" i="57"/>
  <c r="BC37" i="57"/>
  <c r="BH52" i="65" l="1"/>
  <c r="BI52" i="65"/>
  <c r="BG52" i="65"/>
  <c r="BF52" i="65"/>
  <c r="BC54" i="65"/>
  <c r="BD53" i="65"/>
  <c r="BG46" i="64"/>
  <c r="BI46" i="64"/>
  <c r="BH46" i="64"/>
  <c r="BF46" i="64"/>
  <c r="BD47" i="64"/>
  <c r="BC48" i="64"/>
  <c r="BD50" i="63"/>
  <c r="BC51" i="63"/>
  <c r="BI49" i="63"/>
  <c r="BG49" i="63"/>
  <c r="BH49" i="63"/>
  <c r="BF49" i="63"/>
  <c r="BC42" i="61"/>
  <c r="BD41" i="61"/>
  <c r="BI40" i="61"/>
  <c r="BG40" i="61"/>
  <c r="BH40" i="61"/>
  <c r="BF40" i="61"/>
  <c r="BF41" i="60"/>
  <c r="BG41" i="60"/>
  <c r="BH41" i="60"/>
  <c r="BI41" i="60"/>
  <c r="BC43" i="60"/>
  <c r="BD42" i="60"/>
  <c r="BF39" i="58"/>
  <c r="BH39" i="58"/>
  <c r="BG39" i="58"/>
  <c r="BI39" i="58"/>
  <c r="BC41" i="58"/>
  <c r="BD40" i="58"/>
  <c r="BF36" i="57"/>
  <c r="BI36" i="57"/>
  <c r="BH36" i="57"/>
  <c r="BG36" i="57"/>
  <c r="BC38" i="57"/>
  <c r="BD37" i="57"/>
  <c r="BH53" i="65" l="1"/>
  <c r="BI53" i="65"/>
  <c r="BG53" i="65"/>
  <c r="BF53" i="65"/>
  <c r="BD54" i="65"/>
  <c r="BC55" i="65"/>
  <c r="BD48" i="64"/>
  <c r="BC49" i="64"/>
  <c r="BH47" i="64"/>
  <c r="BG47" i="64"/>
  <c r="BI47" i="64"/>
  <c r="BF47" i="64"/>
  <c r="BC52" i="63"/>
  <c r="BD51" i="63"/>
  <c r="BF50" i="63"/>
  <c r="BH50" i="63"/>
  <c r="BI50" i="63"/>
  <c r="BG50" i="63"/>
  <c r="BF41" i="61"/>
  <c r="BG41" i="61"/>
  <c r="BI41" i="61"/>
  <c r="BH41" i="61"/>
  <c r="BC43" i="61"/>
  <c r="BD42" i="61"/>
  <c r="BH42" i="60"/>
  <c r="BG42" i="60"/>
  <c r="BI42" i="60"/>
  <c r="BF42" i="60"/>
  <c r="BD43" i="60"/>
  <c r="BC44" i="60"/>
  <c r="BG40" i="58"/>
  <c r="BI40" i="58"/>
  <c r="BH40" i="58"/>
  <c r="BF40" i="58"/>
  <c r="BC42" i="58"/>
  <c r="BD41" i="58"/>
  <c r="BG37" i="57"/>
  <c r="BF37" i="57"/>
  <c r="BI37" i="57"/>
  <c r="BH37" i="57"/>
  <c r="BC39" i="57"/>
  <c r="BD38" i="57"/>
  <c r="BC56" i="65" l="1"/>
  <c r="BD55" i="65"/>
  <c r="BI54" i="65"/>
  <c r="BH54" i="65"/>
  <c r="BF54" i="65"/>
  <c r="BG54" i="65"/>
  <c r="BD49" i="64"/>
  <c r="BC50" i="64"/>
  <c r="BI48" i="64"/>
  <c r="BG48" i="64"/>
  <c r="BH48" i="64"/>
  <c r="BF48" i="64"/>
  <c r="BG51" i="63"/>
  <c r="BI51" i="63"/>
  <c r="BF51" i="63"/>
  <c r="BH51" i="63"/>
  <c r="BD52" i="63"/>
  <c r="BC53" i="63"/>
  <c r="BG42" i="61"/>
  <c r="BI42" i="61"/>
  <c r="BF42" i="61"/>
  <c r="BH42" i="61"/>
  <c r="BD43" i="61"/>
  <c r="BC44" i="61"/>
  <c r="BC45" i="60"/>
  <c r="BD44" i="60"/>
  <c r="BI43" i="60"/>
  <c r="BH43" i="60"/>
  <c r="BG43" i="60"/>
  <c r="BF43" i="60"/>
  <c r="BH41" i="58"/>
  <c r="BG41" i="58"/>
  <c r="BF41" i="58"/>
  <c r="BI41" i="58"/>
  <c r="BD42" i="58"/>
  <c r="BC43" i="58"/>
  <c r="BD39" i="57"/>
  <c r="BC40" i="57"/>
  <c r="BH38" i="57"/>
  <c r="BG38" i="57"/>
  <c r="BF38" i="57"/>
  <c r="BI38" i="57"/>
  <c r="BF55" i="65" l="1"/>
  <c r="BI55" i="65"/>
  <c r="BG55" i="65"/>
  <c r="BH55" i="65"/>
  <c r="BD56" i="65"/>
  <c r="BC57" i="65"/>
  <c r="BC51" i="64"/>
  <c r="BD50" i="64"/>
  <c r="BF49" i="64"/>
  <c r="BI49" i="64"/>
  <c r="BH49" i="64"/>
  <c r="BG49" i="64"/>
  <c r="BH52" i="63"/>
  <c r="BF52" i="63"/>
  <c r="BG52" i="63"/>
  <c r="BI52" i="63"/>
  <c r="BD53" i="63"/>
  <c r="BC54" i="63"/>
  <c r="BD44" i="61"/>
  <c r="BC45" i="61"/>
  <c r="BH43" i="61"/>
  <c r="BG43" i="61"/>
  <c r="BF43" i="61"/>
  <c r="BI43" i="61"/>
  <c r="BF44" i="60"/>
  <c r="BI44" i="60"/>
  <c r="BH44" i="60"/>
  <c r="BG44" i="60"/>
  <c r="BD45" i="60"/>
  <c r="BC46" i="60"/>
  <c r="BD43" i="58"/>
  <c r="BC44" i="58"/>
  <c r="BI42" i="58"/>
  <c r="BH42" i="58"/>
  <c r="BG42" i="58"/>
  <c r="BF42" i="58"/>
  <c r="BI39" i="57"/>
  <c r="BH39" i="57"/>
  <c r="BG39" i="57"/>
  <c r="BF39" i="57"/>
  <c r="BC41" i="57"/>
  <c r="BD40" i="57"/>
  <c r="BC58" i="65" l="1"/>
  <c r="BD57" i="65"/>
  <c r="BH56" i="65"/>
  <c r="BG56" i="65"/>
  <c r="BI56" i="65"/>
  <c r="BF56" i="65"/>
  <c r="BG50" i="64"/>
  <c r="BF50" i="64"/>
  <c r="BH50" i="64"/>
  <c r="BI50" i="64"/>
  <c r="BC52" i="64"/>
  <c r="BD51" i="64"/>
  <c r="BI53" i="63"/>
  <c r="BG53" i="63"/>
  <c r="BF53" i="63"/>
  <c r="BH53" i="63"/>
  <c r="BD54" i="63"/>
  <c r="BC55" i="63"/>
  <c r="BC46" i="61"/>
  <c r="BD45" i="61"/>
  <c r="BI44" i="61"/>
  <c r="BF44" i="61"/>
  <c r="BG44" i="61"/>
  <c r="BH44" i="61"/>
  <c r="BC47" i="60"/>
  <c r="BD46" i="60"/>
  <c r="BF45" i="60"/>
  <c r="BI45" i="60"/>
  <c r="BG45" i="60"/>
  <c r="BH45" i="60"/>
  <c r="BC45" i="58"/>
  <c r="BD44" i="58"/>
  <c r="BF43" i="58"/>
  <c r="BI43" i="58"/>
  <c r="BH43" i="58"/>
  <c r="BG43" i="58"/>
  <c r="BC42" i="57"/>
  <c r="BD41" i="57"/>
  <c r="BF40" i="57"/>
  <c r="BG40" i="57"/>
  <c r="BI40" i="57"/>
  <c r="BH40" i="57"/>
  <c r="BF57" i="65" l="1"/>
  <c r="BI57" i="65"/>
  <c r="BG57" i="65"/>
  <c r="BH57" i="65"/>
  <c r="BC59" i="65"/>
  <c r="BD58" i="65"/>
  <c r="BH51" i="64"/>
  <c r="BG51" i="64"/>
  <c r="BI51" i="64"/>
  <c r="BF51" i="64"/>
  <c r="BD52" i="64"/>
  <c r="BC53" i="64"/>
  <c r="BF54" i="63"/>
  <c r="BH54" i="63"/>
  <c r="BI54" i="63"/>
  <c r="BG54" i="63"/>
  <c r="BD55" i="63"/>
  <c r="BC56" i="63"/>
  <c r="BF45" i="61"/>
  <c r="BG45" i="61"/>
  <c r="BH45" i="61"/>
  <c r="BI45" i="61"/>
  <c r="BC47" i="61"/>
  <c r="BD46" i="61"/>
  <c r="BG46" i="60"/>
  <c r="BF46" i="60"/>
  <c r="BI46" i="60"/>
  <c r="BH46" i="60"/>
  <c r="BC48" i="60"/>
  <c r="BD47" i="60"/>
  <c r="BG44" i="58"/>
  <c r="BF44" i="58"/>
  <c r="BI44" i="58"/>
  <c r="BH44" i="58"/>
  <c r="BC46" i="58"/>
  <c r="BD45" i="58"/>
  <c r="BD42" i="57"/>
  <c r="BC43" i="57"/>
  <c r="BG41" i="57"/>
  <c r="BI41" i="57"/>
  <c r="BH41" i="57"/>
  <c r="BF41" i="57"/>
  <c r="BH58" i="65" l="1"/>
  <c r="BG58" i="65"/>
  <c r="BI58" i="65"/>
  <c r="BF58" i="65"/>
  <c r="BD59" i="65"/>
  <c r="BC60" i="65"/>
  <c r="BI52" i="64"/>
  <c r="BG52" i="64"/>
  <c r="BF52" i="64"/>
  <c r="BH52" i="64"/>
  <c r="BC54" i="64"/>
  <c r="BD53" i="64"/>
  <c r="BG55" i="63"/>
  <c r="BI55" i="63"/>
  <c r="BF55" i="63"/>
  <c r="BH55" i="63"/>
  <c r="BD56" i="63"/>
  <c r="BC57" i="63"/>
  <c r="BG46" i="61"/>
  <c r="BH46" i="61"/>
  <c r="BI46" i="61"/>
  <c r="BF46" i="61"/>
  <c r="BD47" i="61"/>
  <c r="BC48" i="61"/>
  <c r="BH47" i="60"/>
  <c r="BG47" i="60"/>
  <c r="BF47" i="60"/>
  <c r="BI47" i="60"/>
  <c r="BD48" i="60"/>
  <c r="BC49" i="60"/>
  <c r="BG45" i="58"/>
  <c r="BI45" i="58"/>
  <c r="BH45" i="58"/>
  <c r="BF45" i="58"/>
  <c r="BD46" i="58"/>
  <c r="BC47" i="58"/>
  <c r="BD43" i="57"/>
  <c r="BC44" i="57"/>
  <c r="BH42" i="57"/>
  <c r="BI42" i="57"/>
  <c r="BG42" i="57"/>
  <c r="BF42" i="57"/>
  <c r="BD60" i="65" l="1"/>
  <c r="BC61" i="65"/>
  <c r="BI59" i="65"/>
  <c r="BH59" i="65"/>
  <c r="BF59" i="65"/>
  <c r="BG59" i="65"/>
  <c r="BC55" i="64"/>
  <c r="BD54" i="64"/>
  <c r="BF53" i="64"/>
  <c r="BG53" i="64"/>
  <c r="BH53" i="64"/>
  <c r="BI53" i="64"/>
  <c r="BI56" i="63"/>
  <c r="BG56" i="63"/>
  <c r="BH56" i="63"/>
  <c r="BF56" i="63"/>
  <c r="BD57" i="63"/>
  <c r="BC58" i="63"/>
  <c r="BD48" i="61"/>
  <c r="BC49" i="61"/>
  <c r="BH47" i="61"/>
  <c r="BI47" i="61"/>
  <c r="BF47" i="61"/>
  <c r="BG47" i="61"/>
  <c r="BD49" i="60"/>
  <c r="BC50" i="60"/>
  <c r="BI48" i="60"/>
  <c r="BH48" i="60"/>
  <c r="BG48" i="60"/>
  <c r="BF48" i="60"/>
  <c r="BD47" i="58"/>
  <c r="BC48" i="58"/>
  <c r="BI46" i="58"/>
  <c r="BH46" i="58"/>
  <c r="BG46" i="58"/>
  <c r="BF46" i="58"/>
  <c r="BC45" i="57"/>
  <c r="BD44" i="57"/>
  <c r="BI43" i="57"/>
  <c r="BG43" i="57"/>
  <c r="BF43" i="57"/>
  <c r="BH43" i="57"/>
  <c r="BC62" i="65" l="1"/>
  <c r="BD61" i="65"/>
  <c r="BF60" i="65"/>
  <c r="BI60" i="65"/>
  <c r="BG60" i="65"/>
  <c r="BH60" i="65"/>
  <c r="BD55" i="64"/>
  <c r="BC56" i="64"/>
  <c r="BG54" i="64"/>
  <c r="BI54" i="64"/>
  <c r="BH54" i="64"/>
  <c r="BF54" i="64"/>
  <c r="BG57" i="63"/>
  <c r="BI57" i="63"/>
  <c r="BF57" i="63"/>
  <c r="BH57" i="63"/>
  <c r="BD58" i="63"/>
  <c r="BC59" i="63"/>
  <c r="BC50" i="61"/>
  <c r="BD49" i="61"/>
  <c r="BI48" i="61"/>
  <c r="BF48" i="61"/>
  <c r="BH48" i="61"/>
  <c r="BG48" i="61"/>
  <c r="BC51" i="60"/>
  <c r="BD50" i="60"/>
  <c r="BF49" i="60"/>
  <c r="BI49" i="60"/>
  <c r="BG49" i="60"/>
  <c r="BH49" i="60"/>
  <c r="BC49" i="58"/>
  <c r="BD48" i="58"/>
  <c r="BF47" i="58"/>
  <c r="BI47" i="58"/>
  <c r="BH47" i="58"/>
  <c r="BG47" i="58"/>
  <c r="BF44" i="57"/>
  <c r="BI44" i="57"/>
  <c r="BH44" i="57"/>
  <c r="BG44" i="57"/>
  <c r="BD45" i="57"/>
  <c r="BC46" i="57"/>
  <c r="BG61" i="65" l="1"/>
  <c r="BF61" i="65"/>
  <c r="BH61" i="65"/>
  <c r="BI61" i="65"/>
  <c r="BC63" i="65"/>
  <c r="BD63" i="65" s="1"/>
  <c r="BD62" i="65"/>
  <c r="BH55" i="64"/>
  <c r="BG55" i="64"/>
  <c r="BI55" i="64"/>
  <c r="BF55" i="64"/>
  <c r="BC57" i="64"/>
  <c r="BD56" i="64"/>
  <c r="BI58" i="63"/>
  <c r="BG58" i="63"/>
  <c r="BH58" i="63"/>
  <c r="BF58" i="63"/>
  <c r="BC60" i="63"/>
  <c r="BD59" i="63"/>
  <c r="BF49" i="61"/>
  <c r="BG49" i="61"/>
  <c r="BH49" i="61"/>
  <c r="BI49" i="61"/>
  <c r="BC51" i="61"/>
  <c r="BD50" i="61"/>
  <c r="BG50" i="60"/>
  <c r="BF50" i="60"/>
  <c r="BI50" i="60"/>
  <c r="BH50" i="60"/>
  <c r="BC52" i="60"/>
  <c r="BD51" i="60"/>
  <c r="BG48" i="58"/>
  <c r="BF48" i="58"/>
  <c r="BI48" i="58"/>
  <c r="BH48" i="58"/>
  <c r="BC50" i="58"/>
  <c r="BD49" i="58"/>
  <c r="BH45" i="57"/>
  <c r="BG45" i="57"/>
  <c r="BF45" i="57"/>
  <c r="BI45" i="57"/>
  <c r="BD46" i="57"/>
  <c r="BC47" i="57"/>
  <c r="BH62" i="65" l="1"/>
  <c r="BG62" i="65"/>
  <c r="BI62" i="65"/>
  <c r="BF62" i="65"/>
  <c r="BG63" i="65"/>
  <c r="BF63" i="65"/>
  <c r="BH63" i="65"/>
  <c r="BI63" i="65"/>
  <c r="BC58" i="64"/>
  <c r="BD57" i="64"/>
  <c r="BF56" i="64"/>
  <c r="BG56" i="64"/>
  <c r="BH56" i="64"/>
  <c r="BI56" i="64"/>
  <c r="BC61" i="63"/>
  <c r="BD60" i="63"/>
  <c r="BF59" i="63"/>
  <c r="BH59" i="63"/>
  <c r="BG59" i="63"/>
  <c r="BI59" i="63"/>
  <c r="BG50" i="61"/>
  <c r="BH50" i="61"/>
  <c r="BI50" i="61"/>
  <c r="BF50" i="61"/>
  <c r="BD51" i="61"/>
  <c r="BC52" i="61"/>
  <c r="BD52" i="60"/>
  <c r="BC53" i="60"/>
  <c r="BH51" i="60"/>
  <c r="BG51" i="60"/>
  <c r="BF51" i="60"/>
  <c r="BI51" i="60"/>
  <c r="BH49" i="58"/>
  <c r="BG49" i="58"/>
  <c r="BI49" i="58"/>
  <c r="BF49" i="58"/>
  <c r="BD50" i="58"/>
  <c r="BC51" i="58"/>
  <c r="BI46" i="57"/>
  <c r="BG46" i="57"/>
  <c r="BH46" i="57"/>
  <c r="BF46" i="57"/>
  <c r="BD47" i="57"/>
  <c r="BC48" i="57"/>
  <c r="BC59" i="64" l="1"/>
  <c r="BD58" i="64"/>
  <c r="BH57" i="64"/>
  <c r="BG57" i="64"/>
  <c r="BF57" i="64"/>
  <c r="BI57" i="64"/>
  <c r="BG60" i="63"/>
  <c r="BI60" i="63"/>
  <c r="BH60" i="63"/>
  <c r="BF60" i="63"/>
  <c r="BC62" i="63"/>
  <c r="BD61" i="63"/>
  <c r="BD52" i="61"/>
  <c r="BC53" i="61"/>
  <c r="BH51" i="61"/>
  <c r="BI51" i="61"/>
  <c r="BF51" i="61"/>
  <c r="BG51" i="61"/>
  <c r="BD53" i="60"/>
  <c r="BC54" i="60"/>
  <c r="BI52" i="60"/>
  <c r="BH52" i="60"/>
  <c r="BG52" i="60"/>
  <c r="BF52" i="60"/>
  <c r="BD51" i="58"/>
  <c r="BC52" i="58"/>
  <c r="BI50" i="58"/>
  <c r="BH50" i="58"/>
  <c r="BG50" i="58"/>
  <c r="BF50" i="58"/>
  <c r="BF47" i="57"/>
  <c r="BI47" i="57"/>
  <c r="BG47" i="57"/>
  <c r="BH47" i="57"/>
  <c r="BC49" i="57"/>
  <c r="BD48" i="57"/>
  <c r="BC60" i="64" l="1"/>
  <c r="BD59" i="64"/>
  <c r="BF58" i="64"/>
  <c r="BI58" i="64"/>
  <c r="BG58" i="64"/>
  <c r="BH58" i="64"/>
  <c r="BC63" i="63"/>
  <c r="BD63" i="63" s="1"/>
  <c r="BD62" i="63"/>
  <c r="BH61" i="63"/>
  <c r="BF61" i="63"/>
  <c r="BG61" i="63"/>
  <c r="BI61" i="63"/>
  <c r="BC54" i="61"/>
  <c r="BD53" i="61"/>
  <c r="BI52" i="61"/>
  <c r="BF52" i="61"/>
  <c r="BH52" i="61"/>
  <c r="BG52" i="61"/>
  <c r="BF53" i="60"/>
  <c r="BI53" i="60"/>
  <c r="BG53" i="60"/>
  <c r="BH53" i="60"/>
  <c r="BC55" i="60"/>
  <c r="BD54" i="60"/>
  <c r="BC53" i="58"/>
  <c r="BD52" i="58"/>
  <c r="BF51" i="58"/>
  <c r="BI51" i="58"/>
  <c r="BG51" i="58"/>
  <c r="BH51" i="58"/>
  <c r="BC50" i="57"/>
  <c r="BD49" i="57"/>
  <c r="BG48" i="57"/>
  <c r="BH48" i="57"/>
  <c r="BF48" i="57"/>
  <c r="BI48" i="57"/>
  <c r="BD60" i="64" l="1"/>
  <c r="BC61" i="64"/>
  <c r="BG59" i="64"/>
  <c r="BI59" i="64"/>
  <c r="BH59" i="64"/>
  <c r="BF59" i="64"/>
  <c r="BI62" i="63"/>
  <c r="BG62" i="63"/>
  <c r="BH62" i="63"/>
  <c r="BF62" i="63"/>
  <c r="BH63" i="63"/>
  <c r="BF63" i="63"/>
  <c r="BG63" i="63"/>
  <c r="BI63" i="63"/>
  <c r="BF53" i="61"/>
  <c r="BG53" i="61"/>
  <c r="BH53" i="61"/>
  <c r="BI53" i="61"/>
  <c r="BC55" i="61"/>
  <c r="BD54" i="61"/>
  <c r="BG54" i="60"/>
  <c r="BF54" i="60"/>
  <c r="BI54" i="60"/>
  <c r="BH54" i="60"/>
  <c r="BC56" i="60"/>
  <c r="BD55" i="60"/>
  <c r="BG52" i="58"/>
  <c r="BF52" i="58"/>
  <c r="BI52" i="58"/>
  <c r="BH52" i="58"/>
  <c r="BC54" i="58"/>
  <c r="BD53" i="58"/>
  <c r="BH49" i="57"/>
  <c r="BI49" i="57"/>
  <c r="BG49" i="57"/>
  <c r="BF49" i="57"/>
  <c r="BD50" i="57"/>
  <c r="BC51" i="57"/>
  <c r="BH60" i="64" l="1"/>
  <c r="BF60" i="64"/>
  <c r="BG60" i="64"/>
  <c r="BI60" i="64"/>
  <c r="BD61" i="64"/>
  <c r="BC62" i="64"/>
  <c r="BG54" i="61"/>
  <c r="BH54" i="61"/>
  <c r="BI54" i="61"/>
  <c r="BF54" i="61"/>
  <c r="BD55" i="61"/>
  <c r="BC56" i="61"/>
  <c r="BD56" i="60"/>
  <c r="BC57" i="60"/>
  <c r="BH55" i="60"/>
  <c r="BG55" i="60"/>
  <c r="BF55" i="60"/>
  <c r="BI55" i="60"/>
  <c r="BH53" i="58"/>
  <c r="BG53" i="58"/>
  <c r="BI53" i="58"/>
  <c r="BF53" i="58"/>
  <c r="BD54" i="58"/>
  <c r="BC55" i="58"/>
  <c r="BD51" i="57"/>
  <c r="BC52" i="57"/>
  <c r="BI50" i="57"/>
  <c r="BH50" i="57"/>
  <c r="BF50" i="57"/>
  <c r="BG50" i="57"/>
  <c r="BI61" i="64" l="1"/>
  <c r="BG61" i="64"/>
  <c r="BH61" i="64"/>
  <c r="BF61" i="64"/>
  <c r="BD62" i="64"/>
  <c r="BC63" i="64"/>
  <c r="BD63" i="64" s="1"/>
  <c r="BD56" i="61"/>
  <c r="BC57" i="61"/>
  <c r="BH55" i="61"/>
  <c r="BI55" i="61"/>
  <c r="BF55" i="61"/>
  <c r="BG55" i="61"/>
  <c r="BD57" i="60"/>
  <c r="BC58" i="60"/>
  <c r="BI56" i="60"/>
  <c r="BH56" i="60"/>
  <c r="BG56" i="60"/>
  <c r="BF56" i="60"/>
  <c r="BD55" i="58"/>
  <c r="BC56" i="58"/>
  <c r="BI54" i="58"/>
  <c r="BH54" i="58"/>
  <c r="BG54" i="58"/>
  <c r="BF54" i="58"/>
  <c r="BC53" i="57"/>
  <c r="BD52" i="57"/>
  <c r="BF51" i="57"/>
  <c r="BI51" i="57"/>
  <c r="BH51" i="57"/>
  <c r="BG51" i="57"/>
  <c r="BI63" i="64" l="1"/>
  <c r="BF63" i="64"/>
  <c r="BG63" i="64"/>
  <c r="BH63" i="64"/>
  <c r="BF62" i="64"/>
  <c r="BH62" i="64"/>
  <c r="BG62" i="64"/>
  <c r="BI62" i="64"/>
  <c r="BC58" i="61"/>
  <c r="BD57" i="61"/>
  <c r="BI56" i="61"/>
  <c r="BF56" i="61"/>
  <c r="BH56" i="61"/>
  <c r="BG56" i="61"/>
  <c r="BF57" i="60"/>
  <c r="BI57" i="60"/>
  <c r="BG57" i="60"/>
  <c r="BH57" i="60"/>
  <c r="BC59" i="60"/>
  <c r="BD58" i="60"/>
  <c r="BC57" i="58"/>
  <c r="BD56" i="58"/>
  <c r="BF55" i="58"/>
  <c r="BI55" i="58"/>
  <c r="BH55" i="58"/>
  <c r="BG55" i="58"/>
  <c r="BG52" i="57"/>
  <c r="BF52" i="57"/>
  <c r="BI52" i="57"/>
  <c r="BH52" i="57"/>
  <c r="BC54" i="57"/>
  <c r="BD53" i="57"/>
  <c r="BG57" i="61" l="1"/>
  <c r="BH57" i="61"/>
  <c r="BI57" i="61"/>
  <c r="BF57" i="61"/>
  <c r="BD58" i="61"/>
  <c r="BC59" i="61"/>
  <c r="BG58" i="60"/>
  <c r="BF58" i="60"/>
  <c r="BH58" i="60"/>
  <c r="BI58" i="60"/>
  <c r="BC60" i="60"/>
  <c r="BD59" i="60"/>
  <c r="BG56" i="58"/>
  <c r="BF56" i="58"/>
  <c r="BI56" i="58"/>
  <c r="BH56" i="58"/>
  <c r="BC58" i="58"/>
  <c r="BD57" i="58"/>
  <c r="BH53" i="57"/>
  <c r="BG53" i="57"/>
  <c r="BI53" i="57"/>
  <c r="BF53" i="57"/>
  <c r="BD54" i="57"/>
  <c r="BC55" i="57"/>
  <c r="BC60" i="61" l="1"/>
  <c r="BD59" i="61"/>
  <c r="BI58" i="61"/>
  <c r="BF58" i="61"/>
  <c r="BG58" i="61"/>
  <c r="BH58" i="61"/>
  <c r="BD60" i="60"/>
  <c r="BC61" i="60"/>
  <c r="BH59" i="60"/>
  <c r="BG59" i="60"/>
  <c r="BF59" i="60"/>
  <c r="BI59" i="60"/>
  <c r="BH57" i="58"/>
  <c r="BG57" i="58"/>
  <c r="BI57" i="58"/>
  <c r="BF57" i="58"/>
  <c r="BD58" i="58"/>
  <c r="BC59" i="58"/>
  <c r="BD55" i="57"/>
  <c r="BC56" i="57"/>
  <c r="BI54" i="57"/>
  <c r="BH54" i="57"/>
  <c r="BG54" i="57"/>
  <c r="BF54" i="57"/>
  <c r="BF59" i="61" l="1"/>
  <c r="BG59" i="61"/>
  <c r="BH59" i="61"/>
  <c r="BI59" i="61"/>
  <c r="BC61" i="61"/>
  <c r="BD60" i="61"/>
  <c r="BD61" i="60"/>
  <c r="BC62" i="60"/>
  <c r="BI60" i="60"/>
  <c r="BH60" i="60"/>
  <c r="BF60" i="60"/>
  <c r="BG60" i="60"/>
  <c r="BD59" i="58"/>
  <c r="BC60" i="58"/>
  <c r="BI58" i="58"/>
  <c r="BH58" i="58"/>
  <c r="BG58" i="58"/>
  <c r="BF58" i="58"/>
  <c r="BC57" i="57"/>
  <c r="BD56" i="57"/>
  <c r="BF55" i="57"/>
  <c r="BI55" i="57"/>
  <c r="BH55" i="57"/>
  <c r="BG55" i="57"/>
  <c r="BG60" i="61" l="1"/>
  <c r="BH60" i="61"/>
  <c r="BF60" i="61"/>
  <c r="BI60" i="61"/>
  <c r="BD61" i="61"/>
  <c r="BC62" i="61"/>
  <c r="BF61" i="60"/>
  <c r="BI61" i="60"/>
  <c r="BH61" i="60"/>
  <c r="BG61" i="60"/>
  <c r="BC63" i="60"/>
  <c r="BD63" i="60" s="1"/>
  <c r="BD62" i="60"/>
  <c r="BC61" i="58"/>
  <c r="BD60" i="58"/>
  <c r="BF59" i="58"/>
  <c r="BI59" i="58"/>
  <c r="BH59" i="58"/>
  <c r="BG59" i="58"/>
  <c r="BG56" i="57"/>
  <c r="BF56" i="57"/>
  <c r="BI56" i="57"/>
  <c r="BH56" i="57"/>
  <c r="BC58" i="57"/>
  <c r="BD57" i="57"/>
  <c r="BC63" i="61" l="1"/>
  <c r="BD63" i="61" s="1"/>
  <c r="BD62" i="61"/>
  <c r="BH61" i="61"/>
  <c r="BI61" i="61"/>
  <c r="BG61" i="61"/>
  <c r="BF61" i="61"/>
  <c r="BG62" i="60"/>
  <c r="BF62" i="60"/>
  <c r="BI62" i="60"/>
  <c r="BH62" i="60"/>
  <c r="BF63" i="60"/>
  <c r="BI63" i="60"/>
  <c r="BH63" i="60"/>
  <c r="BG63" i="60"/>
  <c r="BG60" i="58"/>
  <c r="BF60" i="58"/>
  <c r="BI60" i="58"/>
  <c r="BH60" i="58"/>
  <c r="BC62" i="58"/>
  <c r="BD61" i="58"/>
  <c r="BH57" i="57"/>
  <c r="BG57" i="57"/>
  <c r="BI57" i="57"/>
  <c r="BF57" i="57"/>
  <c r="BD58" i="57"/>
  <c r="BC59" i="57"/>
  <c r="BI62" i="61" l="1"/>
  <c r="BF62" i="61"/>
  <c r="BH62" i="61"/>
  <c r="BG62" i="61"/>
  <c r="BH63" i="61"/>
  <c r="BI63" i="61"/>
  <c r="BG63" i="61"/>
  <c r="BF63" i="61"/>
  <c r="BH61" i="58"/>
  <c r="BG61" i="58"/>
  <c r="BI61" i="58"/>
  <c r="BF61" i="58"/>
  <c r="BC63" i="58"/>
  <c r="BD63" i="58" s="1"/>
  <c r="BD62" i="58"/>
  <c r="BD59" i="57"/>
  <c r="BC60" i="57"/>
  <c r="BI58" i="57"/>
  <c r="BH58" i="57"/>
  <c r="BF58" i="57"/>
  <c r="BG58" i="57"/>
  <c r="BI62" i="58" l="1"/>
  <c r="BH62" i="58"/>
  <c r="BG62" i="58"/>
  <c r="BF62" i="58"/>
  <c r="BH63" i="58"/>
  <c r="BG63" i="58"/>
  <c r="BI63" i="58"/>
  <c r="BF63" i="58"/>
  <c r="BC61" i="57"/>
  <c r="BD60" i="57"/>
  <c r="BF59" i="57"/>
  <c r="BI59" i="57"/>
  <c r="BG59" i="57"/>
  <c r="BH59" i="57"/>
  <c r="BG60" i="57" l="1"/>
  <c r="BF60" i="57"/>
  <c r="BH60" i="57"/>
  <c r="BI60" i="57"/>
  <c r="BC62" i="57"/>
  <c r="BD61" i="57"/>
  <c r="BH61" i="57" l="1"/>
  <c r="BG61" i="57"/>
  <c r="BI61" i="57"/>
  <c r="BF61" i="57"/>
  <c r="BC63" i="57"/>
  <c r="BD63" i="57" s="1"/>
  <c r="BD62" i="57"/>
  <c r="BI62" i="57" l="1"/>
  <c r="BH62" i="57"/>
  <c r="BG62" i="57"/>
  <c r="BF62" i="57"/>
  <c r="BH63" i="57"/>
  <c r="BG63" i="57"/>
  <c r="BI63" i="57"/>
  <c r="BF63" i="57"/>
  <c r="C68" i="56" l="1"/>
  <c r="B68" i="56" s="1"/>
  <c r="AH67" i="56"/>
  <c r="AG67" i="56"/>
  <c r="AF67" i="56"/>
  <c r="AH66" i="56"/>
  <c r="AG66" i="56"/>
  <c r="AF66" i="56"/>
  <c r="AH65" i="56"/>
  <c r="AG65" i="56"/>
  <c r="AF65" i="56"/>
  <c r="AH64" i="56"/>
  <c r="AG64" i="56"/>
  <c r="AF64" i="56"/>
  <c r="AV63" i="56"/>
  <c r="AH63" i="56"/>
  <c r="AG63" i="56"/>
  <c r="AF63" i="56"/>
  <c r="AV62" i="56"/>
  <c r="AH62" i="56"/>
  <c r="AG62" i="56"/>
  <c r="AF62" i="56"/>
  <c r="AV61" i="56"/>
  <c r="AV60" i="56"/>
  <c r="AH60" i="56"/>
  <c r="AG60" i="56"/>
  <c r="AF60" i="56"/>
  <c r="AF61" i="56" s="1"/>
  <c r="G60" i="56"/>
  <c r="E60" i="56" s="1"/>
  <c r="AV59" i="56"/>
  <c r="AV58" i="56"/>
  <c r="AV57" i="56"/>
  <c r="AV56" i="56"/>
  <c r="AV55" i="56"/>
  <c r="AV54" i="56"/>
  <c r="AV53" i="56"/>
  <c r="AV52" i="56"/>
  <c r="AV51" i="56"/>
  <c r="AV50" i="56"/>
  <c r="AV49" i="56"/>
  <c r="AV48" i="56"/>
  <c r="AV47" i="56"/>
  <c r="AV46" i="56"/>
  <c r="AV45" i="56"/>
  <c r="AV44" i="56"/>
  <c r="AV43" i="56"/>
  <c r="AV42" i="56"/>
  <c r="AV41" i="56"/>
  <c r="AV40" i="56"/>
  <c r="AV39" i="56"/>
  <c r="AV38" i="56"/>
  <c r="AV37" i="56"/>
  <c r="AV36" i="56"/>
  <c r="AV35" i="56"/>
  <c r="AV34" i="56"/>
  <c r="AV33" i="56"/>
  <c r="AV32" i="56"/>
  <c r="AV31" i="56"/>
  <c r="AV30" i="56"/>
  <c r="AV29" i="56"/>
  <c r="AV28" i="56"/>
  <c r="AV27" i="56"/>
  <c r="AV26" i="56"/>
  <c r="AV25" i="56"/>
  <c r="AV24" i="56"/>
  <c r="AV23" i="56"/>
  <c r="AV22" i="56"/>
  <c r="AV21" i="56"/>
  <c r="AV20" i="56"/>
  <c r="AV19" i="56"/>
  <c r="AV18" i="56"/>
  <c r="AV17" i="56"/>
  <c r="AV16" i="56"/>
  <c r="L16" i="56" a="1"/>
  <c r="L16" i="56" s="1"/>
  <c r="AV15" i="56"/>
  <c r="AV14" i="56"/>
  <c r="AV13" i="56"/>
  <c r="L13" i="56"/>
  <c r="AV12" i="56"/>
  <c r="L12" i="56"/>
  <c r="AV11" i="56"/>
  <c r="L11" i="56"/>
  <c r="AV10" i="56"/>
  <c r="L10" i="56"/>
  <c r="AV9" i="56"/>
  <c r="L9" i="56"/>
  <c r="AV8" i="56"/>
  <c r="L8" i="56"/>
  <c r="BC7" i="56"/>
  <c r="BC8" i="56" s="1"/>
  <c r="AV7" i="56"/>
  <c r="AF7" i="56"/>
  <c r="AF8" i="56" s="1"/>
  <c r="AF9" i="56" s="1"/>
  <c r="AF10" i="56" s="1"/>
  <c r="AF11" i="56" s="1"/>
  <c r="AF12" i="56" s="1"/>
  <c r="AF13" i="56" s="1"/>
  <c r="AF14" i="56" s="1"/>
  <c r="AF15" i="56" s="1"/>
  <c r="AF16" i="56" s="1"/>
  <c r="AF17" i="56" s="1"/>
  <c r="AF18" i="56" s="1"/>
  <c r="AF19" i="56" s="1"/>
  <c r="AF20" i="56" s="1"/>
  <c r="AF21" i="56" s="1"/>
  <c r="AF22" i="56" s="1"/>
  <c r="AF23" i="56" s="1"/>
  <c r="AF24" i="56" s="1"/>
  <c r="AF25" i="56" s="1"/>
  <c r="AF26" i="56" s="1"/>
  <c r="AF27" i="56" s="1"/>
  <c r="AF28" i="56" s="1"/>
  <c r="AF29" i="56" s="1"/>
  <c r="AF30" i="56" s="1"/>
  <c r="AF31" i="56" s="1"/>
  <c r="AF32" i="56" s="1"/>
  <c r="AF33" i="56" s="1"/>
  <c r="AF34" i="56" s="1"/>
  <c r="AF35" i="56" s="1"/>
  <c r="AF36" i="56" s="1"/>
  <c r="AF37" i="56" s="1"/>
  <c r="AF38" i="56" s="1"/>
  <c r="AF39" i="56" s="1"/>
  <c r="AF40" i="56" s="1"/>
  <c r="AF41" i="56" s="1"/>
  <c r="AF42" i="56" s="1"/>
  <c r="AF43" i="56" s="1"/>
  <c r="AF44" i="56" s="1"/>
  <c r="AF45" i="56" s="1"/>
  <c r="AF46" i="56" s="1"/>
  <c r="AF47" i="56" s="1"/>
  <c r="AF48" i="56" s="1"/>
  <c r="AF49" i="56" s="1"/>
  <c r="AF50" i="56" s="1"/>
  <c r="AF51" i="56" s="1"/>
  <c r="AF52" i="56" s="1"/>
  <c r="AF53" i="56" s="1"/>
  <c r="AF54" i="56" s="1"/>
  <c r="AF55" i="56" s="1"/>
  <c r="AF56" i="56" s="1"/>
  <c r="AF57" i="56" s="1"/>
  <c r="AF58" i="56" s="1"/>
  <c r="AF59" i="56" s="1"/>
  <c r="AL4" i="56"/>
  <c r="AK4" i="56"/>
  <c r="AJ4" i="56"/>
  <c r="AJ2" i="56" s="1"/>
  <c r="G3" i="56"/>
  <c r="AL2" i="56"/>
  <c r="AK2" i="56"/>
  <c r="E2" i="56"/>
  <c r="E3" i="56" s="1"/>
  <c r="A1" i="56"/>
  <c r="G59" i="56"/>
  <c r="G8" i="56"/>
  <c r="G9" i="56"/>
  <c r="G11" i="56"/>
  <c r="G25" i="56"/>
  <c r="G49" i="56"/>
  <c r="G12" i="56"/>
  <c r="G22" i="56"/>
  <c r="AJ50" i="56"/>
  <c r="G33" i="56"/>
  <c r="G7" i="56"/>
  <c r="G10" i="56"/>
  <c r="E6" i="56"/>
  <c r="E59" i="56" l="1"/>
  <c r="AW8" i="56"/>
  <c r="AX8" i="56" s="1"/>
  <c r="AW16" i="56"/>
  <c r="AX16" i="56" s="1"/>
  <c r="AW10" i="56"/>
  <c r="AX10" i="56" s="1"/>
  <c r="AW14" i="56"/>
  <c r="AX14" i="56" s="1"/>
  <c r="AW18" i="56"/>
  <c r="AW12" i="56"/>
  <c r="AX12" i="56" s="1"/>
  <c r="AW29" i="56"/>
  <c r="AX29" i="56" s="1"/>
  <c r="BC9" i="56"/>
  <c r="AW31" i="56"/>
  <c r="AX31" i="56" s="1"/>
  <c r="AW62" i="56"/>
  <c r="AX62" i="56" s="1"/>
  <c r="AW58" i="56"/>
  <c r="AW54" i="56"/>
  <c r="AX54" i="56" s="1"/>
  <c r="AW50" i="56"/>
  <c r="AX50" i="56" s="1"/>
  <c r="AW46" i="56"/>
  <c r="AX46" i="56" s="1"/>
  <c r="AW55" i="56"/>
  <c r="AX55" i="56" s="1"/>
  <c r="AW47" i="56"/>
  <c r="AX47" i="56" s="1"/>
  <c r="AW39" i="56"/>
  <c r="AX39" i="56" s="1"/>
  <c r="AW36" i="56"/>
  <c r="AX36" i="56" s="1"/>
  <c r="AW32" i="56"/>
  <c r="AX32" i="56" s="1"/>
  <c r="AW41" i="56"/>
  <c r="AX41" i="56" s="1"/>
  <c r="AW38" i="56"/>
  <c r="AX38" i="56" s="1"/>
  <c r="AW34" i="56"/>
  <c r="AX34" i="56" s="1"/>
  <c r="AW30" i="56"/>
  <c r="AX30" i="56" s="1"/>
  <c r="AW27" i="56"/>
  <c r="AX27" i="56" s="1"/>
  <c r="AW22" i="56"/>
  <c r="AX22" i="56" s="1"/>
  <c r="AW19" i="56"/>
  <c r="AX19" i="56" s="1"/>
  <c r="AW15" i="56"/>
  <c r="AX15" i="56" s="1"/>
  <c r="AW13" i="56"/>
  <c r="AX13" i="56" s="1"/>
  <c r="AW43" i="56"/>
  <c r="AX43" i="56" s="1"/>
  <c r="AW28" i="56"/>
  <c r="AX28" i="56" s="1"/>
  <c r="AW20" i="56"/>
  <c r="AX20" i="56" s="1"/>
  <c r="AW51" i="56"/>
  <c r="AX51" i="56" s="1"/>
  <c r="AW59" i="56"/>
  <c r="AX59" i="56" s="1"/>
  <c r="AW7" i="56"/>
  <c r="AX7" i="56" s="1"/>
  <c r="AW9" i="56"/>
  <c r="AX9" i="56" s="1"/>
  <c r="AW11" i="56"/>
  <c r="AX11" i="56" s="1"/>
  <c r="AW21" i="56"/>
  <c r="AX21" i="56" s="1"/>
  <c r="AW23" i="56"/>
  <c r="AX23" i="56" s="1"/>
  <c r="AW24" i="56"/>
  <c r="AX24" i="56" s="1"/>
  <c r="AW26" i="56"/>
  <c r="AX26" i="56" s="1"/>
  <c r="AW35" i="56"/>
  <c r="AX35" i="56" s="1"/>
  <c r="L14" i="56"/>
  <c r="C77" i="56" s="1"/>
  <c r="AX18" i="56"/>
  <c r="AW33" i="56"/>
  <c r="AX33" i="56" s="1"/>
  <c r="AW17" i="56"/>
  <c r="AX17" i="56" s="1"/>
  <c r="AW25" i="56"/>
  <c r="AX25" i="56" s="1"/>
  <c r="AW42" i="56"/>
  <c r="AX42" i="56" s="1"/>
  <c r="AW60" i="56"/>
  <c r="AX60" i="56" s="1"/>
  <c r="AW37" i="56"/>
  <c r="AX37" i="56" s="1"/>
  <c r="AW40" i="56"/>
  <c r="AX40" i="56" s="1"/>
  <c r="AW53" i="56"/>
  <c r="AX53" i="56" s="1"/>
  <c r="AW63" i="56"/>
  <c r="AX63" i="56" s="1"/>
  <c r="AW49" i="56"/>
  <c r="AX49" i="56" s="1"/>
  <c r="AW57" i="56"/>
  <c r="AX57" i="56" s="1"/>
  <c r="AW44" i="56"/>
  <c r="AX44" i="56" s="1"/>
  <c r="AW45" i="56"/>
  <c r="AX45" i="56" s="1"/>
  <c r="AX58" i="56"/>
  <c r="AW48" i="56"/>
  <c r="AX48" i="56" s="1"/>
  <c r="AW52" i="56"/>
  <c r="AX52" i="56" s="1"/>
  <c r="AW56" i="56"/>
  <c r="AX56" i="56" s="1"/>
  <c r="AW61" i="56"/>
  <c r="AX61" i="56" s="1"/>
  <c r="C68" i="55"/>
  <c r="B68" i="55" s="1"/>
  <c r="AH67" i="55"/>
  <c r="AG67" i="55"/>
  <c r="AF67" i="55"/>
  <c r="AH66" i="55"/>
  <c r="AG66" i="55"/>
  <c r="AF66" i="55"/>
  <c r="AH65" i="55"/>
  <c r="AG65" i="55"/>
  <c r="AF65" i="55"/>
  <c r="AH64" i="55"/>
  <c r="AG64" i="55"/>
  <c r="AF64" i="55"/>
  <c r="AV63" i="55"/>
  <c r="AH63" i="55"/>
  <c r="AG63" i="55"/>
  <c r="AF63" i="55"/>
  <c r="AV62" i="55"/>
  <c r="AV61" i="55"/>
  <c r="AV60" i="55"/>
  <c r="AH60" i="55"/>
  <c r="AG60" i="55"/>
  <c r="AF60" i="55"/>
  <c r="AF61" i="55" s="1"/>
  <c r="AF62" i="55" s="1"/>
  <c r="G60" i="55"/>
  <c r="E60" i="55" s="1"/>
  <c r="AV59" i="55"/>
  <c r="AH59" i="55"/>
  <c r="AG59" i="55"/>
  <c r="AF59" i="55"/>
  <c r="G59" i="55"/>
  <c r="E59" i="55" s="1"/>
  <c r="AV58" i="55"/>
  <c r="AV57" i="55"/>
  <c r="AV56" i="55"/>
  <c r="AV55" i="55"/>
  <c r="AV54" i="55"/>
  <c r="AV53" i="55"/>
  <c r="AV52" i="55"/>
  <c r="AV51" i="55"/>
  <c r="AV50" i="55"/>
  <c r="AV49" i="55"/>
  <c r="AV48" i="55"/>
  <c r="AV47" i="55"/>
  <c r="AV46" i="55"/>
  <c r="AV45" i="55"/>
  <c r="AV44" i="55"/>
  <c r="AV43" i="55"/>
  <c r="AV42" i="55"/>
  <c r="AV41" i="55"/>
  <c r="AV40" i="55"/>
  <c r="AV39" i="55"/>
  <c r="AV38" i="55"/>
  <c r="AV37" i="55"/>
  <c r="AV36" i="55"/>
  <c r="AV35" i="55"/>
  <c r="AV34" i="55"/>
  <c r="AV33" i="55"/>
  <c r="AV32" i="55"/>
  <c r="AV31" i="55"/>
  <c r="AV30" i="55"/>
  <c r="AV29" i="55"/>
  <c r="AV28" i="55"/>
  <c r="AV27" i="55"/>
  <c r="AV26" i="55"/>
  <c r="AV25" i="55"/>
  <c r="AV24" i="55"/>
  <c r="AV23" i="55"/>
  <c r="AV22" i="55"/>
  <c r="AV21" i="55"/>
  <c r="AV20" i="55"/>
  <c r="AV19" i="55"/>
  <c r="AV18" i="55"/>
  <c r="AV17" i="55"/>
  <c r="AV16" i="55"/>
  <c r="L16" i="55" a="1"/>
  <c r="L16" i="55" s="1"/>
  <c r="AV15" i="55"/>
  <c r="AV14" i="55"/>
  <c r="AV13" i="55"/>
  <c r="L13" i="55"/>
  <c r="AV12" i="55"/>
  <c r="L12" i="55"/>
  <c r="AV11" i="55"/>
  <c r="L11" i="55"/>
  <c r="AV10" i="55"/>
  <c r="L10" i="55"/>
  <c r="AV9" i="55"/>
  <c r="L9" i="55"/>
  <c r="AV8" i="55"/>
  <c r="L8" i="55"/>
  <c r="BC7" i="55"/>
  <c r="BC8" i="55" s="1"/>
  <c r="BC9" i="55" s="1"/>
  <c r="AV7" i="55"/>
  <c r="AF7" i="55"/>
  <c r="AF8" i="55" s="1"/>
  <c r="AF9" i="55" s="1"/>
  <c r="AF10" i="55" s="1"/>
  <c r="AF11" i="55" s="1"/>
  <c r="AF12" i="55" s="1"/>
  <c r="AF13" i="55" s="1"/>
  <c r="AF14" i="55" s="1"/>
  <c r="AF15" i="55" s="1"/>
  <c r="AF16" i="55" s="1"/>
  <c r="AF17" i="55" s="1"/>
  <c r="AF18" i="55" s="1"/>
  <c r="AF19" i="55" s="1"/>
  <c r="AF20" i="55" s="1"/>
  <c r="AF21" i="55" s="1"/>
  <c r="AF22" i="55" s="1"/>
  <c r="AF23" i="55" s="1"/>
  <c r="AF24" i="55" s="1"/>
  <c r="AF25" i="55" s="1"/>
  <c r="AF26" i="55" s="1"/>
  <c r="AF27" i="55" s="1"/>
  <c r="AF28" i="55" s="1"/>
  <c r="AF29" i="55" s="1"/>
  <c r="AF30" i="55" s="1"/>
  <c r="AF31" i="55" s="1"/>
  <c r="AF32" i="55" s="1"/>
  <c r="AF33" i="55" s="1"/>
  <c r="AF34" i="55" s="1"/>
  <c r="AF35" i="55" s="1"/>
  <c r="AF36" i="55" s="1"/>
  <c r="AF37" i="55" s="1"/>
  <c r="AF38" i="55" s="1"/>
  <c r="AF39" i="55" s="1"/>
  <c r="AF40" i="55" s="1"/>
  <c r="AF41" i="55" s="1"/>
  <c r="AF42" i="55" s="1"/>
  <c r="AF43" i="55" s="1"/>
  <c r="AF44" i="55" s="1"/>
  <c r="AF45" i="55" s="1"/>
  <c r="AF46" i="55" s="1"/>
  <c r="AF47" i="55" s="1"/>
  <c r="AF48" i="55" s="1"/>
  <c r="AF49" i="55" s="1"/>
  <c r="AF50" i="55" s="1"/>
  <c r="AF51" i="55" s="1"/>
  <c r="AF52" i="55" s="1"/>
  <c r="AF53" i="55" s="1"/>
  <c r="AF54" i="55" s="1"/>
  <c r="AF55" i="55" s="1"/>
  <c r="AF56" i="55" s="1"/>
  <c r="AF57" i="55" s="1"/>
  <c r="AF58" i="55" s="1"/>
  <c r="AL4" i="55"/>
  <c r="AL2" i="55" s="1"/>
  <c r="AK4" i="55"/>
  <c r="AK2" i="55" s="1"/>
  <c r="AJ4" i="55"/>
  <c r="AJ2" i="55" s="1"/>
  <c r="G3" i="55"/>
  <c r="E2" i="55"/>
  <c r="E3" i="55" s="1"/>
  <c r="A1" i="55"/>
  <c r="G19" i="56"/>
  <c r="G57" i="56"/>
  <c r="AJ53" i="56"/>
  <c r="AJ14" i="55"/>
  <c r="AJ11" i="55"/>
  <c r="AJ24" i="55"/>
  <c r="G47" i="56"/>
  <c r="G56" i="56"/>
  <c r="AJ36" i="56"/>
  <c r="AJ64" i="56"/>
  <c r="AJ28" i="55"/>
  <c r="AJ26" i="55"/>
  <c r="G38" i="56"/>
  <c r="G20" i="55"/>
  <c r="AJ21" i="56"/>
  <c r="AJ59" i="56"/>
  <c r="AL50" i="56"/>
  <c r="AJ39" i="56"/>
  <c r="AJ38" i="56"/>
  <c r="AJ58" i="56"/>
  <c r="E11" i="56"/>
  <c r="G27" i="56"/>
  <c r="G36" i="56"/>
  <c r="E25" i="56"/>
  <c r="AJ61" i="56"/>
  <c r="AJ35" i="56"/>
  <c r="AJ33" i="56"/>
  <c r="G34" i="56"/>
  <c r="AJ9" i="55"/>
  <c r="G58" i="56"/>
  <c r="AJ25" i="56"/>
  <c r="E33" i="56"/>
  <c r="G30" i="56"/>
  <c r="G26" i="56"/>
  <c r="AJ45" i="56"/>
  <c r="AJ18" i="55"/>
  <c r="AJ19" i="56"/>
  <c r="AJ26" i="56"/>
  <c r="G23" i="56"/>
  <c r="G43" i="56"/>
  <c r="AJ57" i="56"/>
  <c r="G54" i="56"/>
  <c r="G37" i="56"/>
  <c r="AJ15" i="55"/>
  <c r="AJ28" i="56"/>
  <c r="G55" i="56"/>
  <c r="AJ27" i="56"/>
  <c r="AJ47" i="56"/>
  <c r="G48" i="56"/>
  <c r="AJ13" i="56"/>
  <c r="AK50" i="56"/>
  <c r="AJ37" i="56"/>
  <c r="G52" i="56"/>
  <c r="G44" i="56"/>
  <c r="AJ8" i="56"/>
  <c r="G53" i="56"/>
  <c r="G35" i="56"/>
  <c r="AJ18" i="56"/>
  <c r="AJ17" i="56"/>
  <c r="AJ32" i="56"/>
  <c r="AJ12" i="55"/>
  <c r="G40" i="56"/>
  <c r="E9" i="56"/>
  <c r="AJ41" i="56"/>
  <c r="G31" i="56"/>
  <c r="G17" i="56"/>
  <c r="AJ10" i="56"/>
  <c r="AJ24" i="56"/>
  <c r="AJ51" i="56"/>
  <c r="G41" i="56"/>
  <c r="G42" i="56"/>
  <c r="AJ7" i="56"/>
  <c r="AJ54" i="56"/>
  <c r="G21" i="56"/>
  <c r="AJ46" i="56"/>
  <c r="AJ14" i="56"/>
  <c r="AJ12" i="56"/>
  <c r="AJ30" i="56"/>
  <c r="AJ56" i="56"/>
  <c r="G24" i="56"/>
  <c r="G13" i="56"/>
  <c r="AJ29" i="56"/>
  <c r="G62" i="56"/>
  <c r="AJ11" i="56"/>
  <c r="G32" i="56"/>
  <c r="G28" i="56"/>
  <c r="E6" i="55"/>
  <c r="AJ22" i="56"/>
  <c r="AJ55" i="56"/>
  <c r="AJ8" i="55"/>
  <c r="G29" i="56"/>
  <c r="AJ65" i="56"/>
  <c r="G20" i="56"/>
  <c r="AJ32" i="55"/>
  <c r="G46" i="56"/>
  <c r="E22" i="56"/>
  <c r="G51" i="56"/>
  <c r="AJ52" i="56"/>
  <c r="G15" i="56"/>
  <c r="AJ60" i="56"/>
  <c r="AJ34" i="56"/>
  <c r="AJ48" i="56"/>
  <c r="E7" i="56"/>
  <c r="E49" i="56"/>
  <c r="AJ62" i="56"/>
  <c r="AJ16" i="55"/>
  <c r="AJ9" i="56"/>
  <c r="AJ15" i="56"/>
  <c r="G18" i="56"/>
  <c r="AJ21" i="55"/>
  <c r="AJ66" i="56"/>
  <c r="AJ33" i="55"/>
  <c r="AJ31" i="56"/>
  <c r="AJ44" i="56"/>
  <c r="AJ42" i="56"/>
  <c r="AJ49" i="56"/>
  <c r="E10" i="56"/>
  <c r="E8" i="56"/>
  <c r="AJ20" i="56"/>
  <c r="G16" i="56"/>
  <c r="AJ35" i="55"/>
  <c r="AJ67" i="56"/>
  <c r="G45" i="56"/>
  <c r="G14" i="56"/>
  <c r="AJ16" i="56"/>
  <c r="G50" i="56"/>
  <c r="AJ13" i="55"/>
  <c r="AJ40" i="56"/>
  <c r="E12" i="56"/>
  <c r="AJ30" i="55"/>
  <c r="G61" i="56"/>
  <c r="AJ63" i="56"/>
  <c r="AJ23" i="56"/>
  <c r="AJ43" i="56"/>
  <c r="G58" i="55"/>
  <c r="G39" i="56"/>
  <c r="AJ10" i="55"/>
  <c r="G15" i="55"/>
  <c r="AY61" i="56" l="1"/>
  <c r="AK64" i="56"/>
  <c r="AM64" i="56" s="1"/>
  <c r="AL64" i="56"/>
  <c r="AL67" i="56"/>
  <c r="AK67" i="56"/>
  <c r="AM67" i="56" s="1"/>
  <c r="AL65" i="56"/>
  <c r="AK65" i="56"/>
  <c r="AM65" i="56" s="1"/>
  <c r="AL63" i="56"/>
  <c r="AK63" i="56"/>
  <c r="AM63" i="56" s="1"/>
  <c r="AM50" i="56"/>
  <c r="AL66" i="56"/>
  <c r="AK66" i="56"/>
  <c r="AM66" i="56" s="1"/>
  <c r="AK60" i="56"/>
  <c r="AM60" i="56" s="1"/>
  <c r="AL60" i="56"/>
  <c r="AH50" i="56"/>
  <c r="AG50" i="56"/>
  <c r="AY53" i="56"/>
  <c r="AY41" i="56"/>
  <c r="AY49" i="56"/>
  <c r="AY9" i="56"/>
  <c r="AY42" i="56"/>
  <c r="AY7" i="56"/>
  <c r="AY16" i="56"/>
  <c r="AY33" i="56"/>
  <c r="AY22" i="56"/>
  <c r="AY50" i="56"/>
  <c r="AY52" i="56"/>
  <c r="AY45" i="56"/>
  <c r="AY63" i="56"/>
  <c r="AY30" i="56"/>
  <c r="AY14" i="56"/>
  <c r="AY21" i="56"/>
  <c r="AY26" i="56"/>
  <c r="AY11" i="56"/>
  <c r="AY43" i="56"/>
  <c r="AY39" i="56"/>
  <c r="AY31" i="56"/>
  <c r="AY44" i="56"/>
  <c r="AY17" i="56"/>
  <c r="AY12" i="56"/>
  <c r="AY8" i="56"/>
  <c r="AY23" i="56"/>
  <c r="AY13" i="56"/>
  <c r="AY27" i="56"/>
  <c r="AY47" i="56"/>
  <c r="BC10" i="56"/>
  <c r="AY62" i="56"/>
  <c r="AY46" i="56"/>
  <c r="AY34" i="56"/>
  <c r="M13" i="56"/>
  <c r="L5" i="56"/>
  <c r="M12" i="56"/>
  <c r="M14" i="56"/>
  <c r="Y14" i="56"/>
  <c r="M10" i="56"/>
  <c r="M8" i="56"/>
  <c r="AY24" i="56"/>
  <c r="AY59" i="56"/>
  <c r="AY20" i="56"/>
  <c r="AY15" i="56"/>
  <c r="AY32" i="56"/>
  <c r="AY55" i="56"/>
  <c r="AY54" i="56"/>
  <c r="AY57" i="56"/>
  <c r="AY40" i="56"/>
  <c r="AY37" i="56"/>
  <c r="AY25" i="56"/>
  <c r="AY51" i="56"/>
  <c r="AY38" i="56"/>
  <c r="AY48" i="56"/>
  <c r="AY60" i="56"/>
  <c r="AY56" i="56"/>
  <c r="AY58" i="56"/>
  <c r="AY18" i="56"/>
  <c r="AY10" i="56"/>
  <c r="AY35" i="56"/>
  <c r="AY29" i="56"/>
  <c r="AY28" i="56"/>
  <c r="AY19" i="56"/>
  <c r="AY36" i="56"/>
  <c r="M9" i="56"/>
  <c r="M11" i="56"/>
  <c r="AW44" i="55"/>
  <c r="AX44" i="55" s="1"/>
  <c r="AW9" i="55"/>
  <c r="AX9" i="55" s="1"/>
  <c r="AW11" i="55"/>
  <c r="AX11" i="55" s="1"/>
  <c r="AW13" i="55"/>
  <c r="AX13" i="55" s="1"/>
  <c r="AW15" i="55"/>
  <c r="BC10" i="55"/>
  <c r="AW16" i="55"/>
  <c r="AX16" i="55" s="1"/>
  <c r="AW18" i="55"/>
  <c r="AX18" i="55" s="1"/>
  <c r="AW19" i="55"/>
  <c r="AX19" i="55" s="1"/>
  <c r="AW21" i="55"/>
  <c r="AX21" i="55" s="1"/>
  <c r="AW25" i="55"/>
  <c r="AX25" i="55" s="1"/>
  <c r="AW40" i="55"/>
  <c r="AX40" i="55" s="1"/>
  <c r="AW58" i="55"/>
  <c r="AX58" i="55" s="1"/>
  <c r="AW7" i="55"/>
  <c r="AX7" i="55" s="1"/>
  <c r="AW42" i="55"/>
  <c r="AX42" i="55" s="1"/>
  <c r="AW29" i="55"/>
  <c r="AX29" i="55" s="1"/>
  <c r="AW54" i="55"/>
  <c r="AX54" i="55" s="1"/>
  <c r="AW50" i="55"/>
  <c r="AX50" i="55" s="1"/>
  <c r="AW46" i="55"/>
  <c r="AX46" i="55" s="1"/>
  <c r="AW63" i="55"/>
  <c r="AX63" i="55" s="1"/>
  <c r="AW59" i="55"/>
  <c r="AX59" i="55" s="1"/>
  <c r="AW61" i="55"/>
  <c r="AX61" i="55" s="1"/>
  <c r="AW53" i="55"/>
  <c r="AX53" i="55" s="1"/>
  <c r="AW49" i="55"/>
  <c r="AX49" i="55" s="1"/>
  <c r="AW36" i="55"/>
  <c r="AX36" i="55" s="1"/>
  <c r="AW35" i="55"/>
  <c r="AX35" i="55" s="1"/>
  <c r="AW34" i="55"/>
  <c r="AX34" i="55" s="1"/>
  <c r="AW22" i="55"/>
  <c r="AX22" i="55" s="1"/>
  <c r="AW17" i="55"/>
  <c r="AW23" i="55"/>
  <c r="AX23" i="55" s="1"/>
  <c r="AX15" i="55"/>
  <c r="AW31" i="55"/>
  <c r="AX31" i="55" s="1"/>
  <c r="L14" i="55"/>
  <c r="M11" i="55" s="1"/>
  <c r="AW8" i="55"/>
  <c r="AX8" i="55" s="1"/>
  <c r="AW10" i="55"/>
  <c r="AX10" i="55" s="1"/>
  <c r="AW12" i="55"/>
  <c r="AX12" i="55" s="1"/>
  <c r="AW14" i="55"/>
  <c r="AX14" i="55" s="1"/>
  <c r="AW27" i="55"/>
  <c r="AX27" i="55" s="1"/>
  <c r="AW38" i="55"/>
  <c r="AX38" i="55" s="1"/>
  <c r="AW45" i="55"/>
  <c r="AX45" i="55" s="1"/>
  <c r="AX17" i="55"/>
  <c r="AW20" i="55"/>
  <c r="AX20" i="55" s="1"/>
  <c r="AW24" i="55"/>
  <c r="AX24" i="55" s="1"/>
  <c r="AW26" i="55"/>
  <c r="AX26" i="55" s="1"/>
  <c r="AW28" i="55"/>
  <c r="AX28" i="55" s="1"/>
  <c r="AW30" i="55"/>
  <c r="AX30" i="55" s="1"/>
  <c r="AW32" i="55"/>
  <c r="AX32" i="55" s="1"/>
  <c r="AW62" i="55"/>
  <c r="AX62" i="55" s="1"/>
  <c r="AW52" i="55"/>
  <c r="AX52" i="55" s="1"/>
  <c r="AW48" i="55"/>
  <c r="AX48" i="55" s="1"/>
  <c r="AW33" i="55"/>
  <c r="AX33" i="55" s="1"/>
  <c r="AW37" i="55"/>
  <c r="AX37" i="55" s="1"/>
  <c r="AW39" i="55"/>
  <c r="AX39" i="55" s="1"/>
  <c r="AW41" i="55"/>
  <c r="AX41" i="55" s="1"/>
  <c r="AW43" i="55"/>
  <c r="AX43" i="55" s="1"/>
  <c r="AW47" i="55"/>
  <c r="AX47" i="55" s="1"/>
  <c r="AW51" i="55"/>
  <c r="AX51" i="55" s="1"/>
  <c r="AW60" i="55"/>
  <c r="AX60" i="55" s="1"/>
  <c r="AW57" i="55"/>
  <c r="AX57" i="55" s="1"/>
  <c r="AW56" i="55"/>
  <c r="AX56" i="55" s="1"/>
  <c r="AW55" i="55"/>
  <c r="AX55" i="55" s="1"/>
  <c r="C68" i="54"/>
  <c r="B68" i="54" s="1"/>
  <c r="AH67" i="54"/>
  <c r="AG67" i="54"/>
  <c r="AF67" i="54"/>
  <c r="AH66" i="54"/>
  <c r="AG66" i="54"/>
  <c r="AF66" i="54"/>
  <c r="AH65" i="54"/>
  <c r="AG65" i="54"/>
  <c r="AF65" i="54"/>
  <c r="AH64" i="54"/>
  <c r="AG64" i="54"/>
  <c r="AF64" i="54"/>
  <c r="AV63" i="54"/>
  <c r="AH63" i="54"/>
  <c r="AG63" i="54"/>
  <c r="AF63" i="54"/>
  <c r="AV62" i="54"/>
  <c r="AV61" i="54"/>
  <c r="AV60" i="54"/>
  <c r="AH60" i="54"/>
  <c r="AG60" i="54"/>
  <c r="AF60" i="54"/>
  <c r="AF61" i="54" s="1"/>
  <c r="AF62" i="54" s="1"/>
  <c r="G60" i="54"/>
  <c r="E60" i="54" s="1"/>
  <c r="AV59" i="54"/>
  <c r="AH59" i="54"/>
  <c r="AG59" i="54"/>
  <c r="AF59" i="54"/>
  <c r="G59" i="54"/>
  <c r="E59" i="54" s="1"/>
  <c r="AV58" i="54"/>
  <c r="AH58" i="54"/>
  <c r="AG58" i="54"/>
  <c r="AF58" i="54"/>
  <c r="G58" i="54"/>
  <c r="E58" i="54" s="1"/>
  <c r="AV57" i="54"/>
  <c r="AV56" i="54"/>
  <c r="AV55" i="54"/>
  <c r="AV54" i="54"/>
  <c r="AV53" i="54"/>
  <c r="AV52" i="54"/>
  <c r="AV51" i="54"/>
  <c r="AV50" i="54"/>
  <c r="AV49" i="54"/>
  <c r="AV48" i="54"/>
  <c r="AV47" i="54"/>
  <c r="AV46" i="54"/>
  <c r="AV45" i="54"/>
  <c r="AV44" i="54"/>
  <c r="AV43" i="54"/>
  <c r="AV42" i="54"/>
  <c r="AV41" i="54"/>
  <c r="AV40" i="54"/>
  <c r="AV39" i="54"/>
  <c r="AV38" i="54"/>
  <c r="AV37" i="54"/>
  <c r="AV36" i="54"/>
  <c r="AV35" i="54"/>
  <c r="AV34" i="54"/>
  <c r="AV33" i="54"/>
  <c r="AV32" i="54"/>
  <c r="AV31" i="54"/>
  <c r="AV30" i="54"/>
  <c r="AV29" i="54"/>
  <c r="AV28" i="54"/>
  <c r="AV27" i="54"/>
  <c r="AV26" i="54"/>
  <c r="AV25" i="54"/>
  <c r="AV24" i="54"/>
  <c r="AV23" i="54"/>
  <c r="AV22" i="54"/>
  <c r="AV21" i="54"/>
  <c r="AV20" i="54"/>
  <c r="AV19" i="54"/>
  <c r="AV18" i="54"/>
  <c r="AV17" i="54"/>
  <c r="AV16" i="54"/>
  <c r="L16" i="54" a="1"/>
  <c r="L16" i="54" s="1"/>
  <c r="AV15" i="54"/>
  <c r="AV14" i="54"/>
  <c r="AV13" i="54"/>
  <c r="L13" i="54"/>
  <c r="AV12" i="54"/>
  <c r="L12" i="54"/>
  <c r="AV11" i="54"/>
  <c r="L11" i="54"/>
  <c r="AV10" i="54"/>
  <c r="L10" i="54"/>
  <c r="AV9" i="54"/>
  <c r="L9" i="54"/>
  <c r="AV8" i="54"/>
  <c r="L8" i="54"/>
  <c r="BC7" i="54"/>
  <c r="BC8" i="54" s="1"/>
  <c r="AV7" i="54"/>
  <c r="AW7" i="54" s="1"/>
  <c r="AF7" i="54"/>
  <c r="AF8" i="54" s="1"/>
  <c r="AF9" i="54" s="1"/>
  <c r="AF10" i="54" s="1"/>
  <c r="AF11" i="54" s="1"/>
  <c r="AF12" i="54" s="1"/>
  <c r="AF13" i="54" s="1"/>
  <c r="AF14" i="54" s="1"/>
  <c r="AF15" i="54" s="1"/>
  <c r="AF16" i="54" s="1"/>
  <c r="AF17" i="54" s="1"/>
  <c r="AF18" i="54" s="1"/>
  <c r="AF19" i="54" s="1"/>
  <c r="AF20" i="54" s="1"/>
  <c r="AF21" i="54" s="1"/>
  <c r="AF22" i="54" s="1"/>
  <c r="AF23" i="54" s="1"/>
  <c r="AF24" i="54" s="1"/>
  <c r="AF25" i="54" s="1"/>
  <c r="AF26" i="54" s="1"/>
  <c r="AF27" i="54" s="1"/>
  <c r="AF28" i="54" s="1"/>
  <c r="AF29" i="54" s="1"/>
  <c r="AF30" i="54" s="1"/>
  <c r="AF31" i="54" s="1"/>
  <c r="AF32" i="54" s="1"/>
  <c r="AF33" i="54" s="1"/>
  <c r="AF34" i="54" s="1"/>
  <c r="AF35" i="54" s="1"/>
  <c r="AF36" i="54" s="1"/>
  <c r="AF37" i="54" s="1"/>
  <c r="AF38" i="54" s="1"/>
  <c r="AF39" i="54" s="1"/>
  <c r="AF40" i="54" s="1"/>
  <c r="AF41" i="54" s="1"/>
  <c r="AF42" i="54" s="1"/>
  <c r="AF43" i="54" s="1"/>
  <c r="AF44" i="54" s="1"/>
  <c r="AF45" i="54" s="1"/>
  <c r="AF46" i="54" s="1"/>
  <c r="AF47" i="54" s="1"/>
  <c r="AF48" i="54" s="1"/>
  <c r="AF49" i="54" s="1"/>
  <c r="AF50" i="54" s="1"/>
  <c r="AF51" i="54" s="1"/>
  <c r="AF52" i="54" s="1"/>
  <c r="AF53" i="54" s="1"/>
  <c r="AF54" i="54" s="1"/>
  <c r="AF55" i="54" s="1"/>
  <c r="AF56" i="54" s="1"/>
  <c r="AF57" i="54" s="1"/>
  <c r="AL4" i="54"/>
  <c r="AL2" i="54" s="1"/>
  <c r="AK4" i="54"/>
  <c r="AJ4" i="54"/>
  <c r="AJ2" i="54" s="1"/>
  <c r="G3" i="54"/>
  <c r="AK2" i="54"/>
  <c r="E2" i="54"/>
  <c r="E3" i="54" s="1"/>
  <c r="A1" i="54"/>
  <c r="AL35" i="55"/>
  <c r="AK35" i="55"/>
  <c r="AL59" i="56"/>
  <c r="AK59" i="56"/>
  <c r="E15" i="56"/>
  <c r="G17" i="55"/>
  <c r="E17" i="56"/>
  <c r="G22" i="55"/>
  <c r="E27" i="56"/>
  <c r="G48" i="55"/>
  <c r="E19" i="56"/>
  <c r="AJ7" i="55"/>
  <c r="G62" i="55"/>
  <c r="G7" i="55"/>
  <c r="AJ34" i="55"/>
  <c r="G52" i="55"/>
  <c r="AM59" i="56" l="1"/>
  <c r="AH59" i="56"/>
  <c r="AG59" i="56"/>
  <c r="BD9" i="56"/>
  <c r="BI9" i="56" s="1"/>
  <c r="BC11" i="56"/>
  <c r="BD10" i="56"/>
  <c r="BD7" i="56"/>
  <c r="BD8" i="56"/>
  <c r="M13" i="55"/>
  <c r="C77" i="55"/>
  <c r="M9" i="55"/>
  <c r="M8" i="55"/>
  <c r="M12" i="55"/>
  <c r="M10" i="55"/>
  <c r="AY52" i="55"/>
  <c r="AM35" i="55"/>
  <c r="AH35" i="55"/>
  <c r="AG35" i="55"/>
  <c r="AY14" i="55"/>
  <c r="AY63" i="55"/>
  <c r="AY29" i="55"/>
  <c r="AY51" i="55"/>
  <c r="AY25" i="55"/>
  <c r="AY55" i="55"/>
  <c r="AY57" i="55"/>
  <c r="AY47" i="55"/>
  <c r="AY10" i="55"/>
  <c r="AY7" i="55"/>
  <c r="AY44" i="55"/>
  <c r="AY21" i="55"/>
  <c r="AY48" i="55"/>
  <c r="AY8" i="55"/>
  <c r="AY38" i="55"/>
  <c r="AY56" i="55"/>
  <c r="AY26" i="55"/>
  <c r="AY16" i="55"/>
  <c r="AY49" i="55"/>
  <c r="AY34" i="55"/>
  <c r="AY20" i="55"/>
  <c r="AY23" i="55"/>
  <c r="AY46" i="55"/>
  <c r="AY60" i="55"/>
  <c r="AY43" i="55"/>
  <c r="AY33" i="55"/>
  <c r="AY32" i="55"/>
  <c r="AY28" i="55"/>
  <c r="AY24" i="55"/>
  <c r="AY45" i="55"/>
  <c r="AY31" i="55"/>
  <c r="AY13" i="55"/>
  <c r="AY50" i="55"/>
  <c r="AY19" i="55"/>
  <c r="AY62" i="55"/>
  <c r="AY41" i="55"/>
  <c r="AY42" i="55"/>
  <c r="AY17" i="55"/>
  <c r="L5" i="55"/>
  <c r="M14" i="55"/>
  <c r="AY11" i="55"/>
  <c r="AY36" i="55"/>
  <c r="AY59" i="55"/>
  <c r="AY54" i="55"/>
  <c r="AY40" i="55"/>
  <c r="Y14" i="55"/>
  <c r="AY58" i="55"/>
  <c r="AY61" i="55"/>
  <c r="AY39" i="55"/>
  <c r="AY30" i="55"/>
  <c r="AY18" i="55"/>
  <c r="AY12" i="55"/>
  <c r="AY9" i="55"/>
  <c r="AY22" i="55"/>
  <c r="BC11" i="55"/>
  <c r="AY37" i="55"/>
  <c r="AY35" i="55"/>
  <c r="AY27" i="55"/>
  <c r="AY15" i="55"/>
  <c r="AY53" i="55"/>
  <c r="AW13" i="54"/>
  <c r="AW17" i="54"/>
  <c r="AX17" i="54" s="1"/>
  <c r="AW8" i="54"/>
  <c r="AW19" i="54"/>
  <c r="AX19" i="54" s="1"/>
  <c r="L14" i="54"/>
  <c r="L5" i="54" s="1"/>
  <c r="AW35" i="54"/>
  <c r="AX35" i="54" s="1"/>
  <c r="AX8" i="54"/>
  <c r="AW9" i="54"/>
  <c r="AX9" i="54" s="1"/>
  <c r="M14" i="54"/>
  <c r="M11" i="54"/>
  <c r="AW10" i="54"/>
  <c r="AX10" i="54" s="1"/>
  <c r="AW62" i="54"/>
  <c r="AX62" i="54" s="1"/>
  <c r="AW61" i="54"/>
  <c r="AX61" i="54" s="1"/>
  <c r="AW57" i="54"/>
  <c r="AX57" i="54" s="1"/>
  <c r="AW50" i="54"/>
  <c r="AX50" i="54" s="1"/>
  <c r="AW49" i="54"/>
  <c r="AX49" i="54" s="1"/>
  <c r="AW31" i="54"/>
  <c r="AX31" i="54" s="1"/>
  <c r="AW29" i="54"/>
  <c r="AX29" i="54" s="1"/>
  <c r="AW27" i="54"/>
  <c r="AW25" i="54"/>
  <c r="AX25" i="54" s="1"/>
  <c r="AW23" i="54"/>
  <c r="AX23" i="54" s="1"/>
  <c r="AW11" i="54"/>
  <c r="AX11" i="54" s="1"/>
  <c r="BC9" i="54"/>
  <c r="AW21" i="54"/>
  <c r="AX21" i="54" s="1"/>
  <c r="AW34" i="54"/>
  <c r="AX34" i="54" s="1"/>
  <c r="AW36" i="54"/>
  <c r="AX36" i="54" s="1"/>
  <c r="AW46" i="54"/>
  <c r="AX46" i="54" s="1"/>
  <c r="AW52" i="54"/>
  <c r="AX52" i="54" s="1"/>
  <c r="AW53" i="54"/>
  <c r="AX53" i="54" s="1"/>
  <c r="AW54" i="54"/>
  <c r="AX54" i="54" s="1"/>
  <c r="AX7" i="54"/>
  <c r="AW12" i="54"/>
  <c r="AX12" i="54" s="1"/>
  <c r="AX13" i="54"/>
  <c r="AW15" i="54"/>
  <c r="AX15" i="54" s="1"/>
  <c r="AX27" i="54"/>
  <c r="AW33" i="54"/>
  <c r="AX33" i="54" s="1"/>
  <c r="AW60" i="54"/>
  <c r="AX60" i="54" s="1"/>
  <c r="AW32" i="54"/>
  <c r="AX32" i="54" s="1"/>
  <c r="AW48" i="54"/>
  <c r="AX48" i="54" s="1"/>
  <c r="AW56" i="54"/>
  <c r="AX56" i="54" s="1"/>
  <c r="AW63" i="54"/>
  <c r="AX63" i="54" s="1"/>
  <c r="AW59" i="54"/>
  <c r="AX59" i="54" s="1"/>
  <c r="AW55" i="54"/>
  <c r="AX55" i="54" s="1"/>
  <c r="AW51" i="54"/>
  <c r="AX51" i="54" s="1"/>
  <c r="AW47" i="54"/>
  <c r="AX47" i="54" s="1"/>
  <c r="AW58" i="54"/>
  <c r="AX58" i="54" s="1"/>
  <c r="C78" i="54"/>
  <c r="AW14" i="54"/>
  <c r="AX14" i="54" s="1"/>
  <c r="AW16" i="54"/>
  <c r="AX16" i="54" s="1"/>
  <c r="AW18" i="54"/>
  <c r="AX18" i="54" s="1"/>
  <c r="AW20" i="54"/>
  <c r="AX20" i="54" s="1"/>
  <c r="AW22" i="54"/>
  <c r="AX22" i="54" s="1"/>
  <c r="AW24" i="54"/>
  <c r="AX24" i="54" s="1"/>
  <c r="AW26" i="54"/>
  <c r="AX26" i="54" s="1"/>
  <c r="AW28" i="54"/>
  <c r="AX28" i="54" s="1"/>
  <c r="AW30" i="54"/>
  <c r="AX30" i="54" s="1"/>
  <c r="AW37" i="54"/>
  <c r="AX37" i="54" s="1"/>
  <c r="AW39" i="54"/>
  <c r="AX39" i="54" s="1"/>
  <c r="AW41" i="54"/>
  <c r="AX41" i="54" s="1"/>
  <c r="AW43" i="54"/>
  <c r="AX43" i="54" s="1"/>
  <c r="AW45" i="54"/>
  <c r="AX45" i="54" s="1"/>
  <c r="AW38" i="54"/>
  <c r="AX38" i="54" s="1"/>
  <c r="AW40" i="54"/>
  <c r="AX40" i="54" s="1"/>
  <c r="AW42" i="54"/>
  <c r="AX42" i="54" s="1"/>
  <c r="AW44" i="54"/>
  <c r="AX44" i="54" s="1"/>
  <c r="BL40" i="5"/>
  <c r="BK40" i="5"/>
  <c r="BJ40" i="5"/>
  <c r="BA40" i="5"/>
  <c r="AZ40" i="5"/>
  <c r="AY40" i="5"/>
  <c r="AX40" i="5"/>
  <c r="AW40" i="5"/>
  <c r="AV40" i="5"/>
  <c r="AU40" i="5"/>
  <c r="AT40" i="5"/>
  <c r="M13" i="54" l="1"/>
  <c r="BF9" i="56"/>
  <c r="BG9" i="56"/>
  <c r="BH9" i="56"/>
  <c r="BG10" i="56"/>
  <c r="BF10" i="56"/>
  <c r="BH10" i="56"/>
  <c r="BI10" i="56"/>
  <c r="BC12" i="56"/>
  <c r="BD11" i="56"/>
  <c r="BG8" i="56"/>
  <c r="BF8" i="56"/>
  <c r="BH8" i="56"/>
  <c r="BI8" i="56"/>
  <c r="BG7" i="56"/>
  <c r="BF7" i="56"/>
  <c r="BI7" i="56"/>
  <c r="BH7" i="56"/>
  <c r="BD10" i="55"/>
  <c r="BH10" i="55" s="1"/>
  <c r="BD11" i="55"/>
  <c r="BC12" i="55"/>
  <c r="BD9" i="55"/>
  <c r="BD7" i="55"/>
  <c r="BD8" i="55"/>
  <c r="M9" i="54"/>
  <c r="M12" i="54"/>
  <c r="Y14" i="54"/>
  <c r="M10" i="54"/>
  <c r="M8" i="54"/>
  <c r="AY41" i="54"/>
  <c r="AY15" i="54"/>
  <c r="AY56" i="54"/>
  <c r="AY60" i="54"/>
  <c r="AY36" i="54"/>
  <c r="AY48" i="54"/>
  <c r="AY10" i="54"/>
  <c r="AY8" i="54"/>
  <c r="AY17" i="54"/>
  <c r="AY12" i="54"/>
  <c r="AY52" i="54"/>
  <c r="AY42" i="54"/>
  <c r="AY37" i="54"/>
  <c r="AY30" i="54"/>
  <c r="AY22" i="54"/>
  <c r="AY14" i="54"/>
  <c r="AY59" i="54"/>
  <c r="AY33" i="54"/>
  <c r="AY25" i="54"/>
  <c r="AY45" i="54"/>
  <c r="AY40" i="54"/>
  <c r="AY39" i="54"/>
  <c r="AY47" i="54"/>
  <c r="AY63" i="54"/>
  <c r="AY34" i="54"/>
  <c r="AY31" i="54"/>
  <c r="AY50" i="54"/>
  <c r="AY49" i="54"/>
  <c r="AY26" i="54"/>
  <c r="AY18" i="54"/>
  <c r="AY58" i="54"/>
  <c r="AY19" i="54"/>
  <c r="AY21" i="54"/>
  <c r="AY62" i="54"/>
  <c r="AY57" i="54"/>
  <c r="AY61" i="54"/>
  <c r="AY38" i="54"/>
  <c r="AY28" i="54"/>
  <c r="AY24" i="54"/>
  <c r="AY20" i="54"/>
  <c r="AY16" i="54"/>
  <c r="AY11" i="54"/>
  <c r="AY51" i="54"/>
  <c r="AY32" i="54"/>
  <c r="AY27" i="54"/>
  <c r="AY7" i="54"/>
  <c r="AY9" i="54"/>
  <c r="AY54" i="54"/>
  <c r="AY46" i="54"/>
  <c r="AY29" i="54"/>
  <c r="AY53" i="54"/>
  <c r="AY44" i="54"/>
  <c r="AY43" i="54"/>
  <c r="AY55" i="54"/>
  <c r="AY23" i="54"/>
  <c r="AY13" i="54"/>
  <c r="BC10" i="54"/>
  <c r="AY35" i="54"/>
  <c r="C68" i="52"/>
  <c r="B68" i="52" s="1"/>
  <c r="BG11" i="56" l="1"/>
  <c r="BF11" i="56"/>
  <c r="BI11" i="56"/>
  <c r="BH11" i="56"/>
  <c r="BC13" i="56"/>
  <c r="BD12" i="56"/>
  <c r="AH62" i="55"/>
  <c r="AG62" i="55"/>
  <c r="BI10" i="55"/>
  <c r="BF10" i="55"/>
  <c r="BG10" i="55"/>
  <c r="BC13" i="55"/>
  <c r="BD12" i="55"/>
  <c r="BG8" i="55"/>
  <c r="BF8" i="55"/>
  <c r="BI8" i="55"/>
  <c r="BH8" i="55"/>
  <c r="BG11" i="55"/>
  <c r="BF11" i="55"/>
  <c r="BH11" i="55"/>
  <c r="BI11" i="55"/>
  <c r="BG7" i="55"/>
  <c r="BF7" i="55"/>
  <c r="BH7" i="55"/>
  <c r="BI7" i="55"/>
  <c r="BG9" i="55"/>
  <c r="BF9" i="55"/>
  <c r="BH9" i="55"/>
  <c r="BI9" i="55"/>
  <c r="BD9" i="54"/>
  <c r="BD10" i="54"/>
  <c r="BC11" i="54"/>
  <c r="BD7" i="54"/>
  <c r="BD8" i="54"/>
  <c r="B64" i="53"/>
  <c r="B57" i="53"/>
  <c r="B58" i="53" s="1"/>
  <c r="B59" i="53" s="1"/>
  <c r="B60" i="53" s="1"/>
  <c r="B61" i="53" s="1"/>
  <c r="B62" i="53" s="1"/>
  <c r="B7" i="53"/>
  <c r="B8" i="53" s="1"/>
  <c r="B9" i="53" s="1"/>
  <c r="B10" i="53" s="1"/>
  <c r="B11" i="53" s="1"/>
  <c r="B12" i="53" s="1"/>
  <c r="B13" i="53" s="1"/>
  <c r="B14" i="53" s="1"/>
  <c r="B15" i="53" s="1"/>
  <c r="B16" i="53" s="1"/>
  <c r="B17" i="53" s="1"/>
  <c r="B18" i="53" s="1"/>
  <c r="B19" i="53" s="1"/>
  <c r="B20" i="53" s="1"/>
  <c r="B21" i="53" s="1"/>
  <c r="B22" i="53" s="1"/>
  <c r="B23" i="53" s="1"/>
  <c r="B24" i="53" s="1"/>
  <c r="B25" i="53" s="1"/>
  <c r="B26" i="53" s="1"/>
  <c r="B27" i="53" s="1"/>
  <c r="B28" i="53" s="1"/>
  <c r="B29" i="53" s="1"/>
  <c r="B30" i="53" s="1"/>
  <c r="B31" i="53" s="1"/>
  <c r="B32" i="53" s="1"/>
  <c r="B33" i="53" s="1"/>
  <c r="B34" i="53" s="1"/>
  <c r="B35" i="53" s="1"/>
  <c r="AK36" i="56"/>
  <c r="AJ63" i="55"/>
  <c r="G51" i="55"/>
  <c r="AK40" i="56"/>
  <c r="AJ41" i="55"/>
  <c r="E46" i="56"/>
  <c r="AJ52" i="54"/>
  <c r="AL19" i="56"/>
  <c r="AK34" i="56"/>
  <c r="E35" i="56"/>
  <c r="AK43" i="56"/>
  <c r="AJ36" i="55"/>
  <c r="G53" i="54"/>
  <c r="AL25" i="56"/>
  <c r="AL33" i="56"/>
  <c r="AL47" i="56"/>
  <c r="AJ30" i="54"/>
  <c r="AL8" i="55"/>
  <c r="AJ38" i="55"/>
  <c r="AJ33" i="54"/>
  <c r="G27" i="55"/>
  <c r="AK37" i="56"/>
  <c r="AK20" i="56"/>
  <c r="AJ22" i="55"/>
  <c r="AL22" i="56"/>
  <c r="AJ12" i="54"/>
  <c r="AJ37" i="55"/>
  <c r="G35" i="55"/>
  <c r="E17" i="55"/>
  <c r="AJ45" i="55"/>
  <c r="E52" i="55"/>
  <c r="AJ63" i="54"/>
  <c r="AJ8" i="54"/>
  <c r="AL23" i="56"/>
  <c r="AJ21" i="54"/>
  <c r="AK21" i="56"/>
  <c r="E39" i="56"/>
  <c r="G26" i="55"/>
  <c r="AJ19" i="54"/>
  <c r="AK44" i="56"/>
  <c r="AL38" i="56"/>
  <c r="E52" i="56"/>
  <c r="AL52" i="56"/>
  <c r="AL17" i="56"/>
  <c r="AL14" i="55"/>
  <c r="E45" i="56"/>
  <c r="AJ57" i="54"/>
  <c r="AJ51" i="55"/>
  <c r="G57" i="54"/>
  <c r="G22" i="54"/>
  <c r="G17" i="54"/>
  <c r="AJ62" i="54"/>
  <c r="AK23" i="56"/>
  <c r="AJ61" i="55"/>
  <c r="AL35" i="56"/>
  <c r="AL26" i="56"/>
  <c r="AJ48" i="55"/>
  <c r="AJ22" i="54"/>
  <c r="AJ15" i="54"/>
  <c r="AK31" i="56"/>
  <c r="G39" i="54"/>
  <c r="G57" i="55"/>
  <c r="AJ54" i="55"/>
  <c r="AK8" i="55"/>
  <c r="G49" i="54"/>
  <c r="G39" i="55"/>
  <c r="G43" i="55"/>
  <c r="AJ37" i="54"/>
  <c r="AJ14" i="54"/>
  <c r="G16" i="54"/>
  <c r="E14" i="56"/>
  <c r="AK10" i="56"/>
  <c r="AL39" i="56"/>
  <c r="AK33" i="56"/>
  <c r="AL7" i="55"/>
  <c r="AJ26" i="54"/>
  <c r="AJ23" i="54"/>
  <c r="G40" i="54"/>
  <c r="AL7" i="56"/>
  <c r="AJ67" i="54"/>
  <c r="G21" i="55"/>
  <c r="AL15" i="56"/>
  <c r="AJ10" i="54"/>
  <c r="E22" i="55"/>
  <c r="AJ34" i="54"/>
  <c r="G15" i="54"/>
  <c r="AK32" i="56"/>
  <c r="AJ42" i="55"/>
  <c r="AK51" i="56"/>
  <c r="AJ53" i="55"/>
  <c r="G18" i="55"/>
  <c r="AJ25" i="55"/>
  <c r="AL9" i="56"/>
  <c r="AK14" i="55"/>
  <c r="AJ64" i="54"/>
  <c r="AK26" i="56"/>
  <c r="AJ64" i="55"/>
  <c r="AJ61" i="54"/>
  <c r="E36" i="56"/>
  <c r="AJ13" i="54"/>
  <c r="G40" i="55"/>
  <c r="AJ49" i="55"/>
  <c r="AJ43" i="55"/>
  <c r="AK48" i="56"/>
  <c r="E7" i="55"/>
  <c r="AK55" i="56"/>
  <c r="G28" i="55"/>
  <c r="G19" i="54"/>
  <c r="G29" i="55"/>
  <c r="AL41" i="56"/>
  <c r="AL12" i="55"/>
  <c r="E57" i="56"/>
  <c r="G9" i="55"/>
  <c r="AK57" i="56"/>
  <c r="AJ49" i="54"/>
  <c r="AK7" i="55"/>
  <c r="AL9" i="55"/>
  <c r="AJ62" i="55"/>
  <c r="G61" i="55"/>
  <c r="AK16" i="56"/>
  <c r="AL34" i="56"/>
  <c r="AJ31" i="55"/>
  <c r="AL11" i="56"/>
  <c r="AK29" i="56"/>
  <c r="AK9" i="55"/>
  <c r="E54" i="56"/>
  <c r="AK18" i="56"/>
  <c r="AK42" i="56"/>
  <c r="AJ35" i="54"/>
  <c r="AK30" i="55"/>
  <c r="AL32" i="55"/>
  <c r="AJ46" i="55"/>
  <c r="E18" i="56"/>
  <c r="AL10" i="55"/>
  <c r="G25" i="54"/>
  <c r="G24" i="55"/>
  <c r="G26" i="54"/>
  <c r="G51" i="54"/>
  <c r="AL54" i="56"/>
  <c r="G30" i="55"/>
  <c r="G37" i="54"/>
  <c r="AK21" i="55"/>
  <c r="G44" i="55"/>
  <c r="E61" i="56"/>
  <c r="G50" i="54"/>
  <c r="AJ67" i="55"/>
  <c r="G50" i="55"/>
  <c r="G45" i="54"/>
  <c r="G55" i="54"/>
  <c r="G61" i="54"/>
  <c r="AK8" i="56"/>
  <c r="E48" i="55"/>
  <c r="G19" i="55"/>
  <c r="G12" i="54"/>
  <c r="AL15" i="55"/>
  <c r="AL45" i="56"/>
  <c r="AL55" i="56"/>
  <c r="E41" i="56"/>
  <c r="E37" i="56"/>
  <c r="G45" i="55"/>
  <c r="E34" i="56"/>
  <c r="G62" i="54"/>
  <c r="G38" i="55"/>
  <c r="AL20" i="56"/>
  <c r="AK41" i="56"/>
  <c r="AJ16" i="54"/>
  <c r="G44" i="54"/>
  <c r="G37" i="55"/>
  <c r="AJ57" i="55"/>
  <c r="AJ47" i="55"/>
  <c r="AL30" i="56"/>
  <c r="AJ53" i="54"/>
  <c r="AJ23" i="55"/>
  <c r="AK12" i="55"/>
  <c r="AK27" i="56"/>
  <c r="AJ17" i="55"/>
  <c r="AJ29" i="54"/>
  <c r="G36" i="55"/>
  <c r="AL53" i="56"/>
  <c r="G10" i="54"/>
  <c r="E47" i="56"/>
  <c r="AK14" i="56"/>
  <c r="AJ20" i="54"/>
  <c r="AK22" i="56"/>
  <c r="AK33" i="55"/>
  <c r="E16" i="56"/>
  <c r="AK35" i="56"/>
  <c r="AK32" i="55"/>
  <c r="AJ29" i="55"/>
  <c r="E13" i="56"/>
  <c r="G23" i="55"/>
  <c r="G14" i="54"/>
  <c r="E28" i="56"/>
  <c r="AJ17" i="54"/>
  <c r="E56" i="56"/>
  <c r="AK19" i="56"/>
  <c r="G49" i="55"/>
  <c r="AJ51" i="54"/>
  <c r="AJ45" i="54"/>
  <c r="AL43" i="56"/>
  <c r="AK11" i="56"/>
  <c r="AJ48" i="54"/>
  <c r="G11" i="54"/>
  <c r="AJ56" i="54"/>
  <c r="G56" i="55"/>
  <c r="AJ25" i="54"/>
  <c r="E26" i="56"/>
  <c r="E20" i="55"/>
  <c r="AJ66" i="55"/>
  <c r="AJ11" i="54"/>
  <c r="G43" i="54"/>
  <c r="AL42" i="56"/>
  <c r="G54" i="54"/>
  <c r="E31" i="56"/>
  <c r="AK25" i="56"/>
  <c r="G25" i="55"/>
  <c r="AK24" i="56"/>
  <c r="AL21" i="56"/>
  <c r="AJ56" i="55"/>
  <c r="AJ46" i="54"/>
  <c r="AJ41" i="54"/>
  <c r="AL40" i="56"/>
  <c r="G29" i="54"/>
  <c r="AK52" i="56"/>
  <c r="AL56" i="56"/>
  <c r="AL44" i="56"/>
  <c r="E58" i="55"/>
  <c r="AJ24" i="54"/>
  <c r="AL8" i="56"/>
  <c r="G23" i="54"/>
  <c r="E51" i="56"/>
  <c r="G28" i="54"/>
  <c r="G7" i="54"/>
  <c r="G12" i="55"/>
  <c r="AJ27" i="55"/>
  <c r="AL32" i="56"/>
  <c r="AL16" i="55"/>
  <c r="AJ31" i="54"/>
  <c r="AJ44" i="55"/>
  <c r="G21" i="54"/>
  <c r="AL29" i="56"/>
  <c r="E38" i="56"/>
  <c r="AJ59" i="55"/>
  <c r="E55" i="56"/>
  <c r="AK47" i="56"/>
  <c r="AL48" i="56"/>
  <c r="G20" i="54"/>
  <c r="G27" i="54"/>
  <c r="AK16" i="55"/>
  <c r="AK10" i="55"/>
  <c r="AJ18" i="54"/>
  <c r="AL62" i="56"/>
  <c r="G8" i="55"/>
  <c r="E42" i="56"/>
  <c r="G42" i="54"/>
  <c r="AJ20" i="55"/>
  <c r="AL58" i="56"/>
  <c r="AJ40" i="54"/>
  <c r="E30" i="56"/>
  <c r="AK46" i="56"/>
  <c r="AJ7" i="54"/>
  <c r="AJ42" i="54"/>
  <c r="AL49" i="56"/>
  <c r="E48" i="56"/>
  <c r="G31" i="54"/>
  <c r="AL11" i="55"/>
  <c r="AL24" i="55"/>
  <c r="AJ44" i="54"/>
  <c r="G32" i="55"/>
  <c r="AJ50" i="54"/>
  <c r="AJ38" i="54"/>
  <c r="G9" i="54"/>
  <c r="G34" i="54"/>
  <c r="G34" i="55"/>
  <c r="AL18" i="56"/>
  <c r="G30" i="54"/>
  <c r="E53" i="56"/>
  <c r="AJ27" i="54"/>
  <c r="G55" i="55"/>
  <c r="AL28" i="56"/>
  <c r="E21" i="56"/>
  <c r="AK53" i="56"/>
  <c r="AK26" i="55"/>
  <c r="E62" i="55"/>
  <c r="G11" i="55"/>
  <c r="AK13" i="55"/>
  <c r="AL10" i="56"/>
  <c r="E58" i="56"/>
  <c r="AJ52" i="55"/>
  <c r="G32" i="54"/>
  <c r="G52" i="54"/>
  <c r="G10" i="55"/>
  <c r="AJ50" i="55"/>
  <c r="AK58" i="56"/>
  <c r="G31" i="55"/>
  <c r="AJ28" i="54"/>
  <c r="AL37" i="56"/>
  <c r="AL31" i="56"/>
  <c r="E43" i="56"/>
  <c r="AK34" i="55"/>
  <c r="G64" i="54"/>
  <c r="G18" i="54"/>
  <c r="AJ66" i="54"/>
  <c r="AK56" i="56"/>
  <c r="AL36" i="56"/>
  <c r="AK39" i="56"/>
  <c r="AK61" i="56"/>
  <c r="AJ55" i="54"/>
  <c r="AL28" i="55"/>
  <c r="AK13" i="56"/>
  <c r="AL21" i="55"/>
  <c r="AJ36" i="54"/>
  <c r="AJ58" i="54"/>
  <c r="AJ39" i="54"/>
  <c r="AJ32" i="54"/>
  <c r="G46" i="55"/>
  <c r="G16" i="55"/>
  <c r="AK17" i="56"/>
  <c r="G13" i="55"/>
  <c r="AJ59" i="54"/>
  <c r="AJ55" i="55"/>
  <c r="E24" i="56"/>
  <c r="E15" i="55"/>
  <c r="G41" i="55"/>
  <c r="E6" i="54"/>
  <c r="G63" i="54"/>
  <c r="E50" i="56"/>
  <c r="G35" i="54"/>
  <c r="AL46" i="56"/>
  <c r="E29" i="56"/>
  <c r="AK11" i="55"/>
  <c r="AJ58" i="55"/>
  <c r="AJ65" i="55"/>
  <c r="AK12" i="56"/>
  <c r="G54" i="55"/>
  <c r="AJ60" i="54"/>
  <c r="AL27" i="56"/>
  <c r="AL24" i="56"/>
  <c r="AK62" i="56"/>
  <c r="E40" i="56"/>
  <c r="AK9" i="56"/>
  <c r="E62" i="56"/>
  <c r="AJ43" i="54"/>
  <c r="AK54" i="56"/>
  <c r="E20" i="56"/>
  <c r="G47" i="55"/>
  <c r="E32" i="56"/>
  <c r="E44" i="56"/>
  <c r="G46" i="54"/>
  <c r="G56" i="54"/>
  <c r="AJ54" i="54"/>
  <c r="AK49" i="56"/>
  <c r="AJ19" i="55"/>
  <c r="AJ47" i="54"/>
  <c r="AK28" i="56"/>
  <c r="AK38" i="56"/>
  <c r="AK15" i="55"/>
  <c r="G24" i="54"/>
  <c r="AL57" i="56"/>
  <c r="G42" i="55"/>
  <c r="E23" i="56"/>
  <c r="G36" i="54"/>
  <c r="AJ40" i="55"/>
  <c r="G48" i="54"/>
  <c r="AL13" i="55"/>
  <c r="AJ60" i="55"/>
  <c r="G38" i="54"/>
  <c r="AK24" i="55"/>
  <c r="AL33" i="55"/>
  <c r="AL34" i="55"/>
  <c r="AK45" i="56"/>
  <c r="AL13" i="56"/>
  <c r="AL12" i="56"/>
  <c r="G14" i="55"/>
  <c r="AL26" i="55"/>
  <c r="G8" i="54"/>
  <c r="AK18" i="55"/>
  <c r="AL18" i="55"/>
  <c r="AK30" i="56"/>
  <c r="G41" i="54"/>
  <c r="AJ9" i="54"/>
  <c r="G53" i="55"/>
  <c r="AL61" i="56"/>
  <c r="AL51" i="56"/>
  <c r="G33" i="54"/>
  <c r="AK7" i="56"/>
  <c r="G13" i="54"/>
  <c r="AL14" i="56"/>
  <c r="AJ65" i="54"/>
  <c r="G33" i="55"/>
  <c r="G47" i="54"/>
  <c r="AK15" i="56"/>
  <c r="AL30" i="55"/>
  <c r="AL16" i="56"/>
  <c r="AJ39" i="55"/>
  <c r="AK28" i="55"/>
  <c r="AL59" i="54" l="1"/>
  <c r="AK59" i="54"/>
  <c r="AM59" i="54" s="1"/>
  <c r="AH26" i="56"/>
  <c r="AG26" i="56"/>
  <c r="AG19" i="56"/>
  <c r="AH19" i="56"/>
  <c r="AG30" i="56"/>
  <c r="AH30" i="56"/>
  <c r="AH51" i="56"/>
  <c r="AG51" i="56"/>
  <c r="AM20" i="56"/>
  <c r="AM8" i="56"/>
  <c r="AM36" i="56"/>
  <c r="AH57" i="56"/>
  <c r="AG57" i="56"/>
  <c r="AM7" i="55"/>
  <c r="AL59" i="55"/>
  <c r="AK59" i="55"/>
  <c r="AM59" i="55" s="1"/>
  <c r="AM13" i="56"/>
  <c r="AM29" i="56"/>
  <c r="AL66" i="54"/>
  <c r="AK66" i="54"/>
  <c r="AM66" i="54" s="1"/>
  <c r="AL58" i="54"/>
  <c r="AK58" i="54"/>
  <c r="AM58" i="54" s="1"/>
  <c r="AM12" i="56"/>
  <c r="AH35" i="56"/>
  <c r="AG35" i="56"/>
  <c r="AH56" i="56"/>
  <c r="AG56" i="56"/>
  <c r="AM33" i="56"/>
  <c r="AK66" i="55"/>
  <c r="AM66" i="55" s="1"/>
  <c r="AL66" i="55"/>
  <c r="AH14" i="56"/>
  <c r="AG14" i="56"/>
  <c r="AG42" i="56"/>
  <c r="AH42" i="56"/>
  <c r="AH32" i="55"/>
  <c r="AG32" i="55"/>
  <c r="AM18" i="55"/>
  <c r="AK64" i="55"/>
  <c r="AM64" i="55" s="1"/>
  <c r="AL64" i="55"/>
  <c r="AM22" i="56"/>
  <c r="AM28" i="56"/>
  <c r="AH34" i="55"/>
  <c r="AG34" i="55"/>
  <c r="AH10" i="56"/>
  <c r="AG10" i="56"/>
  <c r="AM31" i="56"/>
  <c r="AL67" i="54"/>
  <c r="AK67" i="54"/>
  <c r="AM67" i="54" s="1"/>
  <c r="AM14" i="56"/>
  <c r="AM47" i="56"/>
  <c r="AG34" i="56"/>
  <c r="AH34" i="56"/>
  <c r="AH13" i="56"/>
  <c r="AG13" i="56"/>
  <c r="AG36" i="56"/>
  <c r="AH36" i="56"/>
  <c r="AM55" i="56"/>
  <c r="AH37" i="56"/>
  <c r="AG37" i="56"/>
  <c r="AH40" i="56"/>
  <c r="AG40" i="56"/>
  <c r="AH47" i="56"/>
  <c r="AG47" i="56"/>
  <c r="AM18" i="56"/>
  <c r="AG7" i="56"/>
  <c r="AH7" i="56"/>
  <c r="AM52" i="56"/>
  <c r="AG45" i="56"/>
  <c r="AH45" i="56"/>
  <c r="AG11" i="55"/>
  <c r="AH11" i="55"/>
  <c r="AH30" i="55"/>
  <c r="AG30" i="55"/>
  <c r="AG15" i="55"/>
  <c r="AH15" i="55"/>
  <c r="AL65" i="55"/>
  <c r="AK65" i="55"/>
  <c r="AM65" i="55" s="1"/>
  <c r="AH49" i="56"/>
  <c r="AG49" i="56"/>
  <c r="AG23" i="56"/>
  <c r="AH23" i="56"/>
  <c r="AM7" i="56"/>
  <c r="AM32" i="55"/>
  <c r="AM38" i="56"/>
  <c r="AM17" i="56"/>
  <c r="AG46" i="56"/>
  <c r="AH46" i="56"/>
  <c r="AG55" i="56"/>
  <c r="AH55" i="56"/>
  <c r="AG32" i="56"/>
  <c r="AH32" i="56"/>
  <c r="AH38" i="56"/>
  <c r="AG38" i="56"/>
  <c r="AH8" i="56"/>
  <c r="AG8" i="56"/>
  <c r="AM49" i="56"/>
  <c r="AM44" i="56"/>
  <c r="AM8" i="55"/>
  <c r="AM23" i="56"/>
  <c r="AH8" i="55"/>
  <c r="AG8" i="55"/>
  <c r="AM12" i="55"/>
  <c r="AH24" i="55"/>
  <c r="AG24" i="55"/>
  <c r="AG7" i="55"/>
  <c r="AH7" i="55"/>
  <c r="AM56" i="56"/>
  <c r="AM24" i="55"/>
  <c r="AL63" i="55"/>
  <c r="AK63" i="55"/>
  <c r="AM63" i="55" s="1"/>
  <c r="AH28" i="56"/>
  <c r="AG28" i="56"/>
  <c r="AM30" i="56"/>
  <c r="AM53" i="56"/>
  <c r="AM46" i="56"/>
  <c r="AM54" i="56"/>
  <c r="AM32" i="56"/>
  <c r="AG58" i="56"/>
  <c r="AH58" i="56"/>
  <c r="AH17" i="56"/>
  <c r="AG17" i="56"/>
  <c r="AM33" i="55"/>
  <c r="AH44" i="56"/>
  <c r="AG44" i="56"/>
  <c r="AH39" i="56"/>
  <c r="AG39" i="56"/>
  <c r="AM43" i="56"/>
  <c r="AG12" i="56"/>
  <c r="AH12" i="56"/>
  <c r="AG25" i="56"/>
  <c r="AH25" i="56"/>
  <c r="AH24" i="56"/>
  <c r="AG24" i="56"/>
  <c r="AM16" i="55"/>
  <c r="AM51" i="56"/>
  <c r="AG21" i="55"/>
  <c r="AH21" i="55"/>
  <c r="AG28" i="55"/>
  <c r="AH28" i="55"/>
  <c r="AG26" i="55"/>
  <c r="AH26" i="55"/>
  <c r="AM24" i="56"/>
  <c r="AH31" i="56"/>
  <c r="AG31" i="56"/>
  <c r="AM15" i="56"/>
  <c r="AM42" i="56"/>
  <c r="AL60" i="55"/>
  <c r="AK60" i="55"/>
  <c r="AM60" i="55" s="1"/>
  <c r="AM19" i="56"/>
  <c r="AG11" i="56"/>
  <c r="AH11" i="56"/>
  <c r="AG12" i="55"/>
  <c r="AH12" i="55"/>
  <c r="AM11" i="56"/>
  <c r="AM34" i="55"/>
  <c r="AH27" i="56"/>
  <c r="AG27" i="56"/>
  <c r="R16" i="56" a="1"/>
  <c r="R16" i="56" s="1"/>
  <c r="U9" i="56"/>
  <c r="V9" i="56" s="1"/>
  <c r="R9" i="56"/>
  <c r="R12" i="56"/>
  <c r="R13" i="56"/>
  <c r="S13" i="56" s="1"/>
  <c r="O11" i="56"/>
  <c r="O13" i="56"/>
  <c r="R11" i="56"/>
  <c r="O8" i="56"/>
  <c r="O9" i="56"/>
  <c r="U12" i="56"/>
  <c r="R10" i="56"/>
  <c r="O12" i="56"/>
  <c r="R8" i="56"/>
  <c r="O16" i="56" a="1"/>
  <c r="O16" i="56" s="1"/>
  <c r="U8" i="56"/>
  <c r="V8" i="56" s="1"/>
  <c r="U13" i="56"/>
  <c r="V13" i="56" s="1"/>
  <c r="O10" i="56"/>
  <c r="U11" i="56"/>
  <c r="V11" i="56" s="1"/>
  <c r="U10" i="56"/>
  <c r="U16" i="56" a="1"/>
  <c r="U16" i="56" s="1"/>
  <c r="AM57" i="56"/>
  <c r="AM30" i="55"/>
  <c r="AG33" i="55"/>
  <c r="AH33" i="55"/>
  <c r="AM26" i="55"/>
  <c r="AG18" i="56"/>
  <c r="AH18" i="56"/>
  <c r="AG18" i="55"/>
  <c r="AH18" i="55"/>
  <c r="AM11" i="55"/>
  <c r="AG10" i="55"/>
  <c r="AH10" i="55"/>
  <c r="AH22" i="56"/>
  <c r="AG22" i="56"/>
  <c r="AM41" i="56"/>
  <c r="AG9" i="55"/>
  <c r="AH9" i="55"/>
  <c r="AM10" i="55"/>
  <c r="AM61" i="56"/>
  <c r="AM48" i="56"/>
  <c r="AH16" i="56"/>
  <c r="AG16" i="56"/>
  <c r="AG61" i="56"/>
  <c r="AH61" i="56"/>
  <c r="AM9" i="55"/>
  <c r="AG29" i="56"/>
  <c r="AH29" i="56"/>
  <c r="AG9" i="56"/>
  <c r="AH9" i="56"/>
  <c r="AM45" i="56"/>
  <c r="AM28" i="55"/>
  <c r="AM35" i="56"/>
  <c r="AG21" i="56"/>
  <c r="AH21" i="56"/>
  <c r="AK65" i="54"/>
  <c r="AM65" i="54" s="1"/>
  <c r="AL65" i="54"/>
  <c r="AL60" i="54"/>
  <c r="AK60" i="54"/>
  <c r="AM60" i="54" s="1"/>
  <c r="AH48" i="56"/>
  <c r="AG48" i="56"/>
  <c r="AH54" i="56"/>
  <c r="AG54" i="56"/>
  <c r="AM40" i="56"/>
  <c r="AM39" i="56"/>
  <c r="AH13" i="55"/>
  <c r="AG13" i="55"/>
  <c r="AL67" i="55"/>
  <c r="AK67" i="55"/>
  <c r="AM67" i="55" s="1"/>
  <c r="AM34" i="56"/>
  <c r="AM58" i="56"/>
  <c r="AM14" i="55"/>
  <c r="AM21" i="55"/>
  <c r="AH15" i="56"/>
  <c r="AG15" i="56"/>
  <c r="AM21" i="56"/>
  <c r="AM27" i="56"/>
  <c r="AH20" i="56"/>
  <c r="AG20" i="56"/>
  <c r="AG43" i="56"/>
  <c r="AH43" i="56"/>
  <c r="AM13" i="55"/>
  <c r="AH14" i="55"/>
  <c r="AG14" i="55"/>
  <c r="AM25" i="56"/>
  <c r="AM26" i="56"/>
  <c r="AM37" i="56"/>
  <c r="AG53" i="56"/>
  <c r="AH53" i="56"/>
  <c r="AG33" i="56"/>
  <c r="AH33" i="56"/>
  <c r="AM9" i="56"/>
  <c r="AM10" i="56"/>
  <c r="AM15" i="55"/>
  <c r="AG52" i="56"/>
  <c r="AH52" i="56"/>
  <c r="AM62" i="56"/>
  <c r="AG41" i="56"/>
  <c r="AH41" i="56"/>
  <c r="AG16" i="55"/>
  <c r="AH16" i="55"/>
  <c r="AM16" i="56"/>
  <c r="BC14" i="56"/>
  <c r="BD13" i="56"/>
  <c r="BG12" i="56"/>
  <c r="BH12" i="56"/>
  <c r="BF12" i="56"/>
  <c r="BI12" i="56"/>
  <c r="BH9" i="54"/>
  <c r="BF9" i="54"/>
  <c r="BG9" i="54"/>
  <c r="BI9" i="54"/>
  <c r="BG12" i="55"/>
  <c r="BF12" i="55"/>
  <c r="BI12" i="55"/>
  <c r="BH12" i="55"/>
  <c r="BD13" i="55"/>
  <c r="BC14" i="55"/>
  <c r="BC12" i="54"/>
  <c r="BD11" i="54"/>
  <c r="BF10" i="54"/>
  <c r="BG10" i="54"/>
  <c r="BI10" i="54"/>
  <c r="BH10" i="54"/>
  <c r="BH8" i="54"/>
  <c r="BF8" i="54"/>
  <c r="BI8" i="54"/>
  <c r="BG8" i="54"/>
  <c r="BH7" i="54"/>
  <c r="BF7" i="54"/>
  <c r="BI7" i="54"/>
  <c r="BG7" i="54"/>
  <c r="B65" i="53"/>
  <c r="B36" i="53" s="1"/>
  <c r="B37" i="53" s="1"/>
  <c r="B38" i="53" s="1"/>
  <c r="B39" i="53" s="1"/>
  <c r="B40" i="53" s="1"/>
  <c r="B41" i="53" s="1"/>
  <c r="B42" i="53" s="1"/>
  <c r="B43" i="53" s="1"/>
  <c r="B44" i="53" s="1"/>
  <c r="B45" i="53" s="1"/>
  <c r="B46" i="53" s="1"/>
  <c r="B47" i="53" s="1"/>
  <c r="B48" i="53" s="1"/>
  <c r="B49" i="53" s="1"/>
  <c r="B50" i="53" s="1"/>
  <c r="B51" i="53" s="1"/>
  <c r="B52" i="53" s="1"/>
  <c r="B53" i="53" s="1"/>
  <c r="B54" i="53" s="1"/>
  <c r="B55" i="53" s="1"/>
  <c r="AL25" i="54"/>
  <c r="AK10" i="54"/>
  <c r="E45" i="54"/>
  <c r="E41" i="55"/>
  <c r="E27" i="55"/>
  <c r="AL48" i="54"/>
  <c r="AK33" i="54"/>
  <c r="AK49" i="55"/>
  <c r="AL51" i="54"/>
  <c r="AL52" i="55"/>
  <c r="AK54" i="54"/>
  <c r="AL26" i="54"/>
  <c r="AL56" i="55"/>
  <c r="E29" i="54"/>
  <c r="AL49" i="54"/>
  <c r="E21" i="54"/>
  <c r="AK61" i="55"/>
  <c r="E43" i="55"/>
  <c r="AL15" i="54"/>
  <c r="AK35" i="54"/>
  <c r="E33" i="55"/>
  <c r="AL47" i="54"/>
  <c r="AK23" i="54"/>
  <c r="AK30" i="54"/>
  <c r="E61" i="55"/>
  <c r="AK36" i="55"/>
  <c r="AK55" i="55"/>
  <c r="AK55" i="54"/>
  <c r="E46" i="55"/>
  <c r="AK50" i="55"/>
  <c r="AL37" i="55"/>
  <c r="AL46" i="55"/>
  <c r="AL57" i="54"/>
  <c r="AK19" i="55"/>
  <c r="AK17" i="55"/>
  <c r="AL13" i="54"/>
  <c r="E40" i="54"/>
  <c r="AL22" i="55"/>
  <c r="E14" i="54"/>
  <c r="E8" i="55"/>
  <c r="AK25" i="55"/>
  <c r="E49" i="55"/>
  <c r="AL37" i="54"/>
  <c r="AL44" i="54"/>
  <c r="AK47" i="55"/>
  <c r="AK43" i="54"/>
  <c r="E13" i="54"/>
  <c r="AL64" i="54"/>
  <c r="E51" i="54"/>
  <c r="E39" i="55"/>
  <c r="E24" i="54"/>
  <c r="E25" i="55"/>
  <c r="AL43" i="55"/>
  <c r="E43" i="54"/>
  <c r="AK24" i="54"/>
  <c r="AL57" i="55"/>
  <c r="E41" i="54"/>
  <c r="AK26" i="54"/>
  <c r="AL18" i="54"/>
  <c r="AL28" i="54"/>
  <c r="AL55" i="54"/>
  <c r="AK57" i="54"/>
  <c r="E9" i="55"/>
  <c r="E8" i="54"/>
  <c r="AL29" i="54"/>
  <c r="AK28" i="54"/>
  <c r="AK34" i="54"/>
  <c r="AL19" i="55"/>
  <c r="AL56" i="54"/>
  <c r="AL48" i="55"/>
  <c r="AL53" i="54"/>
  <c r="AL25" i="55"/>
  <c r="E18" i="55"/>
  <c r="AK42" i="54"/>
  <c r="AL35" i="54"/>
  <c r="E63" i="54"/>
  <c r="AK64" i="54"/>
  <c r="E39" i="54"/>
  <c r="E62" i="54"/>
  <c r="AL43" i="54"/>
  <c r="AK51" i="55"/>
  <c r="E33" i="54"/>
  <c r="AK48" i="55"/>
  <c r="AK50" i="54"/>
  <c r="AL20" i="54"/>
  <c r="AL31" i="54"/>
  <c r="AL42" i="54"/>
  <c r="AK53" i="54"/>
  <c r="AK14" i="54"/>
  <c r="AL22" i="54"/>
  <c r="AK38" i="55"/>
  <c r="E30" i="54"/>
  <c r="E57" i="54"/>
  <c r="AL19" i="54"/>
  <c r="E35" i="54"/>
  <c r="E28" i="54"/>
  <c r="AK40" i="54"/>
  <c r="AK17" i="54"/>
  <c r="E28" i="55"/>
  <c r="E7" i="54"/>
  <c r="AK12" i="54"/>
  <c r="E24" i="55"/>
  <c r="AK18" i="54"/>
  <c r="AK25" i="54"/>
  <c r="AL58" i="55"/>
  <c r="AK46" i="54"/>
  <c r="AL44" i="55"/>
  <c r="AL38" i="55"/>
  <c r="E11" i="54"/>
  <c r="E64" i="54"/>
  <c r="AL38" i="54"/>
  <c r="E53" i="54"/>
  <c r="AL12" i="54"/>
  <c r="AK52" i="54"/>
  <c r="AK20" i="54"/>
  <c r="AK53" i="55"/>
  <c r="E54" i="54"/>
  <c r="AL27" i="55"/>
  <c r="AK23" i="55"/>
  <c r="AL54" i="54"/>
  <c r="AK11" i="54"/>
  <c r="AK62" i="55"/>
  <c r="AK42" i="55"/>
  <c r="E34" i="54"/>
  <c r="AL36" i="54"/>
  <c r="AL41" i="54"/>
  <c r="AK39" i="55"/>
  <c r="AL45" i="55"/>
  <c r="E55" i="55"/>
  <c r="E22" i="54"/>
  <c r="AK16" i="54"/>
  <c r="AK7" i="54"/>
  <c r="E51" i="55"/>
  <c r="AL34" i="54"/>
  <c r="AK46" i="55"/>
  <c r="AK13" i="54"/>
  <c r="AL16" i="54"/>
  <c r="E16" i="55"/>
  <c r="E36" i="55"/>
  <c r="E12" i="55"/>
  <c r="AL10" i="54"/>
  <c r="E10" i="55"/>
  <c r="E31" i="55"/>
  <c r="AK36" i="54"/>
  <c r="E10" i="54"/>
  <c r="AK29" i="55"/>
  <c r="AL9" i="54"/>
  <c r="AK38" i="54"/>
  <c r="E37" i="55"/>
  <c r="AL61" i="55"/>
  <c r="AK9" i="54"/>
  <c r="E50" i="54"/>
  <c r="AL11" i="54"/>
  <c r="E13" i="55"/>
  <c r="AL17" i="54"/>
  <c r="AK27" i="55"/>
  <c r="AK20" i="55"/>
  <c r="AL45" i="54"/>
  <c r="E26" i="55"/>
  <c r="E35" i="55"/>
  <c r="E57" i="55"/>
  <c r="E42" i="54"/>
  <c r="E9" i="54"/>
  <c r="E52" i="54"/>
  <c r="AK45" i="55"/>
  <c r="E44" i="54"/>
  <c r="E46" i="54"/>
  <c r="AK22" i="54"/>
  <c r="E30" i="55"/>
  <c r="AK56" i="54"/>
  <c r="E54" i="55"/>
  <c r="E32" i="54"/>
  <c r="AL20" i="55"/>
  <c r="E17" i="54"/>
  <c r="AL50" i="54"/>
  <c r="AL32" i="54"/>
  <c r="E50" i="55"/>
  <c r="E61" i="54"/>
  <c r="AK47" i="54"/>
  <c r="E16" i="54"/>
  <c r="AK31" i="54"/>
  <c r="AK21" i="54"/>
  <c r="E44" i="55"/>
  <c r="AK54" i="55"/>
  <c r="AK63" i="54"/>
  <c r="E29" i="55"/>
  <c r="AL24" i="54"/>
  <c r="E56" i="55"/>
  <c r="AL41" i="55"/>
  <c r="AL17" i="55"/>
  <c r="AK61" i="54"/>
  <c r="AL40" i="55"/>
  <c r="AL51" i="55"/>
  <c r="AK51" i="54"/>
  <c r="E42" i="55"/>
  <c r="AK41" i="54"/>
  <c r="AL63" i="54"/>
  <c r="AL14" i="54"/>
  <c r="AL8" i="54"/>
  <c r="AK44" i="55"/>
  <c r="AL42" i="55"/>
  <c r="AL23" i="55"/>
  <c r="E18" i="54"/>
  <c r="AK48" i="54"/>
  <c r="E34" i="55"/>
  <c r="E36" i="54"/>
  <c r="E21" i="55"/>
  <c r="AK29" i="54"/>
  <c r="AL31" i="55"/>
  <c r="AK56" i="55"/>
  <c r="AL27" i="54"/>
  <c r="E48" i="54"/>
  <c r="E56" i="54"/>
  <c r="E45" i="55"/>
  <c r="AK19" i="54"/>
  <c r="AK43" i="55"/>
  <c r="AL62" i="54"/>
  <c r="AK39" i="54"/>
  <c r="AK22" i="55"/>
  <c r="E26" i="54"/>
  <c r="E47" i="54"/>
  <c r="AL39" i="54"/>
  <c r="E40" i="55"/>
  <c r="AL21" i="54"/>
  <c r="AL54" i="55"/>
  <c r="AL52" i="54"/>
  <c r="AK37" i="54"/>
  <c r="AL30" i="54"/>
  <c r="AK44" i="54"/>
  <c r="AK58" i="55"/>
  <c r="AL50" i="55"/>
  <c r="E27" i="54"/>
  <c r="E12" i="54"/>
  <c r="AL23" i="54"/>
  <c r="AK37" i="55"/>
  <c r="AK62" i="54"/>
  <c r="AK41" i="55"/>
  <c r="AL7" i="54"/>
  <c r="AL49" i="55"/>
  <c r="AK49" i="54"/>
  <c r="AL39" i="55"/>
  <c r="E38" i="54"/>
  <c r="E19" i="55"/>
  <c r="E49" i="54"/>
  <c r="AL46" i="54"/>
  <c r="E32" i="55"/>
  <c r="AK57" i="55"/>
  <c r="AL36" i="55"/>
  <c r="AK40" i="55"/>
  <c r="E53" i="55"/>
  <c r="AK15" i="54"/>
  <c r="AK45" i="54"/>
  <c r="E15" i="54"/>
  <c r="E20" i="54"/>
  <c r="E37" i="54"/>
  <c r="AK8" i="54"/>
  <c r="E11" i="55"/>
  <c r="AL61" i="54"/>
  <c r="AL53" i="55"/>
  <c r="AK32" i="54"/>
  <c r="E23" i="55"/>
  <c r="AL47" i="55"/>
  <c r="AL40" i="54"/>
  <c r="AL29" i="55"/>
  <c r="E19" i="54"/>
  <c r="E47" i="55"/>
  <c r="E55" i="54"/>
  <c r="AK52" i="55"/>
  <c r="AK31" i="55"/>
  <c r="E14" i="55"/>
  <c r="E31" i="54"/>
  <c r="E23" i="54"/>
  <c r="AL33" i="54"/>
  <c r="AK27" i="54"/>
  <c r="E25" i="54"/>
  <c r="AL55" i="55"/>
  <c r="E38" i="55"/>
  <c r="AL62" i="55"/>
  <c r="AA12" i="56" l="1"/>
  <c r="AA13" i="56"/>
  <c r="AA10" i="56"/>
  <c r="R14" i="56"/>
  <c r="S14" i="56" s="1"/>
  <c r="AA11" i="56"/>
  <c r="O14" i="56"/>
  <c r="P9" i="56" s="1"/>
  <c r="U14" i="56"/>
  <c r="V10" i="56" s="1"/>
  <c r="AA8" i="56"/>
  <c r="AM43" i="55"/>
  <c r="AM44" i="55"/>
  <c r="AM21" i="54"/>
  <c r="AH15" i="54"/>
  <c r="AG15" i="54"/>
  <c r="AH56" i="55"/>
  <c r="AG56" i="55"/>
  <c r="AG20" i="55"/>
  <c r="AH20" i="55"/>
  <c r="AH61" i="55"/>
  <c r="AG61" i="55"/>
  <c r="AH25" i="55"/>
  <c r="AG25" i="55"/>
  <c r="AM62" i="55"/>
  <c r="AM54" i="55"/>
  <c r="AM44" i="54"/>
  <c r="AH8" i="54"/>
  <c r="AG8" i="54"/>
  <c r="AG49" i="54"/>
  <c r="AH49" i="54"/>
  <c r="AM43" i="54"/>
  <c r="AH50" i="54"/>
  <c r="AG50" i="54"/>
  <c r="AG52" i="54"/>
  <c r="AH52" i="54"/>
  <c r="AH33" i="54"/>
  <c r="AG33" i="54"/>
  <c r="AM29" i="54"/>
  <c r="AM37" i="55"/>
  <c r="AM19" i="55"/>
  <c r="AM31" i="55"/>
  <c r="AG55" i="55"/>
  <c r="AH55" i="55"/>
  <c r="AM13" i="54"/>
  <c r="AM41" i="54"/>
  <c r="AM25" i="54"/>
  <c r="AM37" i="54"/>
  <c r="AG17" i="54"/>
  <c r="AH17" i="54"/>
  <c r="AM9" i="54"/>
  <c r="AM35" i="54"/>
  <c r="AH40" i="55"/>
  <c r="AG40" i="55"/>
  <c r="AH29" i="55"/>
  <c r="AG29" i="55"/>
  <c r="AG27" i="55"/>
  <c r="AH27" i="55"/>
  <c r="AH42" i="54"/>
  <c r="AG42" i="54"/>
  <c r="AH42" i="55"/>
  <c r="AG42" i="55"/>
  <c r="AM23" i="55"/>
  <c r="AM52" i="55"/>
  <c r="AG16" i="54"/>
  <c r="AH16" i="54"/>
  <c r="AG46" i="54"/>
  <c r="AH46" i="54"/>
  <c r="AM12" i="54"/>
  <c r="AG45" i="55"/>
  <c r="AH45" i="55"/>
  <c r="AG58" i="55"/>
  <c r="AH58" i="55"/>
  <c r="AM38" i="55"/>
  <c r="AM10" i="54"/>
  <c r="AM39" i="54"/>
  <c r="AH7" i="54"/>
  <c r="AG7" i="54"/>
  <c r="AG36" i="55"/>
  <c r="AH36" i="55"/>
  <c r="AM48" i="55"/>
  <c r="AM22" i="55"/>
  <c r="AH61" i="54"/>
  <c r="AG61" i="54"/>
  <c r="AM53" i="54"/>
  <c r="AM20" i="55"/>
  <c r="AM25" i="55"/>
  <c r="AG54" i="55"/>
  <c r="AH54" i="55"/>
  <c r="AG44" i="54"/>
  <c r="AH44" i="54"/>
  <c r="AM8" i="54"/>
  <c r="AH43" i="54"/>
  <c r="AG43" i="54"/>
  <c r="AM50" i="54"/>
  <c r="AM52" i="54"/>
  <c r="AG45" i="54"/>
  <c r="AH45" i="54"/>
  <c r="AM32" i="54"/>
  <c r="AM15" i="54"/>
  <c r="AM55" i="55"/>
  <c r="AM49" i="55"/>
  <c r="AG13" i="54"/>
  <c r="AH13" i="54"/>
  <c r="AH41" i="54"/>
  <c r="AG41" i="54"/>
  <c r="AH25" i="54"/>
  <c r="AG25" i="54"/>
  <c r="AH37" i="54"/>
  <c r="AG37" i="54"/>
  <c r="AM62" i="54"/>
  <c r="AM48" i="54"/>
  <c r="AH57" i="54"/>
  <c r="AG57" i="54"/>
  <c r="U10" i="54"/>
  <c r="O12" i="54"/>
  <c r="R9" i="54"/>
  <c r="R8" i="54"/>
  <c r="U16" i="54" a="1"/>
  <c r="U16" i="54" s="1"/>
  <c r="O11" i="54"/>
  <c r="U12" i="54"/>
  <c r="O10" i="54"/>
  <c r="R12" i="54"/>
  <c r="U8" i="54"/>
  <c r="V8" i="54" s="1"/>
  <c r="R10" i="54"/>
  <c r="U13" i="54"/>
  <c r="V13" i="54" s="1"/>
  <c r="U11" i="54"/>
  <c r="V11" i="54" s="1"/>
  <c r="R11" i="54"/>
  <c r="U9" i="54"/>
  <c r="V9" i="54" s="1"/>
  <c r="O13" i="54"/>
  <c r="R13" i="54"/>
  <c r="S13" i="54" s="1"/>
  <c r="O9" i="54"/>
  <c r="O8" i="54"/>
  <c r="O16" i="54" a="1"/>
  <c r="O16" i="54" s="1"/>
  <c r="R16" i="54" a="1"/>
  <c r="R16" i="54" s="1"/>
  <c r="AM40" i="55"/>
  <c r="AM29" i="55"/>
  <c r="AM27" i="55"/>
  <c r="AH40" i="54"/>
  <c r="AG40" i="54"/>
  <c r="AM55" i="54"/>
  <c r="AH24" i="54"/>
  <c r="AG24" i="54"/>
  <c r="AH52" i="55"/>
  <c r="AG52" i="55"/>
  <c r="AG51" i="54"/>
  <c r="AH51" i="54"/>
  <c r="AM18" i="54"/>
  <c r="AH12" i="54"/>
  <c r="AG12" i="54"/>
  <c r="AG30" i="54"/>
  <c r="AH30" i="54"/>
  <c r="AM58" i="55"/>
  <c r="AH38" i="55"/>
  <c r="AG38" i="55"/>
  <c r="AH39" i="54"/>
  <c r="AG39" i="54"/>
  <c r="AG27" i="54"/>
  <c r="AH27" i="54"/>
  <c r="AM7" i="54"/>
  <c r="AM51" i="55"/>
  <c r="AM64" i="54"/>
  <c r="AH48" i="55"/>
  <c r="AG48" i="55"/>
  <c r="AH22" i="55"/>
  <c r="AG22" i="55"/>
  <c r="AM39" i="55"/>
  <c r="AM47" i="55"/>
  <c r="AG50" i="55"/>
  <c r="AH50" i="55"/>
  <c r="AG20" i="54"/>
  <c r="AH20" i="54"/>
  <c r="AH56" i="54"/>
  <c r="AG56" i="54"/>
  <c r="AM22" i="54"/>
  <c r="AM26" i="54"/>
  <c r="AG34" i="54"/>
  <c r="AH34" i="54"/>
  <c r="AM45" i="54"/>
  <c r="AH32" i="54"/>
  <c r="AG32" i="54"/>
  <c r="AG49" i="55"/>
  <c r="AH49" i="55"/>
  <c r="AG53" i="55"/>
  <c r="AH53" i="55"/>
  <c r="AG31" i="54"/>
  <c r="AH31" i="54"/>
  <c r="AG36" i="54"/>
  <c r="AH36" i="54"/>
  <c r="AH62" i="54"/>
  <c r="AG62" i="54"/>
  <c r="AH48" i="54"/>
  <c r="AG48" i="54"/>
  <c r="AM57" i="54"/>
  <c r="AM14" i="54"/>
  <c r="AM47" i="54"/>
  <c r="AH41" i="55"/>
  <c r="AG41" i="55"/>
  <c r="AM17" i="55"/>
  <c r="AM40" i="54"/>
  <c r="AH55" i="54"/>
  <c r="AG55" i="54"/>
  <c r="AM24" i="54"/>
  <c r="AG11" i="54"/>
  <c r="AH11" i="54"/>
  <c r="AM51" i="54"/>
  <c r="AG18" i="54"/>
  <c r="AH18" i="54"/>
  <c r="AM28" i="54"/>
  <c r="AM30" i="54"/>
  <c r="AG46" i="55"/>
  <c r="AH46" i="55"/>
  <c r="AM19" i="54"/>
  <c r="AH23" i="54"/>
  <c r="AG23" i="54"/>
  <c r="AM27" i="54"/>
  <c r="AH51" i="55"/>
  <c r="AG51" i="55"/>
  <c r="AM38" i="54"/>
  <c r="AM54" i="54"/>
  <c r="AM57" i="55"/>
  <c r="AH39" i="55"/>
  <c r="AG39" i="55"/>
  <c r="AM56" i="55"/>
  <c r="AH43" i="55"/>
  <c r="AG43" i="55"/>
  <c r="AM61" i="55"/>
  <c r="AG44" i="55"/>
  <c r="AH44" i="55"/>
  <c r="AG47" i="55"/>
  <c r="AH47" i="55"/>
  <c r="AM50" i="55"/>
  <c r="AH21" i="54"/>
  <c r="AG21" i="54"/>
  <c r="AM20" i="54"/>
  <c r="AM49" i="54"/>
  <c r="AM56" i="54"/>
  <c r="AG22" i="54"/>
  <c r="AH22" i="54"/>
  <c r="AH26" i="54"/>
  <c r="AG26" i="54"/>
  <c r="AM34" i="54"/>
  <c r="AM33" i="54"/>
  <c r="AH29" i="54"/>
  <c r="AG29" i="54"/>
  <c r="AH37" i="55"/>
  <c r="AG37" i="55"/>
  <c r="AH19" i="55"/>
  <c r="AG19" i="55"/>
  <c r="O11" i="55"/>
  <c r="U8" i="55"/>
  <c r="V8" i="55" s="1"/>
  <c r="R11" i="55"/>
  <c r="R10" i="55"/>
  <c r="R8" i="55"/>
  <c r="U11" i="55"/>
  <c r="V11" i="55" s="1"/>
  <c r="R16" i="55" a="1"/>
  <c r="R16" i="55" s="1"/>
  <c r="O9" i="55"/>
  <c r="U13" i="55"/>
  <c r="V13" i="55" s="1"/>
  <c r="U10" i="55"/>
  <c r="O16" i="55" a="1"/>
  <c r="O16" i="55" s="1"/>
  <c r="O12" i="55"/>
  <c r="O13" i="55"/>
  <c r="U9" i="55"/>
  <c r="V9" i="55" s="1"/>
  <c r="R13" i="55"/>
  <c r="S13" i="55" s="1"/>
  <c r="R9" i="55"/>
  <c r="O10" i="55"/>
  <c r="U12" i="55"/>
  <c r="O8" i="55"/>
  <c r="U16" i="55" a="1"/>
  <c r="U16" i="55" s="1"/>
  <c r="R12" i="55"/>
  <c r="AG31" i="55"/>
  <c r="AH31" i="55"/>
  <c r="AM53" i="55"/>
  <c r="AM63" i="54"/>
  <c r="AM31" i="54"/>
  <c r="AM36" i="54"/>
  <c r="AM17" i="54"/>
  <c r="AH9" i="54"/>
  <c r="AG9" i="54"/>
  <c r="AH35" i="54"/>
  <c r="AG35" i="54"/>
  <c r="AH14" i="54"/>
  <c r="AG14" i="54"/>
  <c r="AG47" i="54"/>
  <c r="AH47" i="54"/>
  <c r="AM41" i="55"/>
  <c r="AH17" i="55"/>
  <c r="AG17" i="55"/>
  <c r="AM42" i="54"/>
  <c r="AM42" i="55"/>
  <c r="AH23" i="55"/>
  <c r="AG23" i="55"/>
  <c r="AM11" i="54"/>
  <c r="AM16" i="54"/>
  <c r="AM46" i="54"/>
  <c r="AH28" i="54"/>
  <c r="AG28" i="54"/>
  <c r="AM45" i="55"/>
  <c r="AM46" i="55"/>
  <c r="AH10" i="54"/>
  <c r="AG10" i="54"/>
  <c r="AG19" i="54"/>
  <c r="AH19" i="54"/>
  <c r="AM23" i="54"/>
  <c r="AM36" i="55"/>
  <c r="AH38" i="54"/>
  <c r="AG38" i="54"/>
  <c r="AH54" i="54"/>
  <c r="AG54" i="54"/>
  <c r="AH57" i="55"/>
  <c r="AG57" i="55"/>
  <c r="AM61" i="54"/>
  <c r="AH53" i="54"/>
  <c r="AG53" i="54"/>
  <c r="AA9" i="56"/>
  <c r="BG13" i="56"/>
  <c r="BF13" i="56"/>
  <c r="BH13" i="56"/>
  <c r="BI13" i="56"/>
  <c r="BC15" i="56"/>
  <c r="BD14" i="56"/>
  <c r="BG13" i="55"/>
  <c r="BF13" i="55"/>
  <c r="BI13" i="55"/>
  <c r="BH13" i="55"/>
  <c r="BD14" i="55"/>
  <c r="BC15" i="55"/>
  <c r="BF11" i="54"/>
  <c r="BH11" i="54"/>
  <c r="BG11" i="54"/>
  <c r="BI11" i="54"/>
  <c r="BC13" i="54"/>
  <c r="BD12" i="54"/>
  <c r="AZ62" i="5"/>
  <c r="AY62" i="5"/>
  <c r="AX62" i="5"/>
  <c r="AZ61" i="5"/>
  <c r="AZ63" i="5" s="1"/>
  <c r="AY61" i="5"/>
  <c r="AY63" i="5" s="1"/>
  <c r="AX61" i="5"/>
  <c r="AX63" i="5" s="1"/>
  <c r="BA57" i="5"/>
  <c r="AZ57" i="5"/>
  <c r="AY57" i="5"/>
  <c r="AX57" i="5"/>
  <c r="BA56" i="5"/>
  <c r="BA58" i="5" s="1"/>
  <c r="AZ56" i="5"/>
  <c r="AZ58" i="5" s="1"/>
  <c r="AY56" i="5"/>
  <c r="AY58" i="5" s="1"/>
  <c r="AX56" i="5"/>
  <c r="BA47" i="5"/>
  <c r="AZ47" i="5"/>
  <c r="AY47" i="5"/>
  <c r="AX47" i="5"/>
  <c r="BA46" i="5"/>
  <c r="BA52" i="5" s="1"/>
  <c r="O13" i="9" s="1"/>
  <c r="AZ46" i="5"/>
  <c r="AZ52" i="5" s="1"/>
  <c r="AY46" i="5"/>
  <c r="AY52" i="5" s="1"/>
  <c r="AX46" i="5"/>
  <c r="AX52" i="5" s="1"/>
  <c r="BA45" i="5"/>
  <c r="AZ45" i="5"/>
  <c r="AY45" i="5"/>
  <c r="AX45" i="5"/>
  <c r="BA44" i="5"/>
  <c r="BA51" i="5" s="1"/>
  <c r="O12" i="9" s="1"/>
  <c r="AZ44" i="5"/>
  <c r="AZ51" i="5" s="1"/>
  <c r="AZ53" i="5" s="1"/>
  <c r="AY44" i="5"/>
  <c r="AY51" i="5" s="1"/>
  <c r="AY53" i="5" s="1"/>
  <c r="AX44" i="5"/>
  <c r="AX51" i="5" s="1"/>
  <c r="AX53" i="5" s="1"/>
  <c r="BA43" i="5"/>
  <c r="AZ43" i="5"/>
  <c r="AY43" i="5"/>
  <c r="AX43" i="5"/>
  <c r="BA42" i="5"/>
  <c r="BA50" i="5" s="1"/>
  <c r="O11" i="9" s="1"/>
  <c r="O14" i="9" s="1"/>
  <c r="AZ42" i="5"/>
  <c r="AZ50" i="5" s="1"/>
  <c r="AY42" i="5"/>
  <c r="AY50" i="5" s="1"/>
  <c r="AX42" i="5"/>
  <c r="AX50" i="5" s="1"/>
  <c r="BG31" i="7"/>
  <c r="BG21" i="7"/>
  <c r="BG11" i="7"/>
  <c r="BG7" i="7"/>
  <c r="G60" i="52"/>
  <c r="E60" i="52" s="1"/>
  <c r="AH67" i="52"/>
  <c r="AG67" i="52"/>
  <c r="AF67" i="52"/>
  <c r="AH66" i="52"/>
  <c r="AG66" i="52"/>
  <c r="AF66" i="52"/>
  <c r="AH65" i="52"/>
  <c r="AG65" i="52"/>
  <c r="AF65" i="52"/>
  <c r="AH64" i="52"/>
  <c r="AG64" i="52"/>
  <c r="AF64" i="52"/>
  <c r="AV63" i="52"/>
  <c r="AV62" i="52"/>
  <c r="AV61" i="52"/>
  <c r="AV60" i="52"/>
  <c r="AH60" i="52"/>
  <c r="AG60" i="52"/>
  <c r="AF60" i="52"/>
  <c r="AF61" i="52" s="1"/>
  <c r="AF62" i="52" s="1"/>
  <c r="AF63" i="52" s="1"/>
  <c r="AV59" i="52"/>
  <c r="AH59" i="52"/>
  <c r="AG59" i="52"/>
  <c r="AF59" i="52"/>
  <c r="G59" i="52"/>
  <c r="E59" i="52" s="1"/>
  <c r="AV58" i="52"/>
  <c r="AV57" i="52"/>
  <c r="AV56" i="52"/>
  <c r="AV55" i="52"/>
  <c r="AV54" i="52"/>
  <c r="AV53" i="52"/>
  <c r="AV52" i="52"/>
  <c r="AV51" i="52"/>
  <c r="AV50" i="52"/>
  <c r="AV49" i="52"/>
  <c r="AV48" i="52"/>
  <c r="AV47" i="52"/>
  <c r="AV46" i="52"/>
  <c r="AV45" i="52"/>
  <c r="AV44" i="52"/>
  <c r="AV43" i="52"/>
  <c r="AV42" i="52"/>
  <c r="AV41" i="52"/>
  <c r="AV40" i="52"/>
  <c r="AV39" i="52"/>
  <c r="AV38" i="52"/>
  <c r="AV37" i="52"/>
  <c r="AV36" i="52"/>
  <c r="AV35" i="52"/>
  <c r="AV34" i="52"/>
  <c r="AV33" i="52"/>
  <c r="AV32" i="52"/>
  <c r="AV31" i="52"/>
  <c r="AV30" i="52"/>
  <c r="AV29" i="52"/>
  <c r="AV28" i="52"/>
  <c r="AV27" i="52"/>
  <c r="AV26" i="52"/>
  <c r="AV25" i="52"/>
  <c r="AV24" i="52"/>
  <c r="AV23" i="52"/>
  <c r="AV22" i="52"/>
  <c r="AV21" i="52"/>
  <c r="AV20" i="52"/>
  <c r="AV19" i="52"/>
  <c r="AV18" i="52"/>
  <c r="AV17" i="52"/>
  <c r="AV16" i="52"/>
  <c r="L16" i="52" a="1"/>
  <c r="L16" i="52" s="1"/>
  <c r="AV15" i="52"/>
  <c r="AV14" i="52"/>
  <c r="AV13" i="52"/>
  <c r="L13" i="52"/>
  <c r="AV12" i="52"/>
  <c r="L12" i="52"/>
  <c r="AV11" i="52"/>
  <c r="L11" i="52"/>
  <c r="AV10" i="52"/>
  <c r="L10" i="52"/>
  <c r="AV9" i="52"/>
  <c r="L9" i="52"/>
  <c r="AV8" i="52"/>
  <c r="L8" i="52"/>
  <c r="BC7" i="52"/>
  <c r="AV7" i="52"/>
  <c r="AF7" i="52"/>
  <c r="AF8" i="52" s="1"/>
  <c r="AF9" i="52" s="1"/>
  <c r="AF10" i="52" s="1"/>
  <c r="AF11" i="52" s="1"/>
  <c r="AF12" i="52" s="1"/>
  <c r="AF13" i="52" s="1"/>
  <c r="AF14" i="52" s="1"/>
  <c r="AF15" i="52" s="1"/>
  <c r="AF16" i="52" s="1"/>
  <c r="AF17" i="52" s="1"/>
  <c r="AF18" i="52" s="1"/>
  <c r="AF19" i="52" s="1"/>
  <c r="AF20" i="52" s="1"/>
  <c r="AF21" i="52" s="1"/>
  <c r="AF22" i="52" s="1"/>
  <c r="AF23" i="52" s="1"/>
  <c r="AF24" i="52" s="1"/>
  <c r="AF25" i="52" s="1"/>
  <c r="AF26" i="52" s="1"/>
  <c r="AF27" i="52" s="1"/>
  <c r="AF28" i="52" s="1"/>
  <c r="AF29" i="52" s="1"/>
  <c r="AF30" i="52" s="1"/>
  <c r="AF31" i="52" s="1"/>
  <c r="AF32" i="52" s="1"/>
  <c r="AF33" i="52" s="1"/>
  <c r="AF34" i="52" s="1"/>
  <c r="AF35" i="52" s="1"/>
  <c r="AF36" i="52" s="1"/>
  <c r="AF37" i="52" s="1"/>
  <c r="AF38" i="52" s="1"/>
  <c r="AF39" i="52" s="1"/>
  <c r="AF40" i="52" s="1"/>
  <c r="AF41" i="52" s="1"/>
  <c r="AF42" i="52" s="1"/>
  <c r="AF43" i="52" s="1"/>
  <c r="AF44" i="52" s="1"/>
  <c r="AF45" i="52" s="1"/>
  <c r="AF46" i="52" s="1"/>
  <c r="AF47" i="52" s="1"/>
  <c r="AF48" i="52" s="1"/>
  <c r="AF49" i="52" s="1"/>
  <c r="AF50" i="52" s="1"/>
  <c r="AF51" i="52" s="1"/>
  <c r="AF52" i="52" s="1"/>
  <c r="AF53" i="52" s="1"/>
  <c r="AF54" i="52" s="1"/>
  <c r="AF55" i="52" s="1"/>
  <c r="AF56" i="52" s="1"/>
  <c r="AF57" i="52" s="1"/>
  <c r="AF58" i="52" s="1"/>
  <c r="AL4" i="52"/>
  <c r="AL2" i="52" s="1"/>
  <c r="AK4" i="52"/>
  <c r="AJ4" i="52"/>
  <c r="AJ2" i="52" s="1"/>
  <c r="G3" i="52"/>
  <c r="AK2" i="52"/>
  <c r="E2" i="52"/>
  <c r="E3" i="52" s="1"/>
  <c r="A1" i="52"/>
  <c r="AJ62" i="52"/>
  <c r="AJ43" i="52"/>
  <c r="AJ64" i="52"/>
  <c r="AJ22" i="52"/>
  <c r="AJ8" i="52"/>
  <c r="AJ23" i="52"/>
  <c r="AJ39" i="52"/>
  <c r="AJ16" i="52"/>
  <c r="AR7" i="7"/>
  <c r="AJ29" i="52"/>
  <c r="AJ9" i="52"/>
  <c r="AJ53" i="52"/>
  <c r="AJ11" i="52"/>
  <c r="AJ27" i="52"/>
  <c r="AJ57" i="52"/>
  <c r="AJ35" i="52"/>
  <c r="AJ17" i="52"/>
  <c r="AJ65" i="52"/>
  <c r="AJ41" i="52"/>
  <c r="AJ50" i="52"/>
  <c r="G61" i="52"/>
  <c r="G63" i="52"/>
  <c r="AJ46" i="52"/>
  <c r="AJ47" i="52"/>
  <c r="AJ59" i="52"/>
  <c r="AJ56" i="52"/>
  <c r="AJ20" i="52"/>
  <c r="AJ30" i="52"/>
  <c r="AJ21" i="52"/>
  <c r="AJ14" i="52"/>
  <c r="AJ54" i="52"/>
  <c r="AJ51" i="52"/>
  <c r="AJ26" i="52"/>
  <c r="AO11" i="7"/>
  <c r="AJ63" i="52"/>
  <c r="G62" i="52"/>
  <c r="AJ12" i="52"/>
  <c r="AJ15" i="52"/>
  <c r="AJ28" i="52"/>
  <c r="G10" i="52"/>
  <c r="E6" i="52"/>
  <c r="AJ33" i="52"/>
  <c r="V12" i="56" l="1"/>
  <c r="V14" i="56"/>
  <c r="U5" i="56"/>
  <c r="AW8" i="52"/>
  <c r="S9" i="56"/>
  <c r="S10" i="56"/>
  <c r="S8" i="56"/>
  <c r="O14" i="54"/>
  <c r="P9" i="54" s="1"/>
  <c r="AA10" i="54"/>
  <c r="S11" i="56"/>
  <c r="AA14" i="56"/>
  <c r="AA12" i="54"/>
  <c r="P14" i="56"/>
  <c r="R14" i="54"/>
  <c r="S8" i="54" s="1"/>
  <c r="AA11" i="54"/>
  <c r="P12" i="56"/>
  <c r="R5" i="56"/>
  <c r="P11" i="56"/>
  <c r="S12" i="56"/>
  <c r="P10" i="56"/>
  <c r="O5" i="56"/>
  <c r="P13" i="56"/>
  <c r="AA9" i="54"/>
  <c r="AA13" i="54"/>
  <c r="P8" i="56"/>
  <c r="AA10" i="55"/>
  <c r="AA8" i="54"/>
  <c r="AA8" i="55"/>
  <c r="U14" i="55"/>
  <c r="V10" i="55" s="1"/>
  <c r="AA12" i="55"/>
  <c r="O14" i="55"/>
  <c r="P9" i="55" s="1"/>
  <c r="AA13" i="55"/>
  <c r="R14" i="55"/>
  <c r="AA11" i="55"/>
  <c r="U14" i="54"/>
  <c r="V10" i="54" s="1"/>
  <c r="AA9" i="55"/>
  <c r="BF14" i="56"/>
  <c r="BI14" i="56"/>
  <c r="BH14" i="56"/>
  <c r="BG14" i="56"/>
  <c r="BC16" i="56"/>
  <c r="BD15" i="56"/>
  <c r="BC16" i="55"/>
  <c r="BD15" i="55"/>
  <c r="BF14" i="55"/>
  <c r="BI14" i="55"/>
  <c r="BH14" i="55"/>
  <c r="BG14" i="55"/>
  <c r="BF12" i="54"/>
  <c r="BI12" i="54"/>
  <c r="BG12" i="54"/>
  <c r="BH12" i="54"/>
  <c r="BD13" i="54"/>
  <c r="BC14" i="54"/>
  <c r="BA61" i="5"/>
  <c r="BA62" i="5"/>
  <c r="O12" i="10" s="1"/>
  <c r="BA53" i="5"/>
  <c r="AX58" i="5"/>
  <c r="AX8" i="52"/>
  <c r="AW9" i="52"/>
  <c r="L14" i="52"/>
  <c r="M8" i="52" s="1"/>
  <c r="AW12" i="52"/>
  <c r="AX12" i="52" s="1"/>
  <c r="AW15" i="52"/>
  <c r="AX15" i="52" s="1"/>
  <c r="AW16" i="52"/>
  <c r="AX16" i="52" s="1"/>
  <c r="AX9" i="52"/>
  <c r="AW10" i="52"/>
  <c r="AX10" i="52" s="1"/>
  <c r="AW13" i="52"/>
  <c r="AX13" i="52" s="1"/>
  <c r="AW14" i="52"/>
  <c r="AX14" i="52" s="1"/>
  <c r="AW17" i="52"/>
  <c r="AX17" i="52" s="1"/>
  <c r="AW63" i="52"/>
  <c r="AX63" i="52" s="1"/>
  <c r="AW61" i="52"/>
  <c r="AX61" i="52" s="1"/>
  <c r="AW60" i="52"/>
  <c r="AX60" i="52" s="1"/>
  <c r="AW59" i="52"/>
  <c r="AW58" i="52"/>
  <c r="AX58" i="52" s="1"/>
  <c r="AW56" i="52"/>
  <c r="AX56" i="52" s="1"/>
  <c r="AW54" i="52"/>
  <c r="AX54" i="52" s="1"/>
  <c r="AW52" i="52"/>
  <c r="AX52" i="52" s="1"/>
  <c r="AW50" i="52"/>
  <c r="AX50" i="52" s="1"/>
  <c r="AW48" i="52"/>
  <c r="AX48" i="52" s="1"/>
  <c r="AW46" i="52"/>
  <c r="AX46" i="52" s="1"/>
  <c r="AW38" i="52"/>
  <c r="AX38" i="52" s="1"/>
  <c r="AW23" i="52"/>
  <c r="AX23" i="52" s="1"/>
  <c r="AW19" i="52"/>
  <c r="AX19" i="52" s="1"/>
  <c r="AW7" i="52"/>
  <c r="AX7" i="52" s="1"/>
  <c r="AW40" i="52"/>
  <c r="AX40" i="52" s="1"/>
  <c r="AW37" i="52"/>
  <c r="AX37" i="52" s="1"/>
  <c r="AW27" i="52"/>
  <c r="AX27" i="52" s="1"/>
  <c r="AW21" i="52"/>
  <c r="AX21" i="52" s="1"/>
  <c r="AW42" i="52"/>
  <c r="AX42" i="52" s="1"/>
  <c r="AW35" i="52"/>
  <c r="AX35" i="52" s="1"/>
  <c r="AW31" i="52"/>
  <c r="AX31" i="52" s="1"/>
  <c r="AW25" i="52"/>
  <c r="AX25" i="52" s="1"/>
  <c r="AW22" i="52"/>
  <c r="AX22" i="52" s="1"/>
  <c r="AW18" i="52"/>
  <c r="AX18" i="52" s="1"/>
  <c r="BC8" i="52"/>
  <c r="AW11" i="52"/>
  <c r="AX11" i="52" s="1"/>
  <c r="AW33" i="52"/>
  <c r="AX33" i="52" s="1"/>
  <c r="AW41" i="52"/>
  <c r="AX41" i="52" s="1"/>
  <c r="AW47" i="52"/>
  <c r="AX47" i="52" s="1"/>
  <c r="AW53" i="52"/>
  <c r="AX53" i="52" s="1"/>
  <c r="AW36" i="52"/>
  <c r="AX36" i="52" s="1"/>
  <c r="AW39" i="52"/>
  <c r="AX39" i="52" s="1"/>
  <c r="AW45" i="52"/>
  <c r="AX45" i="52" s="1"/>
  <c r="AW62" i="52"/>
  <c r="AX62" i="52" s="1"/>
  <c r="AW20" i="52"/>
  <c r="AX20" i="52" s="1"/>
  <c r="AW24" i="52"/>
  <c r="AX24" i="52" s="1"/>
  <c r="AW26" i="52"/>
  <c r="AX26" i="52" s="1"/>
  <c r="AW29" i="52"/>
  <c r="AX29" i="52" s="1"/>
  <c r="AW30" i="52"/>
  <c r="AX30" i="52" s="1"/>
  <c r="AW32" i="52"/>
  <c r="AX32" i="52" s="1"/>
  <c r="AW34" i="52"/>
  <c r="AX34" i="52" s="1"/>
  <c r="AW55" i="52"/>
  <c r="AX55" i="52" s="1"/>
  <c r="AW28" i="52"/>
  <c r="AX28" i="52" s="1"/>
  <c r="AW44" i="52"/>
  <c r="AX44" i="52" s="1"/>
  <c r="AW43" i="52"/>
  <c r="AX43" i="52" s="1"/>
  <c r="AW49" i="52"/>
  <c r="AX49" i="52" s="1"/>
  <c r="AW57" i="52"/>
  <c r="AX57" i="52" s="1"/>
  <c r="AW51" i="52"/>
  <c r="AX51" i="52" s="1"/>
  <c r="AX59" i="52"/>
  <c r="C68" i="51"/>
  <c r="AH67" i="51"/>
  <c r="AG67" i="51"/>
  <c r="AF67" i="51"/>
  <c r="AH66" i="51"/>
  <c r="AG66" i="51"/>
  <c r="AF66" i="51"/>
  <c r="AH65" i="51"/>
  <c r="AG65" i="51"/>
  <c r="AF65" i="51"/>
  <c r="AH64" i="51"/>
  <c r="AG64" i="51"/>
  <c r="AF64" i="51"/>
  <c r="AV63" i="51"/>
  <c r="AV62" i="51"/>
  <c r="AV61" i="51"/>
  <c r="AH61" i="51"/>
  <c r="AG61" i="51"/>
  <c r="AF61" i="51"/>
  <c r="AF62" i="51" s="1"/>
  <c r="AF63" i="51" s="1"/>
  <c r="G61" i="51"/>
  <c r="AV60" i="51"/>
  <c r="AH60" i="51"/>
  <c r="AG60" i="51"/>
  <c r="AF60" i="51"/>
  <c r="G60" i="51"/>
  <c r="AV59" i="51"/>
  <c r="AH59" i="51"/>
  <c r="AG59" i="51"/>
  <c r="AF59" i="51"/>
  <c r="G59" i="51"/>
  <c r="AV58" i="51"/>
  <c r="AV57" i="51"/>
  <c r="AV56" i="51"/>
  <c r="AV55" i="51"/>
  <c r="AV54" i="51"/>
  <c r="AV53" i="51"/>
  <c r="AV52" i="51"/>
  <c r="AV51" i="51"/>
  <c r="AV50" i="51"/>
  <c r="AV49" i="51"/>
  <c r="AV48" i="51"/>
  <c r="AV47" i="51"/>
  <c r="AV46" i="51"/>
  <c r="AV45" i="51"/>
  <c r="AV44" i="51"/>
  <c r="AV43" i="51"/>
  <c r="AV42" i="51"/>
  <c r="AV41" i="51"/>
  <c r="AV40" i="51"/>
  <c r="AV39" i="51"/>
  <c r="AV38" i="51"/>
  <c r="AV37" i="51"/>
  <c r="AV36" i="51"/>
  <c r="AV35" i="51"/>
  <c r="AV34" i="51"/>
  <c r="AV33" i="51"/>
  <c r="AV32" i="51"/>
  <c r="AV31" i="51"/>
  <c r="AV30" i="51"/>
  <c r="AV29" i="51"/>
  <c r="AV28" i="51"/>
  <c r="AV27" i="51"/>
  <c r="AV26" i="51"/>
  <c r="AV25" i="51"/>
  <c r="AV24" i="51"/>
  <c r="AV23" i="51"/>
  <c r="AV22" i="51"/>
  <c r="AV21" i="51"/>
  <c r="AV20" i="51"/>
  <c r="AV19" i="51"/>
  <c r="AV18" i="51"/>
  <c r="AV17" i="51"/>
  <c r="AV16" i="51"/>
  <c r="L16" i="51" a="1"/>
  <c r="L16" i="51" s="1"/>
  <c r="AV15" i="51"/>
  <c r="AV14" i="51"/>
  <c r="AV13" i="51"/>
  <c r="L13" i="51"/>
  <c r="AV12" i="51"/>
  <c r="L12" i="51"/>
  <c r="AV11" i="51"/>
  <c r="L11" i="51"/>
  <c r="AV10" i="51"/>
  <c r="L10" i="51"/>
  <c r="AV9" i="51"/>
  <c r="L9" i="51"/>
  <c r="AV8" i="51"/>
  <c r="L8" i="51"/>
  <c r="BC7" i="51"/>
  <c r="BC8" i="51" s="1"/>
  <c r="AV7" i="51"/>
  <c r="AF7" i="51"/>
  <c r="AF8" i="51" s="1"/>
  <c r="AF9" i="51" s="1"/>
  <c r="AF10" i="51" s="1"/>
  <c r="AF11" i="51" s="1"/>
  <c r="AF12" i="51" s="1"/>
  <c r="AF13" i="51" s="1"/>
  <c r="AF14" i="51" s="1"/>
  <c r="AF15" i="51" s="1"/>
  <c r="AF16" i="51" s="1"/>
  <c r="AF17" i="51" s="1"/>
  <c r="AF18" i="51" s="1"/>
  <c r="AF19" i="51" s="1"/>
  <c r="AF20" i="51" s="1"/>
  <c r="AF21" i="51" s="1"/>
  <c r="AF22" i="51" s="1"/>
  <c r="AF23" i="51" s="1"/>
  <c r="AF24" i="51" s="1"/>
  <c r="AF25" i="51" s="1"/>
  <c r="AF26" i="51" s="1"/>
  <c r="AF27" i="51" s="1"/>
  <c r="AF28" i="51" s="1"/>
  <c r="AF29" i="51" s="1"/>
  <c r="AF30" i="51" s="1"/>
  <c r="AF31" i="51" s="1"/>
  <c r="AF32" i="51" s="1"/>
  <c r="AF33" i="51" s="1"/>
  <c r="AF34" i="51" s="1"/>
  <c r="AF35" i="51" s="1"/>
  <c r="AF36" i="51" s="1"/>
  <c r="AF37" i="51" s="1"/>
  <c r="AF38" i="51" s="1"/>
  <c r="AF39" i="51" s="1"/>
  <c r="AF40" i="51" s="1"/>
  <c r="AF41" i="51" s="1"/>
  <c r="AF42" i="51" s="1"/>
  <c r="AF43" i="51" s="1"/>
  <c r="AF44" i="51" s="1"/>
  <c r="AF45" i="51" s="1"/>
  <c r="AF46" i="51" s="1"/>
  <c r="AF47" i="51" s="1"/>
  <c r="AF48" i="51" s="1"/>
  <c r="AF49" i="51" s="1"/>
  <c r="AF50" i="51" s="1"/>
  <c r="AF51" i="51" s="1"/>
  <c r="AF52" i="51" s="1"/>
  <c r="AF53" i="51" s="1"/>
  <c r="AF54" i="51" s="1"/>
  <c r="AF55" i="51" s="1"/>
  <c r="AF56" i="51" s="1"/>
  <c r="AF57" i="51" s="1"/>
  <c r="AF58" i="51" s="1"/>
  <c r="AL4" i="51"/>
  <c r="AL2" i="51" s="1"/>
  <c r="AK4" i="51"/>
  <c r="AK2" i="51" s="1"/>
  <c r="AJ4" i="51"/>
  <c r="AJ2" i="51" s="1"/>
  <c r="G3" i="51"/>
  <c r="E2" i="51"/>
  <c r="E3" i="51" s="1"/>
  <c r="A1" i="51"/>
  <c r="G58" i="52"/>
  <c r="AJ37" i="52"/>
  <c r="AJ52" i="52"/>
  <c r="AJ58" i="52"/>
  <c r="G7" i="51"/>
  <c r="E62" i="52"/>
  <c r="E63" i="52"/>
  <c r="G18" i="52"/>
  <c r="AJ45" i="52"/>
  <c r="AK11" i="52"/>
  <c r="G42" i="52"/>
  <c r="G20" i="52"/>
  <c r="G16" i="52"/>
  <c r="AJ42" i="52"/>
  <c r="AJ66" i="52"/>
  <c r="AJ40" i="52"/>
  <c r="AJ55" i="52"/>
  <c r="G31" i="52"/>
  <c r="G51" i="52"/>
  <c r="G29" i="52"/>
  <c r="G26" i="52"/>
  <c r="G24" i="52"/>
  <c r="G23" i="52"/>
  <c r="G12" i="51"/>
  <c r="G13" i="52"/>
  <c r="AJ25" i="52"/>
  <c r="AJ36" i="52"/>
  <c r="AJ38" i="52"/>
  <c r="G8" i="52"/>
  <c r="G48" i="52"/>
  <c r="AJ49" i="52"/>
  <c r="AJ34" i="52"/>
  <c r="AJ10" i="52"/>
  <c r="G11" i="52"/>
  <c r="G14" i="52"/>
  <c r="G37" i="52"/>
  <c r="G32" i="52"/>
  <c r="G7" i="52"/>
  <c r="G15" i="51"/>
  <c r="G21" i="52"/>
  <c r="G9" i="52"/>
  <c r="G33" i="52"/>
  <c r="G12" i="52"/>
  <c r="G25" i="52"/>
  <c r="E61" i="52"/>
  <c r="G64" i="52"/>
  <c r="AL11" i="52"/>
  <c r="G52" i="52"/>
  <c r="AJ67" i="52"/>
  <c r="G40" i="52"/>
  <c r="G54" i="52"/>
  <c r="G53" i="52"/>
  <c r="G45" i="52"/>
  <c r="G28" i="52"/>
  <c r="AJ18" i="52"/>
  <c r="AJ48" i="52"/>
  <c r="AJ13" i="52"/>
  <c r="AJ61" i="52"/>
  <c r="G50" i="52"/>
  <c r="G27" i="52"/>
  <c r="G35" i="52"/>
  <c r="G41" i="52"/>
  <c r="AJ44" i="52"/>
  <c r="AJ19" i="52"/>
  <c r="G55" i="52"/>
  <c r="E10" i="52"/>
  <c r="G46" i="52"/>
  <c r="G30" i="52"/>
  <c r="G56" i="52"/>
  <c r="AJ7" i="52"/>
  <c r="G43" i="52"/>
  <c r="G15" i="52"/>
  <c r="G44" i="52"/>
  <c r="G17" i="52"/>
  <c r="AJ31" i="52"/>
  <c r="AJ60" i="52"/>
  <c r="AJ24" i="52"/>
  <c r="G38" i="52"/>
  <c r="G19" i="52"/>
  <c r="G34" i="52"/>
  <c r="G49" i="52"/>
  <c r="G47" i="52"/>
  <c r="G57" i="52"/>
  <c r="G22" i="52"/>
  <c r="G39" i="52"/>
  <c r="G36" i="52"/>
  <c r="AJ32" i="52"/>
  <c r="O5" i="54" l="1"/>
  <c r="S12" i="54"/>
  <c r="P12" i="54"/>
  <c r="P11" i="54"/>
  <c r="M9" i="52"/>
  <c r="P10" i="54"/>
  <c r="R5" i="54"/>
  <c r="S10" i="54"/>
  <c r="P14" i="54"/>
  <c r="S14" i="54"/>
  <c r="S11" i="54"/>
  <c r="P13" i="54"/>
  <c r="P8" i="54"/>
  <c r="S9" i="54"/>
  <c r="AA14" i="54"/>
  <c r="P13" i="55"/>
  <c r="P10" i="55"/>
  <c r="P14" i="55"/>
  <c r="P12" i="55"/>
  <c r="P11" i="55"/>
  <c r="V14" i="54"/>
  <c r="P8" i="55"/>
  <c r="V14" i="55"/>
  <c r="O5" i="55"/>
  <c r="S8" i="55"/>
  <c r="S11" i="55"/>
  <c r="S10" i="55"/>
  <c r="S9" i="55"/>
  <c r="S14" i="55"/>
  <c r="R5" i="55"/>
  <c r="S12" i="55"/>
  <c r="V12" i="54"/>
  <c r="U5" i="54"/>
  <c r="U5" i="55"/>
  <c r="V12" i="55"/>
  <c r="AA14" i="55"/>
  <c r="BG15" i="56"/>
  <c r="BF15" i="56"/>
  <c r="BI15" i="56"/>
  <c r="BH15" i="56"/>
  <c r="BD16" i="56"/>
  <c r="BC17" i="56"/>
  <c r="BG15" i="55"/>
  <c r="BF15" i="55"/>
  <c r="BH15" i="55"/>
  <c r="BI15" i="55"/>
  <c r="BD16" i="55"/>
  <c r="BC17" i="55"/>
  <c r="BF13" i="54"/>
  <c r="BH13" i="54"/>
  <c r="BI13" i="54"/>
  <c r="BG13" i="54"/>
  <c r="BC15" i="54"/>
  <c r="BD14" i="54"/>
  <c r="BA63" i="5"/>
  <c r="O11" i="10"/>
  <c r="O14" i="10" s="1"/>
  <c r="O13" i="10" s="1"/>
  <c r="E58" i="52"/>
  <c r="AY24" i="52"/>
  <c r="AL60" i="52"/>
  <c r="AK60" i="52"/>
  <c r="AM60" i="52" s="1"/>
  <c r="AL59" i="52"/>
  <c r="AK59" i="52"/>
  <c r="AM59" i="52" s="1"/>
  <c r="AK67" i="52"/>
  <c r="AM67" i="52" s="1"/>
  <c r="AL67" i="52"/>
  <c r="AH11" i="52"/>
  <c r="AG11" i="52"/>
  <c r="AK66" i="52"/>
  <c r="AM66" i="52" s="1"/>
  <c r="AL66" i="52"/>
  <c r="AL65" i="52"/>
  <c r="AK65" i="52"/>
  <c r="AM65" i="52" s="1"/>
  <c r="AM11" i="52"/>
  <c r="AY10" i="52"/>
  <c r="AY30" i="52"/>
  <c r="AY20" i="52"/>
  <c r="AY39" i="52"/>
  <c r="AY33" i="52"/>
  <c r="AY16" i="52"/>
  <c r="AY51" i="52"/>
  <c r="AY62" i="52"/>
  <c r="AY36" i="52"/>
  <c r="AY21" i="52"/>
  <c r="AY44" i="52"/>
  <c r="AY34" i="52"/>
  <c r="AY48" i="52"/>
  <c r="AY56" i="52"/>
  <c r="AY25" i="52"/>
  <c r="AY11" i="52"/>
  <c r="BC9" i="52"/>
  <c r="AY7" i="52"/>
  <c r="AY26" i="52"/>
  <c r="AY57" i="52"/>
  <c r="AY55" i="52"/>
  <c r="AY53" i="52"/>
  <c r="M11" i="52"/>
  <c r="AY27" i="52"/>
  <c r="AY17" i="52"/>
  <c r="AY12" i="52"/>
  <c r="Y14" i="52"/>
  <c r="AY58" i="52"/>
  <c r="AY50" i="52"/>
  <c r="AY49" i="52"/>
  <c r="AY18" i="52"/>
  <c r="AY35" i="52"/>
  <c r="AY37" i="52"/>
  <c r="AY23" i="52"/>
  <c r="AY63" i="52"/>
  <c r="AY13" i="52"/>
  <c r="AY9" i="52"/>
  <c r="M13" i="52"/>
  <c r="AY15" i="52"/>
  <c r="M12" i="52"/>
  <c r="AY8" i="52"/>
  <c r="AY61" i="52"/>
  <c r="AY54" i="52"/>
  <c r="AY40" i="52"/>
  <c r="AY32" i="52"/>
  <c r="AY45" i="52"/>
  <c r="AY29" i="52"/>
  <c r="AY41" i="52"/>
  <c r="AY46" i="52"/>
  <c r="AY60" i="52"/>
  <c r="M14" i="52"/>
  <c r="L5" i="52"/>
  <c r="AY59" i="52"/>
  <c r="AY52" i="52"/>
  <c r="AY31" i="52"/>
  <c r="AY19" i="52"/>
  <c r="AY14" i="52"/>
  <c r="M10" i="52"/>
  <c r="AY43" i="52"/>
  <c r="AY28" i="52"/>
  <c r="AY47" i="52"/>
  <c r="AY22" i="52"/>
  <c r="AY42" i="52"/>
  <c r="AY38" i="52"/>
  <c r="C78" i="52"/>
  <c r="L14" i="51"/>
  <c r="M11" i="51" s="1"/>
  <c r="BC9" i="51"/>
  <c r="M14" i="51"/>
  <c r="AW57" i="51"/>
  <c r="AX57" i="51" s="1"/>
  <c r="AW33" i="51"/>
  <c r="AX33" i="51" s="1"/>
  <c r="AW37" i="51"/>
  <c r="AX37" i="51" s="1"/>
  <c r="AW29" i="51"/>
  <c r="AX29" i="51" s="1"/>
  <c r="AW55" i="51"/>
  <c r="AX55" i="51" s="1"/>
  <c r="AW47" i="51"/>
  <c r="AX47" i="51" s="1"/>
  <c r="AW20" i="51"/>
  <c r="AX20" i="51" s="1"/>
  <c r="AW17" i="51"/>
  <c r="AX17" i="51" s="1"/>
  <c r="AW36" i="51"/>
  <c r="AX36" i="51" s="1"/>
  <c r="AW35" i="51"/>
  <c r="AX35" i="51" s="1"/>
  <c r="AW32" i="51"/>
  <c r="AX32" i="51" s="1"/>
  <c r="AW31" i="51"/>
  <c r="AX31" i="51" s="1"/>
  <c r="AW18" i="51"/>
  <c r="AX18" i="51" s="1"/>
  <c r="AW62" i="51"/>
  <c r="AX62" i="51" s="1"/>
  <c r="AW51" i="51"/>
  <c r="AX51" i="51" s="1"/>
  <c r="AW45" i="51"/>
  <c r="AX45" i="51" s="1"/>
  <c r="AW43" i="51"/>
  <c r="AX43" i="51" s="1"/>
  <c r="AW41" i="51"/>
  <c r="AX41" i="51" s="1"/>
  <c r="AW39" i="51"/>
  <c r="AX39" i="51" s="1"/>
  <c r="AW28" i="51"/>
  <c r="AX28" i="51" s="1"/>
  <c r="AW26" i="51"/>
  <c r="AX26" i="51" s="1"/>
  <c r="AW24" i="51"/>
  <c r="AX24" i="51" s="1"/>
  <c r="AW22" i="51"/>
  <c r="AX22" i="51" s="1"/>
  <c r="AW7" i="51"/>
  <c r="AX7" i="51" s="1"/>
  <c r="AW8" i="51"/>
  <c r="AX8" i="51" s="1"/>
  <c r="AW9" i="51"/>
  <c r="AX9" i="51" s="1"/>
  <c r="AW10" i="51"/>
  <c r="AX10" i="51" s="1"/>
  <c r="AW14" i="51"/>
  <c r="AX14" i="51" s="1"/>
  <c r="AW11" i="51"/>
  <c r="AX11" i="51" s="1"/>
  <c r="AW12" i="51"/>
  <c r="AX12" i="51" s="1"/>
  <c r="AW15" i="51"/>
  <c r="AX15" i="51" s="1"/>
  <c r="AW19" i="51"/>
  <c r="AX19" i="51" s="1"/>
  <c r="AW16" i="51"/>
  <c r="AX16" i="51" s="1"/>
  <c r="AX53" i="51"/>
  <c r="AW53" i="51"/>
  <c r="AW21" i="51"/>
  <c r="AX21" i="51" s="1"/>
  <c r="AW23" i="51"/>
  <c r="AX23" i="51" s="1"/>
  <c r="AW25" i="51"/>
  <c r="AX25" i="51" s="1"/>
  <c r="AW27" i="51"/>
  <c r="AX27" i="51" s="1"/>
  <c r="AW58" i="51"/>
  <c r="AX58" i="51" s="1"/>
  <c r="AW60" i="51"/>
  <c r="AX60" i="51" s="1"/>
  <c r="AW13" i="51"/>
  <c r="AX13" i="51" s="1"/>
  <c r="AW49" i="51"/>
  <c r="AX49" i="51" s="1"/>
  <c r="AW34" i="51"/>
  <c r="AX34" i="51" s="1"/>
  <c r="AW40" i="51"/>
  <c r="AX40" i="51" s="1"/>
  <c r="AW42" i="51"/>
  <c r="AX42" i="51" s="1"/>
  <c r="AW44" i="51"/>
  <c r="AX44" i="51" s="1"/>
  <c r="AW50" i="51"/>
  <c r="AX50" i="51" s="1"/>
  <c r="AW52" i="51"/>
  <c r="AX52" i="51" s="1"/>
  <c r="AW30" i="51"/>
  <c r="AX30" i="51" s="1"/>
  <c r="AW38" i="51"/>
  <c r="AX38" i="51" s="1"/>
  <c r="AW46" i="51"/>
  <c r="AX46" i="51" s="1"/>
  <c r="AW48" i="51"/>
  <c r="AX48" i="51" s="1"/>
  <c r="AW54" i="51"/>
  <c r="AX54" i="51" s="1"/>
  <c r="AW56" i="51"/>
  <c r="AX56" i="51" s="1"/>
  <c r="AW61" i="51"/>
  <c r="AX61" i="51" s="1"/>
  <c r="AW63" i="51"/>
  <c r="AX63" i="51" s="1"/>
  <c r="AW59" i="51"/>
  <c r="AX59" i="51" s="1"/>
  <c r="AL4" i="50"/>
  <c r="AK4" i="50"/>
  <c r="AJ4" i="50"/>
  <c r="AL58" i="52"/>
  <c r="AK58" i="52"/>
  <c r="M9" i="51" l="1"/>
  <c r="M10" i="51"/>
  <c r="M8" i="51"/>
  <c r="M12" i="51"/>
  <c r="M13" i="51"/>
  <c r="C78" i="51"/>
  <c r="L5" i="51"/>
  <c r="BD17" i="56"/>
  <c r="BC18" i="56"/>
  <c r="BH16" i="56"/>
  <c r="BI16" i="56"/>
  <c r="BG16" i="56"/>
  <c r="BF16" i="56"/>
  <c r="BC18" i="55"/>
  <c r="BD17" i="55"/>
  <c r="BI16" i="55"/>
  <c r="BH16" i="55"/>
  <c r="BG16" i="55"/>
  <c r="BF16" i="55"/>
  <c r="BD15" i="54"/>
  <c r="BC16" i="54"/>
  <c r="BI14" i="54"/>
  <c r="BF14" i="54"/>
  <c r="BH14" i="54"/>
  <c r="BG14" i="54"/>
  <c r="BD8" i="52"/>
  <c r="BI8" i="52" s="1"/>
  <c r="AM58" i="52"/>
  <c r="AG58" i="52"/>
  <c r="AH58" i="52"/>
  <c r="AG63" i="52"/>
  <c r="AH63" i="52"/>
  <c r="BD9" i="52"/>
  <c r="BC10" i="52"/>
  <c r="BD7" i="52"/>
  <c r="Y14" i="51"/>
  <c r="AY56" i="51"/>
  <c r="AY52" i="51"/>
  <c r="AY10" i="51"/>
  <c r="AY57" i="51"/>
  <c r="AY16" i="51"/>
  <c r="AY9" i="51"/>
  <c r="AY48" i="51"/>
  <c r="AY60" i="51"/>
  <c r="AY8" i="51"/>
  <c r="AY39" i="51"/>
  <c r="AY20" i="51"/>
  <c r="AY24" i="51"/>
  <c r="AY59" i="51"/>
  <c r="AY46" i="51"/>
  <c r="AY49" i="51"/>
  <c r="AY58" i="51"/>
  <c r="AY53" i="51"/>
  <c r="AY28" i="51"/>
  <c r="AY11" i="51"/>
  <c r="AY41" i="51"/>
  <c r="AY47" i="51"/>
  <c r="AY33" i="51"/>
  <c r="AY63" i="51"/>
  <c r="AY54" i="51"/>
  <c r="AY43" i="51"/>
  <c r="AY30" i="51"/>
  <c r="AY50" i="51"/>
  <c r="AY34" i="51"/>
  <c r="AY13" i="51"/>
  <c r="AY21" i="51"/>
  <c r="AY32" i="51"/>
  <c r="AY7" i="51"/>
  <c r="AY26" i="51"/>
  <c r="AY18" i="51"/>
  <c r="AY36" i="51"/>
  <c r="AY55" i="51"/>
  <c r="AY61" i="51"/>
  <c r="AY44" i="51"/>
  <c r="AY31" i="51"/>
  <c r="AY27" i="51"/>
  <c r="AY19" i="51"/>
  <c r="AY12" i="51"/>
  <c r="AY45" i="51"/>
  <c r="AY17" i="51"/>
  <c r="AY29" i="51"/>
  <c r="AY35" i="51"/>
  <c r="AY40" i="51"/>
  <c r="AY23" i="51"/>
  <c r="AY15" i="51"/>
  <c r="AY62" i="51"/>
  <c r="AY38" i="51"/>
  <c r="AY42" i="51"/>
  <c r="AY25" i="51"/>
  <c r="AY14" i="51"/>
  <c r="AY22" i="51"/>
  <c r="AY51" i="51"/>
  <c r="AY37" i="51"/>
  <c r="BC10" i="51"/>
  <c r="BC19" i="56" l="1"/>
  <c r="BD18" i="56"/>
  <c r="BI17" i="56"/>
  <c r="BG17" i="56"/>
  <c r="BF17" i="56"/>
  <c r="BH17" i="56"/>
  <c r="BF17" i="55"/>
  <c r="BG17" i="55"/>
  <c r="BH17" i="55"/>
  <c r="BI17" i="55"/>
  <c r="BC19" i="55"/>
  <c r="BD18" i="55"/>
  <c r="BD16" i="54"/>
  <c r="BC17" i="54"/>
  <c r="BH15" i="54"/>
  <c r="BF15" i="54"/>
  <c r="BI15" i="54"/>
  <c r="BG15" i="54"/>
  <c r="BG8" i="52"/>
  <c r="BF8" i="52"/>
  <c r="BH8" i="52"/>
  <c r="BI7" i="52"/>
  <c r="BF7" i="52"/>
  <c r="BG7" i="52"/>
  <c r="BH7" i="52"/>
  <c r="BD10" i="52"/>
  <c r="BC11" i="52"/>
  <c r="BI9" i="52"/>
  <c r="BH9" i="52"/>
  <c r="BG9" i="52"/>
  <c r="BF9" i="52"/>
  <c r="BD9" i="51"/>
  <c r="BG9" i="51" s="1"/>
  <c r="BD8" i="51"/>
  <c r="BD7" i="51"/>
  <c r="BC11" i="51"/>
  <c r="BD10" i="51"/>
  <c r="C68" i="50"/>
  <c r="AH67" i="50"/>
  <c r="AG67" i="50"/>
  <c r="AF67" i="50"/>
  <c r="AH66" i="50"/>
  <c r="AG66" i="50"/>
  <c r="AF66" i="50"/>
  <c r="AH65" i="50"/>
  <c r="AG65" i="50"/>
  <c r="AF65" i="50"/>
  <c r="AH64" i="50"/>
  <c r="AG64" i="50"/>
  <c r="AF64" i="50"/>
  <c r="AV63" i="50"/>
  <c r="AV62" i="50"/>
  <c r="AV61" i="50"/>
  <c r="AH61" i="50"/>
  <c r="AG61" i="50"/>
  <c r="AF61" i="50"/>
  <c r="AF62" i="50" s="1"/>
  <c r="AF63" i="50" s="1"/>
  <c r="G61" i="50"/>
  <c r="AV60" i="50"/>
  <c r="AH60" i="50"/>
  <c r="AG60" i="50"/>
  <c r="AF60" i="50"/>
  <c r="G60" i="50"/>
  <c r="AV59" i="50"/>
  <c r="AV58" i="50"/>
  <c r="AV57" i="50"/>
  <c r="AV56" i="50"/>
  <c r="AV55" i="50"/>
  <c r="AV54" i="50"/>
  <c r="AV53" i="50"/>
  <c r="AV52" i="50"/>
  <c r="AV51" i="50"/>
  <c r="AV50" i="50"/>
  <c r="AV49" i="50"/>
  <c r="AV48" i="50"/>
  <c r="AV47" i="50"/>
  <c r="AV46" i="50"/>
  <c r="AV45" i="50"/>
  <c r="AV44" i="50"/>
  <c r="AV43" i="50"/>
  <c r="AV42" i="50"/>
  <c r="AV41" i="50"/>
  <c r="AV40" i="50"/>
  <c r="AV39" i="50"/>
  <c r="AV38" i="50"/>
  <c r="AV37" i="50"/>
  <c r="AV36" i="50"/>
  <c r="AV35" i="50"/>
  <c r="AV34" i="50"/>
  <c r="AV33" i="50"/>
  <c r="AV32" i="50"/>
  <c r="AV31" i="50"/>
  <c r="AV30" i="50"/>
  <c r="AV29" i="50"/>
  <c r="AV28" i="50"/>
  <c r="AV27" i="50"/>
  <c r="AV26" i="50"/>
  <c r="AV25" i="50"/>
  <c r="AV24" i="50"/>
  <c r="AV23" i="50"/>
  <c r="AV22" i="50"/>
  <c r="AV21" i="50"/>
  <c r="AV20" i="50"/>
  <c r="AV19" i="50"/>
  <c r="AV18" i="50"/>
  <c r="AV17" i="50"/>
  <c r="AV16" i="50"/>
  <c r="L16" i="50" a="1"/>
  <c r="L16" i="50" s="1"/>
  <c r="AV15" i="50"/>
  <c r="AV14" i="50"/>
  <c r="AV13" i="50"/>
  <c r="L13" i="50"/>
  <c r="AV12" i="50"/>
  <c r="L12" i="50"/>
  <c r="AV11" i="50"/>
  <c r="L11" i="50"/>
  <c r="AV10" i="50"/>
  <c r="L10" i="50"/>
  <c r="AV9" i="50"/>
  <c r="L9" i="50"/>
  <c r="AV8" i="50"/>
  <c r="L8" i="50"/>
  <c r="BC7" i="50"/>
  <c r="BC8" i="50" s="1"/>
  <c r="AV7" i="50"/>
  <c r="AF7" i="50"/>
  <c r="AF8" i="50" s="1"/>
  <c r="AF9" i="50" s="1"/>
  <c r="AF10" i="50" s="1"/>
  <c r="AF11" i="50" s="1"/>
  <c r="AF12" i="50" s="1"/>
  <c r="AF13" i="50" s="1"/>
  <c r="AF14" i="50" s="1"/>
  <c r="AF15" i="50" s="1"/>
  <c r="AF16" i="50" s="1"/>
  <c r="AF17" i="50" s="1"/>
  <c r="AF18" i="50" s="1"/>
  <c r="AF19" i="50" s="1"/>
  <c r="AF20" i="50" s="1"/>
  <c r="AF21" i="50" s="1"/>
  <c r="AF22" i="50" s="1"/>
  <c r="AF23" i="50" s="1"/>
  <c r="AF24" i="50" s="1"/>
  <c r="AF25" i="50" s="1"/>
  <c r="AF26" i="50" s="1"/>
  <c r="AF27" i="50" s="1"/>
  <c r="AF28" i="50" s="1"/>
  <c r="AF29" i="50" s="1"/>
  <c r="AF30" i="50" s="1"/>
  <c r="AF31" i="50" s="1"/>
  <c r="AF32" i="50" s="1"/>
  <c r="AF33" i="50" s="1"/>
  <c r="AF34" i="50" s="1"/>
  <c r="AF35" i="50" s="1"/>
  <c r="AF36" i="50" s="1"/>
  <c r="AF37" i="50" s="1"/>
  <c r="AF38" i="50" s="1"/>
  <c r="AF39" i="50" s="1"/>
  <c r="AF40" i="50" s="1"/>
  <c r="AF41" i="50" s="1"/>
  <c r="AF42" i="50" s="1"/>
  <c r="AF43" i="50" s="1"/>
  <c r="AF44" i="50" s="1"/>
  <c r="AF45" i="50" s="1"/>
  <c r="AF46" i="50" s="1"/>
  <c r="AF47" i="50" s="1"/>
  <c r="AF48" i="50" s="1"/>
  <c r="AF49" i="50" s="1"/>
  <c r="AF50" i="50" s="1"/>
  <c r="AF51" i="50" s="1"/>
  <c r="AF52" i="50" s="1"/>
  <c r="AF53" i="50" s="1"/>
  <c r="AF54" i="50" s="1"/>
  <c r="AF55" i="50" s="1"/>
  <c r="AF56" i="50" s="1"/>
  <c r="AF57" i="50" s="1"/>
  <c r="AF58" i="50" s="1"/>
  <c r="AF59" i="50" s="1"/>
  <c r="AL2" i="50"/>
  <c r="G3" i="50"/>
  <c r="AJ2" i="50"/>
  <c r="E2" i="50"/>
  <c r="E3" i="50" s="1"/>
  <c r="A1" i="50"/>
  <c r="BF18" i="56" l="1"/>
  <c r="BI18" i="56"/>
  <c r="BH18" i="56"/>
  <c r="BG18" i="56"/>
  <c r="BC20" i="56"/>
  <c r="BD19" i="56"/>
  <c r="BG18" i="55"/>
  <c r="BI18" i="55"/>
  <c r="BH18" i="55"/>
  <c r="BF18" i="55"/>
  <c r="BD19" i="55"/>
  <c r="BC20" i="55"/>
  <c r="BC18" i="54"/>
  <c r="BD17" i="54"/>
  <c r="BI16" i="54"/>
  <c r="BG16" i="54"/>
  <c r="BH16" i="54"/>
  <c r="BF16" i="54"/>
  <c r="BH9" i="51"/>
  <c r="BF9" i="51"/>
  <c r="BI9" i="51"/>
  <c r="BD11" i="52"/>
  <c r="BC12" i="52"/>
  <c r="BI10" i="52"/>
  <c r="BG10" i="52"/>
  <c r="BF10" i="52"/>
  <c r="BH10" i="52"/>
  <c r="BD11" i="51"/>
  <c r="BC12" i="51"/>
  <c r="BG10" i="51"/>
  <c r="BF10" i="51"/>
  <c r="BI10" i="51"/>
  <c r="BH10" i="51"/>
  <c r="BG7" i="51"/>
  <c r="BF7" i="51"/>
  <c r="BI7" i="51"/>
  <c r="BH7" i="51"/>
  <c r="BG8" i="51"/>
  <c r="BF8" i="51"/>
  <c r="BH8" i="51"/>
  <c r="BI8" i="51"/>
  <c r="AW8" i="50"/>
  <c r="AW9" i="50"/>
  <c r="AX9" i="50" s="1"/>
  <c r="AW7" i="50"/>
  <c r="AX7" i="50" s="1"/>
  <c r="AW13" i="50"/>
  <c r="AX13" i="50" s="1"/>
  <c r="AW21" i="50"/>
  <c r="AX21" i="50" s="1"/>
  <c r="AW29" i="50"/>
  <c r="AX29" i="50" s="1"/>
  <c r="AW37" i="50"/>
  <c r="AX37" i="50" s="1"/>
  <c r="AW45" i="50"/>
  <c r="AX45" i="50" s="1"/>
  <c r="AW53" i="50"/>
  <c r="AW62" i="50"/>
  <c r="AX62" i="50" s="1"/>
  <c r="AW60" i="50"/>
  <c r="AX60" i="50" s="1"/>
  <c r="AX8" i="50"/>
  <c r="AW63" i="50"/>
  <c r="AX63" i="50" s="1"/>
  <c r="AW11" i="50"/>
  <c r="AX11" i="50" s="1"/>
  <c r="AW17" i="50"/>
  <c r="AX17" i="50" s="1"/>
  <c r="AW25" i="50"/>
  <c r="AW33" i="50"/>
  <c r="AX33" i="50" s="1"/>
  <c r="AW41" i="50"/>
  <c r="AX41" i="50" s="1"/>
  <c r="AW49" i="50"/>
  <c r="AX49" i="50" s="1"/>
  <c r="AW57" i="50"/>
  <c r="AX57" i="50" s="1"/>
  <c r="AW10" i="50"/>
  <c r="AX10" i="50" s="1"/>
  <c r="AW12" i="50"/>
  <c r="AX12" i="50" s="1"/>
  <c r="AW16" i="50"/>
  <c r="AX16" i="50" s="1"/>
  <c r="AW20" i="50"/>
  <c r="AX20" i="50" s="1"/>
  <c r="AW24" i="50"/>
  <c r="AX24" i="50" s="1"/>
  <c r="AW28" i="50"/>
  <c r="AX28" i="50" s="1"/>
  <c r="AW32" i="50"/>
  <c r="AX32" i="50" s="1"/>
  <c r="AW36" i="50"/>
  <c r="AX36" i="50" s="1"/>
  <c r="AW40" i="50"/>
  <c r="AX40" i="50" s="1"/>
  <c r="AW44" i="50"/>
  <c r="AX44" i="50" s="1"/>
  <c r="AW48" i="50"/>
  <c r="AX48" i="50" s="1"/>
  <c r="AW52" i="50"/>
  <c r="AX52" i="50" s="1"/>
  <c r="AW56" i="50"/>
  <c r="AX56" i="50" s="1"/>
  <c r="BC9" i="50"/>
  <c r="AK2" i="50"/>
  <c r="AW15" i="50"/>
  <c r="AX15" i="50" s="1"/>
  <c r="AW23" i="50"/>
  <c r="AX23" i="50" s="1"/>
  <c r="AW43" i="50"/>
  <c r="AX43" i="50" s="1"/>
  <c r="L14" i="50"/>
  <c r="AX25" i="50"/>
  <c r="AX53" i="50"/>
  <c r="AW27" i="50"/>
  <c r="AX27" i="50" s="1"/>
  <c r="AW31" i="50"/>
  <c r="AX31" i="50" s="1"/>
  <c r="AW51" i="50"/>
  <c r="AX51" i="50" s="1"/>
  <c r="AW59" i="50"/>
  <c r="AX59" i="50" s="1"/>
  <c r="AW61" i="50"/>
  <c r="AX61" i="50" s="1"/>
  <c r="AW14" i="50"/>
  <c r="AX14" i="50" s="1"/>
  <c r="AW18" i="50"/>
  <c r="AX18" i="50" s="1"/>
  <c r="AW22" i="50"/>
  <c r="AX22" i="50" s="1"/>
  <c r="AW26" i="50"/>
  <c r="AX26" i="50" s="1"/>
  <c r="AW30" i="50"/>
  <c r="AX30" i="50" s="1"/>
  <c r="AW34" i="50"/>
  <c r="AX34" i="50" s="1"/>
  <c r="AW38" i="50"/>
  <c r="AX38" i="50" s="1"/>
  <c r="AW42" i="50"/>
  <c r="AX42" i="50" s="1"/>
  <c r="AW46" i="50"/>
  <c r="AX46" i="50" s="1"/>
  <c r="AW50" i="50"/>
  <c r="AX50" i="50" s="1"/>
  <c r="AW54" i="50"/>
  <c r="AX54" i="50" s="1"/>
  <c r="AW58" i="50"/>
  <c r="AX58" i="50" s="1"/>
  <c r="AW19" i="50"/>
  <c r="AX19" i="50" s="1"/>
  <c r="AW35" i="50"/>
  <c r="AX35" i="50" s="1"/>
  <c r="AW39" i="50"/>
  <c r="AX39" i="50" s="1"/>
  <c r="AW47" i="50"/>
  <c r="AX47" i="50" s="1"/>
  <c r="AW55" i="50"/>
  <c r="AX55" i="50" s="1"/>
  <c r="C68" i="49"/>
  <c r="AH67" i="49"/>
  <c r="AG67" i="49"/>
  <c r="AF67" i="49"/>
  <c r="AH66" i="49"/>
  <c r="AG66" i="49"/>
  <c r="AF66" i="49"/>
  <c r="AH65" i="49"/>
  <c r="AG65" i="49"/>
  <c r="AF65" i="49"/>
  <c r="AH64" i="49"/>
  <c r="AG64" i="49"/>
  <c r="AF64" i="49"/>
  <c r="AV63" i="49"/>
  <c r="AV62" i="49"/>
  <c r="AV61" i="49"/>
  <c r="AH61" i="49"/>
  <c r="AG61" i="49"/>
  <c r="AF61" i="49"/>
  <c r="AF62" i="49" s="1"/>
  <c r="AF63" i="49" s="1"/>
  <c r="G61" i="49"/>
  <c r="AV60" i="49"/>
  <c r="AH60" i="49"/>
  <c r="AG60" i="49"/>
  <c r="AF60" i="49"/>
  <c r="G60" i="49"/>
  <c r="AV59" i="49"/>
  <c r="AV58" i="49"/>
  <c r="AV57" i="49"/>
  <c r="AV56" i="49"/>
  <c r="AV55" i="49"/>
  <c r="AV54" i="49"/>
  <c r="AV53" i="49"/>
  <c r="AV52" i="49"/>
  <c r="AV51" i="49"/>
  <c r="AV50" i="49"/>
  <c r="AV49" i="49"/>
  <c r="AV48" i="49"/>
  <c r="AV47" i="49"/>
  <c r="AV46" i="49"/>
  <c r="AV45" i="49"/>
  <c r="AV44" i="49"/>
  <c r="AV43" i="49"/>
  <c r="AV42" i="49"/>
  <c r="AV41" i="49"/>
  <c r="AV40" i="49"/>
  <c r="AV39" i="49"/>
  <c r="AV38" i="49"/>
  <c r="AV37" i="49"/>
  <c r="AV36" i="49"/>
  <c r="AV35" i="49"/>
  <c r="AV34" i="49"/>
  <c r="AV33" i="49"/>
  <c r="AV32" i="49"/>
  <c r="AV31" i="49"/>
  <c r="AV30" i="49"/>
  <c r="AV29" i="49"/>
  <c r="AV28" i="49"/>
  <c r="AV27" i="49"/>
  <c r="AV26" i="49"/>
  <c r="AV25" i="49"/>
  <c r="AV24" i="49"/>
  <c r="AV23" i="49"/>
  <c r="AV22" i="49"/>
  <c r="AV21" i="49"/>
  <c r="AV20" i="49"/>
  <c r="AV19" i="49"/>
  <c r="AV18" i="49"/>
  <c r="AV17" i="49"/>
  <c r="AV16" i="49"/>
  <c r="L16" i="49" a="1"/>
  <c r="L16" i="49" s="1"/>
  <c r="AV15" i="49"/>
  <c r="AV14" i="49"/>
  <c r="AV13" i="49"/>
  <c r="L13" i="49"/>
  <c r="AV12" i="49"/>
  <c r="L12" i="49"/>
  <c r="AV11" i="49"/>
  <c r="L11" i="49"/>
  <c r="AV10" i="49"/>
  <c r="L10" i="49"/>
  <c r="AV9" i="49"/>
  <c r="L9" i="49"/>
  <c r="AV8" i="49"/>
  <c r="L8" i="49"/>
  <c r="BC7" i="49"/>
  <c r="BC8" i="49" s="1"/>
  <c r="BC9" i="49" s="1"/>
  <c r="BC10" i="49" s="1"/>
  <c r="BC11" i="49" s="1"/>
  <c r="BC12" i="49" s="1"/>
  <c r="AV7" i="49"/>
  <c r="AW7" i="49" s="1"/>
  <c r="AF7" i="49"/>
  <c r="AF8" i="49" s="1"/>
  <c r="AF9" i="49" s="1"/>
  <c r="AF10" i="49" s="1"/>
  <c r="AF11" i="49" s="1"/>
  <c r="AF12" i="49" s="1"/>
  <c r="AF13" i="49" s="1"/>
  <c r="AF14" i="49" s="1"/>
  <c r="AF15" i="49" s="1"/>
  <c r="AF16" i="49" s="1"/>
  <c r="AF17" i="49" s="1"/>
  <c r="AF18" i="49" s="1"/>
  <c r="AF19" i="49" s="1"/>
  <c r="AF20" i="49" s="1"/>
  <c r="AF21" i="49" s="1"/>
  <c r="AF22" i="49" s="1"/>
  <c r="AF23" i="49" s="1"/>
  <c r="AF24" i="49" s="1"/>
  <c r="AF25" i="49" s="1"/>
  <c r="AF26" i="49" s="1"/>
  <c r="AF27" i="49" s="1"/>
  <c r="AF28" i="49" s="1"/>
  <c r="AF29" i="49" s="1"/>
  <c r="AF30" i="49" s="1"/>
  <c r="AF31" i="49" s="1"/>
  <c r="AF32" i="49" s="1"/>
  <c r="AF33" i="49" s="1"/>
  <c r="AF34" i="49" s="1"/>
  <c r="AF35" i="49" s="1"/>
  <c r="AF36" i="49" s="1"/>
  <c r="AF37" i="49" s="1"/>
  <c r="AF38" i="49" s="1"/>
  <c r="AF39" i="49" s="1"/>
  <c r="AF40" i="49" s="1"/>
  <c r="AF41" i="49" s="1"/>
  <c r="AF42" i="49" s="1"/>
  <c r="AF43" i="49" s="1"/>
  <c r="AF44" i="49" s="1"/>
  <c r="AF45" i="49" s="1"/>
  <c r="AF46" i="49" s="1"/>
  <c r="AF47" i="49" s="1"/>
  <c r="AF48" i="49" s="1"/>
  <c r="AF49" i="49" s="1"/>
  <c r="AF50" i="49" s="1"/>
  <c r="AF51" i="49" s="1"/>
  <c r="AF52" i="49" s="1"/>
  <c r="AF53" i="49" s="1"/>
  <c r="AF54" i="49" s="1"/>
  <c r="AF55" i="49" s="1"/>
  <c r="AF56" i="49" s="1"/>
  <c r="AF57" i="49" s="1"/>
  <c r="AF58" i="49" s="1"/>
  <c r="AF59" i="49" s="1"/>
  <c r="AK4" i="49"/>
  <c r="AL4" i="49" s="1"/>
  <c r="AL2" i="49" s="1"/>
  <c r="G3" i="49"/>
  <c r="AJ2" i="49"/>
  <c r="E2" i="49"/>
  <c r="E3" i="49" s="1"/>
  <c r="A1" i="49"/>
  <c r="G59" i="50"/>
  <c r="BG19" i="56" l="1"/>
  <c r="BF19" i="56"/>
  <c r="BI19" i="56"/>
  <c r="BH19" i="56"/>
  <c r="BC21" i="56"/>
  <c r="BD20" i="56"/>
  <c r="BD20" i="55"/>
  <c r="BC21" i="55"/>
  <c r="BH19" i="55"/>
  <c r="BI19" i="55"/>
  <c r="BG19" i="55"/>
  <c r="BF19" i="55"/>
  <c r="BF17" i="54"/>
  <c r="BH17" i="54"/>
  <c r="BG17" i="54"/>
  <c r="BI17" i="54"/>
  <c r="BC19" i="54"/>
  <c r="BD18" i="54"/>
  <c r="BD12" i="52"/>
  <c r="BC13" i="52"/>
  <c r="BI11" i="52"/>
  <c r="BF11" i="52"/>
  <c r="BH11" i="52"/>
  <c r="BG11" i="52"/>
  <c r="BD12" i="51"/>
  <c r="BC13" i="51"/>
  <c r="BI11" i="51"/>
  <c r="BG11" i="51"/>
  <c r="BF11" i="51"/>
  <c r="BH11" i="51"/>
  <c r="AY54" i="50"/>
  <c r="AY22" i="50"/>
  <c r="AY58" i="50"/>
  <c r="AY42" i="50"/>
  <c r="AY26" i="50"/>
  <c r="AY8" i="50"/>
  <c r="AY50" i="50"/>
  <c r="AY34" i="50"/>
  <c r="AY18" i="50"/>
  <c r="AY38" i="50"/>
  <c r="AY61" i="50"/>
  <c r="AY46" i="50"/>
  <c r="AY30" i="50"/>
  <c r="AY14" i="50"/>
  <c r="AY16" i="50"/>
  <c r="AY32" i="50"/>
  <c r="AY62" i="50"/>
  <c r="AY48" i="50"/>
  <c r="AY9" i="50"/>
  <c r="AY39" i="50"/>
  <c r="AY27" i="50"/>
  <c r="AY49" i="50"/>
  <c r="AY33" i="50"/>
  <c r="L5" i="50"/>
  <c r="M9" i="50"/>
  <c r="M14" i="50"/>
  <c r="M13" i="50"/>
  <c r="M12" i="50"/>
  <c r="M11" i="50"/>
  <c r="M10" i="50"/>
  <c r="M8" i="50"/>
  <c r="AY59" i="50"/>
  <c r="AY47" i="50"/>
  <c r="AY31" i="50"/>
  <c r="AY45" i="50"/>
  <c r="AY29" i="50"/>
  <c r="Y14" i="50"/>
  <c r="AY15" i="50"/>
  <c r="AY52" i="50"/>
  <c r="AY36" i="50"/>
  <c r="AY20" i="50"/>
  <c r="AY10" i="50"/>
  <c r="BC10" i="50"/>
  <c r="AY35" i="50"/>
  <c r="AY7" i="50"/>
  <c r="AY53" i="50"/>
  <c r="AY37" i="50"/>
  <c r="AY21" i="50"/>
  <c r="AY43" i="50"/>
  <c r="AY60" i="50"/>
  <c r="AY44" i="50"/>
  <c r="AY28" i="50"/>
  <c r="AY13" i="50"/>
  <c r="C78" i="50"/>
  <c r="AY17" i="50"/>
  <c r="AY55" i="50"/>
  <c r="AY19" i="50"/>
  <c r="AY51" i="50"/>
  <c r="AY63" i="50"/>
  <c r="AY57" i="50"/>
  <c r="AY41" i="50"/>
  <c r="AY25" i="50"/>
  <c r="AY23" i="50"/>
  <c r="AY56" i="50"/>
  <c r="AY40" i="50"/>
  <c r="AY24" i="50"/>
  <c r="AY11" i="50"/>
  <c r="AY12" i="50"/>
  <c r="L14" i="49"/>
  <c r="M10" i="49" s="1"/>
  <c r="AW8" i="49"/>
  <c r="AX8" i="49" s="1"/>
  <c r="AW11" i="49"/>
  <c r="AX11" i="49" s="1"/>
  <c r="AW16" i="49"/>
  <c r="AX16" i="49" s="1"/>
  <c r="AW24" i="49"/>
  <c r="AX24" i="49" s="1"/>
  <c r="AW12" i="49"/>
  <c r="AX12" i="49" s="1"/>
  <c r="AW9" i="49"/>
  <c r="AX9" i="49" s="1"/>
  <c r="AW14" i="49"/>
  <c r="AX14" i="49" s="1"/>
  <c r="AW61" i="49"/>
  <c r="AX61" i="49" s="1"/>
  <c r="AW32" i="49"/>
  <c r="AW10" i="49"/>
  <c r="AX10" i="49" s="1"/>
  <c r="AW28" i="49"/>
  <c r="AX28" i="49" s="1"/>
  <c r="AW53" i="49"/>
  <c r="AX53" i="49" s="1"/>
  <c r="AW33" i="49"/>
  <c r="AX33" i="49" s="1"/>
  <c r="AW20" i="49"/>
  <c r="AX20" i="49" s="1"/>
  <c r="AW36" i="49"/>
  <c r="AX36" i="49" s="1"/>
  <c r="AW59" i="49"/>
  <c r="AX59" i="49" s="1"/>
  <c r="L5" i="49"/>
  <c r="AK2" i="49"/>
  <c r="BC13" i="49"/>
  <c r="AX7" i="49"/>
  <c r="AW13" i="49"/>
  <c r="AX13" i="49" s="1"/>
  <c r="AW15" i="49"/>
  <c r="AX15" i="49" s="1"/>
  <c r="AW17" i="49"/>
  <c r="AX17" i="49" s="1"/>
  <c r="AW19" i="49"/>
  <c r="AX19" i="49" s="1"/>
  <c r="AW21" i="49"/>
  <c r="AX21" i="49" s="1"/>
  <c r="AW23" i="49"/>
  <c r="AX23" i="49" s="1"/>
  <c r="AW25" i="49"/>
  <c r="AX25" i="49" s="1"/>
  <c r="AW27" i="49"/>
  <c r="AX27" i="49" s="1"/>
  <c r="AW29" i="49"/>
  <c r="AX29" i="49" s="1"/>
  <c r="AW31" i="49"/>
  <c r="AX31" i="49" s="1"/>
  <c r="AW35" i="49"/>
  <c r="AX35" i="49" s="1"/>
  <c r="AW51" i="49"/>
  <c r="AX51" i="49" s="1"/>
  <c r="AW63" i="49"/>
  <c r="AX63" i="49" s="1"/>
  <c r="AW60" i="49"/>
  <c r="AX60" i="49" s="1"/>
  <c r="AW56" i="49"/>
  <c r="AX56" i="49" s="1"/>
  <c r="AW52" i="49"/>
  <c r="AX52" i="49" s="1"/>
  <c r="AW48" i="49"/>
  <c r="AX48" i="49" s="1"/>
  <c r="AW62" i="49"/>
  <c r="AX62" i="49" s="1"/>
  <c r="AW55" i="49"/>
  <c r="AX55" i="49" s="1"/>
  <c r="AW47" i="49"/>
  <c r="AX47" i="49" s="1"/>
  <c r="AW43" i="49"/>
  <c r="AX43" i="49" s="1"/>
  <c r="AW38" i="49"/>
  <c r="AX38" i="49" s="1"/>
  <c r="AW34" i="49"/>
  <c r="AX34" i="49" s="1"/>
  <c r="AW30" i="49"/>
  <c r="AX30" i="49" s="1"/>
  <c r="AW26" i="49"/>
  <c r="AX26" i="49" s="1"/>
  <c r="AW22" i="49"/>
  <c r="AX22" i="49" s="1"/>
  <c r="AW18" i="49"/>
  <c r="AX18" i="49" s="1"/>
  <c r="AW44" i="49"/>
  <c r="AX44" i="49" s="1"/>
  <c r="C78" i="49"/>
  <c r="AX32" i="49"/>
  <c r="AW37" i="49"/>
  <c r="AX37" i="49" s="1"/>
  <c r="AW39" i="49"/>
  <c r="AX39" i="49" s="1"/>
  <c r="AW40" i="49"/>
  <c r="AX40" i="49" s="1"/>
  <c r="AW42" i="49"/>
  <c r="AX42" i="49" s="1"/>
  <c r="AW41" i="49"/>
  <c r="AX41" i="49" s="1"/>
  <c r="AW45" i="49"/>
  <c r="AX45" i="49" s="1"/>
  <c r="AW49" i="49"/>
  <c r="AX49" i="49" s="1"/>
  <c r="AW57" i="49"/>
  <c r="AX57" i="49" s="1"/>
  <c r="AW46" i="49"/>
  <c r="AX46" i="49" s="1"/>
  <c r="AW50" i="49"/>
  <c r="AX50" i="49" s="1"/>
  <c r="AW54" i="49"/>
  <c r="AX54" i="49" s="1"/>
  <c r="AW58" i="49"/>
  <c r="AX58" i="49" s="1"/>
  <c r="BC7" i="7"/>
  <c r="BA7" i="7"/>
  <c r="AZ32" i="7"/>
  <c r="BC31" i="7"/>
  <c r="BA31" i="7"/>
  <c r="AY21" i="7"/>
  <c r="AZ22" i="7"/>
  <c r="BC21" i="7"/>
  <c r="BA21" i="7"/>
  <c r="BC11" i="7"/>
  <c r="BA11" i="7"/>
  <c r="AZ12" i="7"/>
  <c r="B63" i="48"/>
  <c r="B64" i="48" s="1"/>
  <c r="B65" i="48" s="1"/>
  <c r="B66" i="48" s="1"/>
  <c r="B67" i="48" s="1"/>
  <c r="B68" i="48" s="1"/>
  <c r="B7" i="48"/>
  <c r="B8" i="48" s="1"/>
  <c r="B9" i="48" s="1"/>
  <c r="B10" i="48" s="1"/>
  <c r="B11" i="48" s="1"/>
  <c r="B12" i="48" s="1"/>
  <c r="B13" i="48" s="1"/>
  <c r="B14" i="48" s="1"/>
  <c r="B15" i="48" s="1"/>
  <c r="B16" i="48" s="1"/>
  <c r="B17" i="48" s="1"/>
  <c r="B18" i="48" s="1"/>
  <c r="B19" i="48" s="1"/>
  <c r="B20" i="48" s="1"/>
  <c r="B21" i="48" s="1"/>
  <c r="B22" i="48" s="1"/>
  <c r="B23" i="48" s="1"/>
  <c r="B24" i="48" s="1"/>
  <c r="B25" i="48" s="1"/>
  <c r="B26" i="48" s="1"/>
  <c r="B27" i="48" s="1"/>
  <c r="B28" i="48" s="1"/>
  <c r="B29" i="48" s="1"/>
  <c r="B30" i="48" s="1"/>
  <c r="B31" i="48" s="1"/>
  <c r="B32" i="48" s="1"/>
  <c r="B33" i="48" s="1"/>
  <c r="B34" i="48" s="1"/>
  <c r="B35" i="48" s="1"/>
  <c r="B36" i="48" s="1"/>
  <c r="B37" i="48" s="1"/>
  <c r="B38" i="48" s="1"/>
  <c r="B39" i="48" s="1"/>
  <c r="B40" i="48" s="1"/>
  <c r="B41" i="48" s="1"/>
  <c r="B42" i="48" s="1"/>
  <c r="B43" i="48" s="1"/>
  <c r="B44" i="48" s="1"/>
  <c r="B45" i="48" s="1"/>
  <c r="B46" i="48" s="1"/>
  <c r="B47" i="48" s="1"/>
  <c r="B48" i="48" s="1"/>
  <c r="B49" i="48" s="1"/>
  <c r="B50" i="48" s="1"/>
  <c r="B51" i="48" s="1"/>
  <c r="B52" i="48" s="1"/>
  <c r="B53" i="48" s="1"/>
  <c r="B54" i="48" s="1"/>
  <c r="B55" i="48" s="1"/>
  <c r="B56" i="48" s="1"/>
  <c r="B57" i="48" s="1"/>
  <c r="B58" i="48" s="1"/>
  <c r="B59" i="48" s="1"/>
  <c r="B60" i="48" s="1"/>
  <c r="B61" i="48" s="1"/>
  <c r="G62" i="47"/>
  <c r="AV63" i="43"/>
  <c r="AV62" i="43"/>
  <c r="AV61" i="43"/>
  <c r="AV60" i="43"/>
  <c r="AV59" i="43"/>
  <c r="AV58" i="43"/>
  <c r="AV57" i="43"/>
  <c r="AV56" i="43"/>
  <c r="AV55" i="43"/>
  <c r="AV54" i="43"/>
  <c r="AV53" i="43"/>
  <c r="AV52" i="43"/>
  <c r="AV51" i="43"/>
  <c r="AV50" i="43"/>
  <c r="AV49" i="43"/>
  <c r="AV48" i="43"/>
  <c r="AV47" i="43"/>
  <c r="AV46" i="43"/>
  <c r="AV45" i="43"/>
  <c r="AV44" i="43"/>
  <c r="AV43" i="43"/>
  <c r="AV42" i="43"/>
  <c r="AV41" i="43"/>
  <c r="AV40" i="43"/>
  <c r="AV39" i="43"/>
  <c r="AV38" i="43"/>
  <c r="AV37" i="43"/>
  <c r="AV36" i="43"/>
  <c r="AV35" i="43"/>
  <c r="AV34" i="43"/>
  <c r="AV33" i="43"/>
  <c r="AV32" i="43"/>
  <c r="AV31" i="43"/>
  <c r="AV30" i="43"/>
  <c r="AV29" i="43"/>
  <c r="AV28" i="43"/>
  <c r="AV27" i="43"/>
  <c r="AV26" i="43"/>
  <c r="AV25" i="43"/>
  <c r="AV24" i="43"/>
  <c r="AV23" i="43"/>
  <c r="AV22" i="43"/>
  <c r="AV21" i="43"/>
  <c r="AV20" i="43"/>
  <c r="AV19" i="43"/>
  <c r="AV18" i="43"/>
  <c r="AV17" i="43"/>
  <c r="AV16" i="43"/>
  <c r="AV15" i="43"/>
  <c r="AV14" i="43"/>
  <c r="AV13" i="43"/>
  <c r="AV12" i="43"/>
  <c r="AV11" i="43"/>
  <c r="AV10" i="43"/>
  <c r="AV9" i="43"/>
  <c r="AV8" i="43"/>
  <c r="BC7" i="43"/>
  <c r="BC8" i="43" s="1"/>
  <c r="AV7" i="43"/>
  <c r="AV63" i="40"/>
  <c r="AV62" i="40"/>
  <c r="AV61" i="40"/>
  <c r="AV60" i="40"/>
  <c r="AV59" i="40"/>
  <c r="AV58" i="40"/>
  <c r="AV57" i="40"/>
  <c r="AV56" i="40"/>
  <c r="AV55" i="40"/>
  <c r="AV54" i="40"/>
  <c r="AV53" i="40"/>
  <c r="AV52" i="40"/>
  <c r="AV51" i="40"/>
  <c r="AV50" i="40"/>
  <c r="AV49" i="40"/>
  <c r="AV48" i="40"/>
  <c r="AV47" i="40"/>
  <c r="AV46" i="40"/>
  <c r="AV45" i="40"/>
  <c r="AV44" i="40"/>
  <c r="AV43" i="40"/>
  <c r="AV42" i="40"/>
  <c r="AV41" i="40"/>
  <c r="AV40" i="40"/>
  <c r="AV39" i="40"/>
  <c r="AV38" i="40"/>
  <c r="AV37" i="40"/>
  <c r="AV36" i="40"/>
  <c r="AV35" i="40"/>
  <c r="AV34" i="40"/>
  <c r="AV33" i="40"/>
  <c r="AV32" i="40"/>
  <c r="AV31" i="40"/>
  <c r="AV30" i="40"/>
  <c r="AV29" i="40"/>
  <c r="AV28" i="40"/>
  <c r="AV27" i="40"/>
  <c r="AV26" i="40"/>
  <c r="AV25" i="40"/>
  <c r="AV24" i="40"/>
  <c r="AV23" i="40"/>
  <c r="AV22" i="40"/>
  <c r="AV21" i="40"/>
  <c r="AV20" i="40"/>
  <c r="AV19" i="40"/>
  <c r="AV18" i="40"/>
  <c r="AV17" i="40"/>
  <c r="AV16" i="40"/>
  <c r="AV15" i="40"/>
  <c r="AV14" i="40"/>
  <c r="AV13" i="40"/>
  <c r="AV12" i="40"/>
  <c r="AV11" i="40"/>
  <c r="AV10" i="40"/>
  <c r="AV9" i="40"/>
  <c r="AV8" i="40"/>
  <c r="BC7" i="40"/>
  <c r="BC8" i="40" s="1"/>
  <c r="AV7" i="40"/>
  <c r="AV63" i="34"/>
  <c r="AV62" i="34"/>
  <c r="AV61" i="34"/>
  <c r="AV60" i="34"/>
  <c r="AV59" i="34"/>
  <c r="AV58" i="34"/>
  <c r="AV57" i="34"/>
  <c r="AV56" i="34"/>
  <c r="AV55" i="34"/>
  <c r="AV54" i="34"/>
  <c r="AV53" i="34"/>
  <c r="AV52" i="34"/>
  <c r="AV51" i="34"/>
  <c r="AV50" i="34"/>
  <c r="AV49" i="34"/>
  <c r="AV48" i="34"/>
  <c r="AV47" i="34"/>
  <c r="AV46" i="34"/>
  <c r="AV45" i="34"/>
  <c r="AV44" i="34"/>
  <c r="AV43" i="34"/>
  <c r="AV42" i="34"/>
  <c r="AV41" i="34"/>
  <c r="AV40" i="34"/>
  <c r="AV39" i="34"/>
  <c r="AV38" i="34"/>
  <c r="AV37" i="34"/>
  <c r="AV36" i="34"/>
  <c r="AV35" i="34"/>
  <c r="AV34" i="34"/>
  <c r="AV33" i="34"/>
  <c r="AV32" i="34"/>
  <c r="AV31" i="34"/>
  <c r="AV30" i="34"/>
  <c r="AV29" i="34"/>
  <c r="AV28" i="34"/>
  <c r="AV27" i="34"/>
  <c r="AV26" i="34"/>
  <c r="AV25" i="34"/>
  <c r="AV24" i="34"/>
  <c r="AV23" i="34"/>
  <c r="AV22" i="34"/>
  <c r="AV21" i="34"/>
  <c r="AV20" i="34"/>
  <c r="AV19" i="34"/>
  <c r="AV18" i="34"/>
  <c r="AV17" i="34"/>
  <c r="AV16" i="34"/>
  <c r="AW16" i="34" s="1"/>
  <c r="AX16" i="34" s="1"/>
  <c r="AV15" i="34"/>
  <c r="AV14" i="34"/>
  <c r="AV13" i="34"/>
  <c r="AV12" i="34"/>
  <c r="AW12" i="34" s="1"/>
  <c r="AX12" i="34" s="1"/>
  <c r="AV11" i="34"/>
  <c r="AV10" i="34"/>
  <c r="AW10" i="34" s="1"/>
  <c r="AX10" i="34" s="1"/>
  <c r="AV9" i="34"/>
  <c r="AW9" i="34" s="1"/>
  <c r="AW8" i="34"/>
  <c r="AX8" i="34" s="1"/>
  <c r="AV8" i="34"/>
  <c r="BC7" i="34"/>
  <c r="AV7" i="34"/>
  <c r="AV63" i="45"/>
  <c r="AV62" i="45"/>
  <c r="AV61" i="45"/>
  <c r="AV60" i="45"/>
  <c r="AV59" i="45"/>
  <c r="AV58" i="45"/>
  <c r="AV57" i="45"/>
  <c r="AV56" i="45"/>
  <c r="AV55" i="45"/>
  <c r="AV54" i="45"/>
  <c r="AV53" i="45"/>
  <c r="AV52" i="45"/>
  <c r="AV51" i="45"/>
  <c r="AV50" i="45"/>
  <c r="AV49" i="45"/>
  <c r="AV48" i="45"/>
  <c r="AV47" i="45"/>
  <c r="AV46" i="45"/>
  <c r="AV45" i="45"/>
  <c r="AV44" i="45"/>
  <c r="AV43" i="45"/>
  <c r="AV42" i="45"/>
  <c r="AV41" i="45"/>
  <c r="AV40" i="45"/>
  <c r="AV39" i="45"/>
  <c r="AV38" i="45"/>
  <c r="AV37" i="45"/>
  <c r="AV36" i="45"/>
  <c r="AV35" i="45"/>
  <c r="AV34" i="45"/>
  <c r="AV33" i="45"/>
  <c r="AV32" i="45"/>
  <c r="AV31" i="45"/>
  <c r="AV30" i="45"/>
  <c r="AV29" i="45"/>
  <c r="AV28" i="45"/>
  <c r="AV27" i="45"/>
  <c r="AV26" i="45"/>
  <c r="AV25" i="45"/>
  <c r="AV24" i="45"/>
  <c r="AV23" i="45"/>
  <c r="AV22" i="45"/>
  <c r="AV21" i="45"/>
  <c r="AV20" i="45"/>
  <c r="AV19" i="45"/>
  <c r="AV18" i="45"/>
  <c r="AV17" i="45"/>
  <c r="AV16" i="45"/>
  <c r="AV15" i="45"/>
  <c r="AV14" i="45"/>
  <c r="AV13" i="45"/>
  <c r="AV12" i="45"/>
  <c r="AV11" i="45"/>
  <c r="AV10" i="45"/>
  <c r="AV9" i="45"/>
  <c r="AV8" i="45"/>
  <c r="BC7" i="45"/>
  <c r="BC8" i="45" s="1"/>
  <c r="AV7" i="45"/>
  <c r="AV63" i="46"/>
  <c r="AV62" i="46"/>
  <c r="AV61" i="46"/>
  <c r="AV60" i="46"/>
  <c r="AV59" i="46"/>
  <c r="AV58" i="46"/>
  <c r="AV57" i="46"/>
  <c r="AV56" i="46"/>
  <c r="AV55" i="46"/>
  <c r="AV54" i="46"/>
  <c r="AV53" i="46"/>
  <c r="AV52" i="46"/>
  <c r="AV51" i="46"/>
  <c r="AV50" i="46"/>
  <c r="AV49" i="46"/>
  <c r="AV48" i="46"/>
  <c r="AV47" i="46"/>
  <c r="AV46" i="46"/>
  <c r="AV45" i="46"/>
  <c r="AV44" i="46"/>
  <c r="AV43" i="46"/>
  <c r="AV42" i="46"/>
  <c r="AV41" i="46"/>
  <c r="AV40" i="46"/>
  <c r="AV39" i="46"/>
  <c r="AV38" i="46"/>
  <c r="AV37" i="46"/>
  <c r="AV36" i="46"/>
  <c r="AV35" i="46"/>
  <c r="AV34" i="46"/>
  <c r="AV33" i="46"/>
  <c r="AV32" i="46"/>
  <c r="AV31" i="46"/>
  <c r="AV30" i="46"/>
  <c r="AV29" i="46"/>
  <c r="AV28" i="46"/>
  <c r="AV27" i="46"/>
  <c r="AV26" i="46"/>
  <c r="AV25" i="46"/>
  <c r="AV24" i="46"/>
  <c r="AV23" i="46"/>
  <c r="AV22" i="46"/>
  <c r="AV21" i="46"/>
  <c r="AV20" i="46"/>
  <c r="AV19" i="46"/>
  <c r="AV18" i="46"/>
  <c r="AV17" i="46"/>
  <c r="AV16" i="46"/>
  <c r="AV15" i="46"/>
  <c r="AV14" i="46"/>
  <c r="AV13" i="46"/>
  <c r="AV12" i="46"/>
  <c r="AV11" i="46"/>
  <c r="AV10" i="46"/>
  <c r="AV9" i="46"/>
  <c r="AV8" i="46"/>
  <c r="BC7" i="46"/>
  <c r="BC8" i="46" s="1"/>
  <c r="AX7" i="46"/>
  <c r="AW7" i="46"/>
  <c r="AV7" i="46"/>
  <c r="AV63" i="47"/>
  <c r="AV62" i="47"/>
  <c r="AV61" i="47"/>
  <c r="AV60" i="47"/>
  <c r="AV59" i="47"/>
  <c r="AV58" i="47"/>
  <c r="AV57" i="47"/>
  <c r="AV56" i="47"/>
  <c r="AV55" i="47"/>
  <c r="AV54" i="47"/>
  <c r="AV53" i="47"/>
  <c r="AV52" i="47"/>
  <c r="AV51" i="47"/>
  <c r="AV50" i="47"/>
  <c r="AV49" i="47"/>
  <c r="AV48" i="47"/>
  <c r="AV47" i="47"/>
  <c r="AV46" i="47"/>
  <c r="AV45" i="47"/>
  <c r="AV44" i="47"/>
  <c r="AV43" i="47"/>
  <c r="AV42" i="47"/>
  <c r="AV41" i="47"/>
  <c r="AV40" i="47"/>
  <c r="AV39" i="47"/>
  <c r="AV38" i="47"/>
  <c r="AV37" i="47"/>
  <c r="AV36" i="47"/>
  <c r="AV35" i="47"/>
  <c r="AV34" i="47"/>
  <c r="AV33" i="47"/>
  <c r="AV32" i="47"/>
  <c r="AV31" i="47"/>
  <c r="AV30" i="47"/>
  <c r="AV29" i="47"/>
  <c r="AV28" i="47"/>
  <c r="AV27" i="47"/>
  <c r="AV26" i="47"/>
  <c r="AV25" i="47"/>
  <c r="AV24" i="47"/>
  <c r="AV23" i="47"/>
  <c r="AV22" i="47"/>
  <c r="AV21" i="47"/>
  <c r="AV20" i="47"/>
  <c r="AV19" i="47"/>
  <c r="AV18" i="47"/>
  <c r="AV17" i="47"/>
  <c r="AV16" i="47"/>
  <c r="AV15" i="47"/>
  <c r="AV14" i="47"/>
  <c r="AV13" i="47"/>
  <c r="AV12" i="47"/>
  <c r="AV11" i="47"/>
  <c r="AV10" i="47"/>
  <c r="AV9" i="47"/>
  <c r="AV8" i="47"/>
  <c r="AV7" i="47"/>
  <c r="C68" i="47"/>
  <c r="AH67" i="47"/>
  <c r="AG67" i="47"/>
  <c r="AF67" i="47"/>
  <c r="AH66" i="47"/>
  <c r="AG66" i="47"/>
  <c r="AF66" i="47"/>
  <c r="L16" i="47" a="1"/>
  <c r="L16" i="47" s="1"/>
  <c r="L13" i="47"/>
  <c r="L12" i="47"/>
  <c r="L11" i="47"/>
  <c r="L10" i="47"/>
  <c r="L9" i="47"/>
  <c r="L8" i="47"/>
  <c r="BC7" i="47"/>
  <c r="AF7" i="47"/>
  <c r="AF8" i="47" s="1"/>
  <c r="AF9" i="47" s="1"/>
  <c r="AF10" i="47" s="1"/>
  <c r="AF11" i="47" s="1"/>
  <c r="AF12" i="47" s="1"/>
  <c r="AF13" i="47" s="1"/>
  <c r="AF14" i="47" s="1"/>
  <c r="AF15" i="47" s="1"/>
  <c r="AF16" i="47" s="1"/>
  <c r="AF17" i="47" s="1"/>
  <c r="AF18" i="47" s="1"/>
  <c r="AF19" i="47" s="1"/>
  <c r="AF20" i="47" s="1"/>
  <c r="AF21" i="47" s="1"/>
  <c r="AF22" i="47" s="1"/>
  <c r="AF23" i="47" s="1"/>
  <c r="AF24" i="47" s="1"/>
  <c r="AF25" i="47" s="1"/>
  <c r="AF26" i="47" s="1"/>
  <c r="AF27" i="47" s="1"/>
  <c r="AF28" i="47" s="1"/>
  <c r="AF29" i="47" s="1"/>
  <c r="AF30" i="47" s="1"/>
  <c r="AF31" i="47" s="1"/>
  <c r="AF32" i="47" s="1"/>
  <c r="AF33" i="47" s="1"/>
  <c r="AF34" i="47" s="1"/>
  <c r="AF35" i="47" s="1"/>
  <c r="AF36" i="47" s="1"/>
  <c r="AF37" i="47" s="1"/>
  <c r="AF38" i="47" s="1"/>
  <c r="AF39" i="47" s="1"/>
  <c r="AF40" i="47" s="1"/>
  <c r="AF41" i="47" s="1"/>
  <c r="AF42" i="47" s="1"/>
  <c r="AF43" i="47" s="1"/>
  <c r="AF44" i="47" s="1"/>
  <c r="AF45" i="47" s="1"/>
  <c r="AF46" i="47" s="1"/>
  <c r="AF47" i="47" s="1"/>
  <c r="AF48" i="47" s="1"/>
  <c r="AF49" i="47" s="1"/>
  <c r="AF50" i="47" s="1"/>
  <c r="AF51" i="47" s="1"/>
  <c r="AF52" i="47" s="1"/>
  <c r="AF53" i="47" s="1"/>
  <c r="AF54" i="47" s="1"/>
  <c r="AF55" i="47" s="1"/>
  <c r="AF56" i="47" s="1"/>
  <c r="AF57" i="47" s="1"/>
  <c r="AF58" i="47" s="1"/>
  <c r="AF59" i="47" s="1"/>
  <c r="AF60" i="47" s="1"/>
  <c r="AF61" i="47" s="1"/>
  <c r="AF62" i="47" s="1"/>
  <c r="AF63" i="47" s="1"/>
  <c r="AF64" i="47" s="1"/>
  <c r="AF65" i="47" s="1"/>
  <c r="AK4" i="47"/>
  <c r="AL4" i="47" s="1"/>
  <c r="AL2" i="47" s="1"/>
  <c r="G3" i="47"/>
  <c r="AJ2" i="47"/>
  <c r="E2" i="47"/>
  <c r="E3" i="47" s="1"/>
  <c r="A1" i="47"/>
  <c r="C68" i="46"/>
  <c r="AH67" i="46"/>
  <c r="AG67" i="46"/>
  <c r="AF67" i="46"/>
  <c r="AH66" i="46"/>
  <c r="AG66" i="46"/>
  <c r="AF66" i="46"/>
  <c r="AH65" i="46"/>
  <c r="AG65" i="46"/>
  <c r="AF65" i="46"/>
  <c r="AH61" i="46"/>
  <c r="AG61" i="46"/>
  <c r="AF61" i="46"/>
  <c r="AF62" i="46" s="1"/>
  <c r="AF63" i="46" s="1"/>
  <c r="AF64" i="46" s="1"/>
  <c r="G61" i="46"/>
  <c r="L16" i="46" a="1"/>
  <c r="L16" i="46" s="1"/>
  <c r="L13" i="46"/>
  <c r="L12" i="46"/>
  <c r="L11" i="46"/>
  <c r="L10" i="46"/>
  <c r="L9" i="46"/>
  <c r="L8" i="46"/>
  <c r="AF7" i="46"/>
  <c r="AF8" i="46" s="1"/>
  <c r="AF9" i="46" s="1"/>
  <c r="AF10" i="46" s="1"/>
  <c r="AF11" i="46" s="1"/>
  <c r="AF12" i="46" s="1"/>
  <c r="AF13" i="46" s="1"/>
  <c r="AF14" i="46" s="1"/>
  <c r="AF15" i="46" s="1"/>
  <c r="AF16" i="46" s="1"/>
  <c r="AF17" i="46" s="1"/>
  <c r="AF18" i="46" s="1"/>
  <c r="AF19" i="46" s="1"/>
  <c r="AF20" i="46" s="1"/>
  <c r="AF21" i="46" s="1"/>
  <c r="AF22" i="46" s="1"/>
  <c r="AF23" i="46" s="1"/>
  <c r="AF24" i="46" s="1"/>
  <c r="AF25" i="46" s="1"/>
  <c r="AF26" i="46" s="1"/>
  <c r="AF27" i="46" s="1"/>
  <c r="AF28" i="46" s="1"/>
  <c r="AF29" i="46" s="1"/>
  <c r="AF30" i="46" s="1"/>
  <c r="AF31" i="46" s="1"/>
  <c r="AF32" i="46" s="1"/>
  <c r="AF33" i="46" s="1"/>
  <c r="AF34" i="46" s="1"/>
  <c r="AF35" i="46" s="1"/>
  <c r="AF36" i="46" s="1"/>
  <c r="AF37" i="46" s="1"/>
  <c r="AF38" i="46" s="1"/>
  <c r="AF39" i="46" s="1"/>
  <c r="AF40" i="46" s="1"/>
  <c r="AF41" i="46" s="1"/>
  <c r="AF42" i="46" s="1"/>
  <c r="AF43" i="46" s="1"/>
  <c r="AF44" i="46" s="1"/>
  <c r="AF45" i="46" s="1"/>
  <c r="AF46" i="46" s="1"/>
  <c r="AF47" i="46" s="1"/>
  <c r="AF48" i="46" s="1"/>
  <c r="AF49" i="46" s="1"/>
  <c r="AF50" i="46" s="1"/>
  <c r="AF51" i="46" s="1"/>
  <c r="AF52" i="46" s="1"/>
  <c r="AF53" i="46" s="1"/>
  <c r="AF54" i="46" s="1"/>
  <c r="AF55" i="46" s="1"/>
  <c r="AF56" i="46" s="1"/>
  <c r="AF57" i="46" s="1"/>
  <c r="AF58" i="46" s="1"/>
  <c r="AF59" i="46" s="1"/>
  <c r="AF60" i="46" s="1"/>
  <c r="AK4" i="46"/>
  <c r="AL4" i="46" s="1"/>
  <c r="AL2" i="46" s="1"/>
  <c r="G3" i="46"/>
  <c r="AJ2" i="46"/>
  <c r="E2" i="46"/>
  <c r="E3" i="46" s="1"/>
  <c r="A1" i="46"/>
  <c r="C68" i="45"/>
  <c r="AH67" i="45"/>
  <c r="AG67" i="45"/>
  <c r="AF67" i="45"/>
  <c r="AH66" i="45"/>
  <c r="AG66" i="45"/>
  <c r="AF66" i="45"/>
  <c r="AH65" i="45"/>
  <c r="AG65" i="45"/>
  <c r="AF65" i="45"/>
  <c r="AH61" i="45"/>
  <c r="AG61" i="45"/>
  <c r="AF61" i="45"/>
  <c r="AF62" i="45" s="1"/>
  <c r="AF63" i="45" s="1"/>
  <c r="AF64" i="45" s="1"/>
  <c r="G61" i="45"/>
  <c r="AH60" i="45"/>
  <c r="AG60" i="45"/>
  <c r="AF60" i="45"/>
  <c r="G60" i="45"/>
  <c r="L16" i="45" a="1"/>
  <c r="L16" i="45" s="1"/>
  <c r="L13" i="45"/>
  <c r="L12" i="45"/>
  <c r="L11" i="45"/>
  <c r="L10" i="45"/>
  <c r="L9" i="45"/>
  <c r="L8" i="45"/>
  <c r="AF7" i="45"/>
  <c r="AF8" i="45" s="1"/>
  <c r="AF9" i="45" s="1"/>
  <c r="AF10" i="45" s="1"/>
  <c r="AF11" i="45" s="1"/>
  <c r="AF12" i="45" s="1"/>
  <c r="AF13" i="45" s="1"/>
  <c r="AF14" i="45" s="1"/>
  <c r="AF15" i="45" s="1"/>
  <c r="AF16" i="45" s="1"/>
  <c r="AF17" i="45" s="1"/>
  <c r="AF18" i="45" s="1"/>
  <c r="AF19" i="45" s="1"/>
  <c r="AF20" i="45" s="1"/>
  <c r="AF21" i="45" s="1"/>
  <c r="AF22" i="45" s="1"/>
  <c r="AF23" i="45" s="1"/>
  <c r="AF24" i="45" s="1"/>
  <c r="AF25" i="45" s="1"/>
  <c r="AF26" i="45" s="1"/>
  <c r="AF27" i="45" s="1"/>
  <c r="AF28" i="45" s="1"/>
  <c r="AF29" i="45" s="1"/>
  <c r="AF30" i="45" s="1"/>
  <c r="AF31" i="45" s="1"/>
  <c r="AF32" i="45" s="1"/>
  <c r="AF33" i="45" s="1"/>
  <c r="AF34" i="45" s="1"/>
  <c r="AF35" i="45" s="1"/>
  <c r="AF36" i="45" s="1"/>
  <c r="AF37" i="45" s="1"/>
  <c r="AF38" i="45" s="1"/>
  <c r="AF39" i="45" s="1"/>
  <c r="AF40" i="45" s="1"/>
  <c r="AF41" i="45" s="1"/>
  <c r="AF42" i="45" s="1"/>
  <c r="AF43" i="45" s="1"/>
  <c r="AF44" i="45" s="1"/>
  <c r="AF45" i="45" s="1"/>
  <c r="AF46" i="45" s="1"/>
  <c r="AF47" i="45" s="1"/>
  <c r="AF48" i="45" s="1"/>
  <c r="AF49" i="45" s="1"/>
  <c r="AF50" i="45" s="1"/>
  <c r="AF51" i="45" s="1"/>
  <c r="AF52" i="45" s="1"/>
  <c r="AF53" i="45" s="1"/>
  <c r="AF54" i="45" s="1"/>
  <c r="AF55" i="45" s="1"/>
  <c r="AF56" i="45" s="1"/>
  <c r="AF57" i="45" s="1"/>
  <c r="AF58" i="45" s="1"/>
  <c r="AF59" i="45" s="1"/>
  <c r="AK4" i="45"/>
  <c r="AL4" i="45" s="1"/>
  <c r="AL2" i="45" s="1"/>
  <c r="G3" i="45"/>
  <c r="AJ2" i="45"/>
  <c r="E2" i="45"/>
  <c r="E3" i="45" s="1"/>
  <c r="A1" i="45"/>
  <c r="C68" i="34"/>
  <c r="C68" i="40"/>
  <c r="C68" i="43"/>
  <c r="B65" i="44"/>
  <c r="AW14" i="34" l="1"/>
  <c r="AX14" i="34" s="1"/>
  <c r="AW36" i="34"/>
  <c r="AW15" i="34"/>
  <c r="AW17" i="46"/>
  <c r="AW11" i="34"/>
  <c r="AW24" i="34"/>
  <c r="AW30" i="34"/>
  <c r="AX30" i="34" s="1"/>
  <c r="AW10" i="46"/>
  <c r="AW8" i="45"/>
  <c r="AX8" i="45" s="1"/>
  <c r="AW54" i="34"/>
  <c r="AX54" i="34" s="1"/>
  <c r="AW22" i="34"/>
  <c r="AX22" i="34" s="1"/>
  <c r="AW13" i="46"/>
  <c r="AX13" i="46" s="1"/>
  <c r="AW38" i="34"/>
  <c r="AW12" i="46"/>
  <c r="AX12" i="46" s="1"/>
  <c r="AW13" i="34"/>
  <c r="AX13" i="34" s="1"/>
  <c r="BI12" i="7"/>
  <c r="BE12" i="7"/>
  <c r="BI22" i="7"/>
  <c r="BE22" i="7"/>
  <c r="BI32" i="7"/>
  <c r="BE32" i="7"/>
  <c r="BD21" i="56"/>
  <c r="BC22" i="56"/>
  <c r="BH20" i="56"/>
  <c r="BG20" i="56"/>
  <c r="BF20" i="56"/>
  <c r="BI20" i="56"/>
  <c r="BC22" i="55"/>
  <c r="BD21" i="55"/>
  <c r="BI20" i="55"/>
  <c r="BG20" i="55"/>
  <c r="BF20" i="55"/>
  <c r="BH20" i="55"/>
  <c r="BG18" i="54"/>
  <c r="BI18" i="54"/>
  <c r="BH18" i="54"/>
  <c r="BF18" i="54"/>
  <c r="BC20" i="54"/>
  <c r="BD19" i="54"/>
  <c r="AY31" i="7"/>
  <c r="BA12" i="7"/>
  <c r="BG12" i="7"/>
  <c r="BC22" i="7"/>
  <c r="BG22" i="7"/>
  <c r="BC32" i="7"/>
  <c r="BG32" i="7"/>
  <c r="BC14" i="52"/>
  <c r="BD13" i="52"/>
  <c r="BI12" i="52"/>
  <c r="BH12" i="52"/>
  <c r="BG12" i="52"/>
  <c r="BF12" i="52"/>
  <c r="BC14" i="51"/>
  <c r="BD13" i="51"/>
  <c r="BI12" i="51"/>
  <c r="BF12" i="51"/>
  <c r="BH12" i="51"/>
  <c r="BG12" i="51"/>
  <c r="BD9" i="50"/>
  <c r="BI9" i="50" s="1"/>
  <c r="AH59" i="50"/>
  <c r="AG59" i="50"/>
  <c r="BC11" i="50"/>
  <c r="BD10" i="50"/>
  <c r="BD7" i="50"/>
  <c r="BD8" i="50"/>
  <c r="M13" i="49"/>
  <c r="M12" i="49"/>
  <c r="M11" i="49"/>
  <c r="Y14" i="49"/>
  <c r="M8" i="49"/>
  <c r="M9" i="49"/>
  <c r="M14" i="49"/>
  <c r="AY58" i="49"/>
  <c r="AY51" i="49"/>
  <c r="AY13" i="49"/>
  <c r="AY53" i="49"/>
  <c r="AY10" i="49"/>
  <c r="AY33" i="49"/>
  <c r="AY11" i="49"/>
  <c r="AY8" i="49"/>
  <c r="AY9" i="49"/>
  <c r="AY12" i="49"/>
  <c r="AY45" i="49"/>
  <c r="AY55" i="49"/>
  <c r="AY27" i="49"/>
  <c r="AY19" i="49"/>
  <c r="AY35" i="49"/>
  <c r="AY42" i="49"/>
  <c r="AY50" i="49"/>
  <c r="AY31" i="49"/>
  <c r="AY23" i="49"/>
  <c r="AY39" i="49"/>
  <c r="AY29" i="49"/>
  <c r="AY25" i="49"/>
  <c r="AY21" i="49"/>
  <c r="AY17" i="49"/>
  <c r="BC14" i="49"/>
  <c r="AY57" i="49"/>
  <c r="AY59" i="49"/>
  <c r="AY40" i="49"/>
  <c r="AY36" i="49"/>
  <c r="AY28" i="49"/>
  <c r="AY20" i="49"/>
  <c r="AY22" i="49"/>
  <c r="AY60" i="49"/>
  <c r="AY26" i="49"/>
  <c r="AY48" i="49"/>
  <c r="AY15" i="49"/>
  <c r="AY7" i="49"/>
  <c r="AY61" i="49"/>
  <c r="AY54" i="49"/>
  <c r="AY46" i="49"/>
  <c r="AY47" i="49"/>
  <c r="AY38" i="49"/>
  <c r="AY37" i="49"/>
  <c r="AY18" i="49"/>
  <c r="AY34" i="49"/>
  <c r="AY56" i="49"/>
  <c r="AY62" i="49"/>
  <c r="AY43" i="49"/>
  <c r="AY63" i="49"/>
  <c r="AY49" i="49"/>
  <c r="AY41" i="49"/>
  <c r="AY32" i="49"/>
  <c r="AY24" i="49"/>
  <c r="AY16" i="49"/>
  <c r="AY44" i="49"/>
  <c r="AY30" i="49"/>
  <c r="AY52" i="49"/>
  <c r="AY14" i="49"/>
  <c r="AZ13" i="7"/>
  <c r="BC12" i="7"/>
  <c r="AZ33" i="7"/>
  <c r="BA32" i="7"/>
  <c r="AZ23" i="7"/>
  <c r="BA22" i="7"/>
  <c r="AK2" i="47"/>
  <c r="AW9" i="45"/>
  <c r="AX9" i="45" s="1"/>
  <c r="AW13" i="45"/>
  <c r="AW19" i="45"/>
  <c r="AW27" i="45"/>
  <c r="AX27" i="45" s="1"/>
  <c r="AW42" i="45"/>
  <c r="AX42" i="45" s="1"/>
  <c r="AW9" i="40"/>
  <c r="AX9" i="40" s="1"/>
  <c r="AW58" i="43"/>
  <c r="AX58" i="43" s="1"/>
  <c r="AW9" i="43"/>
  <c r="AX9" i="43" s="1"/>
  <c r="AW17" i="43"/>
  <c r="AX17" i="43" s="1"/>
  <c r="AW16" i="43"/>
  <c r="AX16" i="43" s="1"/>
  <c r="AW13" i="43"/>
  <c r="AX13" i="43" s="1"/>
  <c r="AW18" i="43"/>
  <c r="AX18" i="43" s="1"/>
  <c r="AW11" i="43"/>
  <c r="AX11" i="43" s="1"/>
  <c r="AW15" i="43"/>
  <c r="AX15" i="43" s="1"/>
  <c r="AW19" i="43"/>
  <c r="AX19" i="43" s="1"/>
  <c r="AW23" i="43"/>
  <c r="AX23" i="43" s="1"/>
  <c r="AW21" i="43"/>
  <c r="AX21" i="43" s="1"/>
  <c r="AW29" i="43"/>
  <c r="AX29" i="43" s="1"/>
  <c r="AW33" i="43"/>
  <c r="AX33" i="43" s="1"/>
  <c r="AW44" i="43"/>
  <c r="AX44" i="43" s="1"/>
  <c r="AW8" i="43"/>
  <c r="AX8" i="43" s="1"/>
  <c r="AW10" i="43"/>
  <c r="AX10" i="43" s="1"/>
  <c r="AW12" i="43"/>
  <c r="AX12" i="43" s="1"/>
  <c r="AW14" i="43"/>
  <c r="AX14" i="43" s="1"/>
  <c r="AW27" i="43"/>
  <c r="AX27" i="43" s="1"/>
  <c r="AW30" i="43"/>
  <c r="AX30" i="43" s="1"/>
  <c r="AW34" i="43"/>
  <c r="AX34" i="43" s="1"/>
  <c r="AW46" i="43"/>
  <c r="AX46" i="43" s="1"/>
  <c r="AW50" i="43"/>
  <c r="AX50" i="43" s="1"/>
  <c r="AW63" i="43"/>
  <c r="AX63" i="43" s="1"/>
  <c r="BC9" i="43"/>
  <c r="AW24" i="43"/>
  <c r="AX24" i="43" s="1"/>
  <c r="AW25" i="43"/>
  <c r="AX25" i="43" s="1"/>
  <c r="AW28" i="43"/>
  <c r="AX28" i="43" s="1"/>
  <c r="AW36" i="43"/>
  <c r="AX36" i="43" s="1"/>
  <c r="AW41" i="43"/>
  <c r="AX41" i="43" s="1"/>
  <c r="AW52" i="43"/>
  <c r="AX52" i="43" s="1"/>
  <c r="AW57" i="43"/>
  <c r="AX57" i="43" s="1"/>
  <c r="AW20" i="43"/>
  <c r="AX20" i="43" s="1"/>
  <c r="AW49" i="43"/>
  <c r="AX49" i="43" s="1"/>
  <c r="AW60" i="43"/>
  <c r="AX60" i="43" s="1"/>
  <c r="AW26" i="43"/>
  <c r="AX26" i="43" s="1"/>
  <c r="AW31" i="43"/>
  <c r="AX31" i="43"/>
  <c r="AW32" i="43"/>
  <c r="AX32" i="43" s="1"/>
  <c r="AW47" i="43"/>
  <c r="AX47" i="43" s="1"/>
  <c r="AW48" i="43"/>
  <c r="AX48" i="43" s="1"/>
  <c r="AW62" i="43"/>
  <c r="AX62" i="43" s="1"/>
  <c r="AW7" i="43"/>
  <c r="AX7" i="43" s="1"/>
  <c r="AW22" i="43"/>
  <c r="AX22" i="43" s="1"/>
  <c r="AW38" i="43"/>
  <c r="AX38" i="43" s="1"/>
  <c r="AW39" i="43"/>
  <c r="AX39" i="43" s="1"/>
  <c r="AW40" i="43"/>
  <c r="AX40" i="43" s="1"/>
  <c r="AW42" i="43"/>
  <c r="AX42" i="43" s="1"/>
  <c r="AW54" i="43"/>
  <c r="AX54" i="43" s="1"/>
  <c r="AW55" i="43"/>
  <c r="AX55" i="43" s="1"/>
  <c r="AW56" i="43"/>
  <c r="AX56" i="43" s="1"/>
  <c r="AW37" i="43"/>
  <c r="AX37" i="43" s="1"/>
  <c r="AW45" i="43"/>
  <c r="AX45" i="43" s="1"/>
  <c r="AW53" i="43"/>
  <c r="AX53" i="43" s="1"/>
  <c r="AW61" i="43"/>
  <c r="AX61" i="43" s="1"/>
  <c r="AW35" i="43"/>
  <c r="AX35" i="43" s="1"/>
  <c r="AW43" i="43"/>
  <c r="AX43" i="43" s="1"/>
  <c r="AW51" i="43"/>
  <c r="AX51" i="43" s="1"/>
  <c r="AW59" i="43"/>
  <c r="AX59" i="43" s="1"/>
  <c r="AW14" i="40"/>
  <c r="AX14" i="40" s="1"/>
  <c r="AW23" i="40"/>
  <c r="AX23" i="40" s="1"/>
  <c r="AW32" i="40"/>
  <c r="AX32" i="40" s="1"/>
  <c r="AW13" i="40"/>
  <c r="AX13" i="40" s="1"/>
  <c r="AW17" i="40"/>
  <c r="AX17" i="40" s="1"/>
  <c r="AW8" i="40"/>
  <c r="AX8" i="40" s="1"/>
  <c r="AW29" i="40"/>
  <c r="AX29" i="40" s="1"/>
  <c r="AW44" i="40"/>
  <c r="AX44" i="40" s="1"/>
  <c r="AW48" i="40"/>
  <c r="AX48" i="40" s="1"/>
  <c r="AW12" i="40"/>
  <c r="AX12" i="40" s="1"/>
  <c r="AW16" i="40"/>
  <c r="AX16" i="40" s="1"/>
  <c r="AW19" i="40"/>
  <c r="AX19" i="40" s="1"/>
  <c r="AW34" i="40"/>
  <c r="AX34" i="40" s="1"/>
  <c r="AW54" i="40"/>
  <c r="AW62" i="40"/>
  <c r="AX62" i="40" s="1"/>
  <c r="AW10" i="40"/>
  <c r="AX10" i="40" s="1"/>
  <c r="AW20" i="40"/>
  <c r="AX20" i="40"/>
  <c r="AW28" i="40"/>
  <c r="AX28" i="40" s="1"/>
  <c r="BC9" i="40"/>
  <c r="AW11" i="40"/>
  <c r="AX11" i="40" s="1"/>
  <c r="AW15" i="40"/>
  <c r="AX15" i="40" s="1"/>
  <c r="AW21" i="40"/>
  <c r="AX21" i="40" s="1"/>
  <c r="AW27" i="40"/>
  <c r="AX27" i="40" s="1"/>
  <c r="AW33" i="40"/>
  <c r="AX33" i="40" s="1"/>
  <c r="AW49" i="40"/>
  <c r="AX49" i="40" s="1"/>
  <c r="AW52" i="40"/>
  <c r="AX52" i="40" s="1"/>
  <c r="AW58" i="40"/>
  <c r="AX58" i="40" s="1"/>
  <c r="AW31" i="40"/>
  <c r="AX31" i="40" s="1"/>
  <c r="AW42" i="40"/>
  <c r="AX42" i="40" s="1"/>
  <c r="AW63" i="40"/>
  <c r="AX63" i="40" s="1"/>
  <c r="AW61" i="40"/>
  <c r="AX61" i="40" s="1"/>
  <c r="AW59" i="40"/>
  <c r="AX59" i="40" s="1"/>
  <c r="AW57" i="40"/>
  <c r="AX57" i="40" s="1"/>
  <c r="AW25" i="40"/>
  <c r="AX25" i="40" s="1"/>
  <c r="AW7" i="40"/>
  <c r="AX7" i="40" s="1"/>
  <c r="AW22" i="40"/>
  <c r="AX22" i="40" s="1"/>
  <c r="AW30" i="40"/>
  <c r="AX30" i="40" s="1"/>
  <c r="AW35" i="40"/>
  <c r="AX35" i="40" s="1"/>
  <c r="AW41" i="40"/>
  <c r="AX41" i="40" s="1"/>
  <c r="AW47" i="40"/>
  <c r="AX47" i="40" s="1"/>
  <c r="AW39" i="40"/>
  <c r="AX39" i="40" s="1"/>
  <c r="AW50" i="40"/>
  <c r="AX50" i="40" s="1"/>
  <c r="AW51" i="40"/>
  <c r="AX51" i="40" s="1"/>
  <c r="AW18" i="40"/>
  <c r="AX18" i="40" s="1"/>
  <c r="AW26" i="40"/>
  <c r="AX26" i="40" s="1"/>
  <c r="AW46" i="40"/>
  <c r="AX46" i="40" s="1"/>
  <c r="AW24" i="40"/>
  <c r="AX24" i="40" s="1"/>
  <c r="AW36" i="40"/>
  <c r="AX36" i="40" s="1"/>
  <c r="AW38" i="40"/>
  <c r="AX38" i="40" s="1"/>
  <c r="AW40" i="40"/>
  <c r="AX40" i="40" s="1"/>
  <c r="AW43" i="40"/>
  <c r="AX43" i="40" s="1"/>
  <c r="AX54" i="40"/>
  <c r="AW56" i="40"/>
  <c r="AX56" i="40" s="1"/>
  <c r="AW60" i="40"/>
  <c r="AX60" i="40" s="1"/>
  <c r="AW37" i="40"/>
  <c r="AX37" i="40" s="1"/>
  <c r="AW45" i="40"/>
  <c r="AX45" i="40" s="1"/>
  <c r="AW53" i="40"/>
  <c r="AX53" i="40" s="1"/>
  <c r="AW55" i="40"/>
  <c r="AX55" i="40" s="1"/>
  <c r="AW19" i="34"/>
  <c r="AX19" i="34" s="1"/>
  <c r="AW28" i="34"/>
  <c r="AX28" i="34" s="1"/>
  <c r="AW31" i="34"/>
  <c r="AX31" i="34" s="1"/>
  <c r="AW18" i="34"/>
  <c r="AX18" i="34" s="1"/>
  <c r="AW26" i="34"/>
  <c r="AX26" i="34" s="1"/>
  <c r="AW35" i="34"/>
  <c r="AX35" i="34"/>
  <c r="AW46" i="34"/>
  <c r="AX46" i="34" s="1"/>
  <c r="AW48" i="34"/>
  <c r="AX48" i="34" s="1"/>
  <c r="AW57" i="34"/>
  <c r="AX57" i="34"/>
  <c r="BC8" i="34"/>
  <c r="AX9" i="34"/>
  <c r="AX11" i="34"/>
  <c r="AX15" i="34"/>
  <c r="AW21" i="34"/>
  <c r="AX21" i="34" s="1"/>
  <c r="AX24" i="34"/>
  <c r="AW29" i="34"/>
  <c r="AX29" i="34" s="1"/>
  <c r="AW32" i="34"/>
  <c r="AX32" i="34" s="1"/>
  <c r="AW34" i="34"/>
  <c r="AX34" i="34" s="1"/>
  <c r="AX38" i="34"/>
  <c r="AW39" i="34"/>
  <c r="AX39" i="34" s="1"/>
  <c r="AW45" i="34"/>
  <c r="AX45" i="34" s="1"/>
  <c r="AW51" i="34"/>
  <c r="AX51" i="34"/>
  <c r="AW59" i="34"/>
  <c r="AX59" i="34" s="1"/>
  <c r="AW20" i="34"/>
  <c r="AX20" i="34" s="1"/>
  <c r="AW27" i="34"/>
  <c r="AX27" i="34" s="1"/>
  <c r="AW37" i="34"/>
  <c r="AX37" i="34" s="1"/>
  <c r="AW43" i="34"/>
  <c r="AX43" i="34"/>
  <c r="AW60" i="34"/>
  <c r="AX60" i="34" s="1"/>
  <c r="AW52" i="34"/>
  <c r="AX52" i="34" s="1"/>
  <c r="AW58" i="34"/>
  <c r="AX58" i="34" s="1"/>
  <c r="AW17" i="34"/>
  <c r="AW25" i="34"/>
  <c r="AX25" i="34" s="1"/>
  <c r="AW50" i="34"/>
  <c r="AW62" i="34"/>
  <c r="AX62" i="34" s="1"/>
  <c r="AW7" i="34"/>
  <c r="AX7" i="34" s="1"/>
  <c r="AX17" i="34"/>
  <c r="AW23" i="34"/>
  <c r="AX23" i="34" s="1"/>
  <c r="AX36" i="34"/>
  <c r="AW40" i="34"/>
  <c r="AX40" i="34" s="1"/>
  <c r="AW42" i="34"/>
  <c r="AX42" i="34" s="1"/>
  <c r="AW44" i="34"/>
  <c r="AX44" i="34" s="1"/>
  <c r="AW47" i="34"/>
  <c r="AX47" i="34" s="1"/>
  <c r="AX50" i="34"/>
  <c r="AW56" i="34"/>
  <c r="AX56" i="34" s="1"/>
  <c r="AW33" i="34"/>
  <c r="AX33" i="34" s="1"/>
  <c r="AW41" i="34"/>
  <c r="AX41" i="34" s="1"/>
  <c r="AW49" i="34"/>
  <c r="AX49" i="34" s="1"/>
  <c r="AW53" i="34"/>
  <c r="AX53" i="34" s="1"/>
  <c r="AW61" i="34"/>
  <c r="AX61" i="34"/>
  <c r="AW55" i="34"/>
  <c r="AX55" i="34" s="1"/>
  <c r="AW63" i="34"/>
  <c r="AX63" i="34" s="1"/>
  <c r="AW16" i="45"/>
  <c r="AX16" i="45" s="1"/>
  <c r="AW20" i="45"/>
  <c r="AW34" i="45"/>
  <c r="AX34" i="45" s="1"/>
  <c r="AW57" i="45"/>
  <c r="AX57" i="45" s="1"/>
  <c r="AW62" i="45"/>
  <c r="AX62" i="45" s="1"/>
  <c r="AX20" i="45"/>
  <c r="AW33" i="45"/>
  <c r="AX33" i="45" s="1"/>
  <c r="AW46" i="45"/>
  <c r="AX46" i="45" s="1"/>
  <c r="AW54" i="45"/>
  <c r="AX54" i="45" s="1"/>
  <c r="AW52" i="45"/>
  <c r="AX52" i="45" s="1"/>
  <c r="AW18" i="45"/>
  <c r="AX18" i="45" s="1"/>
  <c r="AW36" i="45"/>
  <c r="AX36" i="45" s="1"/>
  <c r="AW17" i="45"/>
  <c r="AX17" i="45" s="1"/>
  <c r="AW28" i="45"/>
  <c r="AX28" i="45" s="1"/>
  <c r="AW44" i="45"/>
  <c r="AX44" i="45" s="1"/>
  <c r="AW7" i="45"/>
  <c r="AX7" i="45" s="1"/>
  <c r="BC9" i="45"/>
  <c r="AW10" i="45"/>
  <c r="AX10" i="45" s="1"/>
  <c r="AX13" i="45"/>
  <c r="AW15" i="45"/>
  <c r="AX15" i="45" s="1"/>
  <c r="AW25" i="45"/>
  <c r="AX25" i="45" s="1"/>
  <c r="AW26" i="45"/>
  <c r="AX26" i="45" s="1"/>
  <c r="AW29" i="45"/>
  <c r="AX29" i="45" s="1"/>
  <c r="AW31" i="45"/>
  <c r="AX31" i="45" s="1"/>
  <c r="AW59" i="45"/>
  <c r="AX59" i="45" s="1"/>
  <c r="AX19" i="45"/>
  <c r="AW40" i="45"/>
  <c r="AX40" i="45" s="1"/>
  <c r="AW11" i="45"/>
  <c r="AX11" i="45" s="1"/>
  <c r="AW14" i="45"/>
  <c r="AX14" i="45" s="1"/>
  <c r="AW21" i="45"/>
  <c r="AX21" i="45" s="1"/>
  <c r="AW39" i="45"/>
  <c r="AX39" i="45" s="1"/>
  <c r="AW12" i="45"/>
  <c r="AX12" i="45" s="1"/>
  <c r="AW23" i="45"/>
  <c r="AX23" i="45" s="1"/>
  <c r="AW56" i="45"/>
  <c r="AX56" i="45" s="1"/>
  <c r="AW58" i="45"/>
  <c r="AX58" i="45" s="1"/>
  <c r="AW24" i="45"/>
  <c r="AX24" i="45" s="1"/>
  <c r="AW38" i="45"/>
  <c r="AW43" i="45"/>
  <c r="AX43" i="45" s="1"/>
  <c r="AW51" i="45"/>
  <c r="AX51" i="45" s="1"/>
  <c r="AW22" i="45"/>
  <c r="AX22" i="45" s="1"/>
  <c r="AW30" i="45"/>
  <c r="AX30" i="45" s="1"/>
  <c r="AW32" i="45"/>
  <c r="AX32" i="45" s="1"/>
  <c r="AW35" i="45"/>
  <c r="AX35" i="45" s="1"/>
  <c r="AX38" i="45"/>
  <c r="AW41" i="45"/>
  <c r="AX41" i="45" s="1"/>
  <c r="AW48" i="45"/>
  <c r="AX48" i="45" s="1"/>
  <c r="AW49" i="45"/>
  <c r="AX49" i="45" s="1"/>
  <c r="AW50" i="45"/>
  <c r="AX50" i="45" s="1"/>
  <c r="AW60" i="45"/>
  <c r="AX60" i="45" s="1"/>
  <c r="AW37" i="45"/>
  <c r="AX37" i="45" s="1"/>
  <c r="AW45" i="45"/>
  <c r="AX45" i="45" s="1"/>
  <c r="AW53" i="45"/>
  <c r="AX53" i="45" s="1"/>
  <c r="AW61" i="45"/>
  <c r="AX61" i="45" s="1"/>
  <c r="AW47" i="45"/>
  <c r="AX47" i="45" s="1"/>
  <c r="AW55" i="45"/>
  <c r="AX55" i="45" s="1"/>
  <c r="AW63" i="45"/>
  <c r="AX63" i="45" s="1"/>
  <c r="BC9" i="46"/>
  <c r="AW18" i="46"/>
  <c r="AX18" i="46" s="1"/>
  <c r="AW32" i="46"/>
  <c r="AX32" i="46" s="1"/>
  <c r="AW50" i="46"/>
  <c r="AX50" i="46" s="1"/>
  <c r="AW11" i="46"/>
  <c r="AW31" i="46"/>
  <c r="AX31" i="46"/>
  <c r="AW58" i="46"/>
  <c r="AX58" i="46" s="1"/>
  <c r="AW60" i="46"/>
  <c r="AX60" i="46" s="1"/>
  <c r="AW52" i="46"/>
  <c r="AX52" i="46" s="1"/>
  <c r="AW62" i="46"/>
  <c r="AX62" i="46" s="1"/>
  <c r="AW54" i="46"/>
  <c r="AX54" i="46" s="1"/>
  <c r="AW56" i="46"/>
  <c r="AX56" i="46" s="1"/>
  <c r="AW42" i="46"/>
  <c r="AX42" i="46" s="1"/>
  <c r="AW29" i="46"/>
  <c r="AX29" i="46" s="1"/>
  <c r="AW8" i="46"/>
  <c r="AX8" i="46" s="1"/>
  <c r="AW9" i="46"/>
  <c r="AX9" i="46" s="1"/>
  <c r="AX10" i="46"/>
  <c r="AX11" i="46"/>
  <c r="AW15" i="46"/>
  <c r="AX15" i="46" s="1"/>
  <c r="AW21" i="46"/>
  <c r="AX21" i="46" s="1"/>
  <c r="AW27" i="46"/>
  <c r="AX27" i="46" s="1"/>
  <c r="AW34" i="46"/>
  <c r="AX34" i="46" s="1"/>
  <c r="AW40" i="46"/>
  <c r="AX40" i="46" s="1"/>
  <c r="AW48" i="46"/>
  <c r="AX48" i="46" s="1"/>
  <c r="AW53" i="46"/>
  <c r="AX53" i="46"/>
  <c r="AW59" i="46"/>
  <c r="AX59" i="46"/>
  <c r="AX17" i="46"/>
  <c r="AW41" i="46"/>
  <c r="AX41" i="46"/>
  <c r="AW19" i="46"/>
  <c r="AX19" i="46" s="1"/>
  <c r="AW28" i="46"/>
  <c r="AX28" i="46" s="1"/>
  <c r="AW46" i="46"/>
  <c r="AX46" i="46" s="1"/>
  <c r="AW14" i="46"/>
  <c r="AX14" i="46" s="1"/>
  <c r="AW16" i="46"/>
  <c r="AX16" i="46" s="1"/>
  <c r="AW23" i="46"/>
  <c r="AX23" i="46"/>
  <c r="AW24" i="46"/>
  <c r="AX24" i="46" s="1"/>
  <c r="AW25" i="46"/>
  <c r="AX25" i="46" s="1"/>
  <c r="AW30" i="46"/>
  <c r="AX30" i="46" s="1"/>
  <c r="AW36" i="46"/>
  <c r="AX36" i="46" s="1"/>
  <c r="AW47" i="46"/>
  <c r="AX47" i="46"/>
  <c r="AW20" i="46"/>
  <c r="AX20" i="46" s="1"/>
  <c r="AW33" i="46"/>
  <c r="AX33" i="46" s="1"/>
  <c r="AW44" i="46"/>
  <c r="AX44" i="46" s="1"/>
  <c r="AW49" i="46"/>
  <c r="AX49" i="46" s="1"/>
  <c r="AW22" i="46"/>
  <c r="AX22" i="46" s="1"/>
  <c r="AW26" i="46"/>
  <c r="AX26" i="46" s="1"/>
  <c r="AW38" i="46"/>
  <c r="AX38" i="46" s="1"/>
  <c r="AW39" i="46"/>
  <c r="AX39" i="46" s="1"/>
  <c r="AW61" i="46"/>
  <c r="AX61" i="46"/>
  <c r="AW37" i="46"/>
  <c r="AX37" i="46" s="1"/>
  <c r="AW45" i="46"/>
  <c r="AX45" i="46" s="1"/>
  <c r="AW57" i="46"/>
  <c r="AX57" i="46"/>
  <c r="AW35" i="46"/>
  <c r="AX35" i="46" s="1"/>
  <c r="AW43" i="46"/>
  <c r="AX43" i="46" s="1"/>
  <c r="AW51" i="46"/>
  <c r="AX51" i="46" s="1"/>
  <c r="AW55" i="46"/>
  <c r="AX55" i="46"/>
  <c r="AW63" i="46"/>
  <c r="AX63" i="46"/>
  <c r="AW10" i="47"/>
  <c r="AX10" i="47" s="1"/>
  <c r="AW14" i="47"/>
  <c r="AX14" i="47" s="1"/>
  <c r="AW18" i="47"/>
  <c r="AX18" i="47" s="1"/>
  <c r="AW22" i="47"/>
  <c r="AX22" i="47" s="1"/>
  <c r="AW26" i="47"/>
  <c r="AW30" i="47"/>
  <c r="AX30" i="47" s="1"/>
  <c r="AW34" i="47"/>
  <c r="AX34" i="47" s="1"/>
  <c r="AW38" i="47"/>
  <c r="AX38" i="47" s="1"/>
  <c r="AW42" i="47"/>
  <c r="AX42" i="47" s="1"/>
  <c r="AW46" i="47"/>
  <c r="AX46" i="47" s="1"/>
  <c r="AW50" i="47"/>
  <c r="AX50" i="47" s="1"/>
  <c r="AW54" i="47"/>
  <c r="AX54" i="47" s="1"/>
  <c r="AW58" i="47"/>
  <c r="AW62" i="47"/>
  <c r="AX62" i="47" s="1"/>
  <c r="AW11" i="47"/>
  <c r="AX11" i="47" s="1"/>
  <c r="AW15" i="47"/>
  <c r="AX15" i="47" s="1"/>
  <c r="AW23" i="47"/>
  <c r="AX23" i="47" s="1"/>
  <c r="AW27" i="47"/>
  <c r="AX27" i="47" s="1"/>
  <c r="AW39" i="47"/>
  <c r="AX39" i="47" s="1"/>
  <c r="AW47" i="47"/>
  <c r="AX47" i="47" s="1"/>
  <c r="AW55" i="47"/>
  <c r="AW63" i="47"/>
  <c r="AX63" i="47" s="1"/>
  <c r="AW8" i="47"/>
  <c r="AX8" i="47" s="1"/>
  <c r="AW12" i="47"/>
  <c r="AX12" i="47" s="1"/>
  <c r="AW16" i="47"/>
  <c r="AX16" i="47" s="1"/>
  <c r="AW20" i="47"/>
  <c r="AX20" i="47" s="1"/>
  <c r="AW24" i="47"/>
  <c r="AX24" i="47" s="1"/>
  <c r="AW28" i="47"/>
  <c r="AX28" i="47" s="1"/>
  <c r="AW32" i="47"/>
  <c r="AW36" i="47"/>
  <c r="AX36" i="47" s="1"/>
  <c r="AW40" i="47"/>
  <c r="AX40" i="47" s="1"/>
  <c r="AW44" i="47"/>
  <c r="AX44" i="47" s="1"/>
  <c r="AW48" i="47"/>
  <c r="AX48" i="47" s="1"/>
  <c r="AW52" i="47"/>
  <c r="AX52" i="47" s="1"/>
  <c r="AW56" i="47"/>
  <c r="AX56" i="47" s="1"/>
  <c r="AW60" i="47"/>
  <c r="AX60" i="47" s="1"/>
  <c r="AW19" i="47"/>
  <c r="AW31" i="47"/>
  <c r="AX31" i="47" s="1"/>
  <c r="AW35" i="47"/>
  <c r="AX35" i="47" s="1"/>
  <c r="AW43" i="47"/>
  <c r="AX43" i="47" s="1"/>
  <c r="AW51" i="47"/>
  <c r="AX51" i="47" s="1"/>
  <c r="AW59" i="47"/>
  <c r="AX59" i="47" s="1"/>
  <c r="AW9" i="47"/>
  <c r="AX9" i="47" s="1"/>
  <c r="AW13" i="47"/>
  <c r="AX13" i="47" s="1"/>
  <c r="AW17" i="47"/>
  <c r="AW21" i="47"/>
  <c r="AW25" i="47"/>
  <c r="AX25" i="47" s="1"/>
  <c r="AW29" i="47"/>
  <c r="AX29" i="47" s="1"/>
  <c r="AW33" i="47"/>
  <c r="AX33" i="47" s="1"/>
  <c r="AW37" i="47"/>
  <c r="AX37" i="47" s="1"/>
  <c r="AW41" i="47"/>
  <c r="AX41" i="47" s="1"/>
  <c r="AW45" i="47"/>
  <c r="AX45" i="47" s="1"/>
  <c r="AW49" i="47"/>
  <c r="AW53" i="47"/>
  <c r="AX53" i="47" s="1"/>
  <c r="AW57" i="47"/>
  <c r="AX57" i="47" s="1"/>
  <c r="AW61" i="47"/>
  <c r="AX61" i="47" s="1"/>
  <c r="L14" i="47"/>
  <c r="M9" i="47" s="1"/>
  <c r="AX21" i="47"/>
  <c r="AX55" i="47"/>
  <c r="AX58" i="47"/>
  <c r="AX32" i="47"/>
  <c r="BC8" i="47"/>
  <c r="AX19" i="47"/>
  <c r="AW7" i="47"/>
  <c r="AX7" i="47" s="1"/>
  <c r="AX17" i="47"/>
  <c r="AX26" i="47"/>
  <c r="AX49" i="47"/>
  <c r="AK2" i="46"/>
  <c r="L14" i="46"/>
  <c r="M10" i="46" s="1"/>
  <c r="Y14" i="46"/>
  <c r="M8" i="46"/>
  <c r="AK2" i="45"/>
  <c r="L14" i="45"/>
  <c r="M11" i="45" s="1"/>
  <c r="B58" i="44"/>
  <c r="B59" i="44" s="1"/>
  <c r="B60" i="44" s="1"/>
  <c r="B61" i="44" s="1"/>
  <c r="B62" i="44" s="1"/>
  <c r="B63" i="44" s="1"/>
  <c r="B7" i="44"/>
  <c r="B8" i="44" s="1"/>
  <c r="B9" i="44" s="1"/>
  <c r="B10" i="44" s="1"/>
  <c r="B11" i="44" s="1"/>
  <c r="B12" i="44" s="1"/>
  <c r="B13" i="44" s="1"/>
  <c r="B14" i="44" s="1"/>
  <c r="B15" i="44" s="1"/>
  <c r="B16" i="44" s="1"/>
  <c r="B17" i="44" s="1"/>
  <c r="B18" i="44" s="1"/>
  <c r="B19" i="44" s="1"/>
  <c r="B20" i="44" s="1"/>
  <c r="B21" i="44" s="1"/>
  <c r="B22" i="44" s="1"/>
  <c r="B23" i="44" s="1"/>
  <c r="B24" i="44" s="1"/>
  <c r="B25" i="44" s="1"/>
  <c r="B26" i="44" s="1"/>
  <c r="B27" i="44" s="1"/>
  <c r="B28" i="44" s="1"/>
  <c r="B29" i="44" s="1"/>
  <c r="B30" i="44" s="1"/>
  <c r="B31" i="44" s="1"/>
  <c r="B32" i="44" s="1"/>
  <c r="B33" i="44" s="1"/>
  <c r="B34" i="44" s="1"/>
  <c r="B35" i="44" s="1"/>
  <c r="B36" i="44" s="1"/>
  <c r="B37" i="44" s="1"/>
  <c r="B38" i="44" s="1"/>
  <c r="B39" i="44" s="1"/>
  <c r="B40" i="44" s="1"/>
  <c r="B41" i="44" s="1"/>
  <c r="B42" i="44" s="1"/>
  <c r="B43" i="44" s="1"/>
  <c r="B44" i="44" s="1"/>
  <c r="B45" i="44" s="1"/>
  <c r="B46" i="44" s="1"/>
  <c r="B47" i="44" s="1"/>
  <c r="B48" i="44" s="1"/>
  <c r="B49" i="44" s="1"/>
  <c r="B50" i="44" s="1"/>
  <c r="B51" i="44" s="1"/>
  <c r="B52" i="44" s="1"/>
  <c r="B53" i="44" s="1"/>
  <c r="B54" i="44" s="1"/>
  <c r="B55" i="44" s="1"/>
  <c r="B56" i="44" s="1"/>
  <c r="AJ35" i="51"/>
  <c r="E49" i="52"/>
  <c r="E50" i="52"/>
  <c r="AK33" i="52"/>
  <c r="AL61" i="52"/>
  <c r="AK62" i="52"/>
  <c r="AL9" i="52"/>
  <c r="E48" i="52"/>
  <c r="G28" i="50"/>
  <c r="G7" i="50"/>
  <c r="G25" i="45"/>
  <c r="AJ27" i="50"/>
  <c r="G11" i="50"/>
  <c r="G49" i="50"/>
  <c r="G63" i="50"/>
  <c r="G17" i="49"/>
  <c r="AK54" i="52"/>
  <c r="AK9" i="52"/>
  <c r="AL8" i="52"/>
  <c r="G50" i="51"/>
  <c r="E17" i="52"/>
  <c r="AL32" i="52"/>
  <c r="AK16" i="52"/>
  <c r="AJ62" i="51"/>
  <c r="G42" i="51"/>
  <c r="G32" i="50"/>
  <c r="AJ46" i="47"/>
  <c r="AJ56" i="50"/>
  <c r="G24" i="49"/>
  <c r="G45" i="49"/>
  <c r="G35" i="49"/>
  <c r="G60" i="46"/>
  <c r="AJ54" i="51"/>
  <c r="AJ65" i="51"/>
  <c r="AJ25" i="51"/>
  <c r="AL15" i="52"/>
  <c r="AJ28" i="51"/>
  <c r="AJ56" i="51"/>
  <c r="E29" i="52"/>
  <c r="AJ64" i="51"/>
  <c r="AJ58" i="47"/>
  <c r="AJ17" i="50"/>
  <c r="G34" i="50"/>
  <c r="G64" i="49"/>
  <c r="G52" i="50"/>
  <c r="G54" i="50"/>
  <c r="AJ39" i="45"/>
  <c r="G23" i="49"/>
  <c r="G41" i="51"/>
  <c r="G16" i="51"/>
  <c r="AK63" i="52"/>
  <c r="AL7" i="52"/>
  <c r="E52" i="52"/>
  <c r="E33" i="52"/>
  <c r="AL33" i="52"/>
  <c r="AK29" i="52"/>
  <c r="AJ51" i="50"/>
  <c r="G7" i="49"/>
  <c r="AJ7" i="50"/>
  <c r="G12" i="50"/>
  <c r="G37" i="49"/>
  <c r="AJ29" i="50"/>
  <c r="G33" i="50"/>
  <c r="AJ57" i="46"/>
  <c r="AJ60" i="51"/>
  <c r="AJ49" i="51"/>
  <c r="AJ55" i="51"/>
  <c r="AJ23" i="50"/>
  <c r="AJ32" i="50"/>
  <c r="G10" i="50"/>
  <c r="G64" i="50"/>
  <c r="G9" i="50"/>
  <c r="AK14" i="52"/>
  <c r="AJ29" i="51"/>
  <c r="AL12" i="52"/>
  <c r="AL56" i="52"/>
  <c r="AK55" i="52"/>
  <c r="G58" i="51"/>
  <c r="AJ21" i="50"/>
  <c r="AJ59" i="50"/>
  <c r="AJ20" i="45"/>
  <c r="G33" i="49"/>
  <c r="AJ43" i="50"/>
  <c r="AJ23" i="51"/>
  <c r="G30" i="50"/>
  <c r="AL57" i="52"/>
  <c r="AL40" i="52"/>
  <c r="AL53" i="52"/>
  <c r="G26" i="50"/>
  <c r="G38" i="49"/>
  <c r="AJ64" i="50"/>
  <c r="AJ19" i="50"/>
  <c r="G62" i="50"/>
  <c r="AU21" i="7"/>
  <c r="E27" i="52"/>
  <c r="AJ55" i="50"/>
  <c r="AJ16" i="50"/>
  <c r="G16" i="49"/>
  <c r="G25" i="50"/>
  <c r="G54" i="49"/>
  <c r="AL48" i="52"/>
  <c r="G17" i="51"/>
  <c r="G27" i="50"/>
  <c r="AJ38" i="50"/>
  <c r="G55" i="51"/>
  <c r="G51" i="50"/>
  <c r="G19" i="50"/>
  <c r="AL27" i="52"/>
  <c r="G29" i="45"/>
  <c r="AJ27" i="51"/>
  <c r="G38" i="50"/>
  <c r="G64" i="51"/>
  <c r="AJ46" i="51"/>
  <c r="AJ12" i="50"/>
  <c r="G8" i="49"/>
  <c r="AK42" i="52"/>
  <c r="G39" i="49"/>
  <c r="AL51" i="52"/>
  <c r="AL36" i="52"/>
  <c r="E38" i="52"/>
  <c r="AJ40" i="51"/>
  <c r="AJ44" i="51"/>
  <c r="AL14" i="52"/>
  <c r="AL43" i="52"/>
  <c r="AL52" i="52"/>
  <c r="G43" i="51"/>
  <c r="AK43" i="52"/>
  <c r="AJ52" i="51"/>
  <c r="G52" i="49"/>
  <c r="AJ50" i="45"/>
  <c r="G9" i="46"/>
  <c r="AJ20" i="50"/>
  <c r="AJ24" i="50"/>
  <c r="AJ20" i="46"/>
  <c r="G65" i="47"/>
  <c r="G41" i="49"/>
  <c r="AK13" i="52"/>
  <c r="AL25" i="52"/>
  <c r="AK21" i="52"/>
  <c r="G11" i="51"/>
  <c r="AK49" i="52"/>
  <c r="G24" i="50"/>
  <c r="G28" i="47"/>
  <c r="AJ65" i="50"/>
  <c r="G51" i="51"/>
  <c r="AK64" i="52"/>
  <c r="G39" i="50"/>
  <c r="AJ66" i="50"/>
  <c r="AJ30" i="50"/>
  <c r="AJ63" i="51"/>
  <c r="G46" i="51"/>
  <c r="G39" i="51"/>
  <c r="G21" i="45"/>
  <c r="G14" i="50"/>
  <c r="G23" i="50"/>
  <c r="E26" i="52"/>
  <c r="E14" i="52"/>
  <c r="AJ33" i="50"/>
  <c r="G8" i="50"/>
  <c r="G13" i="45"/>
  <c r="G10" i="49"/>
  <c r="AJ17" i="51"/>
  <c r="AK17" i="52"/>
  <c r="AJ10" i="50"/>
  <c r="G16" i="46"/>
  <c r="AJ10" i="45"/>
  <c r="AJ36" i="51"/>
  <c r="AK36" i="52"/>
  <c r="G26" i="49"/>
  <c r="AJ8" i="50"/>
  <c r="G37" i="51"/>
  <c r="G34" i="49"/>
  <c r="G42" i="49"/>
  <c r="AJ26" i="51"/>
  <c r="E57" i="52"/>
  <c r="AK26" i="52"/>
  <c r="AJ10" i="51"/>
  <c r="G47" i="50"/>
  <c r="AJ12" i="51"/>
  <c r="AK8" i="52"/>
  <c r="AJ13" i="50"/>
  <c r="AJ16" i="46"/>
  <c r="G56" i="51"/>
  <c r="AL37" i="52"/>
  <c r="G20" i="47"/>
  <c r="AJ9" i="51"/>
  <c r="AK28" i="52"/>
  <c r="G21" i="51"/>
  <c r="G24" i="51"/>
  <c r="AL44" i="52"/>
  <c r="E41" i="52"/>
  <c r="AJ33" i="51"/>
  <c r="E19" i="52"/>
  <c r="AJ25" i="50"/>
  <c r="AJ48" i="50"/>
  <c r="AJ11" i="47"/>
  <c r="AJ22" i="50"/>
  <c r="AJ16" i="45"/>
  <c r="G16" i="45"/>
  <c r="G32" i="49"/>
  <c r="AL7" i="7"/>
  <c r="E12" i="51"/>
  <c r="AL13" i="52"/>
  <c r="AJ18" i="51"/>
  <c r="AL10" i="52"/>
  <c r="AJ51" i="51"/>
  <c r="AJ34" i="51"/>
  <c r="AL34" i="52"/>
  <c r="AJ32" i="51"/>
  <c r="G41" i="50"/>
  <c r="G51" i="49"/>
  <c r="AJ41" i="50"/>
  <c r="G9" i="49"/>
  <c r="G13" i="50"/>
  <c r="AJ31" i="50"/>
  <c r="G8" i="47"/>
  <c r="AL42" i="52"/>
  <c r="AK23" i="52"/>
  <c r="AL18" i="52"/>
  <c r="G32" i="51"/>
  <c r="AK38" i="52"/>
  <c r="AJ13" i="51"/>
  <c r="E7" i="52"/>
  <c r="G31" i="51"/>
  <c r="AJ67" i="51"/>
  <c r="G8" i="46"/>
  <c r="AJ28" i="46"/>
  <c r="AJ57" i="50"/>
  <c r="G44" i="50"/>
  <c r="G61" i="47"/>
  <c r="G11" i="47"/>
  <c r="AJ47" i="45"/>
  <c r="AL19" i="52"/>
  <c r="E24" i="52"/>
  <c r="G42" i="50"/>
  <c r="G19" i="51"/>
  <c r="AK47" i="52"/>
  <c r="AJ9" i="50"/>
  <c r="G40" i="49"/>
  <c r="AJ58" i="50"/>
  <c r="G37" i="50"/>
  <c r="AJ41" i="51"/>
  <c r="AJ19" i="51"/>
  <c r="AL23" i="52"/>
  <c r="AJ52" i="50"/>
  <c r="G44" i="46"/>
  <c r="AK39" i="52"/>
  <c r="AK48" i="52"/>
  <c r="G29" i="51"/>
  <c r="AJ60" i="50"/>
  <c r="AJ7" i="51"/>
  <c r="AK12" i="52"/>
  <c r="G15" i="50"/>
  <c r="G35" i="51"/>
  <c r="AJ54" i="50"/>
  <c r="G57" i="50"/>
  <c r="AL24" i="52"/>
  <c r="E56" i="52"/>
  <c r="G30" i="49"/>
  <c r="E8" i="52"/>
  <c r="G14" i="45"/>
  <c r="E34" i="52"/>
  <c r="AJ58" i="51"/>
  <c r="AJ7" i="45"/>
  <c r="G28" i="51"/>
  <c r="AK52" i="52"/>
  <c r="AK27" i="52"/>
  <c r="AK24" i="52"/>
  <c r="AL29" i="52"/>
  <c r="AJ21" i="51"/>
  <c r="AK37" i="52"/>
  <c r="AK51" i="52"/>
  <c r="E40" i="52"/>
  <c r="AL26" i="52"/>
  <c r="G16" i="47"/>
  <c r="G56" i="49"/>
  <c r="AJ40" i="46"/>
  <c r="G21" i="50"/>
  <c r="G36" i="50"/>
  <c r="AJ63" i="50"/>
  <c r="G46" i="49"/>
  <c r="G47" i="51"/>
  <c r="E11" i="52"/>
  <c r="AJ61" i="51"/>
  <c r="G40" i="51"/>
  <c r="AJ38" i="51"/>
  <c r="AL38" i="52"/>
  <c r="E39" i="52"/>
  <c r="E20" i="52"/>
  <c r="AL46" i="52"/>
  <c r="AJ45" i="50"/>
  <c r="G40" i="50"/>
  <c r="G14" i="49"/>
  <c r="AJ36" i="50"/>
  <c r="AJ47" i="50"/>
  <c r="G16" i="50"/>
  <c r="G31" i="49"/>
  <c r="E54" i="52"/>
  <c r="AL17" i="52"/>
  <c r="AJ48" i="51"/>
  <c r="G44" i="51"/>
  <c r="G20" i="51"/>
  <c r="E64" i="52"/>
  <c r="G36" i="51"/>
  <c r="AJ37" i="51"/>
  <c r="AK46" i="52"/>
  <c r="G43" i="50"/>
  <c r="G12" i="46"/>
  <c r="AK20" i="52"/>
  <c r="E55" i="52"/>
  <c r="G19" i="47"/>
  <c r="E23" i="52"/>
  <c r="G63" i="49"/>
  <c r="AJ14" i="51"/>
  <c r="G38" i="51"/>
  <c r="AJ34" i="50"/>
  <c r="AL45" i="52"/>
  <c r="G21" i="49"/>
  <c r="AJ45" i="51"/>
  <c r="G20" i="49"/>
  <c r="AL39" i="52"/>
  <c r="G11" i="46"/>
  <c r="AJ43" i="51"/>
  <c r="G25" i="51"/>
  <c r="AK34" i="52"/>
  <c r="AL41" i="52"/>
  <c r="AL31" i="52"/>
  <c r="AK22" i="52"/>
  <c r="G52" i="51"/>
  <c r="E51" i="52"/>
  <c r="AL63" i="52"/>
  <c r="AK19" i="52"/>
  <c r="G47" i="49"/>
  <c r="G56" i="50"/>
  <c r="G58" i="50"/>
  <c r="G22" i="50"/>
  <c r="AJ42" i="50"/>
  <c r="G29" i="49"/>
  <c r="G14" i="46"/>
  <c r="E30" i="52"/>
  <c r="AL35" i="52"/>
  <c r="G30" i="51"/>
  <c r="E16" i="52"/>
  <c r="AJ47" i="51"/>
  <c r="G10" i="51"/>
  <c r="AL55" i="52"/>
  <c r="AJ57" i="51"/>
  <c r="G18" i="50"/>
  <c r="G8" i="45"/>
  <c r="AJ10" i="47"/>
  <c r="G49" i="49"/>
  <c r="AJ23" i="46"/>
  <c r="G62" i="49"/>
  <c r="G10" i="46"/>
  <c r="AJ40" i="50"/>
  <c r="AK18" i="52"/>
  <c r="AL16" i="52"/>
  <c r="E7" i="51"/>
  <c r="E9" i="52"/>
  <c r="AL54" i="52"/>
  <c r="AJ20" i="51"/>
  <c r="AJ59" i="51"/>
  <c r="AK53" i="52"/>
  <c r="G8" i="51"/>
  <c r="AJ25" i="46"/>
  <c r="AJ31" i="46"/>
  <c r="G63" i="47"/>
  <c r="G58" i="49"/>
  <c r="AJ42" i="45"/>
  <c r="G43" i="49"/>
  <c r="AJ11" i="45"/>
  <c r="AK31" i="52"/>
  <c r="G33" i="51"/>
  <c r="G48" i="49"/>
  <c r="G20" i="50"/>
  <c r="AK7" i="52"/>
  <c r="E45" i="52"/>
  <c r="G62" i="51"/>
  <c r="E15" i="52"/>
  <c r="G46" i="50"/>
  <c r="E43" i="52"/>
  <c r="AJ61" i="50"/>
  <c r="G54" i="51"/>
  <c r="AJ30" i="51"/>
  <c r="G27" i="49"/>
  <c r="G55" i="50"/>
  <c r="AK30" i="52"/>
  <c r="AK15" i="52"/>
  <c r="AK61" i="52"/>
  <c r="AL30" i="52"/>
  <c r="AJ24" i="51"/>
  <c r="E35" i="52"/>
  <c r="AJ11" i="51"/>
  <c r="G18" i="51"/>
  <c r="G22" i="51"/>
  <c r="AJ48" i="46"/>
  <c r="AJ53" i="50"/>
  <c r="G29" i="50"/>
  <c r="AJ15" i="50"/>
  <c r="AJ62" i="50"/>
  <c r="AJ35" i="50"/>
  <c r="G9" i="45"/>
  <c r="G26" i="51"/>
  <c r="G49" i="51"/>
  <c r="E32" i="52"/>
  <c r="E31" i="52"/>
  <c r="AK56" i="52"/>
  <c r="AL47" i="52"/>
  <c r="AJ15" i="51"/>
  <c r="AJ22" i="51"/>
  <c r="AK41" i="52"/>
  <c r="G13" i="47"/>
  <c r="AJ28" i="50"/>
  <c r="AJ50" i="46"/>
  <c r="AJ44" i="50"/>
  <c r="G18" i="49"/>
  <c r="G25" i="49"/>
  <c r="G13" i="46"/>
  <c r="AK40" i="52"/>
  <c r="G48" i="51"/>
  <c r="E13" i="52"/>
  <c r="AJ8" i="51"/>
  <c r="AL64" i="52"/>
  <c r="AK10" i="52"/>
  <c r="G13" i="51"/>
  <c r="AL21" i="52"/>
  <c r="G23" i="51"/>
  <c r="G12" i="49"/>
  <c r="G45" i="50"/>
  <c r="G12" i="47"/>
  <c r="G34" i="45"/>
  <c r="G50" i="49"/>
  <c r="AJ67" i="50"/>
  <c r="G35" i="50"/>
  <c r="AK32" i="52"/>
  <c r="E18" i="52"/>
  <c r="AL62" i="52"/>
  <c r="G57" i="51"/>
  <c r="AK50" i="52"/>
  <c r="AK44" i="52"/>
  <c r="E25" i="52"/>
  <c r="AL50" i="52"/>
  <c r="AL22" i="52"/>
  <c r="AJ11" i="50"/>
  <c r="G7" i="45"/>
  <c r="G53" i="49"/>
  <c r="G50" i="50"/>
  <c r="G12" i="45"/>
  <c r="G44" i="49"/>
  <c r="AO21" i="7"/>
  <c r="AJ42" i="51"/>
  <c r="G53" i="50"/>
  <c r="G57" i="49"/>
  <c r="AK25" i="52"/>
  <c r="AJ50" i="51"/>
  <c r="AJ28" i="45"/>
  <c r="G22" i="49"/>
  <c r="E53" i="52"/>
  <c r="G59" i="49"/>
  <c r="AJ53" i="51"/>
  <c r="E21" i="52"/>
  <c r="G31" i="50"/>
  <c r="AU31" i="7"/>
  <c r="E15" i="51"/>
  <c r="AJ37" i="50"/>
  <c r="G13" i="49"/>
  <c r="E37" i="52"/>
  <c r="AJ46" i="50"/>
  <c r="G14" i="51"/>
  <c r="G55" i="49"/>
  <c r="E42" i="52"/>
  <c r="AJ14" i="50"/>
  <c r="E22" i="52"/>
  <c r="G63" i="51"/>
  <c r="AJ24" i="45"/>
  <c r="E12" i="52"/>
  <c r="G66" i="47"/>
  <c r="AJ50" i="50"/>
  <c r="G45" i="51"/>
  <c r="AJ18" i="50"/>
  <c r="G34" i="51"/>
  <c r="G15" i="49"/>
  <c r="G17" i="45"/>
  <c r="AL20" i="52"/>
  <c r="AO31" i="7"/>
  <c r="G27" i="47"/>
  <c r="AJ49" i="50"/>
  <c r="G11" i="49"/>
  <c r="AJ66" i="51"/>
  <c r="G17" i="50"/>
  <c r="AL49" i="52"/>
  <c r="AJ26" i="50"/>
  <c r="E46" i="52"/>
  <c r="E36" i="52"/>
  <c r="G36" i="49"/>
  <c r="AK35" i="52"/>
  <c r="G9" i="47"/>
  <c r="AJ55" i="45"/>
  <c r="AJ39" i="50"/>
  <c r="AK57" i="52"/>
  <c r="AJ31" i="51"/>
  <c r="G9" i="51"/>
  <c r="G19" i="49"/>
  <c r="AJ39" i="51"/>
  <c r="E44" i="52"/>
  <c r="AL28" i="52"/>
  <c r="G53" i="51"/>
  <c r="E47" i="52"/>
  <c r="AJ16" i="51"/>
  <c r="AJ32" i="46"/>
  <c r="AK45" i="52"/>
  <c r="G64" i="47"/>
  <c r="E28" i="52"/>
  <c r="G28" i="49"/>
  <c r="G27" i="51"/>
  <c r="G48" i="50"/>
  <c r="AY55" i="34" l="1"/>
  <c r="C79" i="46"/>
  <c r="C79" i="47"/>
  <c r="M11" i="47"/>
  <c r="AY37" i="46"/>
  <c r="AY15" i="46"/>
  <c r="AY25" i="34"/>
  <c r="AK60" i="50"/>
  <c r="AM60" i="50" s="1"/>
  <c r="AL60" i="50"/>
  <c r="AH22" i="52"/>
  <c r="AG22" i="52"/>
  <c r="AM47" i="52"/>
  <c r="AH53" i="52"/>
  <c r="AG53" i="52"/>
  <c r="AM29" i="52"/>
  <c r="AG50" i="52"/>
  <c r="AH50" i="52"/>
  <c r="AM8" i="52"/>
  <c r="AM17" i="52"/>
  <c r="AG33" i="52"/>
  <c r="AH33" i="52"/>
  <c r="AG39" i="52"/>
  <c r="AH39" i="52"/>
  <c r="AM36" i="52"/>
  <c r="AG40" i="52"/>
  <c r="AH40" i="52"/>
  <c r="AM44" i="52"/>
  <c r="AM42" i="52"/>
  <c r="AM48" i="52"/>
  <c r="AG23" i="52"/>
  <c r="AH23" i="52"/>
  <c r="AG57" i="52"/>
  <c r="AH57" i="52"/>
  <c r="AM50" i="52"/>
  <c r="AG48" i="52"/>
  <c r="AH48" i="52"/>
  <c r="AG7" i="52"/>
  <c r="AH7" i="52"/>
  <c r="AH49" i="52"/>
  <c r="AG49" i="52"/>
  <c r="AM63" i="52"/>
  <c r="AG62" i="52"/>
  <c r="AH62" i="52"/>
  <c r="AL66" i="51"/>
  <c r="AK66" i="51"/>
  <c r="AM66" i="51" s="1"/>
  <c r="AM31" i="52"/>
  <c r="AG19" i="52"/>
  <c r="AH19" i="52"/>
  <c r="AM32" i="52"/>
  <c r="AG20" i="52"/>
  <c r="AH20" i="52"/>
  <c r="AM39" i="52"/>
  <c r="AM20" i="52"/>
  <c r="AK67" i="50"/>
  <c r="AM67" i="50" s="1"/>
  <c r="AL67" i="50"/>
  <c r="AL61" i="50"/>
  <c r="AK61" i="50"/>
  <c r="AM61" i="50" s="1"/>
  <c r="AK66" i="50"/>
  <c r="AM66" i="50" s="1"/>
  <c r="AL66" i="50"/>
  <c r="AL59" i="50"/>
  <c r="AK59" i="50"/>
  <c r="AM59" i="50" s="1"/>
  <c r="AM46" i="52"/>
  <c r="AL67" i="51"/>
  <c r="AK67" i="51"/>
  <c r="AM67" i="51" s="1"/>
  <c r="AG21" i="52"/>
  <c r="AH21" i="52"/>
  <c r="AM53" i="52"/>
  <c r="AM55" i="52"/>
  <c r="AL59" i="51"/>
  <c r="AK59" i="51"/>
  <c r="AM59" i="51" s="1"/>
  <c r="R16" i="52" a="1"/>
  <c r="R16" i="52" s="1"/>
  <c r="R11" i="52"/>
  <c r="R13" i="52"/>
  <c r="S13" i="52" s="1"/>
  <c r="O16" i="52" a="1"/>
  <c r="O16" i="52" s="1"/>
  <c r="R10" i="52"/>
  <c r="O9" i="52"/>
  <c r="O10" i="52"/>
  <c r="U12" i="52"/>
  <c r="R12" i="52"/>
  <c r="U9" i="52"/>
  <c r="V9" i="52" s="1"/>
  <c r="R8" i="52"/>
  <c r="R9" i="52"/>
  <c r="O8" i="52"/>
  <c r="O11" i="52"/>
  <c r="U13" i="52"/>
  <c r="V13" i="52" s="1"/>
  <c r="U10" i="52"/>
  <c r="U16" i="52" a="1"/>
  <c r="U16" i="52" s="1"/>
  <c r="U8" i="52"/>
  <c r="V8" i="52" s="1"/>
  <c r="O13" i="52"/>
  <c r="U11" i="52"/>
  <c r="V11" i="52" s="1"/>
  <c r="O12" i="52"/>
  <c r="AM64" i="52"/>
  <c r="AM10" i="52"/>
  <c r="AG56" i="52"/>
  <c r="AH56" i="52"/>
  <c r="AG54" i="52"/>
  <c r="AH54" i="52"/>
  <c r="AM38" i="52"/>
  <c r="AG12" i="52"/>
  <c r="AH12" i="52"/>
  <c r="AH15" i="52"/>
  <c r="AG15" i="52"/>
  <c r="AG24" i="52"/>
  <c r="AH24" i="52"/>
  <c r="AM35" i="52"/>
  <c r="AH18" i="52"/>
  <c r="AG18" i="52"/>
  <c r="AK65" i="51"/>
  <c r="AM65" i="51" s="1"/>
  <c r="AL65" i="51"/>
  <c r="AM26" i="52"/>
  <c r="AG16" i="52"/>
  <c r="AH16" i="52"/>
  <c r="AH17" i="52"/>
  <c r="AG17" i="52"/>
  <c r="AM23" i="52"/>
  <c r="AM14" i="52"/>
  <c r="AM40" i="52"/>
  <c r="AM18" i="52"/>
  <c r="AH42" i="52"/>
  <c r="AG42" i="52"/>
  <c r="AK65" i="50"/>
  <c r="AM65" i="50" s="1"/>
  <c r="AL65" i="50"/>
  <c r="AM41" i="52"/>
  <c r="AM57" i="52"/>
  <c r="AG46" i="52"/>
  <c r="AH46" i="52"/>
  <c r="AH34" i="52"/>
  <c r="AG34" i="52"/>
  <c r="AM49" i="52"/>
  <c r="AM16" i="52"/>
  <c r="AG55" i="52"/>
  <c r="AH55" i="52"/>
  <c r="AG32" i="52"/>
  <c r="AH32" i="52"/>
  <c r="AH47" i="52"/>
  <c r="AG47" i="52"/>
  <c r="AH45" i="52"/>
  <c r="AG45" i="52"/>
  <c r="AH38" i="52"/>
  <c r="AG38" i="52"/>
  <c r="AM56" i="52"/>
  <c r="AM45" i="52"/>
  <c r="AH10" i="52"/>
  <c r="AG10" i="52"/>
  <c r="AM21" i="52"/>
  <c r="AG25" i="52"/>
  <c r="AH25" i="52"/>
  <c r="AH8" i="52"/>
  <c r="AG8" i="52"/>
  <c r="AL61" i="51"/>
  <c r="AK61" i="51"/>
  <c r="AM61" i="51" s="1"/>
  <c r="AG13" i="52"/>
  <c r="AH13" i="52"/>
  <c r="AL60" i="51"/>
  <c r="AK60" i="51"/>
  <c r="AM60" i="51" s="1"/>
  <c r="AM9" i="52"/>
  <c r="AH28" i="52"/>
  <c r="AG28" i="52"/>
  <c r="AM25" i="52"/>
  <c r="AG35" i="52"/>
  <c r="AH35" i="52"/>
  <c r="AM13" i="52"/>
  <c r="AM54" i="52"/>
  <c r="AM12" i="52"/>
  <c r="AM19" i="52"/>
  <c r="AG26" i="52"/>
  <c r="AH26" i="52"/>
  <c r="AM43" i="52"/>
  <c r="AG9" i="52"/>
  <c r="AH9" i="52"/>
  <c r="AH27" i="52"/>
  <c r="AG27" i="52"/>
  <c r="AM51" i="52"/>
  <c r="AM62" i="52"/>
  <c r="AG37" i="52"/>
  <c r="AH37" i="52"/>
  <c r="AM37" i="52"/>
  <c r="AH44" i="52"/>
  <c r="AG44" i="52"/>
  <c r="AH52" i="52"/>
  <c r="AG52" i="52"/>
  <c r="AG61" i="52"/>
  <c r="AH61" i="52"/>
  <c r="AH36" i="52"/>
  <c r="AG36" i="52"/>
  <c r="AM22" i="52"/>
  <c r="AH43" i="52"/>
  <c r="AG43" i="52"/>
  <c r="AM33" i="52"/>
  <c r="AG30" i="52"/>
  <c r="AH30" i="52"/>
  <c r="AG31" i="52"/>
  <c r="AH31" i="52"/>
  <c r="AG29" i="52"/>
  <c r="AH29" i="52"/>
  <c r="AH14" i="52"/>
  <c r="AG14" i="52"/>
  <c r="AM61" i="52"/>
  <c r="AG51" i="52"/>
  <c r="AH51" i="52"/>
  <c r="AM7" i="52"/>
  <c r="AG41" i="52"/>
  <c r="AH41" i="52"/>
  <c r="AM24" i="52"/>
  <c r="AM28" i="52"/>
  <c r="AM15" i="52"/>
  <c r="AM34" i="52"/>
  <c r="AM27" i="52"/>
  <c r="AM30" i="52"/>
  <c r="AM52" i="52"/>
  <c r="BI23" i="7"/>
  <c r="BE23" i="7"/>
  <c r="BI13" i="7"/>
  <c r="BE13" i="7"/>
  <c r="BI33" i="7"/>
  <c r="BE33" i="7"/>
  <c r="BC23" i="56"/>
  <c r="BD22" i="56"/>
  <c r="BI21" i="56"/>
  <c r="BH21" i="56"/>
  <c r="BG21" i="56"/>
  <c r="BF21" i="56"/>
  <c r="BF21" i="55"/>
  <c r="BI21" i="55"/>
  <c r="BH21" i="55"/>
  <c r="BG21" i="55"/>
  <c r="BC23" i="55"/>
  <c r="BD22" i="55"/>
  <c r="BH19" i="54"/>
  <c r="BF19" i="54"/>
  <c r="BG19" i="54"/>
  <c r="BI19" i="54"/>
  <c r="BD20" i="54"/>
  <c r="BC21" i="54"/>
  <c r="BH9" i="50"/>
  <c r="BG13" i="7"/>
  <c r="BG33" i="7"/>
  <c r="BG23" i="7"/>
  <c r="AZ14" i="7"/>
  <c r="BE14" i="7" s="1"/>
  <c r="BI13" i="52"/>
  <c r="BH13" i="52"/>
  <c r="BG13" i="52"/>
  <c r="BF13" i="52"/>
  <c r="BC15" i="52"/>
  <c r="BD14" i="52"/>
  <c r="BF9" i="50"/>
  <c r="BG9" i="50"/>
  <c r="BC15" i="51"/>
  <c r="BD14" i="51"/>
  <c r="BI13" i="51"/>
  <c r="BF13" i="51"/>
  <c r="BH13" i="51"/>
  <c r="BG13" i="51"/>
  <c r="BG7" i="50"/>
  <c r="BF7" i="50"/>
  <c r="BI7" i="50"/>
  <c r="BH7" i="50"/>
  <c r="BG10" i="50"/>
  <c r="BF10" i="50"/>
  <c r="BH10" i="50"/>
  <c r="BI10" i="50"/>
  <c r="BC12" i="50"/>
  <c r="BD11" i="50"/>
  <c r="BG8" i="50"/>
  <c r="BF8" i="50"/>
  <c r="BI8" i="50"/>
  <c r="BH8" i="50"/>
  <c r="BD9" i="49"/>
  <c r="BD7" i="49"/>
  <c r="BD8" i="49"/>
  <c r="BD11" i="49"/>
  <c r="BD10" i="49"/>
  <c r="BD12" i="49"/>
  <c r="BD13" i="49"/>
  <c r="BD14" i="49"/>
  <c r="BC15" i="49"/>
  <c r="BC13" i="7"/>
  <c r="BA13" i="7"/>
  <c r="BC33" i="7"/>
  <c r="BA33" i="7"/>
  <c r="AZ34" i="7"/>
  <c r="BC23" i="7"/>
  <c r="BA23" i="7"/>
  <c r="AZ24" i="7"/>
  <c r="AY50" i="45"/>
  <c r="AY43" i="40"/>
  <c r="AY38" i="43"/>
  <c r="AY61" i="43"/>
  <c r="AY49" i="43"/>
  <c r="AY10" i="43"/>
  <c r="AY25" i="43"/>
  <c r="AY46" i="43"/>
  <c r="AY8" i="43"/>
  <c r="AY54" i="43"/>
  <c r="AY58" i="43"/>
  <c r="AY26" i="43"/>
  <c r="AY57" i="43"/>
  <c r="AY24" i="43"/>
  <c r="AY48" i="43"/>
  <c r="AY28" i="43"/>
  <c r="AY55" i="43"/>
  <c r="AY37" i="43"/>
  <c r="AY62" i="43"/>
  <c r="AY32" i="43"/>
  <c r="AY12" i="43"/>
  <c r="AY33" i="43"/>
  <c r="AY35" i="43"/>
  <c r="AY41" i="43"/>
  <c r="AY60" i="43"/>
  <c r="AY40" i="43"/>
  <c r="BC10" i="43"/>
  <c r="AY14" i="43"/>
  <c r="AY43" i="43"/>
  <c r="AY53" i="43"/>
  <c r="AY39" i="43"/>
  <c r="AY52" i="43"/>
  <c r="AY18" i="43"/>
  <c r="AY34" i="43"/>
  <c r="AY21" i="43"/>
  <c r="AY11" i="43"/>
  <c r="AY51" i="43"/>
  <c r="AY7" i="43"/>
  <c r="AY30" i="43"/>
  <c r="AY19" i="43"/>
  <c r="AY13" i="43"/>
  <c r="AY17" i="43"/>
  <c r="AY45" i="43"/>
  <c r="AY47" i="43"/>
  <c r="AY31" i="43"/>
  <c r="AY56" i="43"/>
  <c r="AY36" i="43"/>
  <c r="AY63" i="43"/>
  <c r="AY27" i="43"/>
  <c r="AY29" i="43"/>
  <c r="AY15" i="43"/>
  <c r="AY20" i="43"/>
  <c r="AY9" i="43"/>
  <c r="AY59" i="43"/>
  <c r="AY42" i="43"/>
  <c r="AY22" i="43"/>
  <c r="AY16" i="43"/>
  <c r="AY50" i="43"/>
  <c r="AY44" i="43"/>
  <c r="AY23" i="43"/>
  <c r="AY24" i="40"/>
  <c r="AY18" i="40"/>
  <c r="AY58" i="40"/>
  <c r="AY34" i="40"/>
  <c r="AY16" i="40"/>
  <c r="AY60" i="40"/>
  <c r="AY40" i="40"/>
  <c r="AY46" i="40"/>
  <c r="AY52" i="40"/>
  <c r="AY10" i="40"/>
  <c r="AY56" i="40"/>
  <c r="AY38" i="40"/>
  <c r="AY42" i="40"/>
  <c r="AY62" i="40"/>
  <c r="AY31" i="40"/>
  <c r="AY33" i="40"/>
  <c r="AY48" i="40"/>
  <c r="AY32" i="40"/>
  <c r="AY55" i="40"/>
  <c r="AY41" i="40"/>
  <c r="AY57" i="40"/>
  <c r="AY39" i="40"/>
  <c r="AY59" i="40"/>
  <c r="AY25" i="40"/>
  <c r="AY23" i="40"/>
  <c r="AY47" i="40"/>
  <c r="AY30" i="40"/>
  <c r="AY63" i="40"/>
  <c r="AY15" i="40"/>
  <c r="AY13" i="40"/>
  <c r="AY45" i="40"/>
  <c r="AY50" i="40"/>
  <c r="AY22" i="40"/>
  <c r="AY49" i="40"/>
  <c r="AY27" i="40"/>
  <c r="AY11" i="40"/>
  <c r="AY20" i="40"/>
  <c r="AY8" i="40"/>
  <c r="AY14" i="40"/>
  <c r="AY37" i="40"/>
  <c r="AY54" i="40"/>
  <c r="AY35" i="40"/>
  <c r="AY17" i="40"/>
  <c r="AY44" i="40"/>
  <c r="AY26" i="40"/>
  <c r="AY53" i="40"/>
  <c r="AY36" i="40"/>
  <c r="AY28" i="40"/>
  <c r="AY51" i="40"/>
  <c r="AY7" i="40"/>
  <c r="AY61" i="40"/>
  <c r="AY21" i="40"/>
  <c r="BC10" i="40"/>
  <c r="AY19" i="40"/>
  <c r="AY12" i="40"/>
  <c r="AY29" i="40"/>
  <c r="AY9" i="40"/>
  <c r="AY59" i="34"/>
  <c r="AY12" i="34"/>
  <c r="AY46" i="34"/>
  <c r="AY26" i="34"/>
  <c r="AY19" i="34"/>
  <c r="AY27" i="34"/>
  <c r="AY47" i="34"/>
  <c r="AY53" i="34"/>
  <c r="AY42" i="34"/>
  <c r="AY37" i="34"/>
  <c r="AY18" i="34"/>
  <c r="AY49" i="34"/>
  <c r="AY50" i="34"/>
  <c r="AY52" i="34"/>
  <c r="AY29" i="34"/>
  <c r="AY14" i="34"/>
  <c r="AY60" i="34"/>
  <c r="AY51" i="34"/>
  <c r="AY24" i="34"/>
  <c r="AY57" i="34"/>
  <c r="AY54" i="34"/>
  <c r="AY16" i="34"/>
  <c r="AY56" i="34"/>
  <c r="AY58" i="34"/>
  <c r="AY45" i="34"/>
  <c r="AY32" i="34"/>
  <c r="AY15" i="34"/>
  <c r="BC9" i="34"/>
  <c r="AY48" i="34"/>
  <c r="AY63" i="34"/>
  <c r="AY61" i="34"/>
  <c r="AY40" i="34"/>
  <c r="AY17" i="34"/>
  <c r="AY31" i="34"/>
  <c r="AY39" i="34"/>
  <c r="AY13" i="34"/>
  <c r="AY7" i="34"/>
  <c r="AY28" i="34"/>
  <c r="AY23" i="34"/>
  <c r="AY30" i="34"/>
  <c r="AY41" i="34"/>
  <c r="AY36" i="34"/>
  <c r="AY38" i="34"/>
  <c r="AY11" i="34"/>
  <c r="AY44" i="34"/>
  <c r="AY10" i="34"/>
  <c r="AY33" i="34"/>
  <c r="AY62" i="34"/>
  <c r="AY43" i="34"/>
  <c r="AY20" i="34"/>
  <c r="AY34" i="34"/>
  <c r="AY21" i="34"/>
  <c r="AY9" i="34"/>
  <c r="AY35" i="34"/>
  <c r="AY22" i="34"/>
  <c r="AY8" i="34"/>
  <c r="AY15" i="45"/>
  <c r="AY46" i="45"/>
  <c r="AY57" i="45"/>
  <c r="AY55" i="45"/>
  <c r="AY40" i="45"/>
  <c r="AY34" i="45"/>
  <c r="AY47" i="45"/>
  <c r="AY43" i="45"/>
  <c r="AY7" i="45"/>
  <c r="AY8" i="45"/>
  <c r="AY60" i="45"/>
  <c r="AY48" i="45"/>
  <c r="AY32" i="45"/>
  <c r="AY51" i="45"/>
  <c r="AY58" i="45"/>
  <c r="AY11" i="45"/>
  <c r="AY17" i="45"/>
  <c r="AY62" i="45"/>
  <c r="AY38" i="45"/>
  <c r="AY33" i="45"/>
  <c r="AY28" i="45"/>
  <c r="BC10" i="45"/>
  <c r="AY16" i="45"/>
  <c r="AY49" i="45"/>
  <c r="AY22" i="45"/>
  <c r="AY56" i="45"/>
  <c r="AY39" i="45"/>
  <c r="AY26" i="45"/>
  <c r="AY53" i="45"/>
  <c r="AY23" i="45"/>
  <c r="AY45" i="45"/>
  <c r="AY41" i="45"/>
  <c r="AY30" i="45"/>
  <c r="AY42" i="45"/>
  <c r="AY12" i="45"/>
  <c r="AY21" i="45"/>
  <c r="AY29" i="45"/>
  <c r="AY10" i="45"/>
  <c r="AY36" i="45"/>
  <c r="AY37" i="45"/>
  <c r="AY24" i="45"/>
  <c r="AY14" i="45"/>
  <c r="AY59" i="45"/>
  <c r="AY25" i="45"/>
  <c r="AY18" i="45"/>
  <c r="AY61" i="45"/>
  <c r="AY35" i="45"/>
  <c r="AY27" i="45"/>
  <c r="AY31" i="45"/>
  <c r="AY52" i="45"/>
  <c r="AY63" i="45"/>
  <c r="AY9" i="45"/>
  <c r="AY19" i="45"/>
  <c r="AY13" i="45"/>
  <c r="AY44" i="45"/>
  <c r="AY54" i="45"/>
  <c r="AY20" i="45"/>
  <c r="AY38" i="46"/>
  <c r="AY46" i="46"/>
  <c r="AY32" i="46"/>
  <c r="AY39" i="46"/>
  <c r="AY22" i="46"/>
  <c r="AY48" i="46"/>
  <c r="AY63" i="46"/>
  <c r="AY35" i="46"/>
  <c r="AY26" i="46"/>
  <c r="AY47" i="46"/>
  <c r="AY30" i="46"/>
  <c r="AY23" i="46"/>
  <c r="AY28" i="46"/>
  <c r="AY53" i="46"/>
  <c r="AY40" i="46"/>
  <c r="AY8" i="46"/>
  <c r="AY50" i="46"/>
  <c r="AY45" i="46"/>
  <c r="AY33" i="46"/>
  <c r="AY25" i="46"/>
  <c r="AY19" i="46"/>
  <c r="AY11" i="46"/>
  <c r="AY58" i="46"/>
  <c r="AY43" i="46"/>
  <c r="AY36" i="46"/>
  <c r="AY59" i="46"/>
  <c r="AY20" i="46"/>
  <c r="AY16" i="46"/>
  <c r="AY21" i="46"/>
  <c r="AY42" i="46"/>
  <c r="AY52" i="46"/>
  <c r="AY13" i="46"/>
  <c r="AY51" i="46"/>
  <c r="AY44" i="46"/>
  <c r="AY14" i="46"/>
  <c r="AY17" i="46"/>
  <c r="AY56" i="46"/>
  <c r="AY60" i="46"/>
  <c r="AY18" i="46"/>
  <c r="BC10" i="46"/>
  <c r="AY57" i="46"/>
  <c r="AY61" i="46"/>
  <c r="AY7" i="46"/>
  <c r="AY34" i="46"/>
  <c r="AY54" i="46"/>
  <c r="AY55" i="46"/>
  <c r="AY49" i="46"/>
  <c r="AY24" i="46"/>
  <c r="AY41" i="46"/>
  <c r="AY27" i="46"/>
  <c r="AY10" i="46"/>
  <c r="AY29" i="46"/>
  <c r="AY62" i="46"/>
  <c r="AY31" i="46"/>
  <c r="AY12" i="46"/>
  <c r="AY9" i="46"/>
  <c r="AY47" i="47"/>
  <c r="AY57" i="47"/>
  <c r="AY41" i="47"/>
  <c r="AY25" i="47"/>
  <c r="AY35" i="47"/>
  <c r="AY40" i="47"/>
  <c r="AY24" i="47"/>
  <c r="AY8" i="47"/>
  <c r="AY39" i="47"/>
  <c r="AY53" i="47"/>
  <c r="AY37" i="47"/>
  <c r="AY31" i="47"/>
  <c r="AY63" i="47"/>
  <c r="AY56" i="47"/>
  <c r="AY62" i="47"/>
  <c r="AY26" i="47"/>
  <c r="AY20" i="47"/>
  <c r="AY11" i="47"/>
  <c r="AY58" i="47"/>
  <c r="AY16" i="47"/>
  <c r="AY29" i="47"/>
  <c r="AY9" i="47"/>
  <c r="AY60" i="47"/>
  <c r="AY22" i="47"/>
  <c r="AY17" i="47"/>
  <c r="AY61" i="47"/>
  <c r="AY59" i="47"/>
  <c r="AY15" i="47"/>
  <c r="AY21" i="47"/>
  <c r="AY42" i="47"/>
  <c r="AY13" i="47"/>
  <c r="AY18" i="47"/>
  <c r="AY28" i="47"/>
  <c r="AY7" i="47"/>
  <c r="AY19" i="47"/>
  <c r="AY14" i="47"/>
  <c r="AY44" i="47"/>
  <c r="AY43" i="47"/>
  <c r="AY49" i="47"/>
  <c r="AY33" i="47"/>
  <c r="AY52" i="47"/>
  <c r="AY34" i="47"/>
  <c r="AY36" i="47"/>
  <c r="AY55" i="47"/>
  <c r="AY23" i="47"/>
  <c r="AY46" i="47"/>
  <c r="AY45" i="47"/>
  <c r="AY27" i="47"/>
  <c r="AY48" i="47"/>
  <c r="AY38" i="47"/>
  <c r="AY30" i="47"/>
  <c r="AY54" i="47"/>
  <c r="AY12" i="47"/>
  <c r="AY32" i="47"/>
  <c r="AY50" i="47"/>
  <c r="AY51" i="47"/>
  <c r="AY10" i="47"/>
  <c r="BC9" i="47"/>
  <c r="M8" i="47"/>
  <c r="M13" i="47"/>
  <c r="M12" i="47"/>
  <c r="M14" i="47"/>
  <c r="Y14" i="47"/>
  <c r="L5" i="47"/>
  <c r="M10" i="47"/>
  <c r="M9" i="46"/>
  <c r="M13" i="46"/>
  <c r="M12" i="46"/>
  <c r="M11" i="46"/>
  <c r="M14" i="46"/>
  <c r="L5" i="46"/>
  <c r="M10" i="45"/>
  <c r="M9" i="45"/>
  <c r="M8" i="45"/>
  <c r="M12" i="45"/>
  <c r="M14" i="45"/>
  <c r="L5" i="45"/>
  <c r="Y14" i="45"/>
  <c r="C79" i="45"/>
  <c r="M13" i="45"/>
  <c r="A1" i="34"/>
  <c r="A1" i="40"/>
  <c r="A1" i="43"/>
  <c r="AH67" i="43"/>
  <c r="AG67" i="43"/>
  <c r="AF67" i="43"/>
  <c r="AH66" i="43"/>
  <c r="AG66" i="43"/>
  <c r="AF66" i="43"/>
  <c r="AH65" i="43"/>
  <c r="AG65" i="43"/>
  <c r="AF65" i="43"/>
  <c r="AH61" i="43"/>
  <c r="AG61" i="43"/>
  <c r="AF61" i="43"/>
  <c r="AF62" i="43" s="1"/>
  <c r="AF63" i="43" s="1"/>
  <c r="AF64" i="43" s="1"/>
  <c r="G61" i="43"/>
  <c r="AH60" i="43"/>
  <c r="AG60" i="43"/>
  <c r="AF60" i="43"/>
  <c r="G60" i="43"/>
  <c r="L16" i="43" a="1"/>
  <c r="L16" i="43" s="1"/>
  <c r="L13" i="43"/>
  <c r="L12" i="43"/>
  <c r="L11" i="43"/>
  <c r="L10" i="43"/>
  <c r="L9" i="43"/>
  <c r="L8" i="43"/>
  <c r="AF7" i="43"/>
  <c r="AF8" i="43" s="1"/>
  <c r="AF9" i="43" s="1"/>
  <c r="AF10" i="43" s="1"/>
  <c r="AF11" i="43" s="1"/>
  <c r="AF12" i="43" s="1"/>
  <c r="AF13" i="43" s="1"/>
  <c r="AF14" i="43" s="1"/>
  <c r="AF15" i="43" s="1"/>
  <c r="AF16" i="43" s="1"/>
  <c r="AF17" i="43" s="1"/>
  <c r="AF18" i="43" s="1"/>
  <c r="AF19" i="43" s="1"/>
  <c r="AF20" i="43" s="1"/>
  <c r="AF21" i="43" s="1"/>
  <c r="AF22" i="43" s="1"/>
  <c r="AF23" i="43" s="1"/>
  <c r="AF24" i="43" s="1"/>
  <c r="AF25" i="43" s="1"/>
  <c r="AF26" i="43" s="1"/>
  <c r="AF27" i="43" s="1"/>
  <c r="AF28" i="43" s="1"/>
  <c r="AF29" i="43" s="1"/>
  <c r="AF30" i="43" s="1"/>
  <c r="AF31" i="43" s="1"/>
  <c r="AF32" i="43" s="1"/>
  <c r="AF33" i="43" s="1"/>
  <c r="AF34" i="43" s="1"/>
  <c r="AF35" i="43" s="1"/>
  <c r="AF36" i="43" s="1"/>
  <c r="AF37" i="43" s="1"/>
  <c r="AF38" i="43" s="1"/>
  <c r="AF39" i="43" s="1"/>
  <c r="AF40" i="43" s="1"/>
  <c r="AF41" i="43" s="1"/>
  <c r="AF42" i="43" s="1"/>
  <c r="AF43" i="43" s="1"/>
  <c r="AF44" i="43" s="1"/>
  <c r="AF45" i="43" s="1"/>
  <c r="AF46" i="43" s="1"/>
  <c r="AF47" i="43" s="1"/>
  <c r="AF48" i="43" s="1"/>
  <c r="AF49" i="43" s="1"/>
  <c r="AF50" i="43" s="1"/>
  <c r="AF51" i="43" s="1"/>
  <c r="AF52" i="43" s="1"/>
  <c r="AF53" i="43" s="1"/>
  <c r="AF54" i="43" s="1"/>
  <c r="AF55" i="43" s="1"/>
  <c r="AF56" i="43" s="1"/>
  <c r="AF57" i="43" s="1"/>
  <c r="AF58" i="43" s="1"/>
  <c r="AF59" i="43" s="1"/>
  <c r="AK4" i="43"/>
  <c r="AL4" i="43" s="1"/>
  <c r="AL2" i="43" s="1"/>
  <c r="G3" i="43"/>
  <c r="AJ2" i="43"/>
  <c r="E2" i="43"/>
  <c r="E3" i="43" s="1"/>
  <c r="AH67" i="34"/>
  <c r="AG67" i="34"/>
  <c r="AH66" i="34"/>
  <c r="AG66" i="34"/>
  <c r="AH65" i="34"/>
  <c r="AG65" i="34"/>
  <c r="AH61" i="34"/>
  <c r="AG61" i="34"/>
  <c r="AH60" i="34"/>
  <c r="AG60" i="34"/>
  <c r="AK38" i="50"/>
  <c r="AL11" i="50"/>
  <c r="AK17" i="51"/>
  <c r="E44" i="50"/>
  <c r="AL28" i="51"/>
  <c r="AL26" i="50"/>
  <c r="AK54" i="50"/>
  <c r="AL51" i="51"/>
  <c r="AL42" i="50"/>
  <c r="E28" i="50"/>
  <c r="AL7" i="51"/>
  <c r="E50" i="50"/>
  <c r="AK30" i="51"/>
  <c r="E54" i="50"/>
  <c r="E63" i="51"/>
  <c r="AL54" i="51"/>
  <c r="AK41" i="50"/>
  <c r="E11" i="51"/>
  <c r="E49" i="50"/>
  <c r="AK48" i="50"/>
  <c r="AJ7" i="49"/>
  <c r="AJ10" i="49"/>
  <c r="AL38" i="50"/>
  <c r="AK49" i="50"/>
  <c r="E42" i="50"/>
  <c r="AL63" i="51"/>
  <c r="AL48" i="51"/>
  <c r="AK34" i="51"/>
  <c r="AK42" i="50"/>
  <c r="AL35" i="51"/>
  <c r="AJ52" i="49"/>
  <c r="AL30" i="51"/>
  <c r="E23" i="51"/>
  <c r="AL31" i="50"/>
  <c r="E35" i="51"/>
  <c r="AL43" i="51"/>
  <c r="AL33" i="50"/>
  <c r="AK64" i="51"/>
  <c r="E64" i="50"/>
  <c r="E63" i="50"/>
  <c r="E21" i="51"/>
  <c r="AJ57" i="49"/>
  <c r="AK10" i="50"/>
  <c r="AK10" i="51"/>
  <c r="AL32" i="51"/>
  <c r="AK20" i="50"/>
  <c r="AJ32" i="49"/>
  <c r="AJ31" i="49"/>
  <c r="AJ18" i="49"/>
  <c r="AK36" i="51"/>
  <c r="AK8" i="51"/>
  <c r="E24" i="50"/>
  <c r="E11" i="50"/>
  <c r="AK44" i="51"/>
  <c r="AL16" i="50"/>
  <c r="AL57" i="50"/>
  <c r="AL39" i="50"/>
  <c r="AK27" i="51"/>
  <c r="AK25" i="50"/>
  <c r="AJ44" i="49"/>
  <c r="E8" i="50"/>
  <c r="E57" i="51"/>
  <c r="AK26" i="50"/>
  <c r="AL34" i="50"/>
  <c r="AJ42" i="49"/>
  <c r="E45" i="51"/>
  <c r="E62" i="51"/>
  <c r="AL55" i="50"/>
  <c r="E57" i="50"/>
  <c r="AL9" i="51"/>
  <c r="AL17" i="51"/>
  <c r="E14" i="51"/>
  <c r="AL37" i="50"/>
  <c r="AJ67" i="49"/>
  <c r="E48" i="51"/>
  <c r="AL8" i="50"/>
  <c r="E13" i="50"/>
  <c r="AK9" i="51"/>
  <c r="AK11" i="50"/>
  <c r="AK45" i="50"/>
  <c r="AJ46" i="49"/>
  <c r="AL62" i="51"/>
  <c r="E9" i="51"/>
  <c r="AJ54" i="49"/>
  <c r="AK35" i="50"/>
  <c r="AJ41" i="49"/>
  <c r="AK33" i="50"/>
  <c r="E33" i="51"/>
  <c r="AL10" i="51"/>
  <c r="AL32" i="50"/>
  <c r="AL50" i="51"/>
  <c r="E56" i="50"/>
  <c r="E33" i="50"/>
  <c r="E58" i="51"/>
  <c r="AL36" i="50"/>
  <c r="E47" i="51"/>
  <c r="AJ8" i="49"/>
  <c r="E19" i="51"/>
  <c r="AL11" i="51"/>
  <c r="AK57" i="50"/>
  <c r="AL48" i="50"/>
  <c r="AK54" i="51"/>
  <c r="AJ64" i="49"/>
  <c r="AK32" i="50"/>
  <c r="AJ13" i="49"/>
  <c r="E37" i="50"/>
  <c r="E26" i="50"/>
  <c r="AL50" i="50"/>
  <c r="AL9" i="50"/>
  <c r="AL19" i="51"/>
  <c r="AK50" i="50"/>
  <c r="AJ43" i="49"/>
  <c r="AK39" i="50"/>
  <c r="E22" i="51"/>
  <c r="AL21" i="51"/>
  <c r="AL54" i="50"/>
  <c r="AK14" i="51"/>
  <c r="AK19" i="50"/>
  <c r="E31" i="50"/>
  <c r="E25" i="50"/>
  <c r="AK31" i="50"/>
  <c r="AL47" i="51"/>
  <c r="E18" i="51"/>
  <c r="E39" i="51"/>
  <c r="AL56" i="51"/>
  <c r="AK28" i="50"/>
  <c r="E15" i="50"/>
  <c r="AJ59" i="49"/>
  <c r="AL52" i="50"/>
  <c r="AK43" i="50"/>
  <c r="E10" i="51"/>
  <c r="AJ36" i="49"/>
  <c r="AK23" i="51"/>
  <c r="AL44" i="50"/>
  <c r="E43" i="51"/>
  <c r="E13" i="51"/>
  <c r="AL62" i="50"/>
  <c r="AJ35" i="49"/>
  <c r="AL57" i="51"/>
  <c r="AJ55" i="49"/>
  <c r="AJ23" i="49"/>
  <c r="AL13" i="50"/>
  <c r="AJ37" i="49"/>
  <c r="E20" i="50"/>
  <c r="AK18" i="50"/>
  <c r="E64" i="51"/>
  <c r="AK63" i="50"/>
  <c r="AK42" i="51"/>
  <c r="AK52" i="50"/>
  <c r="E44" i="51"/>
  <c r="AK15" i="51"/>
  <c r="AK35" i="51"/>
  <c r="AL7" i="50"/>
  <c r="E26" i="51"/>
  <c r="E12" i="50"/>
  <c r="AK50" i="51"/>
  <c r="AK17" i="50"/>
  <c r="AK52" i="51"/>
  <c r="AL12" i="50"/>
  <c r="AL40" i="51"/>
  <c r="AL10" i="50"/>
  <c r="E46" i="50"/>
  <c r="AK21" i="51"/>
  <c r="AK37" i="51"/>
  <c r="AL25" i="51"/>
  <c r="AL49" i="51"/>
  <c r="AL14" i="51"/>
  <c r="AJ45" i="49"/>
  <c r="E27" i="51"/>
  <c r="AL15" i="51"/>
  <c r="AL42" i="51"/>
  <c r="AK21" i="50"/>
  <c r="AK49" i="51"/>
  <c r="AL45" i="51"/>
  <c r="AK18" i="51"/>
  <c r="AJ48" i="49"/>
  <c r="AL37" i="51"/>
  <c r="AK15" i="50"/>
  <c r="AJ24" i="49"/>
  <c r="AK14" i="50"/>
  <c r="AK55" i="50"/>
  <c r="AL23" i="51"/>
  <c r="AL21" i="50"/>
  <c r="E51" i="51"/>
  <c r="AK47" i="50"/>
  <c r="E18" i="50"/>
  <c r="AK16" i="51"/>
  <c r="AK34" i="50"/>
  <c r="AK33" i="51"/>
  <c r="AK40" i="51"/>
  <c r="AK13" i="50"/>
  <c r="E55" i="51"/>
  <c r="E45" i="50"/>
  <c r="AL20" i="51"/>
  <c r="AL40" i="50"/>
  <c r="E32" i="50"/>
  <c r="AL38" i="51"/>
  <c r="AL24" i="50"/>
  <c r="AL52" i="51"/>
  <c r="AJ50" i="49"/>
  <c r="AJ26" i="49"/>
  <c r="AK29" i="50"/>
  <c r="AK51" i="50"/>
  <c r="AL58" i="50"/>
  <c r="E47" i="50"/>
  <c r="AL47" i="50"/>
  <c r="AK38" i="51"/>
  <c r="AK27" i="50"/>
  <c r="AJ65" i="49"/>
  <c r="AJ40" i="49"/>
  <c r="AL41" i="51"/>
  <c r="AK56" i="51"/>
  <c r="E17" i="50"/>
  <c r="AL63" i="50"/>
  <c r="E38" i="51"/>
  <c r="E54" i="51"/>
  <c r="E36" i="51"/>
  <c r="AL41" i="50"/>
  <c r="AK24" i="50"/>
  <c r="E56" i="51"/>
  <c r="AJ58" i="49"/>
  <c r="AL36" i="51"/>
  <c r="AL29" i="51"/>
  <c r="AK51" i="51"/>
  <c r="E47" i="49"/>
  <c r="AJ39" i="49"/>
  <c r="AJ16" i="49"/>
  <c r="AJ11" i="49"/>
  <c r="AK63" i="51"/>
  <c r="E38" i="50"/>
  <c r="AL24" i="51"/>
  <c r="E8" i="51"/>
  <c r="AL26" i="51"/>
  <c r="AJ61" i="49"/>
  <c r="E49" i="51"/>
  <c r="AL8" i="51"/>
  <c r="AL44" i="51"/>
  <c r="E7" i="50"/>
  <c r="E37" i="51"/>
  <c r="AL55" i="51"/>
  <c r="E15" i="49"/>
  <c r="AL13" i="51"/>
  <c r="AL34" i="51"/>
  <c r="AK40" i="50"/>
  <c r="AL64" i="50"/>
  <c r="AL51" i="50"/>
  <c r="AL12" i="51"/>
  <c r="AK12" i="50"/>
  <c r="AK48" i="51"/>
  <c r="AK44" i="50"/>
  <c r="AK32" i="51"/>
  <c r="AL18" i="51"/>
  <c r="AL22" i="50"/>
  <c r="AK11" i="51"/>
  <c r="E25" i="51"/>
  <c r="AK7" i="50"/>
  <c r="AK19" i="51"/>
  <c r="AL17" i="50"/>
  <c r="AK46" i="51"/>
  <c r="E16" i="50"/>
  <c r="AL45" i="50"/>
  <c r="E50" i="51"/>
  <c r="AL15" i="50"/>
  <c r="AL58" i="51"/>
  <c r="AJ29" i="49"/>
  <c r="AJ60" i="49"/>
  <c r="E48" i="50"/>
  <c r="AK31" i="51"/>
  <c r="AL14" i="50"/>
  <c r="E34" i="50"/>
  <c r="AK56" i="50"/>
  <c r="AL16" i="51"/>
  <c r="E53" i="50"/>
  <c r="AJ53" i="49"/>
  <c r="AJ49" i="49"/>
  <c r="E41" i="51"/>
  <c r="AK13" i="51"/>
  <c r="E40" i="50"/>
  <c r="E36" i="50"/>
  <c r="AK24" i="51"/>
  <c r="E53" i="51"/>
  <c r="AL39" i="51"/>
  <c r="AL23" i="50"/>
  <c r="AK22" i="50"/>
  <c r="AJ27" i="49"/>
  <c r="AJ25" i="49"/>
  <c r="AK12" i="51"/>
  <c r="E9" i="50"/>
  <c r="AK47" i="51"/>
  <c r="AK58" i="51"/>
  <c r="AJ51" i="49"/>
  <c r="AJ19" i="49"/>
  <c r="AJ30" i="49"/>
  <c r="E14" i="50"/>
  <c r="AL64" i="51"/>
  <c r="AK57" i="51"/>
  <c r="AK53" i="50"/>
  <c r="AL53" i="51"/>
  <c r="AL22" i="51"/>
  <c r="AJ14" i="49"/>
  <c r="E31" i="51"/>
  <c r="E35" i="50"/>
  <c r="E55" i="49"/>
  <c r="E52" i="50"/>
  <c r="AJ66" i="49"/>
  <c r="AK20" i="51"/>
  <c r="E46" i="51"/>
  <c r="AK23" i="50"/>
  <c r="AK62" i="50"/>
  <c r="E55" i="50"/>
  <c r="AL29" i="50"/>
  <c r="AK30" i="50"/>
  <c r="AL56" i="50"/>
  <c r="AK37" i="50"/>
  <c r="E23" i="50"/>
  <c r="AK28" i="51"/>
  <c r="E51" i="50"/>
  <c r="E62" i="50"/>
  <c r="AK64" i="50"/>
  <c r="AJ38" i="49"/>
  <c r="E19" i="50"/>
  <c r="AL31" i="51"/>
  <c r="AK41" i="51"/>
  <c r="AK45" i="51"/>
  <c r="AK29" i="51"/>
  <c r="E10" i="50"/>
  <c r="AK62" i="51"/>
  <c r="E28" i="51"/>
  <c r="AL27" i="50"/>
  <c r="E52" i="51"/>
  <c r="AK58" i="50"/>
  <c r="AK9" i="50"/>
  <c r="E16" i="51"/>
  <c r="E39" i="50"/>
  <c r="E20" i="51"/>
  <c r="AL46" i="50"/>
  <c r="AK55" i="51"/>
  <c r="E40" i="51"/>
  <c r="E21" i="50"/>
  <c r="AK43" i="51"/>
  <c r="AJ34" i="49"/>
  <c r="AJ20" i="49"/>
  <c r="AK16" i="50"/>
  <c r="E29" i="51"/>
  <c r="E27" i="50"/>
  <c r="E43" i="50"/>
  <c r="AL28" i="50"/>
  <c r="E30" i="51"/>
  <c r="AL25" i="50"/>
  <c r="AJ12" i="49"/>
  <c r="AJ9" i="49"/>
  <c r="AK53" i="51"/>
  <c r="AL46" i="51"/>
  <c r="E41" i="50"/>
  <c r="E22" i="50"/>
  <c r="AK7" i="51"/>
  <c r="AL18" i="50"/>
  <c r="AK25" i="51"/>
  <c r="E42" i="51"/>
  <c r="AL53" i="50"/>
  <c r="AJ56" i="49"/>
  <c r="AJ22" i="49"/>
  <c r="AL30" i="50"/>
  <c r="AK46" i="50"/>
  <c r="AK26" i="51"/>
  <c r="E24" i="51"/>
  <c r="AJ47" i="49"/>
  <c r="AJ33" i="49"/>
  <c r="AJ62" i="49"/>
  <c r="E17" i="51"/>
  <c r="AL35" i="50"/>
  <c r="AL49" i="50"/>
  <c r="AK39" i="51"/>
  <c r="AL20" i="50"/>
  <c r="E34" i="51"/>
  <c r="AL33" i="51"/>
  <c r="AK8" i="50"/>
  <c r="E29" i="50"/>
  <c r="AK22" i="51"/>
  <c r="AK36" i="50"/>
  <c r="AJ17" i="49"/>
  <c r="AL43" i="50"/>
  <c r="E58" i="50"/>
  <c r="AJ63" i="49"/>
  <c r="E30" i="50"/>
  <c r="AJ15" i="49"/>
  <c r="E32" i="51"/>
  <c r="AJ21" i="49"/>
  <c r="AL27" i="51"/>
  <c r="AL19" i="50"/>
  <c r="E13" i="49"/>
  <c r="AJ28" i="49"/>
  <c r="O14" i="52" l="1"/>
  <c r="P9" i="52" s="1"/>
  <c r="AA13" i="52"/>
  <c r="U14" i="52"/>
  <c r="AM14" i="51"/>
  <c r="AH40" i="51"/>
  <c r="AG40" i="51"/>
  <c r="AM58" i="51"/>
  <c r="AH37" i="50"/>
  <c r="AG37" i="50"/>
  <c r="AM20" i="50"/>
  <c r="AM15" i="50"/>
  <c r="AM35" i="50"/>
  <c r="AM26" i="51"/>
  <c r="AM47" i="51"/>
  <c r="AM51" i="51"/>
  <c r="AG57" i="51"/>
  <c r="AH57" i="51"/>
  <c r="AG32" i="51"/>
  <c r="AH32" i="51"/>
  <c r="AH54" i="50"/>
  <c r="AG54" i="50"/>
  <c r="AM32" i="50"/>
  <c r="AM36" i="50"/>
  <c r="AM46" i="50"/>
  <c r="AH29" i="51"/>
  <c r="AG29" i="51"/>
  <c r="AM10" i="51"/>
  <c r="AG37" i="51"/>
  <c r="AH37" i="51"/>
  <c r="AH12" i="50"/>
  <c r="AG12" i="50"/>
  <c r="AG30" i="50"/>
  <c r="AH30" i="50"/>
  <c r="AM12" i="51"/>
  <c r="AH36" i="51"/>
  <c r="AG36" i="51"/>
  <c r="AG17" i="51"/>
  <c r="AH17" i="51"/>
  <c r="AM10" i="50"/>
  <c r="AM64" i="50"/>
  <c r="AH19" i="50"/>
  <c r="AG19" i="50"/>
  <c r="AH9" i="51"/>
  <c r="AG9" i="51"/>
  <c r="AH21" i="51"/>
  <c r="AG21" i="51"/>
  <c r="AM52" i="51"/>
  <c r="O10" i="50"/>
  <c r="U12" i="50"/>
  <c r="V12" i="50" s="1"/>
  <c r="U16" i="50" a="1"/>
  <c r="U16" i="50" s="1"/>
  <c r="R11" i="50"/>
  <c r="R16" i="50" a="1"/>
  <c r="R16" i="50" s="1"/>
  <c r="O9" i="50"/>
  <c r="R9" i="50"/>
  <c r="R12" i="50"/>
  <c r="U11" i="50"/>
  <c r="V11" i="50" s="1"/>
  <c r="U13" i="50"/>
  <c r="O12" i="50"/>
  <c r="O13" i="50"/>
  <c r="R8" i="50"/>
  <c r="O11" i="50"/>
  <c r="O16" i="50" a="1"/>
  <c r="O16" i="50" s="1"/>
  <c r="U8" i="50"/>
  <c r="V8" i="50" s="1"/>
  <c r="O8" i="50"/>
  <c r="U9" i="50"/>
  <c r="V9" i="50" s="1"/>
  <c r="U10" i="50"/>
  <c r="R13" i="50"/>
  <c r="S13" i="50" s="1"/>
  <c r="R10" i="50"/>
  <c r="AG53" i="50"/>
  <c r="AH53" i="50"/>
  <c r="AM22" i="50"/>
  <c r="AM24" i="50"/>
  <c r="AG62" i="50"/>
  <c r="AH62" i="50"/>
  <c r="AM18" i="51"/>
  <c r="AH27" i="51"/>
  <c r="AG27" i="51"/>
  <c r="AM22" i="51"/>
  <c r="AG23" i="50"/>
  <c r="AH23" i="50"/>
  <c r="AG41" i="50"/>
  <c r="AH41" i="50"/>
  <c r="AM40" i="50"/>
  <c r="AM54" i="51"/>
  <c r="AM25" i="51"/>
  <c r="AG39" i="51"/>
  <c r="AH39" i="51"/>
  <c r="AM64" i="51"/>
  <c r="AH45" i="51"/>
  <c r="AG45" i="51"/>
  <c r="AM17" i="50"/>
  <c r="AG18" i="50"/>
  <c r="AH18" i="50"/>
  <c r="AH55" i="50"/>
  <c r="AG55" i="50"/>
  <c r="AG33" i="50"/>
  <c r="AH33" i="50"/>
  <c r="AH44" i="51"/>
  <c r="AG44" i="51"/>
  <c r="AM7" i="51"/>
  <c r="AM24" i="51"/>
  <c r="AH43" i="51"/>
  <c r="AG43" i="51"/>
  <c r="AG48" i="50"/>
  <c r="AH48" i="50"/>
  <c r="AG63" i="50"/>
  <c r="AH63" i="50"/>
  <c r="AM49" i="51"/>
  <c r="AM50" i="51"/>
  <c r="AH62" i="51"/>
  <c r="AG62" i="51"/>
  <c r="AH44" i="50"/>
  <c r="AG44" i="50"/>
  <c r="AH31" i="50"/>
  <c r="AG31" i="50"/>
  <c r="AM39" i="50"/>
  <c r="AG8" i="51"/>
  <c r="AH8" i="51"/>
  <c r="AH46" i="51"/>
  <c r="AG46" i="51"/>
  <c r="AM13" i="51"/>
  <c r="AM56" i="51"/>
  <c r="AM21" i="50"/>
  <c r="AM57" i="50"/>
  <c r="AM53" i="51"/>
  <c r="AH41" i="51"/>
  <c r="AG41" i="51"/>
  <c r="AM23" i="51"/>
  <c r="AH30" i="51"/>
  <c r="AG30" i="51"/>
  <c r="AM8" i="50"/>
  <c r="AG35" i="51"/>
  <c r="AH35" i="51"/>
  <c r="AG42" i="51"/>
  <c r="AH42" i="51"/>
  <c r="AH11" i="51"/>
  <c r="AG11" i="51"/>
  <c r="AG33" i="51"/>
  <c r="AH33" i="51"/>
  <c r="AH25" i="50"/>
  <c r="AG25" i="50"/>
  <c r="AM27" i="50"/>
  <c r="AH34" i="50"/>
  <c r="AG34" i="50"/>
  <c r="AM42" i="50"/>
  <c r="AM50" i="50"/>
  <c r="AG16" i="51"/>
  <c r="AH16" i="51"/>
  <c r="AM38" i="51"/>
  <c r="AM34" i="51"/>
  <c r="AG15" i="51"/>
  <c r="AH15" i="51"/>
  <c r="AH55" i="51"/>
  <c r="AG55" i="51"/>
  <c r="AM45" i="50"/>
  <c r="AH28" i="50"/>
  <c r="AG28" i="50"/>
  <c r="AM56" i="50"/>
  <c r="AH47" i="50"/>
  <c r="AG47" i="50"/>
  <c r="AM26" i="50"/>
  <c r="AH48" i="51"/>
  <c r="AG48" i="51"/>
  <c r="AM28" i="51"/>
  <c r="AM20" i="51"/>
  <c r="AM43" i="50"/>
  <c r="AH63" i="51"/>
  <c r="AG63" i="51"/>
  <c r="AG19" i="51"/>
  <c r="AH19" i="51"/>
  <c r="AM11" i="50"/>
  <c r="AH14" i="50"/>
  <c r="AG14" i="50"/>
  <c r="AH58" i="50"/>
  <c r="AG58" i="50"/>
  <c r="AM31" i="51"/>
  <c r="AM51" i="50"/>
  <c r="AH52" i="50"/>
  <c r="AG52" i="50"/>
  <c r="AM49" i="50"/>
  <c r="AG9" i="50"/>
  <c r="AH9" i="50"/>
  <c r="AH7" i="50"/>
  <c r="AG7" i="50"/>
  <c r="AH13" i="50"/>
  <c r="AG13" i="50"/>
  <c r="AM16" i="50"/>
  <c r="AM29" i="50"/>
  <c r="AH38" i="50"/>
  <c r="AG38" i="50"/>
  <c r="AG14" i="51"/>
  <c r="AH14" i="51"/>
  <c r="AM35" i="51"/>
  <c r="AM9" i="51"/>
  <c r="AM43" i="51"/>
  <c r="AG58" i="51"/>
  <c r="AH58" i="51"/>
  <c r="AG52" i="51"/>
  <c r="AH52" i="51"/>
  <c r="AM25" i="50"/>
  <c r="AM48" i="50"/>
  <c r="AM37" i="50"/>
  <c r="AG20" i="50"/>
  <c r="AH20" i="50"/>
  <c r="AH15" i="50"/>
  <c r="AG15" i="50"/>
  <c r="AG24" i="50"/>
  <c r="AH24" i="50"/>
  <c r="AG50" i="50"/>
  <c r="AH50" i="50"/>
  <c r="AH26" i="51"/>
  <c r="AG26" i="51"/>
  <c r="AH38" i="51"/>
  <c r="AG38" i="51"/>
  <c r="AM27" i="51"/>
  <c r="AH49" i="51"/>
  <c r="AG49" i="51"/>
  <c r="AM15" i="51"/>
  <c r="AG22" i="51"/>
  <c r="AH22" i="51"/>
  <c r="AM55" i="51"/>
  <c r="AH45" i="50"/>
  <c r="AG45" i="50"/>
  <c r="AM28" i="50"/>
  <c r="AM41" i="50"/>
  <c r="AH56" i="50"/>
  <c r="AG56" i="50"/>
  <c r="AG36" i="50"/>
  <c r="AH36" i="50"/>
  <c r="AH46" i="50"/>
  <c r="AG46" i="50"/>
  <c r="AH40" i="50"/>
  <c r="AG40" i="50"/>
  <c r="AG39" i="50"/>
  <c r="AH39" i="50"/>
  <c r="AG54" i="51"/>
  <c r="AH54" i="51"/>
  <c r="AH25" i="51"/>
  <c r="AG25" i="51"/>
  <c r="AM39" i="51"/>
  <c r="AM46" i="51"/>
  <c r="AG20" i="51"/>
  <c r="AH20" i="51"/>
  <c r="AG56" i="51"/>
  <c r="AH56" i="51"/>
  <c r="AM37" i="51"/>
  <c r="O12" i="51"/>
  <c r="O11" i="51"/>
  <c r="R9" i="51"/>
  <c r="U13" i="51"/>
  <c r="R10" i="51"/>
  <c r="U11" i="51"/>
  <c r="V11" i="51" s="1"/>
  <c r="R16" i="51" a="1"/>
  <c r="R16" i="51" s="1"/>
  <c r="O13" i="51"/>
  <c r="O16" i="51" a="1"/>
  <c r="O16" i="51" s="1"/>
  <c r="O8" i="51"/>
  <c r="U12" i="51"/>
  <c r="V12" i="51" s="1"/>
  <c r="U9" i="51"/>
  <c r="V9" i="51" s="1"/>
  <c r="R11" i="51"/>
  <c r="O10" i="51"/>
  <c r="U16" i="51" a="1"/>
  <c r="U16" i="51" s="1"/>
  <c r="U10" i="51"/>
  <c r="O9" i="51"/>
  <c r="R8" i="51"/>
  <c r="R13" i="51"/>
  <c r="S13" i="51" s="1"/>
  <c r="R12" i="51"/>
  <c r="U8" i="51"/>
  <c r="V8" i="51" s="1"/>
  <c r="AH17" i="50"/>
  <c r="AG17" i="50"/>
  <c r="AG57" i="50"/>
  <c r="AH57" i="50"/>
  <c r="AM30" i="50"/>
  <c r="AG43" i="50"/>
  <c r="AH43" i="50"/>
  <c r="AH53" i="51"/>
  <c r="AG53" i="51"/>
  <c r="AM19" i="51"/>
  <c r="AM30" i="51"/>
  <c r="AM52" i="50"/>
  <c r="AH49" i="50"/>
  <c r="AG49" i="50"/>
  <c r="AM9" i="50"/>
  <c r="AM7" i="50"/>
  <c r="AM13" i="50"/>
  <c r="AG16" i="50"/>
  <c r="AH16" i="50"/>
  <c r="AG29" i="50"/>
  <c r="AH29" i="50"/>
  <c r="AG8" i="50"/>
  <c r="AH8" i="50"/>
  <c r="AM58" i="50"/>
  <c r="AM40" i="51"/>
  <c r="AM44" i="51"/>
  <c r="AH7" i="51"/>
  <c r="AG7" i="51"/>
  <c r="AM21" i="51"/>
  <c r="AM42" i="51"/>
  <c r="AG24" i="51"/>
  <c r="AH24" i="51"/>
  <c r="AM11" i="51"/>
  <c r="AM33" i="51"/>
  <c r="AM53" i="50"/>
  <c r="AG27" i="50"/>
  <c r="AH27" i="50"/>
  <c r="AH22" i="50"/>
  <c r="AG22" i="50"/>
  <c r="AM34" i="50"/>
  <c r="AH42" i="50"/>
  <c r="AG42" i="50"/>
  <c r="AM62" i="50"/>
  <c r="AM63" i="50"/>
  <c r="AH35" i="50"/>
  <c r="AG35" i="50"/>
  <c r="AG18" i="51"/>
  <c r="AH18" i="51"/>
  <c r="AM16" i="51"/>
  <c r="AH47" i="51"/>
  <c r="AG47" i="51"/>
  <c r="AG51" i="51"/>
  <c r="AH51" i="51"/>
  <c r="AH34" i="51"/>
  <c r="AG34" i="51"/>
  <c r="AG50" i="51"/>
  <c r="AH50" i="51"/>
  <c r="AM57" i="51"/>
  <c r="AM62" i="51"/>
  <c r="AM32" i="51"/>
  <c r="AM54" i="50"/>
  <c r="AM23" i="50"/>
  <c r="AG32" i="50"/>
  <c r="AH32" i="50"/>
  <c r="AM44" i="50"/>
  <c r="AM47" i="50"/>
  <c r="AM31" i="50"/>
  <c r="AG26" i="50"/>
  <c r="AH26" i="50"/>
  <c r="AM29" i="51"/>
  <c r="AM48" i="51"/>
  <c r="AM8" i="51"/>
  <c r="AH28" i="51"/>
  <c r="AG28" i="51"/>
  <c r="AH13" i="51"/>
  <c r="AG13" i="51"/>
  <c r="AH10" i="51"/>
  <c r="AG10" i="51"/>
  <c r="AM45" i="51"/>
  <c r="AM12" i="50"/>
  <c r="AG21" i="50"/>
  <c r="AH21" i="50"/>
  <c r="AM18" i="50"/>
  <c r="AM63" i="51"/>
  <c r="AM41" i="51"/>
  <c r="AG12" i="51"/>
  <c r="AH12" i="51"/>
  <c r="AG23" i="51"/>
  <c r="AH23" i="51"/>
  <c r="AM36" i="51"/>
  <c r="AM17" i="51"/>
  <c r="AH31" i="51"/>
  <c r="AG31" i="51"/>
  <c r="AG51" i="50"/>
  <c r="AH51" i="50"/>
  <c r="AM55" i="50"/>
  <c r="AH11" i="50"/>
  <c r="AG11" i="50"/>
  <c r="AG10" i="50"/>
  <c r="AH10" i="50"/>
  <c r="AM33" i="50"/>
  <c r="AM14" i="50"/>
  <c r="AM19" i="50"/>
  <c r="AM38" i="50"/>
  <c r="AA11" i="52"/>
  <c r="AA9" i="52"/>
  <c r="R14" i="52"/>
  <c r="AA10" i="52"/>
  <c r="AA12" i="52"/>
  <c r="AA8" i="52"/>
  <c r="P8" i="52"/>
  <c r="V12" i="52"/>
  <c r="V10" i="52"/>
  <c r="U5" i="52"/>
  <c r="V14" i="52"/>
  <c r="P12" i="52"/>
  <c r="O5" i="52"/>
  <c r="P14" i="52"/>
  <c r="P10" i="52"/>
  <c r="BI34" i="7"/>
  <c r="BE34" i="7"/>
  <c r="BI24" i="7"/>
  <c r="BE24" i="7"/>
  <c r="BC14" i="7"/>
  <c r="BI14" i="7"/>
  <c r="BA14" i="7"/>
  <c r="AZ15" i="7"/>
  <c r="BA15" i="7" s="1"/>
  <c r="BC24" i="56"/>
  <c r="BD23" i="56"/>
  <c r="BF22" i="56"/>
  <c r="BG22" i="56"/>
  <c r="BI22" i="56"/>
  <c r="BH22" i="56"/>
  <c r="BG22" i="55"/>
  <c r="BF22" i="55"/>
  <c r="BI22" i="55"/>
  <c r="BH22" i="55"/>
  <c r="BC24" i="55"/>
  <c r="BD23" i="55"/>
  <c r="BC22" i="54"/>
  <c r="BD21" i="54"/>
  <c r="BI20" i="54"/>
  <c r="BG20" i="54"/>
  <c r="BH20" i="54"/>
  <c r="BF20" i="54"/>
  <c r="BG14" i="7"/>
  <c r="BG34" i="7"/>
  <c r="BG24" i="7"/>
  <c r="BH14" i="52"/>
  <c r="BG14" i="52"/>
  <c r="BI14" i="52"/>
  <c r="BF14" i="52"/>
  <c r="BD15" i="52"/>
  <c r="BC16" i="52"/>
  <c r="BH14" i="51"/>
  <c r="BG14" i="51"/>
  <c r="BI14" i="51"/>
  <c r="BF14" i="51"/>
  <c r="BD15" i="51"/>
  <c r="BC16" i="51"/>
  <c r="AL67" i="49"/>
  <c r="AK67" i="49"/>
  <c r="AM67" i="49" s="1"/>
  <c r="AL60" i="49"/>
  <c r="AK60" i="49"/>
  <c r="AM60" i="49" s="1"/>
  <c r="AK65" i="49"/>
  <c r="AM65" i="49" s="1"/>
  <c r="AL65" i="49"/>
  <c r="AK66" i="49"/>
  <c r="AM66" i="49" s="1"/>
  <c r="AL66" i="49"/>
  <c r="AK61" i="49"/>
  <c r="AM61" i="49" s="1"/>
  <c r="AL61" i="49"/>
  <c r="BG11" i="50"/>
  <c r="BI11" i="50"/>
  <c r="BF11" i="50"/>
  <c r="BH11" i="50"/>
  <c r="BC13" i="50"/>
  <c r="BD12" i="50"/>
  <c r="BI13" i="49"/>
  <c r="BH13" i="49"/>
  <c r="BG13" i="49"/>
  <c r="BF13" i="49"/>
  <c r="BH8" i="49"/>
  <c r="BG8" i="49"/>
  <c r="BF8" i="49"/>
  <c r="BI8" i="49"/>
  <c r="BI12" i="49"/>
  <c r="BF12" i="49"/>
  <c r="BH12" i="49"/>
  <c r="BG12" i="49"/>
  <c r="BH7" i="49"/>
  <c r="BG7" i="49"/>
  <c r="BF7" i="49"/>
  <c r="BI7" i="49"/>
  <c r="BD15" i="49"/>
  <c r="BC16" i="49"/>
  <c r="BH10" i="49"/>
  <c r="BG10" i="49"/>
  <c r="BF10" i="49"/>
  <c r="BI10" i="49"/>
  <c r="BH9" i="49"/>
  <c r="BG9" i="49"/>
  <c r="BF9" i="49"/>
  <c r="BI9" i="49"/>
  <c r="BH14" i="49"/>
  <c r="BF14" i="49"/>
  <c r="BI14" i="49"/>
  <c r="BG14" i="49"/>
  <c r="BH11" i="49"/>
  <c r="BI11" i="49"/>
  <c r="BG11" i="49"/>
  <c r="BF11" i="49"/>
  <c r="BC34" i="7"/>
  <c r="AZ35" i="7"/>
  <c r="BA34" i="7"/>
  <c r="BC24" i="7"/>
  <c r="AZ25" i="7"/>
  <c r="BA24" i="7"/>
  <c r="BD9" i="45"/>
  <c r="BI9" i="45" s="1"/>
  <c r="BD9" i="40"/>
  <c r="BG9" i="40" s="1"/>
  <c r="BD10" i="43"/>
  <c r="BC11" i="43"/>
  <c r="BD7" i="43"/>
  <c r="BD8" i="43"/>
  <c r="BD9" i="43"/>
  <c r="BD10" i="40"/>
  <c r="BC11" i="40"/>
  <c r="BD7" i="40"/>
  <c r="BD8" i="40"/>
  <c r="BD7" i="34"/>
  <c r="BD9" i="34"/>
  <c r="BC10" i="34"/>
  <c r="BD8" i="34"/>
  <c r="BD10" i="45"/>
  <c r="BC11" i="45"/>
  <c r="BD8" i="45"/>
  <c r="BD7" i="45"/>
  <c r="BD7" i="46"/>
  <c r="BD8" i="46"/>
  <c r="BD9" i="46"/>
  <c r="BD10" i="46"/>
  <c r="BC11" i="46"/>
  <c r="BD8" i="47"/>
  <c r="BG8" i="47" s="1"/>
  <c r="BD9" i="47"/>
  <c r="BD7" i="47"/>
  <c r="AH62" i="47"/>
  <c r="AG62" i="47"/>
  <c r="BC10" i="47"/>
  <c r="BD10" i="47" s="1"/>
  <c r="L14" i="43"/>
  <c r="M10" i="43" s="1"/>
  <c r="AK2" i="43"/>
  <c r="P11" i="52" l="1"/>
  <c r="P13" i="52"/>
  <c r="O14" i="50"/>
  <c r="P11" i="50" s="1"/>
  <c r="AA10" i="50"/>
  <c r="AA12" i="50"/>
  <c r="R14" i="51"/>
  <c r="S12" i="51" s="1"/>
  <c r="R14" i="50"/>
  <c r="S12" i="50" s="1"/>
  <c r="AA11" i="50"/>
  <c r="AA9" i="50"/>
  <c r="AA13" i="50"/>
  <c r="O14" i="51"/>
  <c r="P12" i="51" s="1"/>
  <c r="AA9" i="51"/>
  <c r="AA12" i="51"/>
  <c r="U14" i="51"/>
  <c r="V13" i="51" s="1"/>
  <c r="S10" i="52"/>
  <c r="R5" i="52"/>
  <c r="S12" i="52"/>
  <c r="S14" i="52"/>
  <c r="S8" i="52"/>
  <c r="S11" i="52"/>
  <c r="S9" i="52"/>
  <c r="AA13" i="51"/>
  <c r="AA14" i="52"/>
  <c r="U14" i="50"/>
  <c r="V13" i="50" s="1"/>
  <c r="AA8" i="51"/>
  <c r="AA10" i="51"/>
  <c r="AA11" i="51"/>
  <c r="AA8" i="50"/>
  <c r="S10" i="50"/>
  <c r="P14" i="50"/>
  <c r="BC15" i="7"/>
  <c r="BI15" i="7"/>
  <c r="BE15" i="7"/>
  <c r="BI35" i="7"/>
  <c r="BE35" i="7"/>
  <c r="AZ16" i="7"/>
  <c r="BC16" i="7" s="1"/>
  <c r="BI25" i="7"/>
  <c r="BE25" i="7"/>
  <c r="BG15" i="7"/>
  <c r="P13" i="50"/>
  <c r="S14" i="50"/>
  <c r="O5" i="50"/>
  <c r="BG23" i="56"/>
  <c r="BI23" i="56"/>
  <c r="BH23" i="56"/>
  <c r="BF23" i="56"/>
  <c r="BD24" i="56"/>
  <c r="BC25" i="56"/>
  <c r="BH23" i="55"/>
  <c r="BG23" i="55"/>
  <c r="BF23" i="55"/>
  <c r="BI23" i="55"/>
  <c r="BC25" i="55"/>
  <c r="BD24" i="55"/>
  <c r="BF21" i="54"/>
  <c r="BH21" i="54"/>
  <c r="BG21" i="54"/>
  <c r="BI21" i="54"/>
  <c r="BC23" i="54"/>
  <c r="BD22" i="54"/>
  <c r="BG35" i="7"/>
  <c r="BG16" i="7"/>
  <c r="BG25" i="7"/>
  <c r="BC17" i="51"/>
  <c r="BD16" i="51"/>
  <c r="BI15" i="51"/>
  <c r="BF15" i="51"/>
  <c r="BG15" i="51"/>
  <c r="BH15" i="51"/>
  <c r="BG12" i="50"/>
  <c r="BF12" i="50"/>
  <c r="BH12" i="50"/>
  <c r="BI12" i="50"/>
  <c r="BC14" i="50"/>
  <c r="BD13" i="50"/>
  <c r="BC17" i="49"/>
  <c r="BD16" i="49"/>
  <c r="BI15" i="49"/>
  <c r="BG15" i="49"/>
  <c r="BH15" i="49"/>
  <c r="BF15" i="49"/>
  <c r="BA16" i="7"/>
  <c r="BC35" i="7"/>
  <c r="BA35" i="7"/>
  <c r="AZ36" i="7"/>
  <c r="BC25" i="7"/>
  <c r="BA25" i="7"/>
  <c r="AZ26" i="7"/>
  <c r="BG9" i="45"/>
  <c r="BF9" i="40"/>
  <c r="BH9" i="45"/>
  <c r="BF9" i="45"/>
  <c r="BH9" i="40"/>
  <c r="BI9" i="40"/>
  <c r="BG8" i="43"/>
  <c r="BF8" i="43"/>
  <c r="BI8" i="43"/>
  <c r="BH8" i="43"/>
  <c r="BI7" i="43"/>
  <c r="BG7" i="43"/>
  <c r="BH7" i="43"/>
  <c r="BF7" i="43"/>
  <c r="BD11" i="43"/>
  <c r="BC12" i="43"/>
  <c r="BI9" i="43"/>
  <c r="BG9" i="43"/>
  <c r="BH9" i="43"/>
  <c r="BF9" i="43"/>
  <c r="BG10" i="43"/>
  <c r="BH10" i="43"/>
  <c r="BF10" i="43"/>
  <c r="BI10" i="43"/>
  <c r="BF8" i="40"/>
  <c r="BI8" i="40"/>
  <c r="BG8" i="40"/>
  <c r="BH8" i="40"/>
  <c r="BI7" i="40"/>
  <c r="BH7" i="40"/>
  <c r="BG7" i="40"/>
  <c r="BF7" i="40"/>
  <c r="BD11" i="40"/>
  <c r="BC12" i="40"/>
  <c r="BF10" i="40"/>
  <c r="BG10" i="40"/>
  <c r="BI10" i="40"/>
  <c r="BH10" i="40"/>
  <c r="BG8" i="34"/>
  <c r="BF8" i="34"/>
  <c r="BI8" i="34"/>
  <c r="BH8" i="34"/>
  <c r="BD10" i="34"/>
  <c r="BC11" i="34"/>
  <c r="BI9" i="34"/>
  <c r="BH9" i="34"/>
  <c r="BG9" i="34"/>
  <c r="BF9" i="34"/>
  <c r="BI7" i="34"/>
  <c r="BH7" i="34"/>
  <c r="BF7" i="34"/>
  <c r="BG7" i="34"/>
  <c r="BG7" i="45"/>
  <c r="BF7" i="45"/>
  <c r="BH7" i="45"/>
  <c r="BI7" i="45"/>
  <c r="BI8" i="45"/>
  <c r="BH8" i="45"/>
  <c r="BF8" i="45"/>
  <c r="BG8" i="45"/>
  <c r="BC12" i="45"/>
  <c r="BD11" i="45"/>
  <c r="BI10" i="45"/>
  <c r="BH10" i="45"/>
  <c r="BG10" i="45"/>
  <c r="BF10" i="45"/>
  <c r="BG9" i="46"/>
  <c r="BH9" i="46"/>
  <c r="BI9" i="46"/>
  <c r="BF9" i="46"/>
  <c r="BI8" i="46"/>
  <c r="BG8" i="46"/>
  <c r="BH8" i="46"/>
  <c r="BF8" i="46"/>
  <c r="BI10" i="46"/>
  <c r="BH10" i="46"/>
  <c r="BF10" i="46"/>
  <c r="BG10" i="46"/>
  <c r="BC12" i="46"/>
  <c r="BD11" i="46"/>
  <c r="BG7" i="46"/>
  <c r="BF7" i="46"/>
  <c r="BI7" i="46"/>
  <c r="BH7" i="46"/>
  <c r="BH8" i="47"/>
  <c r="BI8" i="47"/>
  <c r="BF8" i="47"/>
  <c r="BI7" i="47"/>
  <c r="BH7" i="47"/>
  <c r="BG7" i="47"/>
  <c r="BF7" i="47"/>
  <c r="BF9" i="47"/>
  <c r="BI9" i="47"/>
  <c r="BH9" i="47"/>
  <c r="BG9" i="47"/>
  <c r="BC11" i="47"/>
  <c r="BD11" i="47" s="1"/>
  <c r="M11" i="43"/>
  <c r="M8" i="43"/>
  <c r="M12" i="43"/>
  <c r="C78" i="43"/>
  <c r="M9" i="43"/>
  <c r="L5" i="43"/>
  <c r="M14" i="43"/>
  <c r="M13" i="43"/>
  <c r="Y14" i="43"/>
  <c r="S11" i="50" l="1"/>
  <c r="R5" i="50"/>
  <c r="S9" i="50"/>
  <c r="R5" i="51"/>
  <c r="S9" i="51"/>
  <c r="AA14" i="50"/>
  <c r="S8" i="50"/>
  <c r="V14" i="50"/>
  <c r="P9" i="50"/>
  <c r="P8" i="50"/>
  <c r="P10" i="50"/>
  <c r="S8" i="51"/>
  <c r="S10" i="51"/>
  <c r="P12" i="50"/>
  <c r="S11" i="51"/>
  <c r="S14" i="51"/>
  <c r="U5" i="51"/>
  <c r="V10" i="50"/>
  <c r="U5" i="50"/>
  <c r="AA14" i="51"/>
  <c r="P10" i="51"/>
  <c r="P13" i="51"/>
  <c r="P9" i="51"/>
  <c r="P14" i="51"/>
  <c r="P11" i="51"/>
  <c r="P8" i="51"/>
  <c r="O5" i="51"/>
  <c r="V14" i="51"/>
  <c r="V10" i="51"/>
  <c r="BI36" i="7"/>
  <c r="BE36" i="7"/>
  <c r="BI26" i="7"/>
  <c r="BE26" i="7"/>
  <c r="BI16" i="7"/>
  <c r="BE16" i="7"/>
  <c r="BD25" i="56"/>
  <c r="BC26" i="56"/>
  <c r="BH24" i="56"/>
  <c r="BI24" i="56"/>
  <c r="BG24" i="56"/>
  <c r="BF24" i="56"/>
  <c r="BG24" i="55"/>
  <c r="BI24" i="55"/>
  <c r="BH24" i="55"/>
  <c r="BF24" i="55"/>
  <c r="BD25" i="55"/>
  <c r="BC26" i="55"/>
  <c r="BG22" i="54"/>
  <c r="BI22" i="54"/>
  <c r="BH22" i="54"/>
  <c r="BF22" i="54"/>
  <c r="BC24" i="54"/>
  <c r="BD23" i="54"/>
  <c r="BG26" i="7"/>
  <c r="BG36" i="7"/>
  <c r="BI15" i="52"/>
  <c r="BH15" i="52"/>
  <c r="BF15" i="52"/>
  <c r="BG15" i="52"/>
  <c r="BD16" i="52"/>
  <c r="BC17" i="52"/>
  <c r="BF16" i="51"/>
  <c r="BI16" i="51"/>
  <c r="BH16" i="51"/>
  <c r="BG16" i="51"/>
  <c r="BC18" i="51"/>
  <c r="BD17" i="51"/>
  <c r="BG13" i="50"/>
  <c r="BI13" i="50"/>
  <c r="BF13" i="50"/>
  <c r="BH13" i="50"/>
  <c r="BD14" i="50"/>
  <c r="BC15" i="50"/>
  <c r="BG16" i="49"/>
  <c r="BF16" i="49"/>
  <c r="BH16" i="49"/>
  <c r="BI16" i="49"/>
  <c r="BC18" i="49"/>
  <c r="BD17" i="49"/>
  <c r="BC36" i="7"/>
  <c r="BA36" i="7"/>
  <c r="BC26" i="7"/>
  <c r="BA26" i="7"/>
  <c r="BD12" i="43"/>
  <c r="BC13" i="43"/>
  <c r="BI11" i="43"/>
  <c r="BG11" i="43"/>
  <c r="BF11" i="43"/>
  <c r="BH11" i="43"/>
  <c r="BC13" i="40"/>
  <c r="BD12" i="40"/>
  <c r="BI11" i="40"/>
  <c r="BH11" i="40"/>
  <c r="BG11" i="40"/>
  <c r="BF11" i="40"/>
  <c r="BD11" i="34"/>
  <c r="BC12" i="34"/>
  <c r="BG10" i="34"/>
  <c r="BF10" i="34"/>
  <c r="BH10" i="34"/>
  <c r="BI10" i="34"/>
  <c r="BG11" i="45"/>
  <c r="BF11" i="45"/>
  <c r="BH11" i="45"/>
  <c r="BI11" i="45"/>
  <c r="BD12" i="45"/>
  <c r="BC13" i="45"/>
  <c r="BG11" i="46"/>
  <c r="BI11" i="46"/>
  <c r="BF11" i="46"/>
  <c r="BH11" i="46"/>
  <c r="BD12" i="46"/>
  <c r="BC13" i="46"/>
  <c r="BC12" i="47"/>
  <c r="BD12" i="47" s="1"/>
  <c r="BF10" i="47"/>
  <c r="BI10" i="47"/>
  <c r="BH10" i="47"/>
  <c r="BG10" i="47"/>
  <c r="AH64" i="43"/>
  <c r="AG64" i="43"/>
  <c r="BC27" i="56" l="1"/>
  <c r="BD26" i="56"/>
  <c r="BI25" i="56"/>
  <c r="BG25" i="56"/>
  <c r="BF25" i="56"/>
  <c r="BH25" i="56"/>
  <c r="BD26" i="55"/>
  <c r="BC27" i="55"/>
  <c r="BH25" i="55"/>
  <c r="BF25" i="55"/>
  <c r="BG25" i="55"/>
  <c r="BI25" i="55"/>
  <c r="BH23" i="54"/>
  <c r="BF23" i="54"/>
  <c r="BI23" i="54"/>
  <c r="BG23" i="54"/>
  <c r="BD24" i="54"/>
  <c r="BC25" i="54"/>
  <c r="BC18" i="52"/>
  <c r="BD17" i="52"/>
  <c r="BF16" i="52"/>
  <c r="BI16" i="52"/>
  <c r="BG16" i="52"/>
  <c r="BH16" i="52"/>
  <c r="BG17" i="51"/>
  <c r="BF17" i="51"/>
  <c r="BI17" i="51"/>
  <c r="BH17" i="51"/>
  <c r="BC19" i="51"/>
  <c r="BD18" i="51"/>
  <c r="BC16" i="50"/>
  <c r="BD15" i="50"/>
  <c r="BF14" i="50"/>
  <c r="BI14" i="50"/>
  <c r="BH14" i="50"/>
  <c r="BG14" i="50"/>
  <c r="BH17" i="49"/>
  <c r="BG17" i="49"/>
  <c r="BI17" i="49"/>
  <c r="BF17" i="49"/>
  <c r="BD18" i="49"/>
  <c r="BC19" i="49"/>
  <c r="BD13" i="43"/>
  <c r="BC14" i="43"/>
  <c r="BG12" i="43"/>
  <c r="BF12" i="43"/>
  <c r="BI12" i="43"/>
  <c r="BH12" i="43"/>
  <c r="BI12" i="40"/>
  <c r="BG12" i="40"/>
  <c r="BF12" i="40"/>
  <c r="BH12" i="40"/>
  <c r="BD13" i="40"/>
  <c r="BC14" i="40"/>
  <c r="BC13" i="34"/>
  <c r="BD12" i="34"/>
  <c r="BI11" i="34"/>
  <c r="BG11" i="34"/>
  <c r="BF11" i="34"/>
  <c r="BH11" i="34"/>
  <c r="BC14" i="45"/>
  <c r="BD13" i="45"/>
  <c r="BI12" i="45"/>
  <c r="BH12" i="45"/>
  <c r="BG12" i="45"/>
  <c r="BF12" i="45"/>
  <c r="BD13" i="46"/>
  <c r="BC14" i="46"/>
  <c r="BI12" i="46"/>
  <c r="BG12" i="46"/>
  <c r="BF12" i="46"/>
  <c r="BH12" i="46"/>
  <c r="BI11" i="47"/>
  <c r="BH11" i="47"/>
  <c r="BG11" i="47"/>
  <c r="BF11" i="47"/>
  <c r="BC13" i="47"/>
  <c r="BD13" i="47" s="1"/>
  <c r="BF26" i="56" l="1"/>
  <c r="BI26" i="56"/>
  <c r="BH26" i="56"/>
  <c r="BG26" i="56"/>
  <c r="BC28" i="56"/>
  <c r="BD27" i="56"/>
  <c r="BD27" i="55"/>
  <c r="BC28" i="55"/>
  <c r="BI26" i="55"/>
  <c r="BG26" i="55"/>
  <c r="BH26" i="55"/>
  <c r="BF26" i="55"/>
  <c r="BC26" i="54"/>
  <c r="BD25" i="54"/>
  <c r="BI24" i="54"/>
  <c r="BG24" i="54"/>
  <c r="BH24" i="54"/>
  <c r="BF24" i="54"/>
  <c r="BG17" i="52"/>
  <c r="BF17" i="52"/>
  <c r="BH17" i="52"/>
  <c r="BI17" i="52"/>
  <c r="BC19" i="52"/>
  <c r="BD18" i="52"/>
  <c r="BH18" i="51"/>
  <c r="BG18" i="51"/>
  <c r="BF18" i="51"/>
  <c r="BI18" i="51"/>
  <c r="BD19" i="51"/>
  <c r="BC20" i="51"/>
  <c r="BG15" i="50"/>
  <c r="BF15" i="50"/>
  <c r="BH15" i="50"/>
  <c r="BI15" i="50"/>
  <c r="BC17" i="50"/>
  <c r="BD16" i="50"/>
  <c r="BD19" i="49"/>
  <c r="BC20" i="49"/>
  <c r="BI18" i="49"/>
  <c r="BH18" i="49"/>
  <c r="BF18" i="49"/>
  <c r="BG18" i="49"/>
  <c r="BD14" i="43"/>
  <c r="BC15" i="43"/>
  <c r="BI13" i="43"/>
  <c r="BG13" i="43"/>
  <c r="BH13" i="43"/>
  <c r="BF13" i="43"/>
  <c r="BC15" i="40"/>
  <c r="BD14" i="40"/>
  <c r="BH13" i="40"/>
  <c r="BG13" i="40"/>
  <c r="BI13" i="40"/>
  <c r="BF13" i="40"/>
  <c r="BG12" i="34"/>
  <c r="BH12" i="34"/>
  <c r="BF12" i="34"/>
  <c r="BI12" i="34"/>
  <c r="BD13" i="34"/>
  <c r="BC14" i="34"/>
  <c r="BG13" i="45"/>
  <c r="BF13" i="45"/>
  <c r="BH13" i="45"/>
  <c r="BI13" i="45"/>
  <c r="BD14" i="45"/>
  <c r="BC15" i="45"/>
  <c r="BD14" i="46"/>
  <c r="BC15" i="46"/>
  <c r="BG13" i="46"/>
  <c r="BH13" i="46"/>
  <c r="BI13" i="46"/>
  <c r="BF13" i="46"/>
  <c r="BC14" i="47"/>
  <c r="BD14" i="47" s="1"/>
  <c r="BI12" i="47"/>
  <c r="BG12" i="47"/>
  <c r="BH12" i="47"/>
  <c r="BF12" i="47"/>
  <c r="BC29" i="55" l="1"/>
  <c r="BD28" i="55"/>
  <c r="BF27" i="55"/>
  <c r="BH27" i="55"/>
  <c r="BI27" i="55"/>
  <c r="BG27" i="55"/>
  <c r="BF25" i="54"/>
  <c r="BH25" i="54"/>
  <c r="BI25" i="54"/>
  <c r="BG25" i="54"/>
  <c r="BC27" i="54"/>
  <c r="BD26" i="54"/>
  <c r="BH18" i="52"/>
  <c r="BG18" i="52"/>
  <c r="BI18" i="52"/>
  <c r="BF18" i="52"/>
  <c r="BD19" i="52"/>
  <c r="BC20" i="52"/>
  <c r="BD20" i="51"/>
  <c r="BC21" i="51"/>
  <c r="BI19" i="51"/>
  <c r="BH19" i="51"/>
  <c r="BG19" i="51"/>
  <c r="BF19" i="51"/>
  <c r="BH16" i="50"/>
  <c r="BG16" i="50"/>
  <c r="BF16" i="50"/>
  <c r="BI16" i="50"/>
  <c r="BD17" i="50"/>
  <c r="BC18" i="50"/>
  <c r="BF19" i="49"/>
  <c r="BI19" i="49"/>
  <c r="BH19" i="49"/>
  <c r="BG19" i="49"/>
  <c r="BC21" i="49"/>
  <c r="BD20" i="49"/>
  <c r="BD15" i="43"/>
  <c r="BC16" i="43"/>
  <c r="BG14" i="43"/>
  <c r="BH14" i="43"/>
  <c r="BF14" i="43"/>
  <c r="BI14" i="43"/>
  <c r="BF14" i="40"/>
  <c r="BG14" i="40"/>
  <c r="BI14" i="40"/>
  <c r="BH14" i="40"/>
  <c r="BD15" i="40"/>
  <c r="BC16" i="40"/>
  <c r="BD14" i="34"/>
  <c r="BC15" i="34"/>
  <c r="BI13" i="34"/>
  <c r="BH13" i="34"/>
  <c r="BF13" i="34"/>
  <c r="BG13" i="34"/>
  <c r="BC16" i="45"/>
  <c r="BD15" i="45"/>
  <c r="BI14" i="45"/>
  <c r="BH14" i="45"/>
  <c r="BG14" i="45"/>
  <c r="BF14" i="45"/>
  <c r="BC16" i="46"/>
  <c r="BD15" i="46"/>
  <c r="BI14" i="46"/>
  <c r="BH14" i="46"/>
  <c r="BF14" i="46"/>
  <c r="BG14" i="46"/>
  <c r="BI13" i="47"/>
  <c r="BF13" i="47"/>
  <c r="BH13" i="47"/>
  <c r="BG13" i="47"/>
  <c r="BC15" i="47"/>
  <c r="BD15" i="47" s="1"/>
  <c r="BG27" i="56" l="1"/>
  <c r="BF27" i="56"/>
  <c r="BI27" i="56"/>
  <c r="BH27" i="56"/>
  <c r="BC29" i="56"/>
  <c r="BD28" i="56"/>
  <c r="BG28" i="55"/>
  <c r="BI28" i="55"/>
  <c r="BH28" i="55"/>
  <c r="BF28" i="55"/>
  <c r="BD29" i="55"/>
  <c r="BC30" i="55"/>
  <c r="BG26" i="54"/>
  <c r="BI26" i="54"/>
  <c r="BH26" i="54"/>
  <c r="BF26" i="54"/>
  <c r="BC28" i="54"/>
  <c r="BD27" i="54"/>
  <c r="BD20" i="52"/>
  <c r="BC21" i="52"/>
  <c r="BI19" i="52"/>
  <c r="BH19" i="52"/>
  <c r="BG19" i="52"/>
  <c r="BF19" i="52"/>
  <c r="BD21" i="51"/>
  <c r="BC22" i="51"/>
  <c r="BF20" i="51"/>
  <c r="BG20" i="51"/>
  <c r="BI20" i="51"/>
  <c r="BH20" i="51"/>
  <c r="BD18" i="50"/>
  <c r="BC19" i="50"/>
  <c r="BI17" i="50"/>
  <c r="BH17" i="50"/>
  <c r="BG17" i="50"/>
  <c r="BF17" i="50"/>
  <c r="BG20" i="49"/>
  <c r="BF20" i="49"/>
  <c r="BH20" i="49"/>
  <c r="BI20" i="49"/>
  <c r="BC22" i="49"/>
  <c r="BD21" i="49"/>
  <c r="BC17" i="43"/>
  <c r="BD16" i="43"/>
  <c r="BI15" i="43"/>
  <c r="BF15" i="43"/>
  <c r="BH15" i="43"/>
  <c r="BG15" i="43"/>
  <c r="BD16" i="40"/>
  <c r="BC17" i="40"/>
  <c r="BG15" i="40"/>
  <c r="BI15" i="40"/>
  <c r="BH15" i="40"/>
  <c r="BF15" i="40"/>
  <c r="BD15" i="34"/>
  <c r="BC16" i="34"/>
  <c r="BG14" i="34"/>
  <c r="BF14" i="34"/>
  <c r="BI14" i="34"/>
  <c r="BH14" i="34"/>
  <c r="BG15" i="45"/>
  <c r="BF15" i="45"/>
  <c r="BI15" i="45"/>
  <c r="BH15" i="45"/>
  <c r="BD16" i="45"/>
  <c r="BC17" i="45"/>
  <c r="BG15" i="46"/>
  <c r="BF15" i="46"/>
  <c r="BI15" i="46"/>
  <c r="BH15" i="46"/>
  <c r="BC17" i="46"/>
  <c r="BD16" i="46"/>
  <c r="BH14" i="47"/>
  <c r="BG14" i="47"/>
  <c r="BF14" i="47"/>
  <c r="BI14" i="47"/>
  <c r="BC16" i="47"/>
  <c r="BD16" i="47" s="1"/>
  <c r="BD29" i="56" l="1"/>
  <c r="BC30" i="56"/>
  <c r="BH28" i="56"/>
  <c r="BG28" i="56"/>
  <c r="BF28" i="56"/>
  <c r="BI28" i="56"/>
  <c r="BD30" i="55"/>
  <c r="BC31" i="55"/>
  <c r="BH29" i="55"/>
  <c r="BF29" i="55"/>
  <c r="BG29" i="55"/>
  <c r="BI29" i="55"/>
  <c r="BH27" i="54"/>
  <c r="BF27" i="54"/>
  <c r="BI27" i="54"/>
  <c r="BG27" i="54"/>
  <c r="BD28" i="54"/>
  <c r="BC29" i="54"/>
  <c r="BC22" i="52"/>
  <c r="BD21" i="52"/>
  <c r="BF20" i="52"/>
  <c r="BI20" i="52"/>
  <c r="BH20" i="52"/>
  <c r="BG20" i="52"/>
  <c r="BD22" i="51"/>
  <c r="BC23" i="51"/>
  <c r="BI21" i="51"/>
  <c r="BG21" i="51"/>
  <c r="BH21" i="51"/>
  <c r="BF21" i="51"/>
  <c r="BC20" i="50"/>
  <c r="BD19" i="50"/>
  <c r="BF18" i="50"/>
  <c r="BI18" i="50"/>
  <c r="BH18" i="50"/>
  <c r="BG18" i="50"/>
  <c r="BH21" i="49"/>
  <c r="BG21" i="49"/>
  <c r="BI21" i="49"/>
  <c r="BF21" i="49"/>
  <c r="BD22" i="49"/>
  <c r="BC23" i="49"/>
  <c r="BG16" i="43"/>
  <c r="BI16" i="43"/>
  <c r="BH16" i="43"/>
  <c r="BF16" i="43"/>
  <c r="BD17" i="43"/>
  <c r="BC18" i="43"/>
  <c r="BD17" i="40"/>
  <c r="BC18" i="40"/>
  <c r="BI16" i="40"/>
  <c r="BG16" i="40"/>
  <c r="BF16" i="40"/>
  <c r="BH16" i="40"/>
  <c r="BC17" i="34"/>
  <c r="BD16" i="34"/>
  <c r="BI15" i="34"/>
  <c r="BG15" i="34"/>
  <c r="BF15" i="34"/>
  <c r="BH15" i="34"/>
  <c r="BC18" i="45"/>
  <c r="BD17" i="45"/>
  <c r="BI16" i="45"/>
  <c r="BH16" i="45"/>
  <c r="BG16" i="45"/>
  <c r="BF16" i="45"/>
  <c r="BI16" i="46"/>
  <c r="BH16" i="46"/>
  <c r="BG16" i="46"/>
  <c r="BF16" i="46"/>
  <c r="BC18" i="46"/>
  <c r="BD17" i="46"/>
  <c r="BC17" i="47"/>
  <c r="BD17" i="47" s="1"/>
  <c r="BI15" i="47"/>
  <c r="BH15" i="47"/>
  <c r="BG15" i="47"/>
  <c r="BF15" i="47"/>
  <c r="BC31" i="56" l="1"/>
  <c r="BD30" i="56"/>
  <c r="BF29" i="56"/>
  <c r="BI29" i="56"/>
  <c r="BH29" i="56"/>
  <c r="BG29" i="56"/>
  <c r="BC32" i="55"/>
  <c r="BD31" i="55"/>
  <c r="BI30" i="55"/>
  <c r="BG30" i="55"/>
  <c r="BH30" i="55"/>
  <c r="BF30" i="55"/>
  <c r="BC30" i="54"/>
  <c r="BD29" i="54"/>
  <c r="BI28" i="54"/>
  <c r="BG28" i="54"/>
  <c r="BH28" i="54"/>
  <c r="BF28" i="54"/>
  <c r="BG21" i="52"/>
  <c r="BF21" i="52"/>
  <c r="BI21" i="52"/>
  <c r="BH21" i="52"/>
  <c r="BC23" i="52"/>
  <c r="BD22" i="52"/>
  <c r="BC24" i="51"/>
  <c r="BD23" i="51"/>
  <c r="BF22" i="51"/>
  <c r="BH22" i="51"/>
  <c r="BI22" i="51"/>
  <c r="BG22" i="51"/>
  <c r="BG19" i="50"/>
  <c r="BI19" i="50"/>
  <c r="BF19" i="50"/>
  <c r="BH19" i="50"/>
  <c r="BC21" i="50"/>
  <c r="BD20" i="50"/>
  <c r="BD23" i="49"/>
  <c r="BC24" i="49"/>
  <c r="BI22" i="49"/>
  <c r="BH22" i="49"/>
  <c r="BF22" i="49"/>
  <c r="BG22" i="49"/>
  <c r="BC19" i="43"/>
  <c r="BD18" i="43"/>
  <c r="BI17" i="43"/>
  <c r="BF17" i="43"/>
  <c r="BH17" i="43"/>
  <c r="BG17" i="43"/>
  <c r="BG17" i="40"/>
  <c r="BH17" i="40"/>
  <c r="BF17" i="40"/>
  <c r="BI17" i="40"/>
  <c r="BD18" i="40"/>
  <c r="BC19" i="40"/>
  <c r="BG16" i="34"/>
  <c r="BH16" i="34"/>
  <c r="BF16" i="34"/>
  <c r="BI16" i="34"/>
  <c r="BD17" i="34"/>
  <c r="BC18" i="34"/>
  <c r="BG17" i="45"/>
  <c r="BF17" i="45"/>
  <c r="BI17" i="45"/>
  <c r="BH17" i="45"/>
  <c r="BC19" i="45"/>
  <c r="BD18" i="45"/>
  <c r="BG17" i="46"/>
  <c r="BI17" i="46"/>
  <c r="BH17" i="46"/>
  <c r="BF17" i="46"/>
  <c r="BD18" i="46"/>
  <c r="BC19" i="46"/>
  <c r="BF16" i="47"/>
  <c r="BG16" i="47"/>
  <c r="BI16" i="47"/>
  <c r="BH16" i="47"/>
  <c r="BC18" i="47"/>
  <c r="BD18" i="47" s="1"/>
  <c r="G32" i="46"/>
  <c r="G28" i="46"/>
  <c r="G23" i="47"/>
  <c r="G17" i="43"/>
  <c r="E19" i="49"/>
  <c r="AJ59" i="43"/>
  <c r="AK48" i="49"/>
  <c r="AJ66" i="45"/>
  <c r="G50" i="45"/>
  <c r="AK38" i="49"/>
  <c r="AJ27" i="47"/>
  <c r="E19" i="47"/>
  <c r="E52" i="49"/>
  <c r="AJ57" i="45"/>
  <c r="AK24" i="49"/>
  <c r="AJ7" i="46"/>
  <c r="AJ15" i="43"/>
  <c r="AJ43" i="43"/>
  <c r="AK20" i="49"/>
  <c r="AJ57" i="43"/>
  <c r="AK55" i="49"/>
  <c r="AJ47" i="47"/>
  <c r="AJ60" i="47"/>
  <c r="AL56" i="49"/>
  <c r="AJ67" i="47"/>
  <c r="AK33" i="49"/>
  <c r="G24" i="45"/>
  <c r="G7" i="47"/>
  <c r="AJ56" i="43"/>
  <c r="AJ59" i="46"/>
  <c r="G25" i="43"/>
  <c r="G48" i="46"/>
  <c r="AL20" i="45"/>
  <c r="G47" i="46"/>
  <c r="E27" i="49"/>
  <c r="AL40" i="49"/>
  <c r="AJ15" i="47"/>
  <c r="G32" i="47"/>
  <c r="E39" i="49"/>
  <c r="AJ44" i="46"/>
  <c r="G64" i="43"/>
  <c r="G48" i="45"/>
  <c r="G57" i="47"/>
  <c r="AJ46" i="46"/>
  <c r="AJ56" i="46"/>
  <c r="AJ62" i="47"/>
  <c r="G30" i="45"/>
  <c r="G26" i="45"/>
  <c r="G51" i="45"/>
  <c r="AJ19" i="43"/>
  <c r="AJ13" i="46"/>
  <c r="AK48" i="46"/>
  <c r="G36" i="47"/>
  <c r="AJ18" i="43"/>
  <c r="AJ59" i="45"/>
  <c r="E44" i="49"/>
  <c r="AK64" i="49"/>
  <c r="G46" i="43"/>
  <c r="AJ63" i="45"/>
  <c r="G58" i="43"/>
  <c r="AJ12" i="43"/>
  <c r="AJ61" i="45"/>
  <c r="G55" i="46"/>
  <c r="AL16" i="46"/>
  <c r="AL25" i="49"/>
  <c r="AJ28" i="43"/>
  <c r="E48" i="49"/>
  <c r="AK57" i="49"/>
  <c r="AJ52" i="47"/>
  <c r="G15" i="47"/>
  <c r="AJ28" i="47"/>
  <c r="AJ18" i="46"/>
  <c r="AK58" i="49"/>
  <c r="AJ36" i="47"/>
  <c r="G47" i="47"/>
  <c r="AJ67" i="43"/>
  <c r="AL18" i="49"/>
  <c r="AJ60" i="45"/>
  <c r="AJ55" i="46"/>
  <c r="AJ18" i="45"/>
  <c r="AL45" i="49"/>
  <c r="AJ51" i="43"/>
  <c r="AJ67" i="45"/>
  <c r="AL28" i="45"/>
  <c r="AJ21" i="47"/>
  <c r="E8" i="45"/>
  <c r="AK47" i="49"/>
  <c r="E16" i="49"/>
  <c r="G63" i="43"/>
  <c r="E59" i="49"/>
  <c r="AL32" i="46"/>
  <c r="E12" i="46"/>
  <c r="AK50" i="46"/>
  <c r="E38" i="49"/>
  <c r="AJ38" i="47"/>
  <c r="G58" i="46"/>
  <c r="AK11" i="45"/>
  <c r="AJ36" i="45"/>
  <c r="AJ38" i="46"/>
  <c r="G26" i="46"/>
  <c r="E42" i="49"/>
  <c r="G15" i="45"/>
  <c r="AJ55" i="43"/>
  <c r="E28" i="49"/>
  <c r="AL55" i="49"/>
  <c r="G23" i="46"/>
  <c r="AJ48" i="43"/>
  <c r="AK39" i="49"/>
  <c r="E29" i="49"/>
  <c r="E11" i="46"/>
  <c r="G28" i="45"/>
  <c r="AJ58" i="45"/>
  <c r="G52" i="47"/>
  <c r="G22" i="46"/>
  <c r="AL58" i="47"/>
  <c r="AL24" i="45"/>
  <c r="G48" i="43"/>
  <c r="G26" i="47"/>
  <c r="G58" i="45"/>
  <c r="AL32" i="49"/>
  <c r="E16" i="45"/>
  <c r="AJ10" i="43"/>
  <c r="AL46" i="49"/>
  <c r="AL30" i="49"/>
  <c r="AJ38" i="43"/>
  <c r="AJ64" i="47"/>
  <c r="AL26" i="49"/>
  <c r="E64" i="49"/>
  <c r="AL48" i="49"/>
  <c r="G50" i="46"/>
  <c r="G23" i="43"/>
  <c r="AK53" i="49"/>
  <c r="AL9" i="49"/>
  <c r="G39" i="45"/>
  <c r="G52" i="45"/>
  <c r="AJ29" i="43"/>
  <c r="AJ8" i="47"/>
  <c r="G52" i="46"/>
  <c r="AJ45" i="45"/>
  <c r="AL7" i="45"/>
  <c r="AJ25" i="43"/>
  <c r="AJ26" i="47"/>
  <c r="AJ8" i="43"/>
  <c r="G56" i="43"/>
  <c r="AJ65" i="47"/>
  <c r="E54" i="49"/>
  <c r="G38" i="43"/>
  <c r="G51" i="43"/>
  <c r="E20" i="47"/>
  <c r="G46" i="45"/>
  <c r="AL11" i="45"/>
  <c r="AL7" i="49"/>
  <c r="G29" i="47"/>
  <c r="AL46" i="47"/>
  <c r="AJ41" i="45"/>
  <c r="E32" i="49"/>
  <c r="AK46" i="49"/>
  <c r="G56" i="46"/>
  <c r="AL28" i="46"/>
  <c r="AL54" i="49"/>
  <c r="AL49" i="49"/>
  <c r="AJ21" i="43"/>
  <c r="E41" i="49"/>
  <c r="E36" i="49"/>
  <c r="AJ41" i="43"/>
  <c r="E9" i="49"/>
  <c r="E9" i="47"/>
  <c r="AR21" i="7"/>
  <c r="AJ26" i="43"/>
  <c r="AK7" i="45"/>
  <c r="E12" i="47"/>
  <c r="AK22" i="49"/>
  <c r="AL52" i="49"/>
  <c r="AJ31" i="47"/>
  <c r="AJ40" i="45"/>
  <c r="AL16" i="45"/>
  <c r="AL37" i="49"/>
  <c r="AJ7" i="47"/>
  <c r="G25" i="46"/>
  <c r="AJ33" i="45"/>
  <c r="E58" i="49"/>
  <c r="E45" i="49"/>
  <c r="G40" i="45"/>
  <c r="AK47" i="45"/>
  <c r="G20" i="46"/>
  <c r="E44" i="46"/>
  <c r="G60" i="47"/>
  <c r="G30" i="46"/>
  <c r="AJ13" i="45"/>
  <c r="AJ20" i="47"/>
  <c r="E7" i="49"/>
  <c r="AJ40" i="47"/>
  <c r="G31" i="43"/>
  <c r="G56" i="45"/>
  <c r="AK37" i="49"/>
  <c r="AK14" i="49"/>
  <c r="AJ43" i="45"/>
  <c r="AK28" i="45"/>
  <c r="G43" i="47"/>
  <c r="E12" i="49"/>
  <c r="AL40" i="46"/>
  <c r="AK34" i="49"/>
  <c r="AJ51" i="45"/>
  <c r="G54" i="45"/>
  <c r="G52" i="43"/>
  <c r="AK15" i="49"/>
  <c r="AK51" i="49"/>
  <c r="AJ11" i="46"/>
  <c r="AJ12" i="47"/>
  <c r="AJ53" i="47"/>
  <c r="AJ22" i="47"/>
  <c r="AJ24" i="43"/>
  <c r="AK28" i="46"/>
  <c r="AK11" i="49"/>
  <c r="AJ17" i="47"/>
  <c r="G34" i="43"/>
  <c r="E62" i="49"/>
  <c r="AK62" i="49"/>
  <c r="G43" i="43"/>
  <c r="E24" i="49"/>
  <c r="E10" i="46"/>
  <c r="AJ38" i="45"/>
  <c r="AJ66" i="46"/>
  <c r="AK19" i="49"/>
  <c r="AK57" i="46"/>
  <c r="AL20" i="46"/>
  <c r="E21" i="45"/>
  <c r="AJ56" i="47"/>
  <c r="AJ37" i="45"/>
  <c r="E18" i="49"/>
  <c r="AJ56" i="45"/>
  <c r="AK26" i="49"/>
  <c r="AL42" i="49"/>
  <c r="G25" i="47"/>
  <c r="G33" i="43"/>
  <c r="AJ29" i="46"/>
  <c r="AL11" i="47"/>
  <c r="AJ44" i="43"/>
  <c r="AL31" i="46"/>
  <c r="AL47" i="49"/>
  <c r="AL19" i="49"/>
  <c r="G59" i="43"/>
  <c r="G10" i="45"/>
  <c r="AK8" i="49"/>
  <c r="G47" i="45"/>
  <c r="AK55" i="45"/>
  <c r="G45" i="47"/>
  <c r="AJ9" i="47"/>
  <c r="AL31" i="49"/>
  <c r="AJ23" i="45"/>
  <c r="G15" i="46"/>
  <c r="AL55" i="45"/>
  <c r="E16" i="47"/>
  <c r="AL29" i="49"/>
  <c r="AJ34" i="43"/>
  <c r="AK42" i="49"/>
  <c r="G43" i="46"/>
  <c r="G29" i="46"/>
  <c r="AL63" i="49"/>
  <c r="G24" i="47"/>
  <c r="AK45" i="49"/>
  <c r="AL50" i="46"/>
  <c r="AJ30" i="43"/>
  <c r="AJ23" i="47"/>
  <c r="AL12" i="49"/>
  <c r="G63" i="45"/>
  <c r="G37" i="47"/>
  <c r="AJ66" i="47"/>
  <c r="E30" i="49"/>
  <c r="G43" i="45"/>
  <c r="AJ32" i="45"/>
  <c r="AJ60" i="43"/>
  <c r="G49" i="43"/>
  <c r="E14" i="49"/>
  <c r="AK12" i="49"/>
  <c r="E28" i="47"/>
  <c r="AJ33" i="47"/>
  <c r="G15" i="43"/>
  <c r="G19" i="45"/>
  <c r="AK31" i="46"/>
  <c r="AJ22" i="43"/>
  <c r="AJ49" i="43"/>
  <c r="AK35" i="49"/>
  <c r="AL64" i="49"/>
  <c r="AK18" i="49"/>
  <c r="AK31" i="49"/>
  <c r="AK23" i="46"/>
  <c r="AJ42" i="43"/>
  <c r="G53" i="47"/>
  <c r="AJ46" i="43"/>
  <c r="G64" i="46"/>
  <c r="E23" i="49"/>
  <c r="AJ17" i="45"/>
  <c r="G17" i="46"/>
  <c r="AL24" i="49"/>
  <c r="AJ35" i="46"/>
  <c r="AL10" i="47"/>
  <c r="AJ61" i="43"/>
  <c r="AJ16" i="43"/>
  <c r="AK20" i="45"/>
  <c r="E10" i="49"/>
  <c r="AJ43" i="46"/>
  <c r="AJ25" i="47"/>
  <c r="AJ64" i="43"/>
  <c r="G22" i="47"/>
  <c r="AL53" i="49"/>
  <c r="AJ21" i="45"/>
  <c r="G51" i="47"/>
  <c r="G24" i="46"/>
  <c r="G36" i="43"/>
  <c r="G12" i="43"/>
  <c r="G38" i="45"/>
  <c r="AJ43" i="47"/>
  <c r="AJ33" i="43"/>
  <c r="G20" i="45"/>
  <c r="AK21" i="49"/>
  <c r="AJ53" i="43"/>
  <c r="E51" i="49"/>
  <c r="AR11" i="7"/>
  <c r="AL57" i="46"/>
  <c r="AJ64" i="45"/>
  <c r="AJ53" i="46"/>
  <c r="AJ23" i="43"/>
  <c r="AJ30" i="47"/>
  <c r="G41" i="45"/>
  <c r="AL50" i="45"/>
  <c r="G36" i="46"/>
  <c r="AL15" i="49"/>
  <c r="E17" i="49"/>
  <c r="G40" i="47"/>
  <c r="AL34" i="49"/>
  <c r="AJ17" i="43"/>
  <c r="G54" i="46"/>
  <c r="AL39" i="45"/>
  <c r="G22" i="43"/>
  <c r="E12" i="45"/>
  <c r="AJ62" i="43"/>
  <c r="G38" i="47"/>
  <c r="AJ32" i="43"/>
  <c r="E40" i="49"/>
  <c r="G14" i="47"/>
  <c r="AL43" i="49"/>
  <c r="AL41" i="49"/>
  <c r="E13" i="45"/>
  <c r="AL50" i="49"/>
  <c r="AJ48" i="47"/>
  <c r="AK32" i="49"/>
  <c r="AJ63" i="47"/>
  <c r="E33" i="49"/>
  <c r="AL20" i="49"/>
  <c r="E25" i="45"/>
  <c r="G31" i="45"/>
  <c r="AJ33" i="46"/>
  <c r="AJ45" i="46"/>
  <c r="G33" i="45"/>
  <c r="E37" i="49"/>
  <c r="G55" i="43"/>
  <c r="AL62" i="49"/>
  <c r="G41" i="47"/>
  <c r="G39" i="43"/>
  <c r="AL59" i="49"/>
  <c r="AL35" i="49"/>
  <c r="AJ39" i="47"/>
  <c r="AK28" i="49"/>
  <c r="E35" i="49"/>
  <c r="AK52" i="49"/>
  <c r="G14" i="43"/>
  <c r="E8" i="49"/>
  <c r="G59" i="47"/>
  <c r="G13" i="43"/>
  <c r="AJ24" i="46"/>
  <c r="AJ65" i="43"/>
  <c r="AJ49" i="45"/>
  <c r="AJ46" i="45"/>
  <c r="G10" i="43"/>
  <c r="AL33" i="49"/>
  <c r="AJ11" i="43"/>
  <c r="AJ63" i="43"/>
  <c r="AJ62" i="45"/>
  <c r="G40" i="43"/>
  <c r="E13" i="47"/>
  <c r="G63" i="46"/>
  <c r="AL10" i="49"/>
  <c r="AJ54" i="47"/>
  <c r="E56" i="49"/>
  <c r="G64" i="45"/>
  <c r="AJ9" i="46"/>
  <c r="AL25" i="46"/>
  <c r="AJ14" i="43"/>
  <c r="G7" i="46"/>
  <c r="AK25" i="49"/>
  <c r="G41" i="46"/>
  <c r="AJ15" i="45"/>
  <c r="AL48" i="46"/>
  <c r="G56" i="47"/>
  <c r="G19" i="43"/>
  <c r="AJ54" i="43"/>
  <c r="AK58" i="47"/>
  <c r="AJ35" i="45"/>
  <c r="G59" i="46"/>
  <c r="AJ62" i="46"/>
  <c r="G33" i="47"/>
  <c r="E64" i="47"/>
  <c r="AK49" i="49"/>
  <c r="AJ8" i="45"/>
  <c r="G44" i="43"/>
  <c r="AL47" i="45"/>
  <c r="AK16" i="46"/>
  <c r="G49" i="47"/>
  <c r="AK59" i="49"/>
  <c r="E63" i="47"/>
  <c r="AL23" i="49"/>
  <c r="E31" i="49"/>
  <c r="G32" i="43"/>
  <c r="G41" i="43"/>
  <c r="AJ58" i="43"/>
  <c r="G30" i="47"/>
  <c r="G49" i="46"/>
  <c r="AJ30" i="46"/>
  <c r="AJ32" i="47"/>
  <c r="AJ15" i="46"/>
  <c r="E17" i="45"/>
  <c r="AJ61" i="46"/>
  <c r="AL23" i="46"/>
  <c r="AR31" i="7"/>
  <c r="G50" i="47"/>
  <c r="G27" i="43"/>
  <c r="AJ10" i="46"/>
  <c r="AK30" i="49"/>
  <c r="G54" i="47"/>
  <c r="G50" i="43"/>
  <c r="AK40" i="49"/>
  <c r="AL8" i="49"/>
  <c r="AJ45" i="47"/>
  <c r="G21" i="47"/>
  <c r="E63" i="49"/>
  <c r="AJ50" i="47"/>
  <c r="AL36" i="49"/>
  <c r="G55" i="45"/>
  <c r="G33" i="46"/>
  <c r="AK40" i="46"/>
  <c r="G27" i="45"/>
  <c r="G35" i="47"/>
  <c r="G45" i="43"/>
  <c r="AJ64" i="46"/>
  <c r="G42" i="45"/>
  <c r="G42" i="46"/>
  <c r="AJ13" i="47"/>
  <c r="G53" i="43"/>
  <c r="AL27" i="49"/>
  <c r="G29" i="43"/>
  <c r="AJ20" i="43"/>
  <c r="AJ53" i="45"/>
  <c r="AJ54" i="45"/>
  <c r="G20" i="43"/>
  <c r="G55" i="47"/>
  <c r="AJ57" i="47"/>
  <c r="AK32" i="46"/>
  <c r="AL57" i="49"/>
  <c r="AJ19" i="45"/>
  <c r="AJ35" i="47"/>
  <c r="AJ41" i="47"/>
  <c r="G23" i="45"/>
  <c r="AJ42" i="46"/>
  <c r="G62" i="46"/>
  <c r="AK43" i="49"/>
  <c r="AK17" i="49"/>
  <c r="AJ27" i="45"/>
  <c r="G48" i="47"/>
  <c r="AJ39" i="46"/>
  <c r="AK56" i="49"/>
  <c r="AK44" i="49"/>
  <c r="G21" i="46"/>
  <c r="G39" i="47"/>
  <c r="AJ36" i="46"/>
  <c r="E29" i="45"/>
  <c r="E14" i="45"/>
  <c r="E49" i="49"/>
  <c r="G28" i="43"/>
  <c r="AJ60" i="46"/>
  <c r="AK16" i="49"/>
  <c r="G42" i="47"/>
  <c r="AJ12" i="45"/>
  <c r="AJ29" i="47"/>
  <c r="AJ50" i="43"/>
  <c r="E21" i="49"/>
  <c r="E13" i="46"/>
  <c r="AL51" i="49"/>
  <c r="G17" i="47"/>
  <c r="AL22" i="49"/>
  <c r="AJ19" i="46"/>
  <c r="AJ59" i="47"/>
  <c r="AJ52" i="46"/>
  <c r="AJ39" i="43"/>
  <c r="G22" i="45"/>
  <c r="AJ17" i="46"/>
  <c r="G36" i="45"/>
  <c r="E9" i="46"/>
  <c r="G26" i="43"/>
  <c r="AK54" i="49"/>
  <c r="AK39" i="45"/>
  <c r="G9" i="43"/>
  <c r="AJ67" i="46"/>
  <c r="AK42" i="45"/>
  <c r="G62" i="43"/>
  <c r="G18" i="46"/>
  <c r="AK29" i="49"/>
  <c r="AJ31" i="43"/>
  <c r="AK23" i="49"/>
  <c r="E14" i="46"/>
  <c r="G58" i="47"/>
  <c r="G11" i="43"/>
  <c r="AJ27" i="46"/>
  <c r="AJ8" i="46"/>
  <c r="AJ54" i="46"/>
  <c r="G44" i="47"/>
  <c r="AK10" i="47"/>
  <c r="E25" i="49"/>
  <c r="AK24" i="45"/>
  <c r="G32" i="45"/>
  <c r="AJ37" i="43"/>
  <c r="AJ14" i="47"/>
  <c r="G54" i="43"/>
  <c r="AK7" i="49"/>
  <c r="G57" i="43"/>
  <c r="G8" i="43"/>
  <c r="G37" i="43"/>
  <c r="G40" i="46"/>
  <c r="AJ25" i="45"/>
  <c r="G44" i="45"/>
  <c r="AJ40" i="43"/>
  <c r="AK50" i="45"/>
  <c r="AJ26" i="45"/>
  <c r="AJ41" i="46"/>
  <c r="AJ52" i="43"/>
  <c r="AJ58" i="46"/>
  <c r="G46" i="47"/>
  <c r="G38" i="46"/>
  <c r="AJ22" i="45"/>
  <c r="G53" i="45"/>
  <c r="G10" i="47"/>
  <c r="G57" i="46"/>
  <c r="AL39" i="49"/>
  <c r="AL10" i="45"/>
  <c r="E50" i="49"/>
  <c r="G16" i="43"/>
  <c r="E53" i="49"/>
  <c r="AL28" i="49"/>
  <c r="E27" i="47"/>
  <c r="G18" i="43"/>
  <c r="E22" i="49"/>
  <c r="AJ24" i="47"/>
  <c r="AK63" i="49"/>
  <c r="E11" i="47"/>
  <c r="G39" i="46"/>
  <c r="E20" i="49"/>
  <c r="AJ12" i="46"/>
  <c r="AJ34" i="46"/>
  <c r="AJ36" i="43"/>
  <c r="G53" i="46"/>
  <c r="G30" i="43"/>
  <c r="AJ18" i="47"/>
  <c r="AJ14" i="45"/>
  <c r="AK11" i="47"/>
  <c r="G42" i="43"/>
  <c r="AJ65" i="46"/>
  <c r="AJ21" i="46"/>
  <c r="AL21" i="49"/>
  <c r="AL11" i="49"/>
  <c r="G47" i="43"/>
  <c r="AJ30" i="45"/>
  <c r="G46" i="46"/>
  <c r="AJ37" i="47"/>
  <c r="AK20" i="46"/>
  <c r="E57" i="49"/>
  <c r="G37" i="45"/>
  <c r="E8" i="46"/>
  <c r="AJ37" i="46"/>
  <c r="AJ35" i="43"/>
  <c r="AJ7" i="43"/>
  <c r="AK13" i="49"/>
  <c r="AJ13" i="43"/>
  <c r="AL13" i="49"/>
  <c r="G51" i="46"/>
  <c r="G24" i="43"/>
  <c r="G19" i="46"/>
  <c r="AJ27" i="43"/>
  <c r="E61" i="47"/>
  <c r="AJ16" i="47"/>
  <c r="E8" i="47"/>
  <c r="AJ65" i="45"/>
  <c r="G45" i="46"/>
  <c r="AJ9" i="43"/>
  <c r="E9" i="45"/>
  <c r="G65" i="45"/>
  <c r="E34" i="45"/>
  <c r="G18" i="45"/>
  <c r="AK36" i="49"/>
  <c r="G7" i="43"/>
  <c r="G31" i="46"/>
  <c r="AJ19" i="47"/>
  <c r="AJ44" i="45"/>
  <c r="E7" i="45"/>
  <c r="AK10" i="49"/>
  <c r="G65" i="46"/>
  <c r="G34" i="46"/>
  <c r="G57" i="45"/>
  <c r="AJ47" i="43"/>
  <c r="E65" i="47"/>
  <c r="E11" i="49"/>
  <c r="G35" i="46"/>
  <c r="G59" i="45"/>
  <c r="AK41" i="49"/>
  <c r="AJ63" i="46"/>
  <c r="E26" i="49"/>
  <c r="AJ55" i="47"/>
  <c r="AK27" i="49"/>
  <c r="AJ61" i="47"/>
  <c r="G45" i="45"/>
  <c r="AJ49" i="46"/>
  <c r="G35" i="43"/>
  <c r="G62" i="45"/>
  <c r="AK50" i="49"/>
  <c r="AK10" i="45"/>
  <c r="G49" i="45"/>
  <c r="G21" i="43"/>
  <c r="E34" i="49"/>
  <c r="AJ29" i="45"/>
  <c r="G31" i="47"/>
  <c r="AJ66" i="43"/>
  <c r="AJ9" i="45"/>
  <c r="G35" i="45"/>
  <c r="AK16" i="45"/>
  <c r="AJ34" i="45"/>
  <c r="AJ48" i="45"/>
  <c r="E66" i="47"/>
  <c r="AJ26" i="46"/>
  <c r="AK46" i="47"/>
  <c r="G11" i="45"/>
  <c r="AJ51" i="46"/>
  <c r="AJ47" i="46"/>
  <c r="AJ52" i="45"/>
  <c r="AL44" i="49"/>
  <c r="AL16" i="49"/>
  <c r="AL14" i="49"/>
  <c r="AL38" i="49"/>
  <c r="AK25" i="46"/>
  <c r="AJ14" i="46"/>
  <c r="G27" i="46"/>
  <c r="AL17" i="49"/>
  <c r="AJ31" i="45"/>
  <c r="AJ49" i="47"/>
  <c r="AJ51" i="47"/>
  <c r="E43" i="49"/>
  <c r="AL58" i="49"/>
  <c r="AJ42" i="47"/>
  <c r="G18" i="47"/>
  <c r="G34" i="47"/>
  <c r="AJ22" i="46"/>
  <c r="AK9" i="49"/>
  <c r="G37" i="46"/>
  <c r="AL42" i="45"/>
  <c r="E16" i="46"/>
  <c r="AJ45" i="43"/>
  <c r="AJ44" i="47"/>
  <c r="AJ34" i="47"/>
  <c r="E46" i="49"/>
  <c r="AH42" i="45" l="1"/>
  <c r="AG42" i="45"/>
  <c r="AM9" i="49"/>
  <c r="AH58" i="49"/>
  <c r="AG58" i="49"/>
  <c r="AG17" i="49"/>
  <c r="AH17" i="49"/>
  <c r="AM25" i="46"/>
  <c r="AG38" i="49"/>
  <c r="AH38" i="49"/>
  <c r="AG14" i="49"/>
  <c r="AH14" i="49"/>
  <c r="AG16" i="49"/>
  <c r="AH16" i="49"/>
  <c r="AH44" i="49"/>
  <c r="AG44" i="49"/>
  <c r="AM46" i="47"/>
  <c r="AM16" i="45"/>
  <c r="AK66" i="43"/>
  <c r="AM66" i="43" s="1"/>
  <c r="AL66" i="43"/>
  <c r="AM10" i="45"/>
  <c r="AM50" i="49"/>
  <c r="AM27" i="49"/>
  <c r="AM41" i="49"/>
  <c r="AM10" i="49"/>
  <c r="AM36" i="49"/>
  <c r="AG13" i="49"/>
  <c r="AH13" i="49"/>
  <c r="AM13" i="49"/>
  <c r="AM20" i="46"/>
  <c r="AG11" i="49"/>
  <c r="AH11" i="49"/>
  <c r="AG21" i="49"/>
  <c r="AH21" i="49"/>
  <c r="AM11" i="47"/>
  <c r="AM63" i="49"/>
  <c r="AG28" i="49"/>
  <c r="AH28" i="49"/>
  <c r="AH10" i="45"/>
  <c r="AG10" i="45"/>
  <c r="AG39" i="49"/>
  <c r="AH39" i="49"/>
  <c r="AM50" i="45"/>
  <c r="AM7" i="49"/>
  <c r="AM24" i="45"/>
  <c r="AM10" i="47"/>
  <c r="AM23" i="49"/>
  <c r="AM29" i="49"/>
  <c r="AM42" i="45"/>
  <c r="AK67" i="46"/>
  <c r="AM67" i="46" s="1"/>
  <c r="AL67" i="46"/>
  <c r="AM39" i="45"/>
  <c r="AM54" i="49"/>
  <c r="AH22" i="49"/>
  <c r="AG22" i="49"/>
  <c r="AG51" i="49"/>
  <c r="AH51" i="49"/>
  <c r="AM16" i="49"/>
  <c r="AM44" i="49"/>
  <c r="AM56" i="49"/>
  <c r="AM17" i="49"/>
  <c r="AM43" i="49"/>
  <c r="AG57" i="49"/>
  <c r="AH57" i="49"/>
  <c r="AM32" i="46"/>
  <c r="AH27" i="49"/>
  <c r="AG27" i="49"/>
  <c r="AM40" i="46"/>
  <c r="AG36" i="49"/>
  <c r="AH36" i="49"/>
  <c r="AH8" i="49"/>
  <c r="AG8" i="49"/>
  <c r="AM40" i="49"/>
  <c r="AM30" i="49"/>
  <c r="AH23" i="46"/>
  <c r="AG23" i="46"/>
  <c r="AK61" i="46"/>
  <c r="AM61" i="46" s="1"/>
  <c r="AL61" i="46"/>
  <c r="AH23" i="49"/>
  <c r="AG23" i="49"/>
  <c r="AM59" i="49"/>
  <c r="AM16" i="46"/>
  <c r="AH47" i="45"/>
  <c r="AG47" i="45"/>
  <c r="AM49" i="49"/>
  <c r="AM58" i="47"/>
  <c r="AH48" i="46"/>
  <c r="AG48" i="46"/>
  <c r="AM25" i="49"/>
  <c r="AH25" i="46"/>
  <c r="AG25" i="46"/>
  <c r="AH10" i="49"/>
  <c r="AG10" i="49"/>
  <c r="AH33" i="49"/>
  <c r="AG33" i="49"/>
  <c r="AL65" i="43"/>
  <c r="AK65" i="43"/>
  <c r="AM65" i="43" s="1"/>
  <c r="AM52" i="49"/>
  <c r="AM28" i="49"/>
  <c r="AH35" i="49"/>
  <c r="AG35" i="49"/>
  <c r="AG59" i="49"/>
  <c r="AH59" i="49"/>
  <c r="AG62" i="49"/>
  <c r="AH62" i="49"/>
  <c r="AH20" i="49"/>
  <c r="AG20" i="49"/>
  <c r="AM32" i="49"/>
  <c r="AH50" i="49"/>
  <c r="AG50" i="49"/>
  <c r="AH41" i="49"/>
  <c r="AG41" i="49"/>
  <c r="AG43" i="49"/>
  <c r="AH43" i="49"/>
  <c r="AH39" i="45"/>
  <c r="AG39" i="45"/>
  <c r="AH34" i="49"/>
  <c r="AG34" i="49"/>
  <c r="AH15" i="49"/>
  <c r="AG15" i="49"/>
  <c r="AG50" i="45"/>
  <c r="AH50" i="45"/>
  <c r="AG57" i="46"/>
  <c r="AH57" i="46"/>
  <c r="AM21" i="49"/>
  <c r="AG53" i="49"/>
  <c r="AH53" i="49"/>
  <c r="AM20" i="45"/>
  <c r="AL61" i="43"/>
  <c r="AK61" i="43"/>
  <c r="AM61" i="43" s="1"/>
  <c r="AG10" i="47"/>
  <c r="AH10" i="47"/>
  <c r="AG24" i="49"/>
  <c r="AH24" i="49"/>
  <c r="AM23" i="46"/>
  <c r="AM31" i="49"/>
  <c r="AM18" i="49"/>
  <c r="AM35" i="49"/>
  <c r="AM31" i="46"/>
  <c r="AM12" i="49"/>
  <c r="AL60" i="43"/>
  <c r="AK60" i="43"/>
  <c r="AM60" i="43" s="1"/>
  <c r="AH12" i="49"/>
  <c r="AG12" i="49"/>
  <c r="AH50" i="46"/>
  <c r="AG50" i="46"/>
  <c r="AM45" i="49"/>
  <c r="AG63" i="49"/>
  <c r="AH63" i="49"/>
  <c r="AM42" i="49"/>
  <c r="AG29" i="49"/>
  <c r="AH29" i="49"/>
  <c r="AG55" i="45"/>
  <c r="AH55" i="45"/>
  <c r="AG31" i="49"/>
  <c r="AH31" i="49"/>
  <c r="AM55" i="45"/>
  <c r="AM8" i="49"/>
  <c r="AG19" i="49"/>
  <c r="AH19" i="49"/>
  <c r="AG47" i="49"/>
  <c r="AH47" i="49"/>
  <c r="AG31" i="46"/>
  <c r="AH31" i="46"/>
  <c r="AG11" i="47"/>
  <c r="AH11" i="47"/>
  <c r="AH42" i="49"/>
  <c r="AG42" i="49"/>
  <c r="AM26" i="49"/>
  <c r="AH20" i="46"/>
  <c r="AG20" i="46"/>
  <c r="AM57" i="46"/>
  <c r="AM19" i="49"/>
  <c r="AK66" i="46"/>
  <c r="AM66" i="46" s="1"/>
  <c r="AL66" i="46"/>
  <c r="AM62" i="49"/>
  <c r="AM11" i="49"/>
  <c r="AM28" i="46"/>
  <c r="AM51" i="49"/>
  <c r="AM15" i="49"/>
  <c r="AM34" i="49"/>
  <c r="AG40" i="46"/>
  <c r="AH40" i="46"/>
  <c r="AM28" i="45"/>
  <c r="AM14" i="49"/>
  <c r="AM37" i="49"/>
  <c r="O9" i="49"/>
  <c r="O13" i="49"/>
  <c r="O16" i="49" a="1"/>
  <c r="O16" i="49" s="1"/>
  <c r="U13" i="49"/>
  <c r="R11" i="49"/>
  <c r="R12" i="49"/>
  <c r="U11" i="49"/>
  <c r="R10" i="49"/>
  <c r="U9" i="49"/>
  <c r="V9" i="49" s="1"/>
  <c r="R8" i="49"/>
  <c r="O12" i="49"/>
  <c r="U16" i="49" a="1"/>
  <c r="U16" i="49" s="1"/>
  <c r="O11" i="49"/>
  <c r="U8" i="49"/>
  <c r="V8" i="49" s="1"/>
  <c r="R13" i="49"/>
  <c r="S13" i="49" s="1"/>
  <c r="U10" i="49"/>
  <c r="O10" i="49"/>
  <c r="R16" i="49" a="1"/>
  <c r="R16" i="49" s="1"/>
  <c r="R9" i="49"/>
  <c r="AA9" i="49" s="1"/>
  <c r="U12" i="49"/>
  <c r="O8" i="49"/>
  <c r="AM47" i="45"/>
  <c r="AG37" i="49"/>
  <c r="AH37" i="49"/>
  <c r="AH16" i="45"/>
  <c r="AG16" i="45"/>
  <c r="AG52" i="49"/>
  <c r="AH52" i="49"/>
  <c r="AM22" i="49"/>
  <c r="AM7" i="45"/>
  <c r="AG49" i="49"/>
  <c r="AH49" i="49"/>
  <c r="AG54" i="49"/>
  <c r="AH54" i="49"/>
  <c r="AH28" i="46"/>
  <c r="AG28" i="46"/>
  <c r="AM46" i="49"/>
  <c r="AG46" i="47"/>
  <c r="AH46" i="47"/>
  <c r="AG7" i="49"/>
  <c r="AH7" i="49"/>
  <c r="AG11" i="45"/>
  <c r="AH11" i="45"/>
  <c r="AH7" i="45"/>
  <c r="AG7" i="45"/>
  <c r="AG9" i="49"/>
  <c r="AH9" i="49"/>
  <c r="AM53" i="49"/>
  <c r="AG48" i="49"/>
  <c r="AH48" i="49"/>
  <c r="AH26" i="49"/>
  <c r="AG26" i="49"/>
  <c r="AG30" i="49"/>
  <c r="AH30" i="49"/>
  <c r="AH46" i="49"/>
  <c r="AG46" i="49"/>
  <c r="AG32" i="49"/>
  <c r="AH32" i="49"/>
  <c r="AH24" i="45"/>
  <c r="AG24" i="45"/>
  <c r="AG58" i="47"/>
  <c r="AH58" i="47"/>
  <c r="AM39" i="49"/>
  <c r="AG55" i="49"/>
  <c r="AH55" i="49"/>
  <c r="AM11" i="45"/>
  <c r="AM50" i="46"/>
  <c r="AH32" i="46"/>
  <c r="AG32" i="46"/>
  <c r="AM47" i="49"/>
  <c r="AG28" i="45"/>
  <c r="AH28" i="45"/>
  <c r="AK67" i="45"/>
  <c r="AM67" i="45" s="1"/>
  <c r="AL67" i="45"/>
  <c r="AG45" i="49"/>
  <c r="AH45" i="49"/>
  <c r="AL60" i="45"/>
  <c r="AK60" i="45"/>
  <c r="AM60" i="45" s="1"/>
  <c r="AG18" i="49"/>
  <c r="AH18" i="49"/>
  <c r="AL67" i="43"/>
  <c r="AK67" i="43"/>
  <c r="AM67" i="43" s="1"/>
  <c r="AM58" i="49"/>
  <c r="AM57" i="49"/>
  <c r="AH25" i="49"/>
  <c r="AG25" i="49"/>
  <c r="AH16" i="46"/>
  <c r="AG16" i="46"/>
  <c r="AK61" i="45"/>
  <c r="AM61" i="45" s="1"/>
  <c r="AL61" i="45"/>
  <c r="AM64" i="49"/>
  <c r="AM48" i="46"/>
  <c r="AL62" i="47"/>
  <c r="AK62" i="47"/>
  <c r="AM62" i="47" s="1"/>
  <c r="AH40" i="49"/>
  <c r="AG40" i="49"/>
  <c r="AH20" i="45"/>
  <c r="AG20" i="45"/>
  <c r="AM33" i="49"/>
  <c r="AL67" i="47"/>
  <c r="AK67" i="47"/>
  <c r="AM67" i="47" s="1"/>
  <c r="AH56" i="49"/>
  <c r="AG56" i="49"/>
  <c r="AM55" i="49"/>
  <c r="AM20" i="49"/>
  <c r="AM24" i="49"/>
  <c r="AM38" i="49"/>
  <c r="AK66" i="45"/>
  <c r="AM66" i="45" s="1"/>
  <c r="AL66" i="45"/>
  <c r="AM48" i="49"/>
  <c r="BC32" i="56"/>
  <c r="BD31" i="56"/>
  <c r="BG30" i="56"/>
  <c r="BF30" i="56"/>
  <c r="BI30" i="56"/>
  <c r="BH30" i="56"/>
  <c r="BF31" i="55"/>
  <c r="BH31" i="55"/>
  <c r="BI31" i="55"/>
  <c r="BG31" i="55"/>
  <c r="BD32" i="55"/>
  <c r="BC33" i="55"/>
  <c r="BF29" i="54"/>
  <c r="BH29" i="54"/>
  <c r="BI29" i="54"/>
  <c r="BG29" i="54"/>
  <c r="BC31" i="54"/>
  <c r="BD30" i="54"/>
  <c r="BH22" i="52"/>
  <c r="BG22" i="52"/>
  <c r="BF22" i="52"/>
  <c r="BI22" i="52"/>
  <c r="BD23" i="52"/>
  <c r="BC24" i="52"/>
  <c r="BG23" i="51"/>
  <c r="BI23" i="51"/>
  <c r="BH23" i="51"/>
  <c r="BF23" i="51"/>
  <c r="BD24" i="51"/>
  <c r="BC25" i="51"/>
  <c r="BH20" i="50"/>
  <c r="BF20" i="50"/>
  <c r="BG20" i="50"/>
  <c r="BI20" i="50"/>
  <c r="BD21" i="50"/>
  <c r="BC22" i="50"/>
  <c r="BC25" i="49"/>
  <c r="BD24" i="49"/>
  <c r="BF23" i="49"/>
  <c r="BI23" i="49"/>
  <c r="BH23" i="49"/>
  <c r="BG23" i="49"/>
  <c r="BG18" i="43"/>
  <c r="BI18" i="43"/>
  <c r="BF18" i="43"/>
  <c r="BH18" i="43"/>
  <c r="BC20" i="43"/>
  <c r="BD19" i="43"/>
  <c r="BC20" i="40"/>
  <c r="BD19" i="40"/>
  <c r="BI18" i="40"/>
  <c r="BG18" i="40"/>
  <c r="BH18" i="40"/>
  <c r="BF18" i="40"/>
  <c r="BD18" i="34"/>
  <c r="BC19" i="34"/>
  <c r="BI17" i="34"/>
  <c r="BG17" i="34"/>
  <c r="BH17" i="34"/>
  <c r="BF17" i="34"/>
  <c r="BI18" i="45"/>
  <c r="BH18" i="45"/>
  <c r="BG18" i="45"/>
  <c r="BF18" i="45"/>
  <c r="BC20" i="45"/>
  <c r="BD19" i="45"/>
  <c r="BD19" i="46"/>
  <c r="BC20" i="46"/>
  <c r="BI18" i="46"/>
  <c r="BH18" i="46"/>
  <c r="BG18" i="46"/>
  <c r="BF18" i="46"/>
  <c r="BG17" i="47"/>
  <c r="BH17" i="47"/>
  <c r="BF17" i="47"/>
  <c r="BI17" i="47"/>
  <c r="BC19" i="47"/>
  <c r="BD19" i="47" s="1"/>
  <c r="AL34" i="47"/>
  <c r="E37" i="46"/>
  <c r="AL47" i="46"/>
  <c r="AK48" i="45"/>
  <c r="AK47" i="43"/>
  <c r="AL19" i="47"/>
  <c r="AL9" i="43"/>
  <c r="E19" i="46"/>
  <c r="AK7" i="43"/>
  <c r="AL37" i="47"/>
  <c r="AK14" i="45"/>
  <c r="AL34" i="46"/>
  <c r="E18" i="43"/>
  <c r="E57" i="46"/>
  <c r="AL58" i="46"/>
  <c r="AL40" i="43"/>
  <c r="E57" i="43"/>
  <c r="AL27" i="46"/>
  <c r="E62" i="43"/>
  <c r="E36" i="45"/>
  <c r="AK59" i="47"/>
  <c r="AL35" i="47"/>
  <c r="E55" i="47"/>
  <c r="E29" i="43"/>
  <c r="AL64" i="46"/>
  <c r="E50" i="47"/>
  <c r="AK32" i="47"/>
  <c r="E32" i="43"/>
  <c r="E44" i="43"/>
  <c r="AK35" i="45"/>
  <c r="AL11" i="43"/>
  <c r="E41" i="47"/>
  <c r="AL33" i="46"/>
  <c r="AK48" i="47"/>
  <c r="AK32" i="43"/>
  <c r="E54" i="46"/>
  <c r="E36" i="46"/>
  <c r="AL53" i="46"/>
  <c r="E36" i="43"/>
  <c r="AL64" i="43"/>
  <c r="AK16" i="43"/>
  <c r="AL42" i="43"/>
  <c r="AL22" i="43"/>
  <c r="E49" i="43"/>
  <c r="E37" i="47"/>
  <c r="AL23" i="45"/>
  <c r="E47" i="45"/>
  <c r="E33" i="43"/>
  <c r="AK37" i="45"/>
  <c r="AL12" i="47"/>
  <c r="AK51" i="45"/>
  <c r="AK43" i="45"/>
  <c r="E30" i="46"/>
  <c r="AK7" i="47"/>
  <c r="AL31" i="47"/>
  <c r="AK41" i="43"/>
  <c r="E29" i="47"/>
  <c r="AK65" i="47"/>
  <c r="AK25" i="43"/>
  <c r="AL29" i="43"/>
  <c r="E50" i="46"/>
  <c r="AK38" i="43"/>
  <c r="E22" i="46"/>
  <c r="E23" i="46"/>
  <c r="AL38" i="46"/>
  <c r="AK55" i="46"/>
  <c r="E47" i="47"/>
  <c r="E15" i="47"/>
  <c r="AK63" i="45"/>
  <c r="E36" i="47"/>
  <c r="E30" i="45"/>
  <c r="E48" i="45"/>
  <c r="AL56" i="43"/>
  <c r="AK57" i="45"/>
  <c r="AK34" i="47"/>
  <c r="AK47" i="46"/>
  <c r="AL48" i="45"/>
  <c r="E62" i="45"/>
  <c r="AL55" i="47"/>
  <c r="AL47" i="43"/>
  <c r="AK19" i="47"/>
  <c r="E45" i="46"/>
  <c r="E24" i="43"/>
  <c r="AL7" i="43"/>
  <c r="AK37" i="47"/>
  <c r="AL14" i="45"/>
  <c r="AK34" i="46"/>
  <c r="E10" i="47"/>
  <c r="AK52" i="43"/>
  <c r="AK40" i="43"/>
  <c r="E11" i="43"/>
  <c r="AL17" i="46"/>
  <c r="AL59" i="47"/>
  <c r="AK50" i="43"/>
  <c r="AK60" i="46"/>
  <c r="E62" i="46"/>
  <c r="AK19" i="45"/>
  <c r="E20" i="43"/>
  <c r="AK64" i="46"/>
  <c r="AK30" i="46"/>
  <c r="AL8" i="45"/>
  <c r="AL35" i="45"/>
  <c r="AK15" i="45"/>
  <c r="E63" i="46"/>
  <c r="AL39" i="47"/>
  <c r="E31" i="45"/>
  <c r="AL32" i="43"/>
  <c r="AL17" i="43"/>
  <c r="AK53" i="46"/>
  <c r="E20" i="45"/>
  <c r="E24" i="46"/>
  <c r="AK64" i="43"/>
  <c r="E17" i="46"/>
  <c r="AK42" i="43"/>
  <c r="AK22" i="43"/>
  <c r="E63" i="45"/>
  <c r="AL34" i="43"/>
  <c r="AK23" i="45"/>
  <c r="E25" i="47"/>
  <c r="AL56" i="47"/>
  <c r="AL38" i="45"/>
  <c r="AK12" i="47"/>
  <c r="AL51" i="45"/>
  <c r="E60" i="47"/>
  <c r="AL7" i="47"/>
  <c r="AK31" i="47"/>
  <c r="AL41" i="43"/>
  <c r="AL65" i="47"/>
  <c r="AK29" i="43"/>
  <c r="E58" i="45"/>
  <c r="E52" i="47"/>
  <c r="AK36" i="45"/>
  <c r="AL55" i="46"/>
  <c r="AL36" i="47"/>
  <c r="AL52" i="47"/>
  <c r="AL63" i="45"/>
  <c r="E64" i="43"/>
  <c r="E47" i="46"/>
  <c r="AK56" i="43"/>
  <c r="AK60" i="47"/>
  <c r="AL43" i="43"/>
  <c r="AL57" i="45"/>
  <c r="AK59" i="43"/>
  <c r="AL44" i="47"/>
  <c r="AK22" i="46"/>
  <c r="AK51" i="47"/>
  <c r="E27" i="46"/>
  <c r="AK51" i="46"/>
  <c r="AK34" i="45"/>
  <c r="E31" i="47"/>
  <c r="E35" i="43"/>
  <c r="AK55" i="47"/>
  <c r="E57" i="45"/>
  <c r="E31" i="46"/>
  <c r="AL65" i="45"/>
  <c r="E51" i="46"/>
  <c r="AL35" i="43"/>
  <c r="E46" i="46"/>
  <c r="AL21" i="46"/>
  <c r="AK18" i="47"/>
  <c r="AK12" i="46"/>
  <c r="E53" i="45"/>
  <c r="AL52" i="43"/>
  <c r="E44" i="45"/>
  <c r="E54" i="43"/>
  <c r="E44" i="47"/>
  <c r="E58" i="47"/>
  <c r="AK17" i="46"/>
  <c r="AL19" i="46"/>
  <c r="AL50" i="43"/>
  <c r="AL60" i="46"/>
  <c r="AK39" i="46"/>
  <c r="AL42" i="46"/>
  <c r="AL19" i="45"/>
  <c r="AL54" i="45"/>
  <c r="E45" i="43"/>
  <c r="AL50" i="47"/>
  <c r="E50" i="43"/>
  <c r="AL30" i="46"/>
  <c r="AK8" i="45"/>
  <c r="AL15" i="45"/>
  <c r="AK9" i="46"/>
  <c r="E40" i="43"/>
  <c r="AK24" i="46"/>
  <c r="AK39" i="47"/>
  <c r="E38" i="47"/>
  <c r="AK17" i="43"/>
  <c r="AK64" i="45"/>
  <c r="AL33" i="43"/>
  <c r="E51" i="47"/>
  <c r="AK25" i="47"/>
  <c r="AK17" i="45"/>
  <c r="AK34" i="43"/>
  <c r="E10" i="45"/>
  <c r="AK44" i="43"/>
  <c r="AK56" i="47"/>
  <c r="AK38" i="45"/>
  <c r="AK24" i="43"/>
  <c r="AK11" i="46"/>
  <c r="AK44" i="47"/>
  <c r="AL22" i="46"/>
  <c r="AL51" i="47"/>
  <c r="AL14" i="46"/>
  <c r="AL51" i="46"/>
  <c r="AL34" i="45"/>
  <c r="AL29" i="45"/>
  <c r="AK49" i="46"/>
  <c r="AL63" i="46"/>
  <c r="E34" i="46"/>
  <c r="E7" i="43"/>
  <c r="AK65" i="45"/>
  <c r="AK35" i="43"/>
  <c r="AL30" i="45"/>
  <c r="AK21" i="46"/>
  <c r="AL18" i="47"/>
  <c r="AL12" i="46"/>
  <c r="E16" i="43"/>
  <c r="AL22" i="45"/>
  <c r="AL41" i="46"/>
  <c r="AL25" i="45"/>
  <c r="AK14" i="47"/>
  <c r="AL54" i="46"/>
  <c r="E22" i="45"/>
  <c r="AK19" i="46"/>
  <c r="AL29" i="47"/>
  <c r="E28" i="43"/>
  <c r="AL39" i="46"/>
  <c r="AK42" i="46"/>
  <c r="AK54" i="45"/>
  <c r="E53" i="43"/>
  <c r="E35" i="47"/>
  <c r="AK50" i="47"/>
  <c r="E54" i="47"/>
  <c r="E49" i="46"/>
  <c r="AL54" i="43"/>
  <c r="E41" i="46"/>
  <c r="AL9" i="46"/>
  <c r="AK62" i="45"/>
  <c r="E10" i="43"/>
  <c r="AL24" i="46"/>
  <c r="E55" i="43"/>
  <c r="AL62" i="43"/>
  <c r="E41" i="45"/>
  <c r="AL64" i="45"/>
  <c r="AK33" i="43"/>
  <c r="AL21" i="45"/>
  <c r="AL25" i="47"/>
  <c r="AL17" i="45"/>
  <c r="E19" i="45"/>
  <c r="AK32" i="45"/>
  <c r="E24" i="47"/>
  <c r="E59" i="43"/>
  <c r="AL44" i="43"/>
  <c r="E43" i="43"/>
  <c r="AL24" i="43"/>
  <c r="AL11" i="46"/>
  <c r="E56" i="45"/>
  <c r="AK21" i="43"/>
  <c r="AL8" i="43"/>
  <c r="AK45" i="45"/>
  <c r="E39" i="45"/>
  <c r="E48" i="43"/>
  <c r="AL58" i="45"/>
  <c r="AL55" i="43"/>
  <c r="AK51" i="43"/>
  <c r="AK13" i="46"/>
  <c r="AK56" i="46"/>
  <c r="AL44" i="46"/>
  <c r="E24" i="45"/>
  <c r="AK47" i="47"/>
  <c r="AK15" i="43"/>
  <c r="AK27" i="47"/>
  <c r="E17" i="43"/>
  <c r="AK45" i="43"/>
  <c r="E34" i="47"/>
  <c r="AK49" i="47"/>
  <c r="AK14" i="46"/>
  <c r="E11" i="45"/>
  <c r="AK29" i="45"/>
  <c r="AL49" i="46"/>
  <c r="AK63" i="46"/>
  <c r="E65" i="46"/>
  <c r="AK16" i="47"/>
  <c r="AL37" i="46"/>
  <c r="AK30" i="45"/>
  <c r="AL65" i="46"/>
  <c r="E30" i="43"/>
  <c r="E39" i="46"/>
  <c r="AK22" i="45"/>
  <c r="AK41" i="46"/>
  <c r="AK25" i="45"/>
  <c r="AL14" i="47"/>
  <c r="AK54" i="46"/>
  <c r="AK31" i="43"/>
  <c r="E9" i="43"/>
  <c r="AL39" i="43"/>
  <c r="AK29" i="47"/>
  <c r="AL36" i="46"/>
  <c r="E48" i="47"/>
  <c r="E23" i="45"/>
  <c r="AL53" i="45"/>
  <c r="AL13" i="47"/>
  <c r="E27" i="45"/>
  <c r="E21" i="47"/>
  <c r="E30" i="47"/>
  <c r="E49" i="47"/>
  <c r="E33" i="47"/>
  <c r="AK54" i="43"/>
  <c r="E64" i="45"/>
  <c r="AL62" i="45"/>
  <c r="AL46" i="45"/>
  <c r="E13" i="43"/>
  <c r="E33" i="45"/>
  <c r="AL63" i="47"/>
  <c r="AK62" i="43"/>
  <c r="AL30" i="47"/>
  <c r="AK43" i="47"/>
  <c r="AK21" i="45"/>
  <c r="AK43" i="46"/>
  <c r="E64" i="46"/>
  <c r="E15" i="43"/>
  <c r="AL32" i="45"/>
  <c r="AK23" i="47"/>
  <c r="AL9" i="47"/>
  <c r="AK22" i="47"/>
  <c r="E31" i="43"/>
  <c r="AL20" i="47"/>
  <c r="E40" i="45"/>
  <c r="AK41" i="45"/>
  <c r="AK8" i="43"/>
  <c r="AL45" i="45"/>
  <c r="E28" i="45"/>
  <c r="AK55" i="43"/>
  <c r="E58" i="46"/>
  <c r="AL21" i="47"/>
  <c r="AL18" i="46"/>
  <c r="AL28" i="43"/>
  <c r="AK59" i="45"/>
  <c r="AK19" i="43"/>
  <c r="AL56" i="46"/>
  <c r="E32" i="47"/>
  <c r="E48" i="46"/>
  <c r="AL47" i="47"/>
  <c r="AL15" i="43"/>
  <c r="E23" i="47"/>
  <c r="AL42" i="47"/>
  <c r="AL31" i="45"/>
  <c r="AL52" i="45"/>
  <c r="AL26" i="46"/>
  <c r="AK9" i="45"/>
  <c r="AL61" i="47"/>
  <c r="E35" i="46"/>
  <c r="AK44" i="45"/>
  <c r="AK9" i="43"/>
  <c r="AL27" i="43"/>
  <c r="AK36" i="43"/>
  <c r="AL24" i="47"/>
  <c r="AK58" i="46"/>
  <c r="E8" i="43"/>
  <c r="E32" i="45"/>
  <c r="AK27" i="46"/>
  <c r="E18" i="46"/>
  <c r="E26" i="43"/>
  <c r="AK52" i="46"/>
  <c r="E42" i="47"/>
  <c r="E21" i="46"/>
  <c r="AK35" i="47"/>
  <c r="AL57" i="47"/>
  <c r="AK20" i="43"/>
  <c r="E42" i="45"/>
  <c r="E55" i="45"/>
  <c r="E27" i="43"/>
  <c r="AL32" i="47"/>
  <c r="E41" i="43"/>
  <c r="E59" i="46"/>
  <c r="AK14" i="43"/>
  <c r="AK11" i="43"/>
  <c r="AL49" i="45"/>
  <c r="E39" i="43"/>
  <c r="AK33" i="46"/>
  <c r="AL48" i="47"/>
  <c r="E14" i="47"/>
  <c r="AK23" i="43"/>
  <c r="AK53" i="43"/>
  <c r="E12" i="43"/>
  <c r="E22" i="47"/>
  <c r="AL16" i="43"/>
  <c r="E53" i="47"/>
  <c r="AL49" i="43"/>
  <c r="AK66" i="47"/>
  <c r="AK30" i="43"/>
  <c r="E43" i="46"/>
  <c r="E15" i="46"/>
  <c r="AL29" i="46"/>
  <c r="AL37" i="45"/>
  <c r="AL17" i="47"/>
  <c r="AK53" i="47"/>
  <c r="E54" i="45"/>
  <c r="AL43" i="45"/>
  <c r="AL13" i="45"/>
  <c r="E25" i="46"/>
  <c r="AL40" i="45"/>
  <c r="AL26" i="43"/>
  <c r="E38" i="43"/>
  <c r="AL25" i="43"/>
  <c r="AL8" i="47"/>
  <c r="E23" i="43"/>
  <c r="AL38" i="43"/>
  <c r="AK48" i="43"/>
  <c r="AK38" i="46"/>
  <c r="AK18" i="45"/>
  <c r="AL28" i="47"/>
  <c r="E58" i="43"/>
  <c r="AL18" i="43"/>
  <c r="E26" i="45"/>
  <c r="E57" i="47"/>
  <c r="AL59" i="46"/>
  <c r="AK57" i="43"/>
  <c r="AL45" i="43"/>
  <c r="AL49" i="47"/>
  <c r="AK13" i="43"/>
  <c r="AK24" i="47"/>
  <c r="E46" i="47"/>
  <c r="AK37" i="43"/>
  <c r="E39" i="47"/>
  <c r="AL41" i="47"/>
  <c r="AL45" i="47"/>
  <c r="AL45" i="46"/>
  <c r="AL43" i="46"/>
  <c r="AK49" i="43"/>
  <c r="AL66" i="47"/>
  <c r="AL53" i="47"/>
  <c r="E26" i="46"/>
  <c r="E63" i="43"/>
  <c r="AL12" i="43"/>
  <c r="E51" i="45"/>
  <c r="AK43" i="43"/>
  <c r="AK44" i="46"/>
  <c r="AK58" i="43"/>
  <c r="E59" i="47"/>
  <c r="AK29" i="46"/>
  <c r="AL26" i="47"/>
  <c r="E7" i="47"/>
  <c r="AK31" i="45"/>
  <c r="E35" i="45"/>
  <c r="E45" i="45"/>
  <c r="E18" i="45"/>
  <c r="AL26" i="45"/>
  <c r="E17" i="47"/>
  <c r="AK13" i="47"/>
  <c r="E19" i="43"/>
  <c r="AK45" i="46"/>
  <c r="E40" i="47"/>
  <c r="AK26" i="43"/>
  <c r="E56" i="46"/>
  <c r="E52" i="46"/>
  <c r="AK10" i="43"/>
  <c r="AL36" i="45"/>
  <c r="AK36" i="47"/>
  <c r="E46" i="43"/>
  <c r="AK7" i="46"/>
  <c r="AK42" i="47"/>
  <c r="E53" i="46"/>
  <c r="AK10" i="46"/>
  <c r="AK26" i="47"/>
  <c r="E26" i="47"/>
  <c r="E49" i="45"/>
  <c r="AL35" i="46"/>
  <c r="AL9" i="45"/>
  <c r="AK61" i="47"/>
  <c r="E65" i="45"/>
  <c r="AK37" i="46"/>
  <c r="AK65" i="46"/>
  <c r="AK26" i="45"/>
  <c r="E42" i="46"/>
  <c r="E56" i="47"/>
  <c r="AK54" i="47"/>
  <c r="AK46" i="45"/>
  <c r="AL53" i="43"/>
  <c r="AK46" i="43"/>
  <c r="AL33" i="47"/>
  <c r="E29" i="46"/>
  <c r="AK9" i="47"/>
  <c r="AK56" i="45"/>
  <c r="AK20" i="47"/>
  <c r="AL21" i="43"/>
  <c r="E46" i="45"/>
  <c r="AK8" i="47"/>
  <c r="AL10" i="43"/>
  <c r="AK58" i="45"/>
  <c r="AK21" i="47"/>
  <c r="AL18" i="45"/>
  <c r="AL7" i="46"/>
  <c r="AL59" i="43"/>
  <c r="E21" i="43"/>
  <c r="E37" i="43"/>
  <c r="AK53" i="45"/>
  <c r="AL16" i="47"/>
  <c r="E37" i="45"/>
  <c r="E42" i="43"/>
  <c r="AL8" i="46"/>
  <c r="AL27" i="45"/>
  <c r="AK15" i="46"/>
  <c r="AL54" i="47"/>
  <c r="AK49" i="45"/>
  <c r="AL46" i="43"/>
  <c r="AK33" i="47"/>
  <c r="AL23" i="47"/>
  <c r="E45" i="47"/>
  <c r="AL56" i="45"/>
  <c r="E34" i="43"/>
  <c r="E52" i="43"/>
  <c r="AL40" i="47"/>
  <c r="AK13" i="45"/>
  <c r="AL41" i="45"/>
  <c r="E51" i="43"/>
  <c r="E52" i="45"/>
  <c r="AL64" i="47"/>
  <c r="AK38" i="47"/>
  <c r="AK18" i="46"/>
  <c r="AL59" i="45"/>
  <c r="AK46" i="46"/>
  <c r="E28" i="46"/>
  <c r="E59" i="45"/>
  <c r="AK12" i="45"/>
  <c r="AK52" i="47"/>
  <c r="AL36" i="43"/>
  <c r="AL31" i="43"/>
  <c r="AL20" i="43"/>
  <c r="AL10" i="46"/>
  <c r="E7" i="46"/>
  <c r="AL15" i="47"/>
  <c r="E18" i="47"/>
  <c r="AK27" i="43"/>
  <c r="E40" i="46"/>
  <c r="AK8" i="46"/>
  <c r="AL12" i="45"/>
  <c r="AK27" i="45"/>
  <c r="AK57" i="47"/>
  <c r="E33" i="46"/>
  <c r="AL15" i="46"/>
  <c r="AK63" i="47"/>
  <c r="E22" i="43"/>
  <c r="AL43" i="47"/>
  <c r="AL30" i="43"/>
  <c r="AK17" i="47"/>
  <c r="AK40" i="47"/>
  <c r="E20" i="46"/>
  <c r="AK40" i="45"/>
  <c r="E56" i="43"/>
  <c r="AK64" i="47"/>
  <c r="AL48" i="43"/>
  <c r="AL38" i="47"/>
  <c r="AK28" i="47"/>
  <c r="E55" i="46"/>
  <c r="AK18" i="43"/>
  <c r="AL46" i="46"/>
  <c r="E25" i="43"/>
  <c r="AL60" i="47"/>
  <c r="AL27" i="47"/>
  <c r="E32" i="46"/>
  <c r="E47" i="43"/>
  <c r="AK39" i="43"/>
  <c r="AL58" i="43"/>
  <c r="AK59" i="46"/>
  <c r="AL13" i="46"/>
  <c r="E50" i="45"/>
  <c r="AK26" i="46"/>
  <c r="AL44" i="45"/>
  <c r="AL13" i="43"/>
  <c r="E38" i="46"/>
  <c r="AL37" i="43"/>
  <c r="AK36" i="46"/>
  <c r="AK41" i="47"/>
  <c r="AK45" i="47"/>
  <c r="AL62" i="46"/>
  <c r="AL14" i="43"/>
  <c r="AL63" i="43"/>
  <c r="E14" i="43"/>
  <c r="AL23" i="43"/>
  <c r="AK35" i="46"/>
  <c r="E43" i="45"/>
  <c r="AL22" i="47"/>
  <c r="E43" i="47"/>
  <c r="AK33" i="45"/>
  <c r="E15" i="45"/>
  <c r="AL51" i="43"/>
  <c r="AK28" i="43"/>
  <c r="AK12" i="43"/>
  <c r="AL19" i="43"/>
  <c r="AK15" i="47"/>
  <c r="AK52" i="45"/>
  <c r="E38" i="45"/>
  <c r="AL52" i="46"/>
  <c r="AK62" i="46"/>
  <c r="AK63" i="43"/>
  <c r="AK30" i="47"/>
  <c r="AL33" i="45"/>
  <c r="AL57" i="43"/>
  <c r="O14" i="49" l="1"/>
  <c r="P13" i="49" s="1"/>
  <c r="R14" i="49"/>
  <c r="R5" i="49" s="1"/>
  <c r="AA8" i="49"/>
  <c r="AG57" i="43"/>
  <c r="AH57" i="43"/>
  <c r="AG33" i="45"/>
  <c r="AH33" i="45"/>
  <c r="AM30" i="47"/>
  <c r="AM63" i="43"/>
  <c r="AM62" i="46"/>
  <c r="AH52" i="46"/>
  <c r="AG52" i="46"/>
  <c r="AM52" i="45"/>
  <c r="AM15" i="47"/>
  <c r="AH19" i="43"/>
  <c r="AG19" i="43"/>
  <c r="AM12" i="43"/>
  <c r="AM28" i="43"/>
  <c r="AG51" i="43"/>
  <c r="AH51" i="43"/>
  <c r="AM33" i="45"/>
  <c r="AG22" i="47"/>
  <c r="AH22" i="47"/>
  <c r="AM35" i="46"/>
  <c r="AH23" i="43"/>
  <c r="AG23" i="43"/>
  <c r="AH63" i="43"/>
  <c r="AG63" i="43"/>
  <c r="AG14" i="43"/>
  <c r="AH14" i="43"/>
  <c r="AH62" i="46"/>
  <c r="AG62" i="46"/>
  <c r="AM45" i="47"/>
  <c r="AM41" i="47"/>
  <c r="AM36" i="46"/>
  <c r="AH37" i="43"/>
  <c r="AG37" i="43"/>
  <c r="AG13" i="43"/>
  <c r="AH13" i="43"/>
  <c r="AG44" i="45"/>
  <c r="AH44" i="45"/>
  <c r="AM26" i="46"/>
  <c r="AH13" i="46"/>
  <c r="AG13" i="46"/>
  <c r="AM59" i="46"/>
  <c r="AG58" i="43"/>
  <c r="AH58" i="43"/>
  <c r="AM39" i="43"/>
  <c r="AG27" i="47"/>
  <c r="AH27" i="47"/>
  <c r="AH60" i="47"/>
  <c r="AG60" i="47"/>
  <c r="AG46" i="46"/>
  <c r="AH46" i="46"/>
  <c r="AM18" i="43"/>
  <c r="AM28" i="47"/>
  <c r="AG38" i="47"/>
  <c r="AH38" i="47"/>
  <c r="AG48" i="43"/>
  <c r="AH48" i="43"/>
  <c r="AM64" i="47"/>
  <c r="AM40" i="45"/>
  <c r="AM40" i="47"/>
  <c r="AM17" i="47"/>
  <c r="AG30" i="43"/>
  <c r="AH30" i="43"/>
  <c r="AH43" i="47"/>
  <c r="AG43" i="47"/>
  <c r="AM63" i="47"/>
  <c r="AH15" i="46"/>
  <c r="AG15" i="46"/>
  <c r="AM57" i="47"/>
  <c r="AM27" i="45"/>
  <c r="AH12" i="45"/>
  <c r="AG12" i="45"/>
  <c r="AM8" i="46"/>
  <c r="AM27" i="43"/>
  <c r="AH15" i="47"/>
  <c r="AG15" i="47"/>
  <c r="O11" i="46"/>
  <c r="R13" i="46"/>
  <c r="S13" i="46" s="1"/>
  <c r="O13" i="46"/>
  <c r="U10" i="46"/>
  <c r="U11" i="46"/>
  <c r="V11" i="46" s="1"/>
  <c r="U16" i="46" a="1"/>
  <c r="U16" i="46" s="1"/>
  <c r="R10" i="46"/>
  <c r="R8" i="46"/>
  <c r="O10" i="46"/>
  <c r="O9" i="46"/>
  <c r="R9" i="46"/>
  <c r="R16" i="46" a="1"/>
  <c r="R16" i="46" s="1"/>
  <c r="U13" i="46"/>
  <c r="V13" i="46" s="1"/>
  <c r="R12" i="46"/>
  <c r="O16" i="46" a="1"/>
  <c r="O16" i="46" s="1"/>
  <c r="R11" i="46"/>
  <c r="O8" i="46"/>
  <c r="O12" i="46"/>
  <c r="U8" i="46"/>
  <c r="V8" i="46" s="1"/>
  <c r="U9" i="46"/>
  <c r="V9" i="46" s="1"/>
  <c r="U12" i="46"/>
  <c r="AG10" i="46"/>
  <c r="AH10" i="46"/>
  <c r="AG20" i="43"/>
  <c r="AH20" i="43"/>
  <c r="AH31" i="43"/>
  <c r="AG31" i="43"/>
  <c r="AH36" i="43"/>
  <c r="AG36" i="43"/>
  <c r="AM52" i="47"/>
  <c r="AM12" i="45"/>
  <c r="AM46" i="46"/>
  <c r="AG59" i="45"/>
  <c r="AH59" i="45"/>
  <c r="AM18" i="46"/>
  <c r="AM38" i="47"/>
  <c r="AH64" i="47"/>
  <c r="AG64" i="47"/>
  <c r="AG41" i="45"/>
  <c r="AH41" i="45"/>
  <c r="AM13" i="45"/>
  <c r="AH40" i="47"/>
  <c r="AG40" i="47"/>
  <c r="AH56" i="45"/>
  <c r="AG56" i="45"/>
  <c r="AG23" i="47"/>
  <c r="AH23" i="47"/>
  <c r="AM33" i="47"/>
  <c r="AG46" i="43"/>
  <c r="AH46" i="43"/>
  <c r="AM49" i="45"/>
  <c r="AG54" i="47"/>
  <c r="AH54" i="47"/>
  <c r="AM15" i="46"/>
  <c r="AH27" i="45"/>
  <c r="AG27" i="45"/>
  <c r="AH8" i="46"/>
  <c r="AG8" i="46"/>
  <c r="AG16" i="47"/>
  <c r="AH16" i="47"/>
  <c r="AM53" i="45"/>
  <c r="AG59" i="43"/>
  <c r="AH59" i="43"/>
  <c r="AG7" i="46"/>
  <c r="AH7" i="46"/>
  <c r="AH18" i="45"/>
  <c r="AG18" i="45"/>
  <c r="AM21" i="47"/>
  <c r="AM58" i="45"/>
  <c r="AH10" i="43"/>
  <c r="AG10" i="43"/>
  <c r="AM8" i="47"/>
  <c r="AG21" i="43"/>
  <c r="AH21" i="43"/>
  <c r="AM20" i="47"/>
  <c r="AM56" i="45"/>
  <c r="AM9" i="47"/>
  <c r="AH33" i="47"/>
  <c r="AG33" i="47"/>
  <c r="AM46" i="43"/>
  <c r="AH53" i="43"/>
  <c r="AG53" i="43"/>
  <c r="AM46" i="45"/>
  <c r="AM54" i="47"/>
  <c r="AM26" i="45"/>
  <c r="AM65" i="46"/>
  <c r="AM37" i="46"/>
  <c r="AM61" i="47"/>
  <c r="AH9" i="45"/>
  <c r="AG9" i="45"/>
  <c r="AG35" i="46"/>
  <c r="AH35" i="46"/>
  <c r="AM26" i="47"/>
  <c r="AM10" i="46"/>
  <c r="AM42" i="47"/>
  <c r="AM7" i="46"/>
  <c r="AM36" i="47"/>
  <c r="AG36" i="45"/>
  <c r="AH36" i="45"/>
  <c r="AM10" i="43"/>
  <c r="AM26" i="43"/>
  <c r="AM45" i="46"/>
  <c r="AM13" i="47"/>
  <c r="AG26" i="45"/>
  <c r="AH26" i="45"/>
  <c r="AM31" i="45"/>
  <c r="O16" i="47" a="1"/>
  <c r="O16" i="47" s="1"/>
  <c r="R12" i="47"/>
  <c r="O13" i="47"/>
  <c r="R8" i="47"/>
  <c r="O9" i="47"/>
  <c r="O10" i="47"/>
  <c r="U12" i="47"/>
  <c r="U16" i="47" a="1"/>
  <c r="U16" i="47" s="1"/>
  <c r="U11" i="47"/>
  <c r="V11" i="47" s="1"/>
  <c r="U10" i="47"/>
  <c r="R16" i="47" a="1"/>
  <c r="R16" i="47" s="1"/>
  <c r="R13" i="47"/>
  <c r="S13" i="47" s="1"/>
  <c r="R11" i="47"/>
  <c r="U9" i="47"/>
  <c r="V9" i="47" s="1"/>
  <c r="O8" i="47"/>
  <c r="O12" i="47"/>
  <c r="R9" i="47"/>
  <c r="R14" i="47" s="1"/>
  <c r="R5" i="47" s="1"/>
  <c r="R10" i="47"/>
  <c r="U8" i="47"/>
  <c r="V8" i="47" s="1"/>
  <c r="O11" i="47"/>
  <c r="U13" i="47"/>
  <c r="AH26" i="47"/>
  <c r="AG26" i="47"/>
  <c r="AM29" i="46"/>
  <c r="AM58" i="43"/>
  <c r="AM44" i="46"/>
  <c r="AM43" i="43"/>
  <c r="AG12" i="43"/>
  <c r="AH12" i="43"/>
  <c r="AH53" i="47"/>
  <c r="AG53" i="47"/>
  <c r="AM49" i="43"/>
  <c r="AG43" i="46"/>
  <c r="AH43" i="46"/>
  <c r="AH45" i="46"/>
  <c r="AG45" i="46"/>
  <c r="AG45" i="47"/>
  <c r="AH45" i="47"/>
  <c r="AG41" i="47"/>
  <c r="AH41" i="47"/>
  <c r="AM37" i="43"/>
  <c r="AM24" i="47"/>
  <c r="AM13" i="43"/>
  <c r="AH49" i="47"/>
  <c r="AG49" i="47"/>
  <c r="AG45" i="43"/>
  <c r="AH45" i="43"/>
  <c r="AM57" i="43"/>
  <c r="AH59" i="46"/>
  <c r="AG59" i="46"/>
  <c r="AH18" i="43"/>
  <c r="AG18" i="43"/>
  <c r="AH28" i="47"/>
  <c r="AG28" i="47"/>
  <c r="AM18" i="45"/>
  <c r="AM38" i="46"/>
  <c r="AM48" i="43"/>
  <c r="AH38" i="43"/>
  <c r="AG38" i="43"/>
  <c r="AH8" i="47"/>
  <c r="AG8" i="47"/>
  <c r="AG25" i="43"/>
  <c r="AH25" i="43"/>
  <c r="AG26" i="43"/>
  <c r="AH26" i="43"/>
  <c r="AG40" i="45"/>
  <c r="AH40" i="45"/>
  <c r="AG13" i="45"/>
  <c r="AH13" i="45"/>
  <c r="AH43" i="45"/>
  <c r="AG43" i="45"/>
  <c r="AM53" i="47"/>
  <c r="AG17" i="47"/>
  <c r="AH17" i="47"/>
  <c r="AG37" i="45"/>
  <c r="AH37" i="45"/>
  <c r="AH29" i="46"/>
  <c r="AG29" i="46"/>
  <c r="AM30" i="43"/>
  <c r="AM66" i="47"/>
  <c r="AH49" i="43"/>
  <c r="AG49" i="43"/>
  <c r="AG16" i="43"/>
  <c r="AH16" i="43"/>
  <c r="AM53" i="43"/>
  <c r="AM23" i="43"/>
  <c r="AH48" i="47"/>
  <c r="AG48" i="47"/>
  <c r="AM33" i="46"/>
  <c r="AH49" i="45"/>
  <c r="AG49" i="45"/>
  <c r="AM11" i="43"/>
  <c r="AM14" i="43"/>
  <c r="AH32" i="47"/>
  <c r="AG32" i="47"/>
  <c r="AM20" i="43"/>
  <c r="AG57" i="47"/>
  <c r="AH57" i="47"/>
  <c r="AM35" i="47"/>
  <c r="AM52" i="46"/>
  <c r="AM27" i="46"/>
  <c r="AM58" i="46"/>
  <c r="AG24" i="47"/>
  <c r="AH24" i="47"/>
  <c r="AM36" i="43"/>
  <c r="AH27" i="43"/>
  <c r="AG27" i="43"/>
  <c r="AM9" i="43"/>
  <c r="AM44" i="45"/>
  <c r="AH61" i="47"/>
  <c r="AG61" i="47"/>
  <c r="AM9" i="45"/>
  <c r="AG26" i="46"/>
  <c r="AH26" i="46"/>
  <c r="AG52" i="45"/>
  <c r="AH52" i="45"/>
  <c r="AH31" i="45"/>
  <c r="AG31" i="45"/>
  <c r="AG42" i="47"/>
  <c r="AH42" i="47"/>
  <c r="AH15" i="43"/>
  <c r="AG15" i="43"/>
  <c r="AH47" i="47"/>
  <c r="AG47" i="47"/>
  <c r="AH56" i="46"/>
  <c r="AG56" i="46"/>
  <c r="AM19" i="43"/>
  <c r="AM59" i="45"/>
  <c r="AG28" i="43"/>
  <c r="AH28" i="43"/>
  <c r="AG18" i="46"/>
  <c r="AH18" i="46"/>
  <c r="AG21" i="47"/>
  <c r="AH21" i="47"/>
  <c r="AM55" i="43"/>
  <c r="AG45" i="45"/>
  <c r="AH45" i="45"/>
  <c r="AM8" i="43"/>
  <c r="AM41" i="45"/>
  <c r="AG20" i="47"/>
  <c r="AH20" i="47"/>
  <c r="AM22" i="47"/>
  <c r="AG9" i="47"/>
  <c r="AH9" i="47"/>
  <c r="AM23" i="47"/>
  <c r="AG32" i="45"/>
  <c r="AH32" i="45"/>
  <c r="AM43" i="46"/>
  <c r="AM21" i="45"/>
  <c r="AM43" i="47"/>
  <c r="AH30" i="47"/>
  <c r="AG30" i="47"/>
  <c r="AM62" i="43"/>
  <c r="AH63" i="47"/>
  <c r="AG63" i="47"/>
  <c r="AG46" i="45"/>
  <c r="AH46" i="45"/>
  <c r="AH62" i="45"/>
  <c r="AG62" i="45"/>
  <c r="AM54" i="43"/>
  <c r="AH13" i="47"/>
  <c r="AG13" i="47"/>
  <c r="AG53" i="45"/>
  <c r="AH53" i="45"/>
  <c r="AH36" i="46"/>
  <c r="AG36" i="46"/>
  <c r="AM29" i="47"/>
  <c r="AH39" i="43"/>
  <c r="AG39" i="43"/>
  <c r="AM31" i="43"/>
  <c r="AM54" i="46"/>
  <c r="AH14" i="47"/>
  <c r="AG14" i="47"/>
  <c r="AM25" i="45"/>
  <c r="AM41" i="46"/>
  <c r="AM22" i="45"/>
  <c r="AM30" i="45"/>
  <c r="AG37" i="46"/>
  <c r="AH37" i="46"/>
  <c r="AM16" i="47"/>
  <c r="AM63" i="46"/>
  <c r="AH49" i="46"/>
  <c r="AG49" i="46"/>
  <c r="AM29" i="45"/>
  <c r="AM14" i="46"/>
  <c r="AM49" i="47"/>
  <c r="AM45" i="43"/>
  <c r="AM27" i="47"/>
  <c r="AM15" i="43"/>
  <c r="AM47" i="47"/>
  <c r="AH44" i="46"/>
  <c r="AG44" i="46"/>
  <c r="AM56" i="46"/>
  <c r="AM13" i="46"/>
  <c r="AM51" i="43"/>
  <c r="AG55" i="43"/>
  <c r="AH55" i="43"/>
  <c r="AH58" i="45"/>
  <c r="AG58" i="45"/>
  <c r="AM45" i="45"/>
  <c r="AG8" i="43"/>
  <c r="AH8" i="43"/>
  <c r="AM21" i="43"/>
  <c r="AG11" i="46"/>
  <c r="AH11" i="46"/>
  <c r="AG24" i="43"/>
  <c r="AH24" i="43"/>
  <c r="AH44" i="43"/>
  <c r="AG44" i="43"/>
  <c r="AM32" i="45"/>
  <c r="AG17" i="45"/>
  <c r="AH17" i="45"/>
  <c r="AH25" i="47"/>
  <c r="AG25" i="47"/>
  <c r="AG21" i="45"/>
  <c r="AH21" i="45"/>
  <c r="AM33" i="43"/>
  <c r="AG64" i="45"/>
  <c r="AH64" i="45"/>
  <c r="AH62" i="43"/>
  <c r="AG62" i="43"/>
  <c r="AG24" i="46"/>
  <c r="AH24" i="46"/>
  <c r="AM62" i="45"/>
  <c r="AG9" i="46"/>
  <c r="AH9" i="46"/>
  <c r="AG54" i="43"/>
  <c r="AH54" i="43"/>
  <c r="AM50" i="47"/>
  <c r="AM54" i="45"/>
  <c r="AM42" i="46"/>
  <c r="AG39" i="46"/>
  <c r="AH39" i="46"/>
  <c r="AG29" i="47"/>
  <c r="AH29" i="47"/>
  <c r="AM19" i="46"/>
  <c r="AG54" i="46"/>
  <c r="AH54" i="46"/>
  <c r="AM14" i="47"/>
  <c r="AG25" i="45"/>
  <c r="AH25" i="45"/>
  <c r="AH41" i="46"/>
  <c r="AG41" i="46"/>
  <c r="AH22" i="45"/>
  <c r="AG22" i="45"/>
  <c r="AG12" i="46"/>
  <c r="AH12" i="46"/>
  <c r="AG18" i="47"/>
  <c r="AH18" i="47"/>
  <c r="AM21" i="46"/>
  <c r="AG30" i="45"/>
  <c r="AH30" i="45"/>
  <c r="AM35" i="43"/>
  <c r="AM65" i="45"/>
  <c r="O13" i="43"/>
  <c r="R9" i="43"/>
  <c r="O12" i="43"/>
  <c r="O11" i="43"/>
  <c r="R10" i="43"/>
  <c r="U13" i="43"/>
  <c r="U16" i="43" a="1"/>
  <c r="U16" i="43" s="1"/>
  <c r="R12" i="43"/>
  <c r="R8" i="43"/>
  <c r="R16" i="43" a="1"/>
  <c r="R16" i="43" s="1"/>
  <c r="R11" i="43"/>
  <c r="U12" i="43"/>
  <c r="O16" i="43" a="1"/>
  <c r="O16" i="43" s="1"/>
  <c r="U10" i="43"/>
  <c r="R13" i="43"/>
  <c r="S13" i="43" s="1"/>
  <c r="O10" i="43"/>
  <c r="O8" i="43"/>
  <c r="U11" i="43"/>
  <c r="V11" i="43" s="1"/>
  <c r="U9" i="43"/>
  <c r="V9" i="43" s="1"/>
  <c r="O9" i="43"/>
  <c r="U8" i="43"/>
  <c r="V8" i="43" s="1"/>
  <c r="AH63" i="46"/>
  <c r="AG63" i="46"/>
  <c r="AM49" i="46"/>
  <c r="AH29" i="45"/>
  <c r="AG29" i="45"/>
  <c r="AH34" i="45"/>
  <c r="AG34" i="45"/>
  <c r="AH51" i="46"/>
  <c r="AG51" i="46"/>
  <c r="AG14" i="46"/>
  <c r="AH14" i="46"/>
  <c r="AG51" i="47"/>
  <c r="AH51" i="47"/>
  <c r="AH22" i="46"/>
  <c r="AG22" i="46"/>
  <c r="AM44" i="47"/>
  <c r="AM11" i="46"/>
  <c r="AM24" i="43"/>
  <c r="AM38" i="45"/>
  <c r="AM56" i="47"/>
  <c r="AM44" i="43"/>
  <c r="R13" i="45"/>
  <c r="S13" i="45" s="1"/>
  <c r="O16" i="45" a="1"/>
  <c r="O16" i="45" s="1"/>
  <c r="U12" i="45"/>
  <c r="AA12" i="45" s="1"/>
  <c r="O12" i="45"/>
  <c r="R8" i="45"/>
  <c r="U8" i="45"/>
  <c r="V8" i="45" s="1"/>
  <c r="R9" i="45"/>
  <c r="R11" i="45"/>
  <c r="U11" i="45"/>
  <c r="V11" i="45" s="1"/>
  <c r="U10" i="45"/>
  <c r="O13" i="45"/>
  <c r="O8" i="45"/>
  <c r="R16" i="45" a="1"/>
  <c r="R16" i="45" s="1"/>
  <c r="R10" i="45"/>
  <c r="U9" i="45"/>
  <c r="V9" i="45" s="1"/>
  <c r="O9" i="45"/>
  <c r="O11" i="45"/>
  <c r="U16" i="45" a="1"/>
  <c r="U16" i="45" s="1"/>
  <c r="U13" i="45"/>
  <c r="R12" i="45"/>
  <c r="O10" i="45"/>
  <c r="AM34" i="43"/>
  <c r="AM17" i="45"/>
  <c r="AM25" i="47"/>
  <c r="AG33" i="43"/>
  <c r="AH33" i="43"/>
  <c r="AM64" i="45"/>
  <c r="AM17" i="43"/>
  <c r="AM39" i="47"/>
  <c r="AM24" i="46"/>
  <c r="AM9" i="46"/>
  <c r="AH15" i="45"/>
  <c r="AG15" i="45"/>
  <c r="AM8" i="45"/>
  <c r="AH30" i="46"/>
  <c r="AG30" i="46"/>
  <c r="AG50" i="47"/>
  <c r="AH50" i="47"/>
  <c r="AG54" i="45"/>
  <c r="AH54" i="45"/>
  <c r="AH19" i="45"/>
  <c r="AG19" i="45"/>
  <c r="AG42" i="46"/>
  <c r="AH42" i="46"/>
  <c r="AM39" i="46"/>
  <c r="AH60" i="46"/>
  <c r="AG60" i="46"/>
  <c r="AH50" i="43"/>
  <c r="AG50" i="43"/>
  <c r="AH19" i="46"/>
  <c r="AG19" i="46"/>
  <c r="AM17" i="46"/>
  <c r="AG52" i="43"/>
  <c r="AH52" i="43"/>
  <c r="AM12" i="46"/>
  <c r="AM18" i="47"/>
  <c r="AG21" i="46"/>
  <c r="AH21" i="46"/>
  <c r="AH35" i="43"/>
  <c r="AG35" i="43"/>
  <c r="AM55" i="47"/>
  <c r="AM34" i="45"/>
  <c r="AM51" i="46"/>
  <c r="AM51" i="47"/>
  <c r="AM22" i="46"/>
  <c r="AH44" i="47"/>
  <c r="AG44" i="47"/>
  <c r="AM59" i="43"/>
  <c r="AG57" i="45"/>
  <c r="AH57" i="45"/>
  <c r="AH43" i="43"/>
  <c r="AG43" i="43"/>
  <c r="AM60" i="47"/>
  <c r="AM56" i="43"/>
  <c r="AG63" i="45"/>
  <c r="AH63" i="45"/>
  <c r="AH52" i="47"/>
  <c r="AG52" i="47"/>
  <c r="AH36" i="47"/>
  <c r="AG36" i="47"/>
  <c r="AG55" i="46"/>
  <c r="AH55" i="46"/>
  <c r="AM36" i="45"/>
  <c r="AM29" i="43"/>
  <c r="AG65" i="47"/>
  <c r="AH65" i="47"/>
  <c r="AH41" i="43"/>
  <c r="AG41" i="43"/>
  <c r="AM31" i="47"/>
  <c r="AH7" i="47"/>
  <c r="AG7" i="47"/>
  <c r="AG51" i="45"/>
  <c r="AH51" i="45"/>
  <c r="AM12" i="47"/>
  <c r="AG38" i="45"/>
  <c r="AH38" i="45"/>
  <c r="AH56" i="47"/>
  <c r="AG56" i="47"/>
  <c r="AM23" i="45"/>
  <c r="AH34" i="43"/>
  <c r="AG34" i="43"/>
  <c r="AM22" i="43"/>
  <c r="AM42" i="43"/>
  <c r="AM64" i="43"/>
  <c r="AM53" i="46"/>
  <c r="AG17" i="43"/>
  <c r="AH17" i="43"/>
  <c r="AG32" i="43"/>
  <c r="AH32" i="43"/>
  <c r="AG39" i="47"/>
  <c r="AH39" i="47"/>
  <c r="AM15" i="45"/>
  <c r="AH35" i="45"/>
  <c r="AG35" i="45"/>
  <c r="AH8" i="45"/>
  <c r="AG8" i="45"/>
  <c r="AM30" i="46"/>
  <c r="AM64" i="46"/>
  <c r="AM19" i="45"/>
  <c r="AM60" i="46"/>
  <c r="AM50" i="43"/>
  <c r="AG59" i="47"/>
  <c r="AH59" i="47"/>
  <c r="AH17" i="46"/>
  <c r="AG17" i="46"/>
  <c r="AM40" i="43"/>
  <c r="AM52" i="43"/>
  <c r="AM34" i="46"/>
  <c r="AH14" i="45"/>
  <c r="AG14" i="45"/>
  <c r="AM37" i="47"/>
  <c r="AG7" i="43"/>
  <c r="AH7" i="43"/>
  <c r="AM19" i="47"/>
  <c r="AH47" i="43"/>
  <c r="AG47" i="43"/>
  <c r="AH55" i="47"/>
  <c r="AG55" i="47"/>
  <c r="AH48" i="45"/>
  <c r="AG48" i="45"/>
  <c r="AM47" i="46"/>
  <c r="AM34" i="47"/>
  <c r="AM57" i="45"/>
  <c r="AH56" i="43"/>
  <c r="AG56" i="43"/>
  <c r="AM63" i="45"/>
  <c r="AM55" i="46"/>
  <c r="AH38" i="46"/>
  <c r="AG38" i="46"/>
  <c r="AM38" i="43"/>
  <c r="AG29" i="43"/>
  <c r="AH29" i="43"/>
  <c r="AM25" i="43"/>
  <c r="AM65" i="47"/>
  <c r="AM41" i="43"/>
  <c r="AH31" i="47"/>
  <c r="AG31" i="47"/>
  <c r="AM7" i="47"/>
  <c r="AM43" i="45"/>
  <c r="AM51" i="45"/>
  <c r="AH12" i="47"/>
  <c r="AG12" i="47"/>
  <c r="AM37" i="45"/>
  <c r="AG23" i="45"/>
  <c r="AH23" i="45"/>
  <c r="AG22" i="43"/>
  <c r="AH22" i="43"/>
  <c r="AH42" i="43"/>
  <c r="AG42" i="43"/>
  <c r="AM16" i="43"/>
  <c r="AH53" i="46"/>
  <c r="AG53" i="46"/>
  <c r="AM32" i="43"/>
  <c r="AM48" i="47"/>
  <c r="AH33" i="46"/>
  <c r="AG33" i="46"/>
  <c r="AH11" i="43"/>
  <c r="AG11" i="43"/>
  <c r="AM35" i="45"/>
  <c r="AM32" i="47"/>
  <c r="AH64" i="46"/>
  <c r="AG64" i="46"/>
  <c r="AH35" i="47"/>
  <c r="AG35" i="47"/>
  <c r="AM59" i="47"/>
  <c r="AG27" i="46"/>
  <c r="AH27" i="46"/>
  <c r="AG40" i="43"/>
  <c r="AH40" i="43"/>
  <c r="AG58" i="46"/>
  <c r="AH58" i="46"/>
  <c r="AG34" i="46"/>
  <c r="AH34" i="46"/>
  <c r="AM14" i="45"/>
  <c r="AH37" i="47"/>
  <c r="AG37" i="47"/>
  <c r="AM7" i="43"/>
  <c r="AH9" i="43"/>
  <c r="AG9" i="43"/>
  <c r="AG19" i="47"/>
  <c r="AH19" i="47"/>
  <c r="AM47" i="43"/>
  <c r="AM48" i="45"/>
  <c r="AH47" i="46"/>
  <c r="AG47" i="46"/>
  <c r="AH34" i="47"/>
  <c r="AG34" i="47"/>
  <c r="AA13" i="49"/>
  <c r="U14" i="49"/>
  <c r="AA10" i="49"/>
  <c r="V11" i="49"/>
  <c r="AA11" i="49"/>
  <c r="V12" i="49"/>
  <c r="AA12" i="49"/>
  <c r="P14" i="49"/>
  <c r="P10" i="49"/>
  <c r="O5" i="49"/>
  <c r="P12" i="49"/>
  <c r="P8" i="49"/>
  <c r="P9" i="49"/>
  <c r="P11" i="49"/>
  <c r="S12" i="49"/>
  <c r="S11" i="49"/>
  <c r="S9" i="49"/>
  <c r="BH31" i="56"/>
  <c r="BG31" i="56"/>
  <c r="BI31" i="56"/>
  <c r="BF31" i="56"/>
  <c r="BD32" i="56"/>
  <c r="BC33" i="56"/>
  <c r="BD33" i="55"/>
  <c r="BC34" i="55"/>
  <c r="BH32" i="55"/>
  <c r="BI32" i="55"/>
  <c r="BF32" i="55"/>
  <c r="BG32" i="55"/>
  <c r="BG30" i="54"/>
  <c r="BI30" i="54"/>
  <c r="BH30" i="54"/>
  <c r="BF30" i="54"/>
  <c r="BC32" i="54"/>
  <c r="BD31" i="54"/>
  <c r="BC25" i="52"/>
  <c r="BD24" i="52"/>
  <c r="BI23" i="52"/>
  <c r="BH23" i="52"/>
  <c r="BG23" i="52"/>
  <c r="BF23" i="52"/>
  <c r="BH24" i="51"/>
  <c r="BF24" i="51"/>
  <c r="BI24" i="51"/>
  <c r="BG24" i="51"/>
  <c r="BD25" i="51"/>
  <c r="BC26" i="51"/>
  <c r="BD22" i="50"/>
  <c r="BC23" i="50"/>
  <c r="BI21" i="50"/>
  <c r="BG21" i="50"/>
  <c r="BH21" i="50"/>
  <c r="BF21" i="50"/>
  <c r="BG24" i="49"/>
  <c r="BF24" i="49"/>
  <c r="BH24" i="49"/>
  <c r="BI24" i="49"/>
  <c r="BC26" i="49"/>
  <c r="BD25" i="49"/>
  <c r="BI19" i="43"/>
  <c r="BG19" i="43"/>
  <c r="BH19" i="43"/>
  <c r="BF19" i="43"/>
  <c r="BD20" i="43"/>
  <c r="BC21" i="43"/>
  <c r="BG19" i="40"/>
  <c r="BI19" i="40"/>
  <c r="BH19" i="40"/>
  <c r="BF19" i="40"/>
  <c r="BD20" i="40"/>
  <c r="BC21" i="40"/>
  <c r="BD19" i="34"/>
  <c r="BC20" i="34"/>
  <c r="BG18" i="34"/>
  <c r="BH18" i="34"/>
  <c r="BF18" i="34"/>
  <c r="BI18" i="34"/>
  <c r="BG19" i="45"/>
  <c r="BI19" i="45"/>
  <c r="BH19" i="45"/>
  <c r="BF19" i="45"/>
  <c r="BD20" i="45"/>
  <c r="BC21" i="45"/>
  <c r="BD20" i="46"/>
  <c r="BC21" i="46"/>
  <c r="BG19" i="46"/>
  <c r="BI19" i="46"/>
  <c r="BF19" i="46"/>
  <c r="BH19" i="46"/>
  <c r="BC20" i="47"/>
  <c r="BD20" i="47" s="1"/>
  <c r="BH18" i="47"/>
  <c r="BI18" i="47"/>
  <c r="BG18" i="47"/>
  <c r="BF18" i="47"/>
  <c r="S10" i="49" l="1"/>
  <c r="AA10" i="47"/>
  <c r="S8" i="49"/>
  <c r="S14" i="49"/>
  <c r="AA13" i="47"/>
  <c r="U14" i="46"/>
  <c r="V12" i="46" s="1"/>
  <c r="U14" i="43"/>
  <c r="V12" i="43" s="1"/>
  <c r="R14" i="45"/>
  <c r="S10" i="45" s="1"/>
  <c r="AA13" i="43"/>
  <c r="AA8" i="47"/>
  <c r="AA8" i="46"/>
  <c r="AA10" i="46"/>
  <c r="AA11" i="46"/>
  <c r="AA10" i="43"/>
  <c r="AA11" i="45"/>
  <c r="AA11" i="43"/>
  <c r="O14" i="43"/>
  <c r="O5" i="43" s="1"/>
  <c r="AA9" i="47"/>
  <c r="R14" i="46"/>
  <c r="S12" i="46" s="1"/>
  <c r="AA13" i="46"/>
  <c r="AA8" i="45"/>
  <c r="AA14" i="49"/>
  <c r="O14" i="45"/>
  <c r="P8" i="45" s="1"/>
  <c r="AA9" i="43"/>
  <c r="AA12" i="47"/>
  <c r="AA12" i="46"/>
  <c r="AA9" i="46"/>
  <c r="AA10" i="45"/>
  <c r="O14" i="47"/>
  <c r="P13" i="47" s="1"/>
  <c r="P9" i="43"/>
  <c r="P11" i="43"/>
  <c r="P14" i="43"/>
  <c r="P8" i="43"/>
  <c r="V13" i="49"/>
  <c r="V14" i="49"/>
  <c r="U5" i="49"/>
  <c r="R14" i="43"/>
  <c r="S10" i="43" s="1"/>
  <c r="AA13" i="45"/>
  <c r="AA8" i="43"/>
  <c r="AA14" i="43" s="1"/>
  <c r="S9" i="47"/>
  <c r="O14" i="46"/>
  <c r="O5" i="46" s="1"/>
  <c r="U14" i="47"/>
  <c r="V10" i="49"/>
  <c r="AA9" i="45"/>
  <c r="S11" i="47"/>
  <c r="U14" i="45"/>
  <c r="V13" i="45" s="1"/>
  <c r="S10" i="47"/>
  <c r="P12" i="43"/>
  <c r="AA11" i="47"/>
  <c r="AA12" i="43"/>
  <c r="P9" i="46"/>
  <c r="S8" i="47"/>
  <c r="S14" i="47"/>
  <c r="V10" i="43"/>
  <c r="S12" i="47"/>
  <c r="S14" i="43"/>
  <c r="AA14" i="47"/>
  <c r="U5" i="46"/>
  <c r="S12" i="45"/>
  <c r="O5" i="47"/>
  <c r="P10" i="47"/>
  <c r="P9" i="47"/>
  <c r="P8" i="47"/>
  <c r="BD33" i="56"/>
  <c r="BC34" i="56"/>
  <c r="BI32" i="56"/>
  <c r="BH32" i="56"/>
  <c r="BG32" i="56"/>
  <c r="BF32" i="56"/>
  <c r="BD34" i="55"/>
  <c r="BC35" i="55"/>
  <c r="BI33" i="55"/>
  <c r="BF33" i="55"/>
  <c r="BH33" i="55"/>
  <c r="BG33" i="55"/>
  <c r="BH31" i="54"/>
  <c r="BF31" i="54"/>
  <c r="BI31" i="54"/>
  <c r="BG31" i="54"/>
  <c r="BD32" i="54"/>
  <c r="BC33" i="54"/>
  <c r="BF24" i="52"/>
  <c r="BI24" i="52"/>
  <c r="BH24" i="52"/>
  <c r="BG24" i="52"/>
  <c r="BD25" i="52"/>
  <c r="BC26" i="52"/>
  <c r="BI25" i="51"/>
  <c r="BG25" i="51"/>
  <c r="BH25" i="51"/>
  <c r="BF25" i="51"/>
  <c r="BD26" i="51"/>
  <c r="BC27" i="51"/>
  <c r="BC24" i="50"/>
  <c r="BD23" i="50"/>
  <c r="BF22" i="50"/>
  <c r="BH22" i="50"/>
  <c r="BI22" i="50"/>
  <c r="BG22" i="50"/>
  <c r="BH25" i="49"/>
  <c r="BG25" i="49"/>
  <c r="BI25" i="49"/>
  <c r="BF25" i="49"/>
  <c r="BD26" i="49"/>
  <c r="BC27" i="49"/>
  <c r="BD21" i="43"/>
  <c r="BC22" i="43"/>
  <c r="BI20" i="43"/>
  <c r="BG20" i="43"/>
  <c r="BF20" i="43"/>
  <c r="BH20" i="43"/>
  <c r="BD21" i="40"/>
  <c r="BC22" i="40"/>
  <c r="BI20" i="40"/>
  <c r="BH20" i="40"/>
  <c r="BG20" i="40"/>
  <c r="BF20" i="40"/>
  <c r="BC21" i="34"/>
  <c r="BD20" i="34"/>
  <c r="BI19" i="34"/>
  <c r="BH19" i="34"/>
  <c r="BG19" i="34"/>
  <c r="BF19" i="34"/>
  <c r="BD21" i="45"/>
  <c r="BC22" i="45"/>
  <c r="BI20" i="45"/>
  <c r="BH20" i="45"/>
  <c r="BG20" i="45"/>
  <c r="BF20" i="45"/>
  <c r="BD21" i="46"/>
  <c r="BC22" i="46"/>
  <c r="BI20" i="46"/>
  <c r="BF20" i="46"/>
  <c r="BH20" i="46"/>
  <c r="BG20" i="46"/>
  <c r="BC21" i="47"/>
  <c r="BD21" i="47" s="1"/>
  <c r="BI19" i="47"/>
  <c r="BF19" i="47"/>
  <c r="BG19" i="47"/>
  <c r="BH19" i="47"/>
  <c r="P12" i="47" l="1"/>
  <c r="P13" i="45"/>
  <c r="P11" i="47"/>
  <c r="P12" i="45"/>
  <c r="O5" i="45"/>
  <c r="V14" i="43"/>
  <c r="V10" i="46"/>
  <c r="V14" i="46"/>
  <c r="P10" i="45"/>
  <c r="R5" i="45"/>
  <c r="P14" i="45"/>
  <c r="U5" i="43"/>
  <c r="P11" i="45"/>
  <c r="S11" i="45"/>
  <c r="AA14" i="46"/>
  <c r="S14" i="45"/>
  <c r="P14" i="46"/>
  <c r="S9" i="46"/>
  <c r="S9" i="43"/>
  <c r="P14" i="47"/>
  <c r="S9" i="45"/>
  <c r="S8" i="45"/>
  <c r="P9" i="45"/>
  <c r="V13" i="43"/>
  <c r="P13" i="43"/>
  <c r="U5" i="45"/>
  <c r="R5" i="46"/>
  <c r="AA14" i="45"/>
  <c r="S10" i="46"/>
  <c r="S11" i="46"/>
  <c r="P10" i="46"/>
  <c r="S14" i="46"/>
  <c r="P10" i="43"/>
  <c r="S8" i="46"/>
  <c r="P11" i="46"/>
  <c r="P13" i="46"/>
  <c r="V12" i="45"/>
  <c r="P12" i="46"/>
  <c r="S11" i="43"/>
  <c r="R5" i="43"/>
  <c r="V14" i="45"/>
  <c r="V10" i="47"/>
  <c r="V14" i="47"/>
  <c r="V13" i="47"/>
  <c r="P8" i="46"/>
  <c r="V10" i="45"/>
  <c r="U5" i="47"/>
  <c r="V12" i="47"/>
  <c r="S8" i="43"/>
  <c r="S12" i="43"/>
  <c r="BC35" i="56"/>
  <c r="BD34" i="56"/>
  <c r="BF33" i="56"/>
  <c r="BI33" i="56"/>
  <c r="BH33" i="56"/>
  <c r="BG33" i="56"/>
  <c r="BC36" i="55"/>
  <c r="BD35" i="55"/>
  <c r="BF34" i="55"/>
  <c r="BH34" i="55"/>
  <c r="BI34" i="55"/>
  <c r="BG34" i="55"/>
  <c r="BC34" i="54"/>
  <c r="BD33" i="54"/>
  <c r="BI32" i="54"/>
  <c r="BG32" i="54"/>
  <c r="BH32" i="54"/>
  <c r="BF32" i="54"/>
  <c r="BC27" i="52"/>
  <c r="BD26" i="52"/>
  <c r="BF25" i="52"/>
  <c r="BI25" i="52"/>
  <c r="BH25" i="52"/>
  <c r="BG25" i="52"/>
  <c r="BF26" i="51"/>
  <c r="BH26" i="51"/>
  <c r="BI26" i="51"/>
  <c r="BG26" i="51"/>
  <c r="BC28" i="51"/>
  <c r="BD27" i="51"/>
  <c r="BG23" i="50"/>
  <c r="BF23" i="50"/>
  <c r="BH23" i="50"/>
  <c r="BI23" i="50"/>
  <c r="BC25" i="50"/>
  <c r="BD24" i="50"/>
  <c r="BD27" i="49"/>
  <c r="BC28" i="49"/>
  <c r="BI26" i="49"/>
  <c r="BH26" i="49"/>
  <c r="BF26" i="49"/>
  <c r="BG26" i="49"/>
  <c r="BD22" i="43"/>
  <c r="BC23" i="43"/>
  <c r="BG21" i="43"/>
  <c r="BF21" i="43"/>
  <c r="BI21" i="43"/>
  <c r="BH21" i="43"/>
  <c r="BD22" i="40"/>
  <c r="BC23" i="40"/>
  <c r="BG21" i="40"/>
  <c r="BI21" i="40"/>
  <c r="BH21" i="40"/>
  <c r="BF21" i="40"/>
  <c r="BG20" i="34"/>
  <c r="BI20" i="34"/>
  <c r="BH20" i="34"/>
  <c r="BF20" i="34"/>
  <c r="BD21" i="34"/>
  <c r="BC22" i="34"/>
  <c r="BD22" i="45"/>
  <c r="BC23" i="45"/>
  <c r="BG21" i="45"/>
  <c r="BI21" i="45"/>
  <c r="BF21" i="45"/>
  <c r="BH21" i="45"/>
  <c r="BD22" i="46"/>
  <c r="BC23" i="46"/>
  <c r="BG21" i="46"/>
  <c r="BF21" i="46"/>
  <c r="BH21" i="46"/>
  <c r="BI21" i="46"/>
  <c r="BF20" i="47"/>
  <c r="BG20" i="47"/>
  <c r="BI20" i="47"/>
  <c r="BH20" i="47"/>
  <c r="BC22" i="47"/>
  <c r="BD22" i="47" s="1"/>
  <c r="BG34" i="56" l="1"/>
  <c r="BF34" i="56"/>
  <c r="BI34" i="56"/>
  <c r="BH34" i="56"/>
  <c r="BC36" i="56"/>
  <c r="BD35" i="56"/>
  <c r="BG35" i="55"/>
  <c r="BH35" i="55"/>
  <c r="BI35" i="55"/>
  <c r="BF35" i="55"/>
  <c r="BC37" i="55"/>
  <c r="BD36" i="55"/>
  <c r="BF33" i="54"/>
  <c r="BG33" i="54"/>
  <c r="BI33" i="54"/>
  <c r="BH33" i="54"/>
  <c r="BC35" i="54"/>
  <c r="BD34" i="54"/>
  <c r="BG26" i="52"/>
  <c r="BH26" i="52"/>
  <c r="BF26" i="52"/>
  <c r="BI26" i="52"/>
  <c r="BC28" i="52"/>
  <c r="BD27" i="52"/>
  <c r="BG27" i="51"/>
  <c r="BI27" i="51"/>
  <c r="BH27" i="51"/>
  <c r="BF27" i="51"/>
  <c r="BC29" i="51"/>
  <c r="BD28" i="51"/>
  <c r="BH24" i="50"/>
  <c r="BG24" i="50"/>
  <c r="BI24" i="50"/>
  <c r="BF24" i="50"/>
  <c r="BD25" i="50"/>
  <c r="BC26" i="50"/>
  <c r="BC29" i="49"/>
  <c r="BD28" i="49"/>
  <c r="BF27" i="49"/>
  <c r="BI27" i="49"/>
  <c r="BH27" i="49"/>
  <c r="BG27" i="49"/>
  <c r="BD23" i="43"/>
  <c r="BC24" i="43"/>
  <c r="BI22" i="43"/>
  <c r="BF22" i="43"/>
  <c r="BG22" i="43"/>
  <c r="BH22" i="43"/>
  <c r="BD23" i="40"/>
  <c r="BC24" i="40"/>
  <c r="BI22" i="40"/>
  <c r="BF22" i="40"/>
  <c r="BH22" i="40"/>
  <c r="BG22" i="40"/>
  <c r="BD22" i="34"/>
  <c r="BC23" i="34"/>
  <c r="BI21" i="34"/>
  <c r="BH21" i="34"/>
  <c r="BF21" i="34"/>
  <c r="BG21" i="34"/>
  <c r="BD23" i="45"/>
  <c r="BC24" i="45"/>
  <c r="BI22" i="45"/>
  <c r="BF22" i="45"/>
  <c r="BH22" i="45"/>
  <c r="BG22" i="45"/>
  <c r="BD23" i="46"/>
  <c r="BC24" i="46"/>
  <c r="BI22" i="46"/>
  <c r="BF22" i="46"/>
  <c r="BG22" i="46"/>
  <c r="BH22" i="46"/>
  <c r="BG21" i="47"/>
  <c r="BH21" i="47"/>
  <c r="BF21" i="47"/>
  <c r="BI21" i="47"/>
  <c r="BC23" i="47"/>
  <c r="BD23" i="47" s="1"/>
  <c r="BH35" i="56" l="1"/>
  <c r="BG35" i="56"/>
  <c r="BF35" i="56"/>
  <c r="BI35" i="56"/>
  <c r="BD36" i="56"/>
  <c r="BC37" i="56"/>
  <c r="BH36" i="55"/>
  <c r="BF36" i="55"/>
  <c r="BI36" i="55"/>
  <c r="BG36" i="55"/>
  <c r="BC38" i="55"/>
  <c r="BD37" i="55"/>
  <c r="BG34" i="54"/>
  <c r="BI34" i="54"/>
  <c r="BF34" i="54"/>
  <c r="BH34" i="54"/>
  <c r="BD35" i="54"/>
  <c r="BC36" i="54"/>
  <c r="BH27" i="52"/>
  <c r="BI27" i="52"/>
  <c r="BG27" i="52"/>
  <c r="BF27" i="52"/>
  <c r="BD28" i="52"/>
  <c r="BC29" i="52"/>
  <c r="BH28" i="51"/>
  <c r="BF28" i="51"/>
  <c r="BI28" i="51"/>
  <c r="BG28" i="51"/>
  <c r="BC30" i="51"/>
  <c r="BD29" i="51"/>
  <c r="BD26" i="50"/>
  <c r="BC27" i="50"/>
  <c r="BI25" i="50"/>
  <c r="BG25" i="50"/>
  <c r="BH25" i="50"/>
  <c r="BF25" i="50"/>
  <c r="BG28" i="49"/>
  <c r="BF28" i="49"/>
  <c r="BH28" i="49"/>
  <c r="BI28" i="49"/>
  <c r="BC30" i="49"/>
  <c r="BD29" i="49"/>
  <c r="BD24" i="43"/>
  <c r="BC25" i="43"/>
  <c r="BG23" i="43"/>
  <c r="BF23" i="43"/>
  <c r="BH23" i="43"/>
  <c r="BI23" i="43"/>
  <c r="BD24" i="40"/>
  <c r="BC25" i="40"/>
  <c r="BG23" i="40"/>
  <c r="BF23" i="40"/>
  <c r="BI23" i="40"/>
  <c r="BH23" i="40"/>
  <c r="BD23" i="34"/>
  <c r="BC24" i="34"/>
  <c r="BG22" i="34"/>
  <c r="BI22" i="34"/>
  <c r="BF22" i="34"/>
  <c r="BH22" i="34"/>
  <c r="BD24" i="45"/>
  <c r="BC25" i="45"/>
  <c r="BG23" i="45"/>
  <c r="BF23" i="45"/>
  <c r="BI23" i="45"/>
  <c r="BH23" i="45"/>
  <c r="BC25" i="46"/>
  <c r="BD24" i="46"/>
  <c r="BG23" i="46"/>
  <c r="BF23" i="46"/>
  <c r="BH23" i="46"/>
  <c r="BI23" i="46"/>
  <c r="BC24" i="47"/>
  <c r="BD24" i="47" s="1"/>
  <c r="BH22" i="47"/>
  <c r="BI22" i="47"/>
  <c r="BG22" i="47"/>
  <c r="BF22" i="47"/>
  <c r="BC38" i="56" l="1"/>
  <c r="BD37" i="56"/>
  <c r="BI36" i="56"/>
  <c r="BF36" i="56"/>
  <c r="BH36" i="56"/>
  <c r="BG36" i="56"/>
  <c r="BG37" i="55"/>
  <c r="BI37" i="55"/>
  <c r="BH37" i="55"/>
  <c r="BF37" i="55"/>
  <c r="BC39" i="55"/>
  <c r="BD38" i="55"/>
  <c r="BC37" i="54"/>
  <c r="BD36" i="54"/>
  <c r="BH35" i="54"/>
  <c r="BG35" i="54"/>
  <c r="BF35" i="54"/>
  <c r="BI35" i="54"/>
  <c r="BC30" i="52"/>
  <c r="BD29" i="52"/>
  <c r="BI28" i="52"/>
  <c r="BF28" i="52"/>
  <c r="BH28" i="52"/>
  <c r="BG28" i="52"/>
  <c r="BH29" i="51"/>
  <c r="BI29" i="51"/>
  <c r="BF29" i="51"/>
  <c r="BG29" i="51"/>
  <c r="BD30" i="51"/>
  <c r="BC31" i="51"/>
  <c r="BC28" i="50"/>
  <c r="BD27" i="50"/>
  <c r="BF26" i="50"/>
  <c r="BH26" i="50"/>
  <c r="BI26" i="50"/>
  <c r="BG26" i="50"/>
  <c r="BH29" i="49"/>
  <c r="BG29" i="49"/>
  <c r="BI29" i="49"/>
  <c r="BF29" i="49"/>
  <c r="BD30" i="49"/>
  <c r="BC31" i="49"/>
  <c r="BD25" i="43"/>
  <c r="BC26" i="43"/>
  <c r="BI24" i="43"/>
  <c r="BG24" i="43"/>
  <c r="BF24" i="43"/>
  <c r="BH24" i="43"/>
  <c r="BD25" i="40"/>
  <c r="BC26" i="40"/>
  <c r="BI24" i="40"/>
  <c r="BG24" i="40"/>
  <c r="BF24" i="40"/>
  <c r="BH24" i="40"/>
  <c r="BD24" i="34"/>
  <c r="BC25" i="34"/>
  <c r="BI23" i="34"/>
  <c r="BF23" i="34"/>
  <c r="BH23" i="34"/>
  <c r="BG23" i="34"/>
  <c r="BD25" i="45"/>
  <c r="BC26" i="45"/>
  <c r="BI24" i="45"/>
  <c r="BG24" i="45"/>
  <c r="BF24" i="45"/>
  <c r="BH24" i="45"/>
  <c r="BI24" i="46"/>
  <c r="BG24" i="46"/>
  <c r="BH24" i="46"/>
  <c r="BF24" i="46"/>
  <c r="BD25" i="46"/>
  <c r="BC26" i="46"/>
  <c r="BC25" i="47"/>
  <c r="BD25" i="47" s="1"/>
  <c r="BI23" i="47"/>
  <c r="BF23" i="47"/>
  <c r="BG23" i="47"/>
  <c r="BH23" i="47"/>
  <c r="BF37" i="56" l="1"/>
  <c r="BH37" i="56"/>
  <c r="BG37" i="56"/>
  <c r="BI37" i="56"/>
  <c r="BC39" i="56"/>
  <c r="BD38" i="56"/>
  <c r="BH38" i="55"/>
  <c r="BF38" i="55"/>
  <c r="BG38" i="55"/>
  <c r="BI38" i="55"/>
  <c r="BD39" i="55"/>
  <c r="BC40" i="55"/>
  <c r="BG36" i="54"/>
  <c r="BI36" i="54"/>
  <c r="BH36" i="54"/>
  <c r="BF36" i="54"/>
  <c r="BC38" i="54"/>
  <c r="BD37" i="54"/>
  <c r="BF29" i="52"/>
  <c r="BH29" i="52"/>
  <c r="BG29" i="52"/>
  <c r="BI29" i="52"/>
  <c r="BC31" i="52"/>
  <c r="BD30" i="52"/>
  <c r="BI30" i="51"/>
  <c r="BF30" i="51"/>
  <c r="BH30" i="51"/>
  <c r="BG30" i="51"/>
  <c r="BD31" i="51"/>
  <c r="BC32" i="51"/>
  <c r="BG27" i="50"/>
  <c r="BF27" i="50"/>
  <c r="BI27" i="50"/>
  <c r="BH27" i="50"/>
  <c r="BC29" i="50"/>
  <c r="BD28" i="50"/>
  <c r="BD31" i="49"/>
  <c r="BC32" i="49"/>
  <c r="BI30" i="49"/>
  <c r="BH30" i="49"/>
  <c r="BF30" i="49"/>
  <c r="BG30" i="49"/>
  <c r="BC27" i="43"/>
  <c r="BD26" i="43"/>
  <c r="BG25" i="43"/>
  <c r="BH25" i="43"/>
  <c r="BI25" i="43"/>
  <c r="BF25" i="43"/>
  <c r="BD26" i="40"/>
  <c r="BC27" i="40"/>
  <c r="BG25" i="40"/>
  <c r="BF25" i="40"/>
  <c r="BH25" i="40"/>
  <c r="BI25" i="40"/>
  <c r="BD25" i="34"/>
  <c r="BC26" i="34"/>
  <c r="BG24" i="34"/>
  <c r="BF24" i="34"/>
  <c r="BH24" i="34"/>
  <c r="BI24" i="34"/>
  <c r="BD26" i="45"/>
  <c r="BC27" i="45"/>
  <c r="BG25" i="45"/>
  <c r="BH25" i="45"/>
  <c r="BF25" i="45"/>
  <c r="BI25" i="45"/>
  <c r="BC27" i="46"/>
  <c r="BD26" i="46"/>
  <c r="BH25" i="46"/>
  <c r="BG25" i="46"/>
  <c r="BI25" i="46"/>
  <c r="BF25" i="46"/>
  <c r="BF24" i="47"/>
  <c r="BG24" i="47"/>
  <c r="BI24" i="47"/>
  <c r="BH24" i="47"/>
  <c r="BC26" i="47"/>
  <c r="BD26" i="47" s="1"/>
  <c r="BG38" i="56" l="1"/>
  <c r="BI38" i="56"/>
  <c r="BH38" i="56"/>
  <c r="BF38" i="56"/>
  <c r="BD39" i="56"/>
  <c r="BC40" i="56"/>
  <c r="BC41" i="55"/>
  <c r="BD40" i="55"/>
  <c r="BI39" i="55"/>
  <c r="BG39" i="55"/>
  <c r="BH39" i="55"/>
  <c r="BF39" i="55"/>
  <c r="BH37" i="54"/>
  <c r="BF37" i="54"/>
  <c r="BG37" i="54"/>
  <c r="BI37" i="54"/>
  <c r="BD38" i="54"/>
  <c r="BC39" i="54"/>
  <c r="BF30" i="52"/>
  <c r="BG30" i="52"/>
  <c r="BI30" i="52"/>
  <c r="BH30" i="52"/>
  <c r="BC32" i="52"/>
  <c r="BD31" i="52"/>
  <c r="BF31" i="51"/>
  <c r="BH31" i="51"/>
  <c r="BI31" i="51"/>
  <c r="BG31" i="51"/>
  <c r="BC33" i="51"/>
  <c r="BD32" i="51"/>
  <c r="BH28" i="50"/>
  <c r="BG28" i="50"/>
  <c r="BF28" i="50"/>
  <c r="BI28" i="50"/>
  <c r="BD29" i="50"/>
  <c r="BC30" i="50"/>
  <c r="BC33" i="49"/>
  <c r="BD32" i="49"/>
  <c r="BF31" i="49"/>
  <c r="BI31" i="49"/>
  <c r="BH31" i="49"/>
  <c r="BG31" i="49"/>
  <c r="BI26" i="43"/>
  <c r="BH26" i="43"/>
  <c r="BF26" i="43"/>
  <c r="BG26" i="43"/>
  <c r="BD27" i="43"/>
  <c r="BC28" i="43"/>
  <c r="BC28" i="40"/>
  <c r="BD27" i="40"/>
  <c r="BI26" i="40"/>
  <c r="BH26" i="40"/>
  <c r="BG26" i="40"/>
  <c r="BF26" i="40"/>
  <c r="BC27" i="34"/>
  <c r="BD26" i="34"/>
  <c r="BI25" i="34"/>
  <c r="BG25" i="34"/>
  <c r="BH25" i="34"/>
  <c r="BF25" i="34"/>
  <c r="BC28" i="45"/>
  <c r="BD27" i="45"/>
  <c r="BI26" i="45"/>
  <c r="BH26" i="45"/>
  <c r="BG26" i="45"/>
  <c r="BF26" i="45"/>
  <c r="BF26" i="46"/>
  <c r="BI26" i="46"/>
  <c r="BH26" i="46"/>
  <c r="BG26" i="46"/>
  <c r="BD27" i="46"/>
  <c r="BC28" i="46"/>
  <c r="BG25" i="47"/>
  <c r="BH25" i="47"/>
  <c r="BF25" i="47"/>
  <c r="BI25" i="47"/>
  <c r="BC27" i="47"/>
  <c r="BD27" i="47" s="1"/>
  <c r="BD40" i="56" l="1"/>
  <c r="BC41" i="56"/>
  <c r="BH39" i="56"/>
  <c r="BF39" i="56"/>
  <c r="BI39" i="56"/>
  <c r="BG39" i="56"/>
  <c r="BF40" i="55"/>
  <c r="BH40" i="55"/>
  <c r="BG40" i="55"/>
  <c r="BI40" i="55"/>
  <c r="BC42" i="55"/>
  <c r="BD41" i="55"/>
  <c r="BC40" i="54"/>
  <c r="BD39" i="54"/>
  <c r="BI38" i="54"/>
  <c r="BG38" i="54"/>
  <c r="BH38" i="54"/>
  <c r="BF38" i="54"/>
  <c r="BG31" i="52"/>
  <c r="BH31" i="52"/>
  <c r="BF31" i="52"/>
  <c r="BI31" i="52"/>
  <c r="BD32" i="52"/>
  <c r="BC33" i="52"/>
  <c r="BC34" i="51"/>
  <c r="BD33" i="51"/>
  <c r="BG32" i="51"/>
  <c r="BH32" i="51"/>
  <c r="BI32" i="51"/>
  <c r="BF32" i="51"/>
  <c r="BD30" i="50"/>
  <c r="BC31" i="50"/>
  <c r="BI29" i="50"/>
  <c r="BH29" i="50"/>
  <c r="BG29" i="50"/>
  <c r="BF29" i="50"/>
  <c r="BG32" i="49"/>
  <c r="BF32" i="49"/>
  <c r="BH32" i="49"/>
  <c r="BI32" i="49"/>
  <c r="BC34" i="49"/>
  <c r="BD33" i="49"/>
  <c r="BC29" i="43"/>
  <c r="BD28" i="43"/>
  <c r="BH27" i="43"/>
  <c r="BG27" i="43"/>
  <c r="BI27" i="43"/>
  <c r="BF27" i="43"/>
  <c r="BG27" i="40"/>
  <c r="BF27" i="40"/>
  <c r="BI27" i="40"/>
  <c r="BH27" i="40"/>
  <c r="BD28" i="40"/>
  <c r="BC29" i="40"/>
  <c r="BD27" i="34"/>
  <c r="BC28" i="34"/>
  <c r="BG26" i="34"/>
  <c r="BH26" i="34"/>
  <c r="BF26" i="34"/>
  <c r="BI26" i="34"/>
  <c r="BG27" i="45"/>
  <c r="BI27" i="45"/>
  <c r="BH27" i="45"/>
  <c r="BF27" i="45"/>
  <c r="BD28" i="45"/>
  <c r="BC29" i="45"/>
  <c r="BC29" i="46"/>
  <c r="BD28" i="46"/>
  <c r="BH27" i="46"/>
  <c r="BG27" i="46"/>
  <c r="BF27" i="46"/>
  <c r="BI27" i="46"/>
  <c r="BC28" i="47"/>
  <c r="BD28" i="47" s="1"/>
  <c r="BH26" i="47"/>
  <c r="BI26" i="47"/>
  <c r="BG26" i="47"/>
  <c r="BF26" i="47"/>
  <c r="BD41" i="56" l="1"/>
  <c r="BC42" i="56"/>
  <c r="BI40" i="56"/>
  <c r="BH40" i="56"/>
  <c r="BG40" i="56"/>
  <c r="BF40" i="56"/>
  <c r="BG41" i="55"/>
  <c r="BI41" i="55"/>
  <c r="BH41" i="55"/>
  <c r="BF41" i="55"/>
  <c r="BC43" i="55"/>
  <c r="BD42" i="55"/>
  <c r="BF39" i="54"/>
  <c r="BH39" i="54"/>
  <c r="BG39" i="54"/>
  <c r="BI39" i="54"/>
  <c r="BC41" i="54"/>
  <c r="BD40" i="54"/>
  <c r="BD33" i="52"/>
  <c r="BC34" i="52"/>
  <c r="BH32" i="52"/>
  <c r="BI32" i="52"/>
  <c r="BG32" i="52"/>
  <c r="BF32" i="52"/>
  <c r="BD34" i="51"/>
  <c r="BC35" i="51"/>
  <c r="BH33" i="51"/>
  <c r="BF33" i="51"/>
  <c r="BI33" i="51"/>
  <c r="BG33" i="51"/>
  <c r="BC32" i="50"/>
  <c r="BD31" i="50"/>
  <c r="BF30" i="50"/>
  <c r="BI30" i="50"/>
  <c r="BG30" i="50"/>
  <c r="BH30" i="50"/>
  <c r="BH33" i="49"/>
  <c r="BG33" i="49"/>
  <c r="BI33" i="49"/>
  <c r="BF33" i="49"/>
  <c r="BD34" i="49"/>
  <c r="BC35" i="49"/>
  <c r="BF28" i="43"/>
  <c r="BI28" i="43"/>
  <c r="BH28" i="43"/>
  <c r="BG28" i="43"/>
  <c r="BC30" i="43"/>
  <c r="BD29" i="43"/>
  <c r="BC30" i="40"/>
  <c r="BD29" i="40"/>
  <c r="BI28" i="40"/>
  <c r="BF28" i="40"/>
  <c r="BH28" i="40"/>
  <c r="BG28" i="40"/>
  <c r="BI27" i="34"/>
  <c r="BH27" i="34"/>
  <c r="BG27" i="34"/>
  <c r="BF27" i="34"/>
  <c r="BC29" i="34"/>
  <c r="BD28" i="34"/>
  <c r="BD29" i="45"/>
  <c r="BC30" i="45"/>
  <c r="BI28" i="45"/>
  <c r="BH28" i="45"/>
  <c r="BG28" i="45"/>
  <c r="BF28" i="45"/>
  <c r="BF28" i="46"/>
  <c r="BI28" i="46"/>
  <c r="BH28" i="46"/>
  <c r="BG28" i="46"/>
  <c r="BD29" i="46"/>
  <c r="BC30" i="46"/>
  <c r="BC29" i="47"/>
  <c r="BD29" i="47" s="1"/>
  <c r="BI27" i="47"/>
  <c r="BF27" i="47"/>
  <c r="BG27" i="47"/>
  <c r="BH27" i="47"/>
  <c r="BC43" i="56" l="1"/>
  <c r="BD42" i="56"/>
  <c r="BF41" i="56"/>
  <c r="BI41" i="56"/>
  <c r="BH41" i="56"/>
  <c r="BG41" i="56"/>
  <c r="BH42" i="55"/>
  <c r="BF42" i="55"/>
  <c r="BG42" i="55"/>
  <c r="BI42" i="55"/>
  <c r="BD43" i="55"/>
  <c r="BC44" i="55"/>
  <c r="BG40" i="54"/>
  <c r="BI40" i="54"/>
  <c r="BH40" i="54"/>
  <c r="BF40" i="54"/>
  <c r="BC42" i="54"/>
  <c r="BD41" i="54"/>
  <c r="BI33" i="52"/>
  <c r="BF33" i="52"/>
  <c r="BG33" i="52"/>
  <c r="BH33" i="52"/>
  <c r="BC35" i="52"/>
  <c r="BD34" i="52"/>
  <c r="BI34" i="51"/>
  <c r="BH34" i="51"/>
  <c r="BF34" i="51"/>
  <c r="BG34" i="51"/>
  <c r="BD35" i="51"/>
  <c r="BC36" i="51"/>
  <c r="BG31" i="50"/>
  <c r="BI31" i="50"/>
  <c r="BF31" i="50"/>
  <c r="BH31" i="50"/>
  <c r="BC33" i="50"/>
  <c r="BD32" i="50"/>
  <c r="BD35" i="49"/>
  <c r="BC36" i="49"/>
  <c r="BI34" i="49"/>
  <c r="BH34" i="49"/>
  <c r="BF34" i="49"/>
  <c r="BG34" i="49"/>
  <c r="BH29" i="43"/>
  <c r="BG29" i="43"/>
  <c r="BF29" i="43"/>
  <c r="BI29" i="43"/>
  <c r="BD30" i="43"/>
  <c r="BC31" i="43"/>
  <c r="BG29" i="40"/>
  <c r="BI29" i="40"/>
  <c r="BH29" i="40"/>
  <c r="BF29" i="40"/>
  <c r="BD30" i="40"/>
  <c r="BC31" i="40"/>
  <c r="BC30" i="34"/>
  <c r="BD29" i="34"/>
  <c r="BG28" i="34"/>
  <c r="BI28" i="34"/>
  <c r="BH28" i="34"/>
  <c r="BF28" i="34"/>
  <c r="BC31" i="45"/>
  <c r="BD30" i="45"/>
  <c r="BG29" i="45"/>
  <c r="BI29" i="45"/>
  <c r="BF29" i="45"/>
  <c r="BH29" i="45"/>
  <c r="BD30" i="46"/>
  <c r="BC31" i="46"/>
  <c r="BH29" i="46"/>
  <c r="BG29" i="46"/>
  <c r="BF29" i="46"/>
  <c r="BI29" i="46"/>
  <c r="BF28" i="47"/>
  <c r="BG28" i="47"/>
  <c r="BI28" i="47"/>
  <c r="BH28" i="47"/>
  <c r="BC30" i="47"/>
  <c r="BD30" i="47" s="1"/>
  <c r="BG42" i="56" l="1"/>
  <c r="BH42" i="56"/>
  <c r="BF42" i="56"/>
  <c r="BI42" i="56"/>
  <c r="BC44" i="56"/>
  <c r="BD43" i="56"/>
  <c r="BC45" i="55"/>
  <c r="BD44" i="55"/>
  <c r="BI43" i="55"/>
  <c r="BG43" i="55"/>
  <c r="BH43" i="55"/>
  <c r="BF43" i="55"/>
  <c r="BH41" i="54"/>
  <c r="BF41" i="54"/>
  <c r="BG41" i="54"/>
  <c r="BI41" i="54"/>
  <c r="BD42" i="54"/>
  <c r="BC43" i="54"/>
  <c r="BC36" i="52"/>
  <c r="BD35" i="52"/>
  <c r="BF34" i="52"/>
  <c r="BG34" i="52"/>
  <c r="BI34" i="52"/>
  <c r="BH34" i="52"/>
  <c r="BF35" i="51"/>
  <c r="BH35" i="51"/>
  <c r="BI35" i="51"/>
  <c r="BG35" i="51"/>
  <c r="BC37" i="51"/>
  <c r="BD36" i="51"/>
  <c r="BH32" i="50"/>
  <c r="BG32" i="50"/>
  <c r="BF32" i="50"/>
  <c r="BI32" i="50"/>
  <c r="BD33" i="50"/>
  <c r="BC34" i="50"/>
  <c r="BF35" i="49"/>
  <c r="BI35" i="49"/>
  <c r="BH35" i="49"/>
  <c r="BG35" i="49"/>
  <c r="BC37" i="49"/>
  <c r="BD36" i="49"/>
  <c r="BD31" i="43"/>
  <c r="BC32" i="43"/>
  <c r="BG30" i="43"/>
  <c r="BH30" i="43"/>
  <c r="BF30" i="43"/>
  <c r="BI30" i="43"/>
  <c r="BD31" i="40"/>
  <c r="BC32" i="40"/>
  <c r="BG30" i="40"/>
  <c r="BF30" i="40"/>
  <c r="BI30" i="40"/>
  <c r="BH30" i="40"/>
  <c r="BI29" i="34"/>
  <c r="BH29" i="34"/>
  <c r="BG29" i="34"/>
  <c r="BF29" i="34"/>
  <c r="BC31" i="34"/>
  <c r="BD30" i="34"/>
  <c r="BG30" i="45"/>
  <c r="BF30" i="45"/>
  <c r="BH30" i="45"/>
  <c r="BI30" i="45"/>
  <c r="BD31" i="45"/>
  <c r="BC32" i="45"/>
  <c r="BD31" i="46"/>
  <c r="BC32" i="46"/>
  <c r="BG30" i="46"/>
  <c r="BH30" i="46"/>
  <c r="BF30" i="46"/>
  <c r="BI30" i="46"/>
  <c r="BG29" i="47"/>
  <c r="BH29" i="47"/>
  <c r="BF29" i="47"/>
  <c r="BI29" i="47"/>
  <c r="BC31" i="47"/>
  <c r="BD31" i="47" s="1"/>
  <c r="BH43" i="56" l="1"/>
  <c r="BI43" i="56"/>
  <c r="BG43" i="56"/>
  <c r="BF43" i="56"/>
  <c r="BD44" i="56"/>
  <c r="BC45" i="56"/>
  <c r="BF44" i="55"/>
  <c r="BH44" i="55"/>
  <c r="BG44" i="55"/>
  <c r="BI44" i="55"/>
  <c r="BC46" i="55"/>
  <c r="BD45" i="55"/>
  <c r="BC44" i="54"/>
  <c r="BD43" i="54"/>
  <c r="BI42" i="54"/>
  <c r="BG42" i="54"/>
  <c r="BH42" i="54"/>
  <c r="BF42" i="54"/>
  <c r="BG35" i="52"/>
  <c r="BH35" i="52"/>
  <c r="BF35" i="52"/>
  <c r="BI35" i="52"/>
  <c r="BC37" i="52"/>
  <c r="BD36" i="52"/>
  <c r="BC38" i="51"/>
  <c r="BD37" i="51"/>
  <c r="BG36" i="51"/>
  <c r="BH36" i="51"/>
  <c r="BI36" i="51"/>
  <c r="BF36" i="51"/>
  <c r="BD34" i="50"/>
  <c r="BC35" i="50"/>
  <c r="BI33" i="50"/>
  <c r="BH33" i="50"/>
  <c r="BG33" i="50"/>
  <c r="BF33" i="50"/>
  <c r="BH36" i="49"/>
  <c r="BG36" i="49"/>
  <c r="BF36" i="49"/>
  <c r="BI36" i="49"/>
  <c r="BD37" i="49"/>
  <c r="BC38" i="49"/>
  <c r="BC33" i="43"/>
  <c r="BD32" i="43"/>
  <c r="BI31" i="43"/>
  <c r="BH31" i="43"/>
  <c r="BG31" i="43"/>
  <c r="BF31" i="43"/>
  <c r="BC33" i="40"/>
  <c r="BD32" i="40"/>
  <c r="BI31" i="40"/>
  <c r="BG31" i="40"/>
  <c r="BF31" i="40"/>
  <c r="BH31" i="40"/>
  <c r="BG30" i="34"/>
  <c r="BI30" i="34"/>
  <c r="BF30" i="34"/>
  <c r="BH30" i="34"/>
  <c r="BD31" i="34"/>
  <c r="BC32" i="34"/>
  <c r="BC33" i="45"/>
  <c r="BD32" i="45"/>
  <c r="BI31" i="45"/>
  <c r="BG31" i="45"/>
  <c r="BH31" i="45"/>
  <c r="BF31" i="45"/>
  <c r="BC33" i="46"/>
  <c r="BD32" i="46"/>
  <c r="BI31" i="46"/>
  <c r="BH31" i="46"/>
  <c r="BG31" i="46"/>
  <c r="BF31" i="46"/>
  <c r="BC32" i="47"/>
  <c r="BD32" i="47" s="1"/>
  <c r="BH30" i="47"/>
  <c r="BI30" i="47"/>
  <c r="BG30" i="47"/>
  <c r="BF30" i="47"/>
  <c r="BD45" i="56" l="1"/>
  <c r="BC46" i="56"/>
  <c r="BI44" i="56"/>
  <c r="BF44" i="56"/>
  <c r="BH44" i="56"/>
  <c r="BG44" i="56"/>
  <c r="BG45" i="55"/>
  <c r="BF45" i="55"/>
  <c r="BI45" i="55"/>
  <c r="BH45" i="55"/>
  <c r="BD46" i="55"/>
  <c r="BC47" i="55"/>
  <c r="BF43" i="54"/>
  <c r="BH43" i="54"/>
  <c r="BG43" i="54"/>
  <c r="BI43" i="54"/>
  <c r="BD44" i="54"/>
  <c r="BC45" i="54"/>
  <c r="BC38" i="52"/>
  <c r="BD37" i="52"/>
  <c r="BF36" i="52"/>
  <c r="BG36" i="52"/>
  <c r="BH36" i="52"/>
  <c r="BI36" i="52"/>
  <c r="BC39" i="51"/>
  <c r="BD38" i="51"/>
  <c r="BH37" i="51"/>
  <c r="BI37" i="51"/>
  <c r="BF37" i="51"/>
  <c r="BG37" i="51"/>
  <c r="BC36" i="50"/>
  <c r="BD35" i="50"/>
  <c r="BF34" i="50"/>
  <c r="BI34" i="50"/>
  <c r="BH34" i="50"/>
  <c r="BG34" i="50"/>
  <c r="BC39" i="49"/>
  <c r="BD38" i="49"/>
  <c r="BI37" i="49"/>
  <c r="BH37" i="49"/>
  <c r="BG37" i="49"/>
  <c r="BF37" i="49"/>
  <c r="BG32" i="43"/>
  <c r="BI32" i="43"/>
  <c r="BH32" i="43"/>
  <c r="BF32" i="43"/>
  <c r="BD33" i="43"/>
  <c r="BC34" i="43"/>
  <c r="BG32" i="40"/>
  <c r="BH32" i="40"/>
  <c r="BF32" i="40"/>
  <c r="BI32" i="40"/>
  <c r="BD33" i="40"/>
  <c r="BC34" i="40"/>
  <c r="BD32" i="34"/>
  <c r="BC33" i="34"/>
  <c r="BI31" i="34"/>
  <c r="BH31" i="34"/>
  <c r="BF31" i="34"/>
  <c r="BG31" i="34"/>
  <c r="BG32" i="45"/>
  <c r="BH32" i="45"/>
  <c r="BI32" i="45"/>
  <c r="BF32" i="45"/>
  <c r="BD33" i="45"/>
  <c r="BC34" i="45"/>
  <c r="BG32" i="46"/>
  <c r="BI32" i="46"/>
  <c r="BH32" i="46"/>
  <c r="BF32" i="46"/>
  <c r="BD33" i="46"/>
  <c r="BC34" i="46"/>
  <c r="BI31" i="47"/>
  <c r="BF31" i="47"/>
  <c r="BG31" i="47"/>
  <c r="BH31" i="47"/>
  <c r="BC33" i="47"/>
  <c r="BD33" i="47" s="1"/>
  <c r="BC47" i="56" l="1"/>
  <c r="BD46" i="56"/>
  <c r="BF45" i="56"/>
  <c r="BI45" i="56"/>
  <c r="BH45" i="56"/>
  <c r="BG45" i="56"/>
  <c r="BD47" i="55"/>
  <c r="BC48" i="55"/>
  <c r="BI46" i="55"/>
  <c r="BH46" i="55"/>
  <c r="BG46" i="55"/>
  <c r="BF46" i="55"/>
  <c r="BC46" i="54"/>
  <c r="BD45" i="54"/>
  <c r="BG44" i="54"/>
  <c r="BI44" i="54"/>
  <c r="BH44" i="54"/>
  <c r="BF44" i="54"/>
  <c r="BG37" i="52"/>
  <c r="BI37" i="52"/>
  <c r="BF37" i="52"/>
  <c r="BH37" i="52"/>
  <c r="BD38" i="52"/>
  <c r="BC39" i="52"/>
  <c r="BC40" i="51"/>
  <c r="BD39" i="51"/>
  <c r="BI38" i="51"/>
  <c r="BF38" i="51"/>
  <c r="BH38" i="51"/>
  <c r="BG38" i="51"/>
  <c r="BG35" i="50"/>
  <c r="BI35" i="50"/>
  <c r="BF35" i="50"/>
  <c r="BH35" i="50"/>
  <c r="BC37" i="50"/>
  <c r="BD36" i="50"/>
  <c r="BF38" i="49"/>
  <c r="BG38" i="49"/>
  <c r="BI38" i="49"/>
  <c r="BH38" i="49"/>
  <c r="BC40" i="49"/>
  <c r="BD39" i="49"/>
  <c r="BD34" i="43"/>
  <c r="BC35" i="43"/>
  <c r="BI33" i="43"/>
  <c r="BH33" i="43"/>
  <c r="BG33" i="43"/>
  <c r="BF33" i="43"/>
  <c r="BC35" i="40"/>
  <c r="BD34" i="40"/>
  <c r="BI33" i="40"/>
  <c r="BH33" i="40"/>
  <c r="BG33" i="40"/>
  <c r="BF33" i="40"/>
  <c r="BD33" i="34"/>
  <c r="BC34" i="34"/>
  <c r="BG32" i="34"/>
  <c r="BF32" i="34"/>
  <c r="BH32" i="34"/>
  <c r="BI32" i="34"/>
  <c r="BC35" i="45"/>
  <c r="BD34" i="45"/>
  <c r="BI33" i="45"/>
  <c r="BH33" i="45"/>
  <c r="BF33" i="45"/>
  <c r="BG33" i="45"/>
  <c r="BD34" i="46"/>
  <c r="BC35" i="46"/>
  <c r="BI33" i="46"/>
  <c r="BH33" i="46"/>
  <c r="BG33" i="46"/>
  <c r="BF33" i="46"/>
  <c r="BH32" i="47"/>
  <c r="BG32" i="47"/>
  <c r="BI32" i="47"/>
  <c r="BF32" i="47"/>
  <c r="BC34" i="47"/>
  <c r="BD34" i="47" s="1"/>
  <c r="BG46" i="56" l="1"/>
  <c r="BF46" i="56"/>
  <c r="BI46" i="56"/>
  <c r="BH46" i="56"/>
  <c r="BC48" i="56"/>
  <c r="BD47" i="56"/>
  <c r="BC49" i="55"/>
  <c r="BD48" i="55"/>
  <c r="BF47" i="55"/>
  <c r="BI47" i="55"/>
  <c r="BH47" i="55"/>
  <c r="BG47" i="55"/>
  <c r="BF45" i="54"/>
  <c r="BH45" i="54"/>
  <c r="BI45" i="54"/>
  <c r="BG45" i="54"/>
  <c r="BC47" i="54"/>
  <c r="BD46" i="54"/>
  <c r="BH38" i="52"/>
  <c r="BF38" i="52"/>
  <c r="BI38" i="52"/>
  <c r="BG38" i="52"/>
  <c r="BD39" i="52"/>
  <c r="BC40" i="52"/>
  <c r="BH39" i="51"/>
  <c r="BF39" i="51"/>
  <c r="BG39" i="51"/>
  <c r="BI39" i="51"/>
  <c r="BD40" i="51"/>
  <c r="BC41" i="51"/>
  <c r="BH36" i="50"/>
  <c r="BF36" i="50"/>
  <c r="BG36" i="50"/>
  <c r="BI36" i="50"/>
  <c r="BD37" i="50"/>
  <c r="BC38" i="50"/>
  <c r="BD40" i="49"/>
  <c r="BC41" i="49"/>
  <c r="BG39" i="49"/>
  <c r="BI39" i="49"/>
  <c r="BH39" i="49"/>
  <c r="BF39" i="49"/>
  <c r="BD35" i="43"/>
  <c r="BC36" i="43"/>
  <c r="BG34" i="43"/>
  <c r="BI34" i="43"/>
  <c r="BF34" i="43"/>
  <c r="BH34" i="43"/>
  <c r="BG34" i="40"/>
  <c r="BI34" i="40"/>
  <c r="BH34" i="40"/>
  <c r="BF34" i="40"/>
  <c r="BD35" i="40"/>
  <c r="BC36" i="40"/>
  <c r="BD34" i="34"/>
  <c r="BC35" i="34"/>
  <c r="BI33" i="34"/>
  <c r="BF33" i="34"/>
  <c r="BH33" i="34"/>
  <c r="BG33" i="34"/>
  <c r="BG34" i="45"/>
  <c r="BI34" i="45"/>
  <c r="BH34" i="45"/>
  <c r="BF34" i="45"/>
  <c r="BD35" i="45"/>
  <c r="BC36" i="45"/>
  <c r="BD35" i="46"/>
  <c r="BC36" i="46"/>
  <c r="BG34" i="46"/>
  <c r="BI34" i="46"/>
  <c r="BF34" i="46"/>
  <c r="BH34" i="46"/>
  <c r="BC35" i="47"/>
  <c r="BD35" i="47" s="1"/>
  <c r="BI33" i="47"/>
  <c r="BF33" i="47"/>
  <c r="BH33" i="47"/>
  <c r="BG33" i="47"/>
  <c r="BH47" i="56" l="1"/>
  <c r="BG47" i="56"/>
  <c r="BI47" i="56"/>
  <c r="BF47" i="56"/>
  <c r="BD48" i="56"/>
  <c r="BC49" i="56"/>
  <c r="BG48" i="55"/>
  <c r="BF48" i="55"/>
  <c r="BI48" i="55"/>
  <c r="BH48" i="55"/>
  <c r="BC50" i="55"/>
  <c r="BD49" i="55"/>
  <c r="BH46" i="54"/>
  <c r="BG46" i="54"/>
  <c r="BF46" i="54"/>
  <c r="BI46" i="54"/>
  <c r="BD47" i="54"/>
  <c r="BC48" i="54"/>
  <c r="BI39" i="52"/>
  <c r="BG39" i="52"/>
  <c r="BH39" i="52"/>
  <c r="BF39" i="52"/>
  <c r="BD40" i="52"/>
  <c r="BC41" i="52"/>
  <c r="BC42" i="51"/>
  <c r="BD41" i="51"/>
  <c r="BI40" i="51"/>
  <c r="BG40" i="51"/>
  <c r="BH40" i="51"/>
  <c r="BF40" i="51"/>
  <c r="BD38" i="50"/>
  <c r="BC39" i="50"/>
  <c r="BI37" i="50"/>
  <c r="BH37" i="50"/>
  <c r="BG37" i="50"/>
  <c r="BF37" i="50"/>
  <c r="BD41" i="49"/>
  <c r="BC42" i="49"/>
  <c r="BH40" i="49"/>
  <c r="BI40" i="49"/>
  <c r="BG40" i="49"/>
  <c r="BF40" i="49"/>
  <c r="BD36" i="43"/>
  <c r="BC37" i="43"/>
  <c r="BI35" i="43"/>
  <c r="BF35" i="43"/>
  <c r="BG35" i="43"/>
  <c r="BH35" i="43"/>
  <c r="BD36" i="40"/>
  <c r="BC37" i="40"/>
  <c r="BI35" i="40"/>
  <c r="BF35" i="40"/>
  <c r="BG35" i="40"/>
  <c r="BH35" i="40"/>
  <c r="BD35" i="34"/>
  <c r="BC36" i="34"/>
  <c r="BG34" i="34"/>
  <c r="BF34" i="34"/>
  <c r="BH34" i="34"/>
  <c r="BI34" i="34"/>
  <c r="BD36" i="45"/>
  <c r="BC37" i="45"/>
  <c r="BI35" i="45"/>
  <c r="BG35" i="45"/>
  <c r="BF35" i="45"/>
  <c r="BH35" i="45"/>
  <c r="BD36" i="46"/>
  <c r="BC37" i="46"/>
  <c r="BI35" i="46"/>
  <c r="BF35" i="46"/>
  <c r="BG35" i="46"/>
  <c r="BH35" i="46"/>
  <c r="BF34" i="47"/>
  <c r="BG34" i="47"/>
  <c r="BH34" i="47"/>
  <c r="BI34" i="47"/>
  <c r="BC36" i="47"/>
  <c r="BD36" i="47" s="1"/>
  <c r="BD49" i="56" l="1"/>
  <c r="BC50" i="56"/>
  <c r="BI48" i="56"/>
  <c r="BH48" i="56"/>
  <c r="BG48" i="56"/>
  <c r="BF48" i="56"/>
  <c r="BH49" i="55"/>
  <c r="BG49" i="55"/>
  <c r="BI49" i="55"/>
  <c r="BF49" i="55"/>
  <c r="BD50" i="55"/>
  <c r="BC51" i="55"/>
  <c r="BD48" i="54"/>
  <c r="BC49" i="54"/>
  <c r="BI47" i="54"/>
  <c r="BH47" i="54"/>
  <c r="BF47" i="54"/>
  <c r="BG47" i="54"/>
  <c r="BF40" i="52"/>
  <c r="BI40" i="52"/>
  <c r="BG40" i="52"/>
  <c r="BH40" i="52"/>
  <c r="BC42" i="52"/>
  <c r="BD41" i="52"/>
  <c r="BF41" i="51"/>
  <c r="BH41" i="51"/>
  <c r="BG41" i="51"/>
  <c r="BI41" i="51"/>
  <c r="BC43" i="51"/>
  <c r="BD42" i="51"/>
  <c r="BC40" i="50"/>
  <c r="BD39" i="50"/>
  <c r="BF38" i="50"/>
  <c r="BI38" i="50"/>
  <c r="BH38" i="50"/>
  <c r="BG38" i="50"/>
  <c r="BC43" i="49"/>
  <c r="BD42" i="49"/>
  <c r="BI41" i="49"/>
  <c r="BG41" i="49"/>
  <c r="BF41" i="49"/>
  <c r="BH41" i="49"/>
  <c r="BD37" i="43"/>
  <c r="BC38" i="43"/>
  <c r="BG36" i="43"/>
  <c r="BF36" i="43"/>
  <c r="BI36" i="43"/>
  <c r="BH36" i="43"/>
  <c r="BD37" i="40"/>
  <c r="BC38" i="40"/>
  <c r="BG36" i="40"/>
  <c r="BH36" i="40"/>
  <c r="BF36" i="40"/>
  <c r="BI36" i="40"/>
  <c r="BC37" i="34"/>
  <c r="BD36" i="34"/>
  <c r="BI35" i="34"/>
  <c r="BG35" i="34"/>
  <c r="BH35" i="34"/>
  <c r="BF35" i="34"/>
  <c r="BD37" i="45"/>
  <c r="BC38" i="45"/>
  <c r="BG36" i="45"/>
  <c r="BI36" i="45"/>
  <c r="BH36" i="45"/>
  <c r="BF36" i="45"/>
  <c r="BD37" i="46"/>
  <c r="BC38" i="46"/>
  <c r="BG36" i="46"/>
  <c r="BF36" i="46"/>
  <c r="BI36" i="46"/>
  <c r="BH36" i="46"/>
  <c r="BG35" i="47"/>
  <c r="BI35" i="47"/>
  <c r="BF35" i="47"/>
  <c r="BH35" i="47"/>
  <c r="BC37" i="47"/>
  <c r="BD37" i="47" s="1"/>
  <c r="BC51" i="56" l="1"/>
  <c r="BD50" i="56"/>
  <c r="BF49" i="56"/>
  <c r="BI49" i="56"/>
  <c r="BG49" i="56"/>
  <c r="BH49" i="56"/>
  <c r="BD51" i="55"/>
  <c r="BC52" i="55"/>
  <c r="BI50" i="55"/>
  <c r="BH50" i="55"/>
  <c r="BG50" i="55"/>
  <c r="BF50" i="55"/>
  <c r="BC50" i="54"/>
  <c r="BD49" i="54"/>
  <c r="BF48" i="54"/>
  <c r="BI48" i="54"/>
  <c r="BG48" i="54"/>
  <c r="BH48" i="54"/>
  <c r="BC43" i="52"/>
  <c r="BD42" i="52"/>
  <c r="BG41" i="52"/>
  <c r="BF41" i="52"/>
  <c r="BH41" i="52"/>
  <c r="BI41" i="52"/>
  <c r="BG42" i="51"/>
  <c r="BI42" i="51"/>
  <c r="BH42" i="51"/>
  <c r="BF42" i="51"/>
  <c r="BC44" i="51"/>
  <c r="BD43" i="51"/>
  <c r="BG39" i="50"/>
  <c r="BF39" i="50"/>
  <c r="BI39" i="50"/>
  <c r="BH39" i="50"/>
  <c r="BC41" i="50"/>
  <c r="BD40" i="50"/>
  <c r="BF42" i="49"/>
  <c r="BI42" i="49"/>
  <c r="BH42" i="49"/>
  <c r="BG42" i="49"/>
  <c r="BC44" i="49"/>
  <c r="BD43" i="49"/>
  <c r="BI37" i="43"/>
  <c r="BG37" i="43"/>
  <c r="BF37" i="43"/>
  <c r="BH37" i="43"/>
  <c r="BC39" i="43"/>
  <c r="BD38" i="43"/>
  <c r="BC39" i="40"/>
  <c r="BD38" i="40"/>
  <c r="BI37" i="40"/>
  <c r="BF37" i="40"/>
  <c r="BH37" i="40"/>
  <c r="BG37" i="40"/>
  <c r="BG36" i="34"/>
  <c r="BH36" i="34"/>
  <c r="BF36" i="34"/>
  <c r="BI36" i="34"/>
  <c r="BD37" i="34"/>
  <c r="BC38" i="34"/>
  <c r="BC39" i="45"/>
  <c r="BD38" i="45"/>
  <c r="BI37" i="45"/>
  <c r="BF37" i="45"/>
  <c r="BH37" i="45"/>
  <c r="BG37" i="45"/>
  <c r="BC39" i="46"/>
  <c r="BD38" i="46"/>
  <c r="BI37" i="46"/>
  <c r="BG37" i="46"/>
  <c r="BF37" i="46"/>
  <c r="BH37" i="46"/>
  <c r="BH36" i="47"/>
  <c r="BF36" i="47"/>
  <c r="BI36" i="47"/>
  <c r="BG36" i="47"/>
  <c r="BC38" i="47"/>
  <c r="BD38" i="47" s="1"/>
  <c r="BG50" i="56" l="1"/>
  <c r="BF50" i="56"/>
  <c r="BI50" i="56"/>
  <c r="BH50" i="56"/>
  <c r="BC52" i="56"/>
  <c r="BD51" i="56"/>
  <c r="BC53" i="55"/>
  <c r="BD52" i="55"/>
  <c r="BF51" i="55"/>
  <c r="BI51" i="55"/>
  <c r="BH51" i="55"/>
  <c r="BG51" i="55"/>
  <c r="BG49" i="54"/>
  <c r="BF49" i="54"/>
  <c r="BH49" i="54"/>
  <c r="BI49" i="54"/>
  <c r="BC51" i="54"/>
  <c r="BD50" i="54"/>
  <c r="BH42" i="52"/>
  <c r="BG42" i="52"/>
  <c r="BI42" i="52"/>
  <c r="BF42" i="52"/>
  <c r="BD43" i="52"/>
  <c r="BC44" i="52"/>
  <c r="BD44" i="51"/>
  <c r="BC45" i="51"/>
  <c r="BH43" i="51"/>
  <c r="BF43" i="51"/>
  <c r="BG43" i="51"/>
  <c r="BI43" i="51"/>
  <c r="BH40" i="50"/>
  <c r="BG40" i="50"/>
  <c r="BI40" i="50"/>
  <c r="BF40" i="50"/>
  <c r="BD41" i="50"/>
  <c r="BC42" i="50"/>
  <c r="BG43" i="49"/>
  <c r="BF43" i="49"/>
  <c r="BI43" i="49"/>
  <c r="BH43" i="49"/>
  <c r="BC45" i="49"/>
  <c r="BD44" i="49"/>
  <c r="BD39" i="43"/>
  <c r="BC40" i="43"/>
  <c r="BG38" i="43"/>
  <c r="BH38" i="43"/>
  <c r="BF38" i="43"/>
  <c r="BI38" i="43"/>
  <c r="BG38" i="40"/>
  <c r="BF38" i="40"/>
  <c r="BH38" i="40"/>
  <c r="BI38" i="40"/>
  <c r="BD39" i="40"/>
  <c r="BC40" i="40"/>
  <c r="BC39" i="34"/>
  <c r="BD38" i="34"/>
  <c r="BI37" i="34"/>
  <c r="BH37" i="34"/>
  <c r="BF37" i="34"/>
  <c r="BG37" i="34"/>
  <c r="BG38" i="45"/>
  <c r="BF38" i="45"/>
  <c r="BI38" i="45"/>
  <c r="BH38" i="45"/>
  <c r="BD39" i="45"/>
  <c r="BC40" i="45"/>
  <c r="BG38" i="46"/>
  <c r="BH38" i="46"/>
  <c r="BF38" i="46"/>
  <c r="BI38" i="46"/>
  <c r="BD39" i="46"/>
  <c r="BC40" i="46"/>
  <c r="BC39" i="47"/>
  <c r="BD39" i="47" s="1"/>
  <c r="BH37" i="47"/>
  <c r="BI37" i="47"/>
  <c r="BG37" i="47"/>
  <c r="BF37" i="47"/>
  <c r="BH51" i="56" l="1"/>
  <c r="BG51" i="56"/>
  <c r="BI51" i="56"/>
  <c r="BF51" i="56"/>
  <c r="BD52" i="56"/>
  <c r="BC53" i="56"/>
  <c r="BG52" i="55"/>
  <c r="BF52" i="55"/>
  <c r="BI52" i="55"/>
  <c r="BH52" i="55"/>
  <c r="BC54" i="55"/>
  <c r="BD53" i="55"/>
  <c r="BH50" i="54"/>
  <c r="BG50" i="54"/>
  <c r="BF50" i="54"/>
  <c r="BI50" i="54"/>
  <c r="BD51" i="54"/>
  <c r="BC52" i="54"/>
  <c r="BC45" i="52"/>
  <c r="BD44" i="52"/>
  <c r="BI43" i="52"/>
  <c r="BF43" i="52"/>
  <c r="BH43" i="52"/>
  <c r="BG43" i="52"/>
  <c r="BC46" i="51"/>
  <c r="BD45" i="51"/>
  <c r="BI44" i="51"/>
  <c r="BG44" i="51"/>
  <c r="BH44" i="51"/>
  <c r="BF44" i="51"/>
  <c r="BD42" i="50"/>
  <c r="BC43" i="50"/>
  <c r="BI41" i="50"/>
  <c r="BG41" i="50"/>
  <c r="BH41" i="50"/>
  <c r="BF41" i="50"/>
  <c r="BH44" i="49"/>
  <c r="BG44" i="49"/>
  <c r="BF44" i="49"/>
  <c r="BI44" i="49"/>
  <c r="BD45" i="49"/>
  <c r="BC46" i="49"/>
  <c r="BI39" i="43"/>
  <c r="BH39" i="43"/>
  <c r="BG39" i="43"/>
  <c r="BF39" i="43"/>
  <c r="BC41" i="43"/>
  <c r="BD40" i="43"/>
  <c r="BD40" i="40"/>
  <c r="BC41" i="40"/>
  <c r="BI39" i="40"/>
  <c r="BG39" i="40"/>
  <c r="BH39" i="40"/>
  <c r="BF39" i="40"/>
  <c r="BG38" i="34"/>
  <c r="BI38" i="34"/>
  <c r="BH38" i="34"/>
  <c r="BF38" i="34"/>
  <c r="BD39" i="34"/>
  <c r="BC40" i="34"/>
  <c r="BC41" i="45"/>
  <c r="BD40" i="45"/>
  <c r="BI39" i="45"/>
  <c r="BG39" i="45"/>
  <c r="BF39" i="45"/>
  <c r="BH39" i="45"/>
  <c r="BC41" i="46"/>
  <c r="BD40" i="46"/>
  <c r="BI39" i="46"/>
  <c r="BH39" i="46"/>
  <c r="BG39" i="46"/>
  <c r="BF39" i="46"/>
  <c r="BC40" i="47"/>
  <c r="BD40" i="47" s="1"/>
  <c r="BI38" i="47"/>
  <c r="BF38" i="47"/>
  <c r="BG38" i="47"/>
  <c r="BH38" i="47"/>
  <c r="BD53" i="56" l="1"/>
  <c r="BC54" i="56"/>
  <c r="BI52" i="56"/>
  <c r="BH52" i="56"/>
  <c r="BG52" i="56"/>
  <c r="BF52" i="56"/>
  <c r="BH53" i="55"/>
  <c r="BG53" i="55"/>
  <c r="BI53" i="55"/>
  <c r="BF53" i="55"/>
  <c r="BD54" i="55"/>
  <c r="BC55" i="55"/>
  <c r="BD52" i="54"/>
  <c r="BC53" i="54"/>
  <c r="BI51" i="54"/>
  <c r="BH51" i="54"/>
  <c r="BF51" i="54"/>
  <c r="BG51" i="54"/>
  <c r="BF44" i="52"/>
  <c r="BG44" i="52"/>
  <c r="BH44" i="52"/>
  <c r="BI44" i="52"/>
  <c r="BC46" i="52"/>
  <c r="BD45" i="52"/>
  <c r="BF45" i="51"/>
  <c r="BG45" i="51"/>
  <c r="BI45" i="51"/>
  <c r="BH45" i="51"/>
  <c r="BC47" i="51"/>
  <c r="BD46" i="51"/>
  <c r="BC44" i="50"/>
  <c r="BD43" i="50"/>
  <c r="BF42" i="50"/>
  <c r="BH42" i="50"/>
  <c r="BI42" i="50"/>
  <c r="BG42" i="50"/>
  <c r="BD46" i="49"/>
  <c r="BC47" i="49"/>
  <c r="BI45" i="49"/>
  <c r="BF45" i="49"/>
  <c r="BH45" i="49"/>
  <c r="BG45" i="49"/>
  <c r="BD41" i="43"/>
  <c r="BC42" i="43"/>
  <c r="BG40" i="43"/>
  <c r="BI40" i="43"/>
  <c r="BH40" i="43"/>
  <c r="BF40" i="43"/>
  <c r="BD41" i="40"/>
  <c r="BC42" i="40"/>
  <c r="BG40" i="40"/>
  <c r="BH40" i="40"/>
  <c r="BI40" i="40"/>
  <c r="BF40" i="40"/>
  <c r="BD40" i="34"/>
  <c r="BC41" i="34"/>
  <c r="BI39" i="34"/>
  <c r="BF39" i="34"/>
  <c r="BH39" i="34"/>
  <c r="BG39" i="34"/>
  <c r="BG40" i="45"/>
  <c r="BH40" i="45"/>
  <c r="BI40" i="45"/>
  <c r="BF40" i="45"/>
  <c r="BD41" i="45"/>
  <c r="BC42" i="45"/>
  <c r="BG40" i="46"/>
  <c r="BI40" i="46"/>
  <c r="BH40" i="46"/>
  <c r="BF40" i="46"/>
  <c r="BD41" i="46"/>
  <c r="BC42" i="46"/>
  <c r="BF39" i="47"/>
  <c r="BG39" i="47"/>
  <c r="BI39" i="47"/>
  <c r="BH39" i="47"/>
  <c r="BC41" i="47"/>
  <c r="BD41" i="47" s="1"/>
  <c r="BC55" i="56" l="1"/>
  <c r="BD54" i="56"/>
  <c r="BF53" i="56"/>
  <c r="BI53" i="56"/>
  <c r="BH53" i="56"/>
  <c r="BG53" i="56"/>
  <c r="BD55" i="55"/>
  <c r="BC56" i="55"/>
  <c r="BI54" i="55"/>
  <c r="BH54" i="55"/>
  <c r="BG54" i="55"/>
  <c r="BF54" i="55"/>
  <c r="BC54" i="54"/>
  <c r="BD53" i="54"/>
  <c r="BF52" i="54"/>
  <c r="BI52" i="54"/>
  <c r="BG52" i="54"/>
  <c r="BH52" i="54"/>
  <c r="BC47" i="52"/>
  <c r="BD46" i="52"/>
  <c r="BG45" i="52"/>
  <c r="BI45" i="52"/>
  <c r="BF45" i="52"/>
  <c r="BH45" i="52"/>
  <c r="BG46" i="51"/>
  <c r="BI46" i="51"/>
  <c r="BF46" i="51"/>
  <c r="BH46" i="51"/>
  <c r="BD47" i="51"/>
  <c r="BC48" i="51"/>
  <c r="BG43" i="50"/>
  <c r="BF43" i="50"/>
  <c r="BI43" i="50"/>
  <c r="BH43" i="50"/>
  <c r="BC45" i="50"/>
  <c r="BD44" i="50"/>
  <c r="BC48" i="49"/>
  <c r="BD47" i="49"/>
  <c r="BF46" i="49"/>
  <c r="BI46" i="49"/>
  <c r="BH46" i="49"/>
  <c r="BG46" i="49"/>
  <c r="BI41" i="43"/>
  <c r="BH41" i="43"/>
  <c r="BG41" i="43"/>
  <c r="BF41" i="43"/>
  <c r="BD42" i="43"/>
  <c r="BC43" i="43"/>
  <c r="BI41" i="40"/>
  <c r="BH41" i="40"/>
  <c r="BF41" i="40"/>
  <c r="BG41" i="40"/>
  <c r="BC43" i="40"/>
  <c r="BD42" i="40"/>
  <c r="BD41" i="34"/>
  <c r="BC42" i="34"/>
  <c r="BG40" i="34"/>
  <c r="BH40" i="34"/>
  <c r="BF40" i="34"/>
  <c r="BI40" i="34"/>
  <c r="BC43" i="45"/>
  <c r="BD42" i="45"/>
  <c r="BI41" i="45"/>
  <c r="BH41" i="45"/>
  <c r="BG41" i="45"/>
  <c r="BF41" i="45"/>
  <c r="BD42" i="46"/>
  <c r="BC43" i="46"/>
  <c r="BI41" i="46"/>
  <c r="BH41" i="46"/>
  <c r="BF41" i="46"/>
  <c r="BG41" i="46"/>
  <c r="BG40" i="47"/>
  <c r="BH40" i="47"/>
  <c r="BF40" i="47"/>
  <c r="BI40" i="47"/>
  <c r="BC42" i="47"/>
  <c r="BD42" i="47" s="1"/>
  <c r="BG54" i="56" l="1"/>
  <c r="BF54" i="56"/>
  <c r="BI54" i="56"/>
  <c r="BH54" i="56"/>
  <c r="BC56" i="56"/>
  <c r="BD55" i="56"/>
  <c r="BC57" i="55"/>
  <c r="BD56" i="55"/>
  <c r="BF55" i="55"/>
  <c r="BI55" i="55"/>
  <c r="BH55" i="55"/>
  <c r="BG55" i="55"/>
  <c r="BG53" i="54"/>
  <c r="BF53" i="54"/>
  <c r="BH53" i="54"/>
  <c r="BI53" i="54"/>
  <c r="BC55" i="54"/>
  <c r="BD54" i="54"/>
  <c r="BH46" i="52"/>
  <c r="BF46" i="52"/>
  <c r="BG46" i="52"/>
  <c r="BI46" i="52"/>
  <c r="BD47" i="52"/>
  <c r="BC48" i="52"/>
  <c r="BH47" i="51"/>
  <c r="BG47" i="51"/>
  <c r="BI47" i="51"/>
  <c r="BF47" i="51"/>
  <c r="BD48" i="51"/>
  <c r="BC49" i="51"/>
  <c r="BH44" i="50"/>
  <c r="BG44" i="50"/>
  <c r="BF44" i="50"/>
  <c r="BI44" i="50"/>
  <c r="BD45" i="50"/>
  <c r="BC46" i="50"/>
  <c r="BG47" i="49"/>
  <c r="BF47" i="49"/>
  <c r="BI47" i="49"/>
  <c r="BH47" i="49"/>
  <c r="BC49" i="49"/>
  <c r="BD48" i="49"/>
  <c r="BG42" i="43"/>
  <c r="BI42" i="43"/>
  <c r="BF42" i="43"/>
  <c r="BH42" i="43"/>
  <c r="BD43" i="43"/>
  <c r="BC44" i="43"/>
  <c r="BG42" i="40"/>
  <c r="BI42" i="40"/>
  <c r="BF42" i="40"/>
  <c r="BH42" i="40"/>
  <c r="BD43" i="40"/>
  <c r="BC44" i="40"/>
  <c r="BC43" i="34"/>
  <c r="BD42" i="34"/>
  <c r="BI41" i="34"/>
  <c r="BF41" i="34"/>
  <c r="BH41" i="34"/>
  <c r="BG41" i="34"/>
  <c r="BG42" i="45"/>
  <c r="BI42" i="45"/>
  <c r="BH42" i="45"/>
  <c r="BF42" i="45"/>
  <c r="BD43" i="45"/>
  <c r="BC44" i="45"/>
  <c r="BD43" i="46"/>
  <c r="BC44" i="46"/>
  <c r="BG42" i="46"/>
  <c r="BI42" i="46"/>
  <c r="BF42" i="46"/>
  <c r="BH42" i="46"/>
  <c r="BC43" i="47"/>
  <c r="BD43" i="47" s="1"/>
  <c r="BH41" i="47"/>
  <c r="BI41" i="47"/>
  <c r="BF41" i="47"/>
  <c r="BG41" i="47"/>
  <c r="BH55" i="56" l="1"/>
  <c r="BG55" i="56"/>
  <c r="BI55" i="56"/>
  <c r="BF55" i="56"/>
  <c r="BD56" i="56"/>
  <c r="BC57" i="56"/>
  <c r="BG56" i="55"/>
  <c r="BF56" i="55"/>
  <c r="BI56" i="55"/>
  <c r="BH56" i="55"/>
  <c r="BC58" i="55"/>
  <c r="BD57" i="55"/>
  <c r="BH54" i="54"/>
  <c r="BG54" i="54"/>
  <c r="BF54" i="54"/>
  <c r="BI54" i="54"/>
  <c r="BD55" i="54"/>
  <c r="BC56" i="54"/>
  <c r="BC49" i="52"/>
  <c r="BD48" i="52"/>
  <c r="BI47" i="52"/>
  <c r="BG47" i="52"/>
  <c r="BF47" i="52"/>
  <c r="BH47" i="52"/>
  <c r="BC50" i="51"/>
  <c r="BD49" i="51"/>
  <c r="BI48" i="51"/>
  <c r="BG48" i="51"/>
  <c r="BF48" i="51"/>
  <c r="BH48" i="51"/>
  <c r="BD46" i="50"/>
  <c r="BC47" i="50"/>
  <c r="BI45" i="50"/>
  <c r="BH45" i="50"/>
  <c r="BG45" i="50"/>
  <c r="BF45" i="50"/>
  <c r="BH48" i="49"/>
  <c r="BG48" i="49"/>
  <c r="BI48" i="49"/>
  <c r="BF48" i="49"/>
  <c r="BD49" i="49"/>
  <c r="BC50" i="49"/>
  <c r="BD44" i="43"/>
  <c r="BC45" i="43"/>
  <c r="BI43" i="43"/>
  <c r="BF43" i="43"/>
  <c r="BH43" i="43"/>
  <c r="BG43" i="43"/>
  <c r="BI43" i="40"/>
  <c r="BG43" i="40"/>
  <c r="BH43" i="40"/>
  <c r="BF43" i="40"/>
  <c r="BD44" i="40"/>
  <c r="BC45" i="40"/>
  <c r="BG42" i="34"/>
  <c r="BF42" i="34"/>
  <c r="BH42" i="34"/>
  <c r="BI42" i="34"/>
  <c r="BD43" i="34"/>
  <c r="BC44" i="34"/>
  <c r="BI43" i="45"/>
  <c r="BH43" i="45"/>
  <c r="BG43" i="45"/>
  <c r="BF43" i="45"/>
  <c r="BD44" i="45"/>
  <c r="BC45" i="45"/>
  <c r="BD44" i="46"/>
  <c r="BC45" i="46"/>
  <c r="BI43" i="46"/>
  <c r="BF43" i="46"/>
  <c r="BH43" i="46"/>
  <c r="BG43" i="46"/>
  <c r="BC44" i="47"/>
  <c r="BD44" i="47" s="1"/>
  <c r="BI42" i="47"/>
  <c r="BF42" i="47"/>
  <c r="BG42" i="47"/>
  <c r="BH42" i="47"/>
  <c r="BD57" i="56" l="1"/>
  <c r="BC58" i="56"/>
  <c r="BI56" i="56"/>
  <c r="BH56" i="56"/>
  <c r="BG56" i="56"/>
  <c r="BF56" i="56"/>
  <c r="BH57" i="55"/>
  <c r="BG57" i="55"/>
  <c r="BF57" i="55"/>
  <c r="BI57" i="55"/>
  <c r="BD58" i="55"/>
  <c r="BC59" i="55"/>
  <c r="BI55" i="54"/>
  <c r="BH55" i="54"/>
  <c r="BF55" i="54"/>
  <c r="BG55" i="54"/>
  <c r="BD56" i="54"/>
  <c r="BC57" i="54"/>
  <c r="BF48" i="52"/>
  <c r="BH48" i="52"/>
  <c r="BI48" i="52"/>
  <c r="BG48" i="52"/>
  <c r="BC50" i="52"/>
  <c r="BD49" i="52"/>
  <c r="BF49" i="51"/>
  <c r="BI49" i="51"/>
  <c r="BG49" i="51"/>
  <c r="BH49" i="51"/>
  <c r="BC51" i="51"/>
  <c r="BD50" i="51"/>
  <c r="BC48" i="50"/>
  <c r="BD47" i="50"/>
  <c r="BF46" i="50"/>
  <c r="BH46" i="50"/>
  <c r="BI46" i="50"/>
  <c r="BG46" i="50"/>
  <c r="BD50" i="49"/>
  <c r="BC51" i="49"/>
  <c r="BI49" i="49"/>
  <c r="BH49" i="49"/>
  <c r="BF49" i="49"/>
  <c r="BG49" i="49"/>
  <c r="BD45" i="43"/>
  <c r="BC46" i="43"/>
  <c r="BG44" i="43"/>
  <c r="BF44" i="43"/>
  <c r="BH44" i="43"/>
  <c r="BI44" i="43"/>
  <c r="BG44" i="40"/>
  <c r="BI44" i="40"/>
  <c r="BH44" i="40"/>
  <c r="BF44" i="40"/>
  <c r="BD45" i="40"/>
  <c r="BC46" i="40"/>
  <c r="BD44" i="34"/>
  <c r="BC45" i="34"/>
  <c r="BI43" i="34"/>
  <c r="BG43" i="34"/>
  <c r="BH43" i="34"/>
  <c r="BF43" i="34"/>
  <c r="BD45" i="45"/>
  <c r="BC46" i="45"/>
  <c r="BG44" i="45"/>
  <c r="BI44" i="45"/>
  <c r="BH44" i="45"/>
  <c r="BF44" i="45"/>
  <c r="BD45" i="46"/>
  <c r="BC46" i="46"/>
  <c r="BG44" i="46"/>
  <c r="BF44" i="46"/>
  <c r="BH44" i="46"/>
  <c r="BI44" i="46"/>
  <c r="BF43" i="47"/>
  <c r="BG43" i="47"/>
  <c r="BH43" i="47"/>
  <c r="BI43" i="47"/>
  <c r="BC45" i="47"/>
  <c r="BD45" i="47" s="1"/>
  <c r="BC59" i="56" l="1"/>
  <c r="BD58" i="56"/>
  <c r="BF57" i="56"/>
  <c r="BI57" i="56"/>
  <c r="BG57" i="56"/>
  <c r="BH57" i="56"/>
  <c r="BD59" i="55"/>
  <c r="BC60" i="55"/>
  <c r="BI58" i="55"/>
  <c r="BH58" i="55"/>
  <c r="BG58" i="55"/>
  <c r="BF58" i="55"/>
  <c r="BC58" i="54"/>
  <c r="BD57" i="54"/>
  <c r="BF56" i="54"/>
  <c r="BI56" i="54"/>
  <c r="BG56" i="54"/>
  <c r="BH56" i="54"/>
  <c r="BG49" i="52"/>
  <c r="BI49" i="52"/>
  <c r="BF49" i="52"/>
  <c r="BH49" i="52"/>
  <c r="BC51" i="52"/>
  <c r="BD50" i="52"/>
  <c r="BC52" i="51"/>
  <c r="BD51" i="51"/>
  <c r="BG50" i="51"/>
  <c r="BF50" i="51"/>
  <c r="BI50" i="51"/>
  <c r="BH50" i="51"/>
  <c r="BG47" i="50"/>
  <c r="BI47" i="50"/>
  <c r="BF47" i="50"/>
  <c r="BH47" i="50"/>
  <c r="BC49" i="50"/>
  <c r="BD48" i="50"/>
  <c r="BC52" i="49"/>
  <c r="BD51" i="49"/>
  <c r="BF50" i="49"/>
  <c r="BI50" i="49"/>
  <c r="BH50" i="49"/>
  <c r="BG50" i="49"/>
  <c r="BD46" i="43"/>
  <c r="BC47" i="43"/>
  <c r="BI45" i="43"/>
  <c r="BG45" i="43"/>
  <c r="BF45" i="43"/>
  <c r="BH45" i="43"/>
  <c r="BC47" i="40"/>
  <c r="BD46" i="40"/>
  <c r="BI45" i="40"/>
  <c r="BF45" i="40"/>
  <c r="BH45" i="40"/>
  <c r="BG45" i="40"/>
  <c r="BD45" i="34"/>
  <c r="BC46" i="34"/>
  <c r="BG44" i="34"/>
  <c r="BH44" i="34"/>
  <c r="BI44" i="34"/>
  <c r="BF44" i="34"/>
  <c r="BC47" i="45"/>
  <c r="BD46" i="45"/>
  <c r="BI45" i="45"/>
  <c r="BF45" i="45"/>
  <c r="BG45" i="45"/>
  <c r="BH45" i="45"/>
  <c r="BD46" i="46"/>
  <c r="BC47" i="46"/>
  <c r="BI45" i="46"/>
  <c r="BG45" i="46"/>
  <c r="BF45" i="46"/>
  <c r="BH45" i="46"/>
  <c r="BG44" i="47"/>
  <c r="BH44" i="47"/>
  <c r="BF44" i="47"/>
  <c r="BI44" i="47"/>
  <c r="BC46" i="47"/>
  <c r="BD46" i="47" s="1"/>
  <c r="BG58" i="56" l="1"/>
  <c r="BF58" i="56"/>
  <c r="BI58" i="56"/>
  <c r="BH58" i="56"/>
  <c r="BC60" i="56"/>
  <c r="BD59" i="56"/>
  <c r="BC61" i="55"/>
  <c r="BD60" i="55"/>
  <c r="BF59" i="55"/>
  <c r="BI59" i="55"/>
  <c r="BH59" i="55"/>
  <c r="BG59" i="55"/>
  <c r="BG57" i="54"/>
  <c r="BF57" i="54"/>
  <c r="BH57" i="54"/>
  <c r="BI57" i="54"/>
  <c r="BC59" i="54"/>
  <c r="BD58" i="54"/>
  <c r="BH50" i="52"/>
  <c r="BF50" i="52"/>
  <c r="BI50" i="52"/>
  <c r="BG50" i="52"/>
  <c r="BD51" i="52"/>
  <c r="BC52" i="52"/>
  <c r="BH51" i="51"/>
  <c r="BG51" i="51"/>
  <c r="BI51" i="51"/>
  <c r="BF51" i="51"/>
  <c r="BD52" i="51"/>
  <c r="BC53" i="51"/>
  <c r="BH48" i="50"/>
  <c r="BF48" i="50"/>
  <c r="BG48" i="50"/>
  <c r="BI48" i="50"/>
  <c r="BD49" i="50"/>
  <c r="BC50" i="50"/>
  <c r="BG51" i="49"/>
  <c r="BF51" i="49"/>
  <c r="BI51" i="49"/>
  <c r="BH51" i="49"/>
  <c r="BC53" i="49"/>
  <c r="BD52" i="49"/>
  <c r="BD47" i="43"/>
  <c r="BC48" i="43"/>
  <c r="BG46" i="43"/>
  <c r="BH46" i="43"/>
  <c r="BF46" i="43"/>
  <c r="BI46" i="43"/>
  <c r="BG46" i="40"/>
  <c r="BF46" i="40"/>
  <c r="BI46" i="40"/>
  <c r="BH46" i="40"/>
  <c r="BD47" i="40"/>
  <c r="BC48" i="40"/>
  <c r="BC47" i="34"/>
  <c r="BD46" i="34"/>
  <c r="BI45" i="34"/>
  <c r="BH45" i="34"/>
  <c r="BF45" i="34"/>
  <c r="BG45" i="34"/>
  <c r="BG46" i="45"/>
  <c r="BF46" i="45"/>
  <c r="BI46" i="45"/>
  <c r="BH46" i="45"/>
  <c r="BD47" i="45"/>
  <c r="BC48" i="45"/>
  <c r="BD47" i="46"/>
  <c r="BC48" i="46"/>
  <c r="BG46" i="46"/>
  <c r="BH46" i="46"/>
  <c r="BF46" i="46"/>
  <c r="BI46" i="46"/>
  <c r="BC47" i="47"/>
  <c r="BD47" i="47" s="1"/>
  <c r="BH45" i="47"/>
  <c r="BI45" i="47"/>
  <c r="BG45" i="47"/>
  <c r="BF45" i="47"/>
  <c r="BH59" i="56" l="1"/>
  <c r="BG59" i="56"/>
  <c r="BF59" i="56"/>
  <c r="BI59" i="56"/>
  <c r="BD60" i="56"/>
  <c r="BC61" i="56"/>
  <c r="BG60" i="55"/>
  <c r="BF60" i="55"/>
  <c r="BI60" i="55"/>
  <c r="BH60" i="55"/>
  <c r="BC62" i="55"/>
  <c r="BD61" i="55"/>
  <c r="BH58" i="54"/>
  <c r="BG58" i="54"/>
  <c r="BF58" i="54"/>
  <c r="BI58" i="54"/>
  <c r="BD59" i="54"/>
  <c r="BC60" i="54"/>
  <c r="BC53" i="52"/>
  <c r="BD52" i="52"/>
  <c r="BI51" i="52"/>
  <c r="BG51" i="52"/>
  <c r="BF51" i="52"/>
  <c r="BH51" i="52"/>
  <c r="BI52" i="51"/>
  <c r="BG52" i="51"/>
  <c r="BF52" i="51"/>
  <c r="BH52" i="51"/>
  <c r="BC54" i="51"/>
  <c r="BD53" i="51"/>
  <c r="BD50" i="50"/>
  <c r="BC51" i="50"/>
  <c r="BI49" i="50"/>
  <c r="BG49" i="50"/>
  <c r="BH49" i="50"/>
  <c r="BF49" i="50"/>
  <c r="BH52" i="49"/>
  <c r="BG52" i="49"/>
  <c r="BI52" i="49"/>
  <c r="BF52" i="49"/>
  <c r="BD53" i="49"/>
  <c r="BC54" i="49"/>
  <c r="BC49" i="43"/>
  <c r="BD48" i="43"/>
  <c r="BI47" i="43"/>
  <c r="BH47" i="43"/>
  <c r="BG47" i="43"/>
  <c r="BF47" i="43"/>
  <c r="BC49" i="40"/>
  <c r="BD48" i="40"/>
  <c r="BI47" i="40"/>
  <c r="BH47" i="40"/>
  <c r="BG47" i="40"/>
  <c r="BF47" i="40"/>
  <c r="BG46" i="34"/>
  <c r="BI46" i="34"/>
  <c r="BF46" i="34"/>
  <c r="BH46" i="34"/>
  <c r="BD47" i="34"/>
  <c r="BC48" i="34"/>
  <c r="BC49" i="45"/>
  <c r="BD48" i="45"/>
  <c r="BI47" i="45"/>
  <c r="BF47" i="45"/>
  <c r="BG47" i="45"/>
  <c r="BH47" i="45"/>
  <c r="BC49" i="46"/>
  <c r="BD48" i="46"/>
  <c r="BI47" i="46"/>
  <c r="BH47" i="46"/>
  <c r="BG47" i="46"/>
  <c r="BF47" i="46"/>
  <c r="BF46" i="47"/>
  <c r="BG46" i="47"/>
  <c r="BH46" i="47"/>
  <c r="BI46" i="47"/>
  <c r="BC48" i="47"/>
  <c r="BD48" i="47" s="1"/>
  <c r="BD61" i="56" l="1"/>
  <c r="BC62" i="56"/>
  <c r="BI60" i="56"/>
  <c r="BH60" i="56"/>
  <c r="BF60" i="56"/>
  <c r="BG60" i="56"/>
  <c r="BH61" i="55"/>
  <c r="BG61" i="55"/>
  <c r="BF61" i="55"/>
  <c r="BI61" i="55"/>
  <c r="BD62" i="55"/>
  <c r="BC63" i="55"/>
  <c r="BD63" i="55" s="1"/>
  <c r="BD60" i="54"/>
  <c r="BC61" i="54"/>
  <c r="BI59" i="54"/>
  <c r="BH59" i="54"/>
  <c r="BF59" i="54"/>
  <c r="BG59" i="54"/>
  <c r="BF52" i="52"/>
  <c r="BH52" i="52"/>
  <c r="BI52" i="52"/>
  <c r="BG52" i="52"/>
  <c r="BC54" i="52"/>
  <c r="BD53" i="52"/>
  <c r="BF53" i="51"/>
  <c r="BG53" i="51"/>
  <c r="BI53" i="51"/>
  <c r="BH53" i="51"/>
  <c r="BC55" i="51"/>
  <c r="BD54" i="51"/>
  <c r="BC52" i="50"/>
  <c r="BD51" i="50"/>
  <c r="BF50" i="50"/>
  <c r="BH50" i="50"/>
  <c r="BI50" i="50"/>
  <c r="BG50" i="50"/>
  <c r="BD54" i="49"/>
  <c r="BC55" i="49"/>
  <c r="BI53" i="49"/>
  <c r="BH53" i="49"/>
  <c r="BG53" i="49"/>
  <c r="BF53" i="49"/>
  <c r="BG48" i="43"/>
  <c r="BI48" i="43"/>
  <c r="BH48" i="43"/>
  <c r="BF48" i="43"/>
  <c r="BD49" i="43"/>
  <c r="BC50" i="43"/>
  <c r="BG48" i="40"/>
  <c r="BF48" i="40"/>
  <c r="BH48" i="40"/>
  <c r="BI48" i="40"/>
  <c r="BD49" i="40"/>
  <c r="BC50" i="40"/>
  <c r="BD48" i="34"/>
  <c r="BC49" i="34"/>
  <c r="BI47" i="34"/>
  <c r="BG47" i="34"/>
  <c r="BH47" i="34"/>
  <c r="BF47" i="34"/>
  <c r="BG48" i="45"/>
  <c r="BF48" i="45"/>
  <c r="BH48" i="45"/>
  <c r="BI48" i="45"/>
  <c r="BD49" i="45"/>
  <c r="BC50" i="45"/>
  <c r="BG48" i="46"/>
  <c r="BI48" i="46"/>
  <c r="BH48" i="46"/>
  <c r="BF48" i="46"/>
  <c r="BD49" i="46"/>
  <c r="BC50" i="46"/>
  <c r="BG47" i="47"/>
  <c r="BH47" i="47"/>
  <c r="BI47" i="47"/>
  <c r="BF47" i="47"/>
  <c r="BC49" i="47"/>
  <c r="BD49" i="47" s="1"/>
  <c r="BC63" i="56" l="1"/>
  <c r="BD63" i="56" s="1"/>
  <c r="BD62" i="56"/>
  <c r="BF61" i="56"/>
  <c r="BI61" i="56"/>
  <c r="BH61" i="56"/>
  <c r="BG61" i="56"/>
  <c r="BF63" i="55"/>
  <c r="BI63" i="55"/>
  <c r="BH63" i="55"/>
  <c r="BG63" i="55"/>
  <c r="BI62" i="55"/>
  <c r="BH62" i="55"/>
  <c r="BG62" i="55"/>
  <c r="BF62" i="55"/>
  <c r="BC62" i="54"/>
  <c r="BD61" i="54"/>
  <c r="BF60" i="54"/>
  <c r="BI60" i="54"/>
  <c r="BG60" i="54"/>
  <c r="BH60" i="54"/>
  <c r="BG53" i="52"/>
  <c r="BI53" i="52"/>
  <c r="BF53" i="52"/>
  <c r="BH53" i="52"/>
  <c r="BC55" i="52"/>
  <c r="BD54" i="52"/>
  <c r="BG54" i="51"/>
  <c r="BI54" i="51"/>
  <c r="BF54" i="51"/>
  <c r="BH54" i="51"/>
  <c r="BD55" i="51"/>
  <c r="BC56" i="51"/>
  <c r="BG51" i="50"/>
  <c r="BF51" i="50"/>
  <c r="BI51" i="50"/>
  <c r="BH51" i="50"/>
  <c r="BC53" i="50"/>
  <c r="BD52" i="50"/>
  <c r="BC56" i="49"/>
  <c r="BD55" i="49"/>
  <c r="BF54" i="49"/>
  <c r="BI54" i="49"/>
  <c r="BH54" i="49"/>
  <c r="BG54" i="49"/>
  <c r="BI49" i="43"/>
  <c r="BH49" i="43"/>
  <c r="BG49" i="43"/>
  <c r="BF49" i="43"/>
  <c r="BD50" i="43"/>
  <c r="BC51" i="43"/>
  <c r="BC51" i="40"/>
  <c r="BD50" i="40"/>
  <c r="BI49" i="40"/>
  <c r="BH49" i="40"/>
  <c r="BF49" i="40"/>
  <c r="BG49" i="40"/>
  <c r="BD49" i="34"/>
  <c r="BC50" i="34"/>
  <c r="BG48" i="34"/>
  <c r="BI48" i="34"/>
  <c r="BH48" i="34"/>
  <c r="BF48" i="34"/>
  <c r="BC51" i="45"/>
  <c r="BD50" i="45"/>
  <c r="BI49" i="45"/>
  <c r="BG49" i="45"/>
  <c r="BH49" i="45"/>
  <c r="BF49" i="45"/>
  <c r="BD50" i="46"/>
  <c r="BC51" i="46"/>
  <c r="BI49" i="46"/>
  <c r="BH49" i="46"/>
  <c r="BG49" i="46"/>
  <c r="BF49" i="46"/>
  <c r="BC50" i="47"/>
  <c r="BD50" i="47" s="1"/>
  <c r="BH48" i="47"/>
  <c r="BI48" i="47"/>
  <c r="BF48" i="47"/>
  <c r="BG48" i="47"/>
  <c r="BG62" i="56" l="1"/>
  <c r="BF62" i="56"/>
  <c r="BI62" i="56"/>
  <c r="BH62" i="56"/>
  <c r="BF63" i="56"/>
  <c r="BI63" i="56"/>
  <c r="BH63" i="56"/>
  <c r="BG63" i="56"/>
  <c r="BG61" i="54"/>
  <c r="BF61" i="54"/>
  <c r="BH61" i="54"/>
  <c r="BI61" i="54"/>
  <c r="BC63" i="54"/>
  <c r="BD63" i="54" s="1"/>
  <c r="BD62" i="54"/>
  <c r="BH54" i="52"/>
  <c r="BF54" i="52"/>
  <c r="BI54" i="52"/>
  <c r="BG54" i="52"/>
  <c r="BD55" i="52"/>
  <c r="BC56" i="52"/>
  <c r="BC57" i="51"/>
  <c r="BD56" i="51"/>
  <c r="BH55" i="51"/>
  <c r="BG55" i="51"/>
  <c r="BI55" i="51"/>
  <c r="BF55" i="51"/>
  <c r="BH52" i="50"/>
  <c r="BF52" i="50"/>
  <c r="BG52" i="50"/>
  <c r="BI52" i="50"/>
  <c r="BD53" i="50"/>
  <c r="BC54" i="50"/>
  <c r="BG55" i="49"/>
  <c r="BF55" i="49"/>
  <c r="BH55" i="49"/>
  <c r="BI55" i="49"/>
  <c r="BC57" i="49"/>
  <c r="BD56" i="49"/>
  <c r="BD51" i="43"/>
  <c r="BC52" i="43"/>
  <c r="BG50" i="43"/>
  <c r="BI50" i="43"/>
  <c r="BF50" i="43"/>
  <c r="BH50" i="43"/>
  <c r="BG50" i="40"/>
  <c r="BF50" i="40"/>
  <c r="BI50" i="40"/>
  <c r="BH50" i="40"/>
  <c r="BD51" i="40"/>
  <c r="BC52" i="40"/>
  <c r="BC51" i="34"/>
  <c r="BD50" i="34"/>
  <c r="BI49" i="34"/>
  <c r="BF49" i="34"/>
  <c r="BG49" i="34"/>
  <c r="BH49" i="34"/>
  <c r="BG50" i="45"/>
  <c r="BH50" i="45"/>
  <c r="BI50" i="45"/>
  <c r="BF50" i="45"/>
  <c r="BD51" i="45"/>
  <c r="BC52" i="45"/>
  <c r="BD51" i="46"/>
  <c r="BC52" i="46"/>
  <c r="BG50" i="46"/>
  <c r="BI50" i="46"/>
  <c r="BF50" i="46"/>
  <c r="BH50" i="46"/>
  <c r="BC51" i="47"/>
  <c r="BD51" i="47" s="1"/>
  <c r="BI49" i="47"/>
  <c r="BF49" i="47"/>
  <c r="BH49" i="47"/>
  <c r="BG49" i="47"/>
  <c r="BH62" i="54" l="1"/>
  <c r="BG62" i="54"/>
  <c r="BF62" i="54"/>
  <c r="BI62" i="54"/>
  <c r="BI63" i="54"/>
  <c r="BH63" i="54"/>
  <c r="BG63" i="54"/>
  <c r="BF63" i="54"/>
  <c r="BC57" i="52"/>
  <c r="BD56" i="52"/>
  <c r="BI55" i="52"/>
  <c r="BG55" i="52"/>
  <c r="BF55" i="52"/>
  <c r="BH55" i="52"/>
  <c r="BI56" i="51"/>
  <c r="BG56" i="51"/>
  <c r="BF56" i="51"/>
  <c r="BH56" i="51"/>
  <c r="BD57" i="51"/>
  <c r="BC58" i="51"/>
  <c r="BD54" i="50"/>
  <c r="BC55" i="50"/>
  <c r="BI53" i="50"/>
  <c r="BH53" i="50"/>
  <c r="BG53" i="50"/>
  <c r="BF53" i="50"/>
  <c r="BH56" i="49"/>
  <c r="BG56" i="49"/>
  <c r="BI56" i="49"/>
  <c r="BF56" i="49"/>
  <c r="BD57" i="49"/>
  <c r="BC58" i="49"/>
  <c r="BD52" i="43"/>
  <c r="BC53" i="43"/>
  <c r="BI51" i="43"/>
  <c r="BF51" i="43"/>
  <c r="BH51" i="43"/>
  <c r="BG51" i="43"/>
  <c r="BC53" i="40"/>
  <c r="BD52" i="40"/>
  <c r="BI51" i="40"/>
  <c r="BH51" i="40"/>
  <c r="BF51" i="40"/>
  <c r="BG51" i="40"/>
  <c r="BG50" i="34"/>
  <c r="BF50" i="34"/>
  <c r="BI50" i="34"/>
  <c r="BH50" i="34"/>
  <c r="BD51" i="34"/>
  <c r="BC52" i="34"/>
  <c r="BC53" i="45"/>
  <c r="BD52" i="45"/>
  <c r="BI51" i="45"/>
  <c r="BH51" i="45"/>
  <c r="BG51" i="45"/>
  <c r="BF51" i="45"/>
  <c r="BC53" i="46"/>
  <c r="BD52" i="46"/>
  <c r="BI51" i="46"/>
  <c r="BF51" i="46"/>
  <c r="BG51" i="46"/>
  <c r="BH51" i="46"/>
  <c r="BF50" i="47"/>
  <c r="BG50" i="47"/>
  <c r="BH50" i="47"/>
  <c r="BI50" i="47"/>
  <c r="BC52" i="47"/>
  <c r="BD52" i="47" s="1"/>
  <c r="BF56" i="52" l="1"/>
  <c r="BH56" i="52"/>
  <c r="BI56" i="52"/>
  <c r="BG56" i="52"/>
  <c r="BC58" i="52"/>
  <c r="BD57" i="52"/>
  <c r="BH57" i="51"/>
  <c r="BF57" i="51"/>
  <c r="BI57" i="51"/>
  <c r="BG57" i="51"/>
  <c r="BD58" i="51"/>
  <c r="BC59" i="51"/>
  <c r="BC56" i="50"/>
  <c r="BD55" i="50"/>
  <c r="BF54" i="50"/>
  <c r="BH54" i="50"/>
  <c r="BI54" i="50"/>
  <c r="BG54" i="50"/>
  <c r="BD58" i="49"/>
  <c r="BC59" i="49"/>
  <c r="BI57" i="49"/>
  <c r="BH57" i="49"/>
  <c r="BF57" i="49"/>
  <c r="BG57" i="49"/>
  <c r="BD53" i="43"/>
  <c r="BC54" i="43"/>
  <c r="BG52" i="43"/>
  <c r="BF52" i="43"/>
  <c r="BH52" i="43"/>
  <c r="BI52" i="43"/>
  <c r="BG52" i="40"/>
  <c r="BF52" i="40"/>
  <c r="BI52" i="40"/>
  <c r="BH52" i="40"/>
  <c r="BD53" i="40"/>
  <c r="BC54" i="40"/>
  <c r="BC53" i="34"/>
  <c r="BD52" i="34"/>
  <c r="BI51" i="34"/>
  <c r="BG51" i="34"/>
  <c r="BF51" i="34"/>
  <c r="BH51" i="34"/>
  <c r="BG52" i="45"/>
  <c r="BI52" i="45"/>
  <c r="BH52" i="45"/>
  <c r="BF52" i="45"/>
  <c r="BD53" i="45"/>
  <c r="BC54" i="45"/>
  <c r="BG52" i="46"/>
  <c r="BH52" i="46"/>
  <c r="BI52" i="46"/>
  <c r="BF52" i="46"/>
  <c r="BD53" i="46"/>
  <c r="BC54" i="46"/>
  <c r="BG51" i="47"/>
  <c r="BH51" i="47"/>
  <c r="BI51" i="47"/>
  <c r="BF51" i="47"/>
  <c r="BC53" i="47"/>
  <c r="BD53" i="47" s="1"/>
  <c r="BG57" i="52" l="1"/>
  <c r="BI57" i="52"/>
  <c r="BF57" i="52"/>
  <c r="BH57" i="52"/>
  <c r="BC59" i="52"/>
  <c r="BD58" i="52"/>
  <c r="BI58" i="51"/>
  <c r="BG58" i="51"/>
  <c r="BF58" i="51"/>
  <c r="BH58" i="51"/>
  <c r="BD59" i="51"/>
  <c r="BC60" i="51"/>
  <c r="BG55" i="50"/>
  <c r="BI55" i="50"/>
  <c r="BF55" i="50"/>
  <c r="BH55" i="50"/>
  <c r="BC57" i="50"/>
  <c r="BD56" i="50"/>
  <c r="BC60" i="49"/>
  <c r="BD59" i="49"/>
  <c r="BF58" i="49"/>
  <c r="BI58" i="49"/>
  <c r="BH58" i="49"/>
  <c r="BG58" i="49"/>
  <c r="BD54" i="43"/>
  <c r="BC55" i="43"/>
  <c r="BI53" i="43"/>
  <c r="BG53" i="43"/>
  <c r="BF53" i="43"/>
  <c r="BH53" i="43"/>
  <c r="BC55" i="40"/>
  <c r="BD54" i="40"/>
  <c r="BI53" i="40"/>
  <c r="BH53" i="40"/>
  <c r="BF53" i="40"/>
  <c r="BG53" i="40"/>
  <c r="BG52" i="34"/>
  <c r="BH52" i="34"/>
  <c r="BI52" i="34"/>
  <c r="BF52" i="34"/>
  <c r="BD53" i="34"/>
  <c r="BC54" i="34"/>
  <c r="BD54" i="45"/>
  <c r="BC55" i="45"/>
  <c r="BI53" i="45"/>
  <c r="BF53" i="45"/>
  <c r="BH53" i="45"/>
  <c r="BG53" i="45"/>
  <c r="BD54" i="46"/>
  <c r="BC55" i="46"/>
  <c r="BI53" i="46"/>
  <c r="BF53" i="46"/>
  <c r="BG53" i="46"/>
  <c r="BH53" i="46"/>
  <c r="BC54" i="47"/>
  <c r="BD54" i="47" s="1"/>
  <c r="BH52" i="47"/>
  <c r="BI52" i="47"/>
  <c r="BF52" i="47"/>
  <c r="BG52" i="47"/>
  <c r="BH58" i="52" l="1"/>
  <c r="BF58" i="52"/>
  <c r="BI58" i="52"/>
  <c r="BG58" i="52"/>
  <c r="BC60" i="52"/>
  <c r="BD59" i="52"/>
  <c r="BG59" i="51"/>
  <c r="BI59" i="51"/>
  <c r="BH59" i="51"/>
  <c r="BF59" i="51"/>
  <c r="BD60" i="51"/>
  <c r="BC61" i="51"/>
  <c r="BH56" i="50"/>
  <c r="BG56" i="50"/>
  <c r="BF56" i="50"/>
  <c r="BI56" i="50"/>
  <c r="BD57" i="50"/>
  <c r="BC58" i="50"/>
  <c r="BG59" i="49"/>
  <c r="BF59" i="49"/>
  <c r="BI59" i="49"/>
  <c r="BH59" i="49"/>
  <c r="BD60" i="49"/>
  <c r="BC61" i="49"/>
  <c r="BD55" i="43"/>
  <c r="BC56" i="43"/>
  <c r="BG54" i="43"/>
  <c r="BH54" i="43"/>
  <c r="BF54" i="43"/>
  <c r="BI54" i="43"/>
  <c r="BG54" i="40"/>
  <c r="BF54" i="40"/>
  <c r="BI54" i="40"/>
  <c r="BH54" i="40"/>
  <c r="BD55" i="40"/>
  <c r="BC56" i="40"/>
  <c r="BD54" i="34"/>
  <c r="BC55" i="34"/>
  <c r="BI53" i="34"/>
  <c r="BF53" i="34"/>
  <c r="BG53" i="34"/>
  <c r="BH53" i="34"/>
  <c r="BD55" i="45"/>
  <c r="BC56" i="45"/>
  <c r="BG54" i="45"/>
  <c r="BF54" i="45"/>
  <c r="BH54" i="45"/>
  <c r="BI54" i="45"/>
  <c r="BD55" i="46"/>
  <c r="BC56" i="46"/>
  <c r="BG54" i="46"/>
  <c r="BH54" i="46"/>
  <c r="BI54" i="46"/>
  <c r="BF54" i="46"/>
  <c r="BC55" i="47"/>
  <c r="BD55" i="47" s="1"/>
  <c r="BI53" i="47"/>
  <c r="BF53" i="47"/>
  <c r="BH53" i="47"/>
  <c r="BG53" i="47"/>
  <c r="BF59" i="52" l="1"/>
  <c r="BH59" i="52"/>
  <c r="BI59" i="52"/>
  <c r="BG59" i="52"/>
  <c r="BC61" i="52"/>
  <c r="BD60" i="52"/>
  <c r="BI60" i="51"/>
  <c r="BG60" i="51"/>
  <c r="BF60" i="51"/>
  <c r="BH60" i="51"/>
  <c r="BC62" i="51"/>
  <c r="BD61" i="51"/>
  <c r="BD58" i="50"/>
  <c r="BC59" i="50"/>
  <c r="BI57" i="50"/>
  <c r="BH57" i="50"/>
  <c r="BG57" i="50"/>
  <c r="BF57" i="50"/>
  <c r="BC62" i="49"/>
  <c r="BD61" i="49"/>
  <c r="BI60" i="49"/>
  <c r="BH60" i="49"/>
  <c r="BF60" i="49"/>
  <c r="BG60" i="49"/>
  <c r="BC57" i="43"/>
  <c r="BD56" i="43"/>
  <c r="BI55" i="43"/>
  <c r="BH55" i="43"/>
  <c r="BG55" i="43"/>
  <c r="BF55" i="43"/>
  <c r="BI55" i="40"/>
  <c r="BH55" i="40"/>
  <c r="BG55" i="40"/>
  <c r="BF55" i="40"/>
  <c r="BC57" i="40"/>
  <c r="BD56" i="40"/>
  <c r="BD55" i="34"/>
  <c r="BC56" i="34"/>
  <c r="BG54" i="34"/>
  <c r="BH54" i="34"/>
  <c r="BI54" i="34"/>
  <c r="BF54" i="34"/>
  <c r="BD56" i="45"/>
  <c r="BC57" i="45"/>
  <c r="BI55" i="45"/>
  <c r="BF55" i="45"/>
  <c r="BG55" i="45"/>
  <c r="BH55" i="45"/>
  <c r="BD56" i="46"/>
  <c r="BC57" i="46"/>
  <c r="BI55" i="46"/>
  <c r="BF55" i="46"/>
  <c r="BH55" i="46"/>
  <c r="BG55" i="46"/>
  <c r="BF54" i="47"/>
  <c r="BG54" i="47"/>
  <c r="BH54" i="47"/>
  <c r="BI54" i="47"/>
  <c r="BC56" i="47"/>
  <c r="BD56" i="47" s="1"/>
  <c r="BH60" i="52" l="1"/>
  <c r="BF60" i="52"/>
  <c r="BI60" i="52"/>
  <c r="BG60" i="52"/>
  <c r="BC62" i="52"/>
  <c r="BD61" i="52"/>
  <c r="BG61" i="51"/>
  <c r="BI61" i="51"/>
  <c r="BH61" i="51"/>
  <c r="BF61" i="51"/>
  <c r="BC63" i="51"/>
  <c r="BD63" i="51" s="1"/>
  <c r="BD62" i="51"/>
  <c r="BC60" i="50"/>
  <c r="BD59" i="50"/>
  <c r="BF58" i="50"/>
  <c r="BH58" i="50"/>
  <c r="BI58" i="50"/>
  <c r="BG58" i="50"/>
  <c r="BG61" i="49"/>
  <c r="BF61" i="49"/>
  <c r="BH61" i="49"/>
  <c r="BI61" i="49"/>
  <c r="BC63" i="49"/>
  <c r="BD63" i="49" s="1"/>
  <c r="BD62" i="49"/>
  <c r="BG56" i="43"/>
  <c r="BI56" i="43"/>
  <c r="BH56" i="43"/>
  <c r="BF56" i="43"/>
  <c r="BD57" i="43"/>
  <c r="BC58" i="43"/>
  <c r="BG56" i="40"/>
  <c r="BF56" i="40"/>
  <c r="BH56" i="40"/>
  <c r="BI56" i="40"/>
  <c r="BD57" i="40"/>
  <c r="BC58" i="40"/>
  <c r="BD56" i="34"/>
  <c r="BC57" i="34"/>
  <c r="BI55" i="34"/>
  <c r="BF55" i="34"/>
  <c r="BH55" i="34"/>
  <c r="BG55" i="34"/>
  <c r="BD57" i="45"/>
  <c r="BC58" i="45"/>
  <c r="BG56" i="45"/>
  <c r="BF56" i="45"/>
  <c r="BH56" i="45"/>
  <c r="BI56" i="45"/>
  <c r="BD57" i="46"/>
  <c r="BC58" i="46"/>
  <c r="BG56" i="46"/>
  <c r="BH56" i="46"/>
  <c r="BF56" i="46"/>
  <c r="BI56" i="46"/>
  <c r="BG55" i="47"/>
  <c r="BH55" i="47"/>
  <c r="BI55" i="47"/>
  <c r="BF55" i="47"/>
  <c r="BC57" i="47"/>
  <c r="BD57" i="47" s="1"/>
  <c r="BF61" i="52" l="1"/>
  <c r="BH61" i="52"/>
  <c r="BI61" i="52"/>
  <c r="BG61" i="52"/>
  <c r="BC63" i="52"/>
  <c r="BD63" i="52" s="1"/>
  <c r="BD62" i="52"/>
  <c r="BH62" i="51"/>
  <c r="BF62" i="51"/>
  <c r="BG62" i="51"/>
  <c r="BI62" i="51"/>
  <c r="BI63" i="51"/>
  <c r="BG63" i="51"/>
  <c r="BH63" i="51"/>
  <c r="BF63" i="51"/>
  <c r="BG59" i="50"/>
  <c r="BF59" i="50"/>
  <c r="BI59" i="50"/>
  <c r="BH59" i="50"/>
  <c r="BD60" i="50"/>
  <c r="BC61" i="50"/>
  <c r="BH62" i="49"/>
  <c r="BG62" i="49"/>
  <c r="BI62" i="49"/>
  <c r="BF62" i="49"/>
  <c r="BI63" i="49"/>
  <c r="BH63" i="49"/>
  <c r="BF63" i="49"/>
  <c r="BG63" i="49"/>
  <c r="BD58" i="43"/>
  <c r="BC59" i="43"/>
  <c r="BI57" i="43"/>
  <c r="BH57" i="43"/>
  <c r="BG57" i="43"/>
  <c r="BF57" i="43"/>
  <c r="BI57" i="40"/>
  <c r="BH57" i="40"/>
  <c r="BF57" i="40"/>
  <c r="BG57" i="40"/>
  <c r="BC59" i="40"/>
  <c r="BD58" i="40"/>
  <c r="BD57" i="34"/>
  <c r="BC58" i="34"/>
  <c r="BG56" i="34"/>
  <c r="BH56" i="34"/>
  <c r="BF56" i="34"/>
  <c r="BI56" i="34"/>
  <c r="BC59" i="45"/>
  <c r="BD58" i="45"/>
  <c r="BI57" i="45"/>
  <c r="BG57" i="45"/>
  <c r="BH57" i="45"/>
  <c r="BF57" i="45"/>
  <c r="BC59" i="46"/>
  <c r="BD58" i="46"/>
  <c r="BI57" i="46"/>
  <c r="BF57" i="46"/>
  <c r="BH57" i="46"/>
  <c r="BG57" i="46"/>
  <c r="BC58" i="47"/>
  <c r="BD58" i="47" s="1"/>
  <c r="BH56" i="47"/>
  <c r="BI56" i="47"/>
  <c r="BF56" i="47"/>
  <c r="BG56" i="47"/>
  <c r="BG62" i="52" l="1"/>
  <c r="BI62" i="52"/>
  <c r="BF62" i="52"/>
  <c r="BH62" i="52"/>
  <c r="BH63" i="52"/>
  <c r="BF63" i="52"/>
  <c r="BI63" i="52"/>
  <c r="BG63" i="52"/>
  <c r="BC62" i="50"/>
  <c r="BD61" i="50"/>
  <c r="BI60" i="50"/>
  <c r="BH60" i="50"/>
  <c r="BG60" i="50"/>
  <c r="BF60" i="50"/>
  <c r="BD59" i="43"/>
  <c r="BC60" i="43"/>
  <c r="BG58" i="43"/>
  <c r="BI58" i="43"/>
  <c r="BH58" i="43"/>
  <c r="BF58" i="43"/>
  <c r="BG58" i="40"/>
  <c r="BF58" i="40"/>
  <c r="BH58" i="40"/>
  <c r="BI58" i="40"/>
  <c r="BD59" i="40"/>
  <c r="BC60" i="40"/>
  <c r="BC59" i="34"/>
  <c r="BD58" i="34"/>
  <c r="BI57" i="34"/>
  <c r="BF57" i="34"/>
  <c r="BG57" i="34"/>
  <c r="BH57" i="34"/>
  <c r="BG58" i="45"/>
  <c r="BH58" i="45"/>
  <c r="BI58" i="45"/>
  <c r="BF58" i="45"/>
  <c r="BD59" i="45"/>
  <c r="BC60" i="45"/>
  <c r="BG58" i="46"/>
  <c r="BH58" i="46"/>
  <c r="BF58" i="46"/>
  <c r="BI58" i="46"/>
  <c r="BD59" i="46"/>
  <c r="BC60" i="46"/>
  <c r="BC59" i="47"/>
  <c r="BD59" i="47" s="1"/>
  <c r="BI57" i="47"/>
  <c r="BF57" i="47"/>
  <c r="BH57" i="47"/>
  <c r="BG57" i="47"/>
  <c r="BG61" i="50" l="1"/>
  <c r="BF61" i="50"/>
  <c r="BI61" i="50"/>
  <c r="BH61" i="50"/>
  <c r="BC63" i="50"/>
  <c r="BD63" i="50" s="1"/>
  <c r="BD62" i="50"/>
  <c r="BD60" i="43"/>
  <c r="BC61" i="43"/>
  <c r="BI59" i="43"/>
  <c r="BF59" i="43"/>
  <c r="BH59" i="43"/>
  <c r="BG59" i="43"/>
  <c r="BC61" i="40"/>
  <c r="BD60" i="40"/>
  <c r="BI59" i="40"/>
  <c r="BH59" i="40"/>
  <c r="BF59" i="40"/>
  <c r="BG59" i="40"/>
  <c r="BG58" i="34"/>
  <c r="BH58" i="34"/>
  <c r="BF58" i="34"/>
  <c r="BI58" i="34"/>
  <c r="BD59" i="34"/>
  <c r="BC60" i="34"/>
  <c r="BC61" i="45"/>
  <c r="BD60" i="45"/>
  <c r="BI59" i="45"/>
  <c r="BH59" i="45"/>
  <c r="BF59" i="45"/>
  <c r="BG59" i="45"/>
  <c r="BI59" i="46"/>
  <c r="BF59" i="46"/>
  <c r="BH59" i="46"/>
  <c r="BG59" i="46"/>
  <c r="BC61" i="46"/>
  <c r="BD60" i="46"/>
  <c r="BF58" i="47"/>
  <c r="BG58" i="47"/>
  <c r="BH58" i="47"/>
  <c r="BI58" i="47"/>
  <c r="BC60" i="47"/>
  <c r="BD60" i="47" s="1"/>
  <c r="BH62" i="50" l="1"/>
  <c r="BF62" i="50"/>
  <c r="BG62" i="50"/>
  <c r="BI62" i="50"/>
  <c r="BI63" i="50"/>
  <c r="BG63" i="50"/>
  <c r="BH63" i="50"/>
  <c r="BF63" i="50"/>
  <c r="BD61" i="43"/>
  <c r="BC62" i="43"/>
  <c r="BG60" i="43"/>
  <c r="BF60" i="43"/>
  <c r="BH60" i="43"/>
  <c r="BI60" i="43"/>
  <c r="BG60" i="40"/>
  <c r="BF60" i="40"/>
  <c r="BI60" i="40"/>
  <c r="BH60" i="40"/>
  <c r="BD61" i="40"/>
  <c r="BC62" i="40"/>
  <c r="BC61" i="34"/>
  <c r="BD60" i="34"/>
  <c r="BI59" i="34"/>
  <c r="BF59" i="34"/>
  <c r="BG59" i="34"/>
  <c r="BH59" i="34"/>
  <c r="BG60" i="45"/>
  <c r="BF60" i="45"/>
  <c r="BI60" i="45"/>
  <c r="BH60" i="45"/>
  <c r="BD61" i="45"/>
  <c r="BC62" i="45"/>
  <c r="BG60" i="46"/>
  <c r="BH60" i="46"/>
  <c r="BI60" i="46"/>
  <c r="BF60" i="46"/>
  <c r="BD61" i="46"/>
  <c r="BC62" i="46"/>
  <c r="BG59" i="47"/>
  <c r="BH59" i="47"/>
  <c r="BI59" i="47"/>
  <c r="BF59" i="47"/>
  <c r="BC61" i="47"/>
  <c r="BD61" i="47" s="1"/>
  <c r="BD62" i="43" l="1"/>
  <c r="BC63" i="43"/>
  <c r="BD63" i="43" s="1"/>
  <c r="BI61" i="43"/>
  <c r="BG61" i="43"/>
  <c r="BF61" i="43"/>
  <c r="BH61" i="43"/>
  <c r="BC63" i="40"/>
  <c r="BD63" i="40" s="1"/>
  <c r="BD62" i="40"/>
  <c r="BI61" i="40"/>
  <c r="BH61" i="40"/>
  <c r="BF61" i="40"/>
  <c r="BG61" i="40"/>
  <c r="BG60" i="34"/>
  <c r="BH60" i="34"/>
  <c r="BI60" i="34"/>
  <c r="BF60" i="34"/>
  <c r="BD61" i="34"/>
  <c r="BC62" i="34"/>
  <c r="BC63" i="45"/>
  <c r="BD63" i="45" s="1"/>
  <c r="BD62" i="45"/>
  <c r="BI61" i="45"/>
  <c r="BH61" i="45"/>
  <c r="BF61" i="45"/>
  <c r="BG61" i="45"/>
  <c r="BC63" i="46"/>
  <c r="BD63" i="46" s="1"/>
  <c r="BD62" i="46"/>
  <c r="BI61" i="46"/>
  <c r="BF61" i="46"/>
  <c r="BG61" i="46"/>
  <c r="BH61" i="46"/>
  <c r="BC62" i="47"/>
  <c r="BD62" i="47" s="1"/>
  <c r="BI60" i="47"/>
  <c r="BF60" i="47"/>
  <c r="BG60" i="47"/>
  <c r="BH60" i="47"/>
  <c r="BI63" i="43" l="1"/>
  <c r="BH63" i="43"/>
  <c r="BG63" i="43"/>
  <c r="BF63" i="43"/>
  <c r="BG62" i="43"/>
  <c r="BH62" i="43"/>
  <c r="BF62" i="43"/>
  <c r="BI62" i="43"/>
  <c r="BG62" i="40"/>
  <c r="BF62" i="40"/>
  <c r="BH62" i="40"/>
  <c r="BI62" i="40"/>
  <c r="BI63" i="40"/>
  <c r="BH63" i="40"/>
  <c r="BG63" i="40"/>
  <c r="BF63" i="40"/>
  <c r="BD62" i="34"/>
  <c r="BC63" i="34"/>
  <c r="BD63" i="34" s="1"/>
  <c r="BI61" i="34"/>
  <c r="BF61" i="34"/>
  <c r="BG61" i="34"/>
  <c r="BH61" i="34"/>
  <c r="BG62" i="45"/>
  <c r="BF62" i="45"/>
  <c r="BH62" i="45"/>
  <c r="BI62" i="45"/>
  <c r="BI63" i="45"/>
  <c r="BH63" i="45"/>
  <c r="BG63" i="45"/>
  <c r="BF63" i="45"/>
  <c r="BG62" i="46"/>
  <c r="BH62" i="46"/>
  <c r="BI62" i="46"/>
  <c r="BF62" i="46"/>
  <c r="BI63" i="46"/>
  <c r="BF63" i="46"/>
  <c r="BH63" i="46"/>
  <c r="BG63" i="46"/>
  <c r="BF62" i="47"/>
  <c r="BC63" i="47"/>
  <c r="BD63" i="47" s="1"/>
  <c r="BG61" i="47"/>
  <c r="BH61" i="47"/>
  <c r="BF61" i="47"/>
  <c r="BI61" i="47"/>
  <c r="BG62" i="47"/>
  <c r="BI63" i="34" l="1"/>
  <c r="BF63" i="34"/>
  <c r="BH63" i="34"/>
  <c r="BG63" i="34"/>
  <c r="BG62" i="34"/>
  <c r="BH62" i="34"/>
  <c r="BF62" i="34"/>
  <c r="BI62" i="34"/>
  <c r="BI62" i="47"/>
  <c r="BH62" i="47"/>
  <c r="BI63" i="47"/>
  <c r="BG63" i="47"/>
  <c r="BF63" i="47"/>
  <c r="BH63" i="47"/>
  <c r="AH67" i="40" l="1"/>
  <c r="AH66" i="40"/>
  <c r="AH65" i="40"/>
  <c r="AG67" i="40"/>
  <c r="AG66" i="40"/>
  <c r="AG65" i="40"/>
  <c r="AF67" i="40" l="1"/>
  <c r="AF66" i="40"/>
  <c r="AF65" i="40"/>
  <c r="G61" i="40"/>
  <c r="G60" i="40"/>
  <c r="L16" i="40" a="1"/>
  <c r="L16" i="40" s="1"/>
  <c r="L13" i="40"/>
  <c r="L12" i="40"/>
  <c r="L11" i="40"/>
  <c r="L10" i="40"/>
  <c r="L9" i="40"/>
  <c r="L8" i="40"/>
  <c r="AF7" i="40"/>
  <c r="AF8" i="40" s="1"/>
  <c r="AF9" i="40" s="1"/>
  <c r="AF10" i="40" s="1"/>
  <c r="AF11" i="40" s="1"/>
  <c r="AF12" i="40" s="1"/>
  <c r="AF13" i="40" s="1"/>
  <c r="AF14" i="40" s="1"/>
  <c r="AF15" i="40" s="1"/>
  <c r="AF16" i="40" s="1"/>
  <c r="AF17" i="40" s="1"/>
  <c r="AF18" i="40" s="1"/>
  <c r="AF19" i="40" s="1"/>
  <c r="AF20" i="40" s="1"/>
  <c r="AF21" i="40" s="1"/>
  <c r="AF22" i="40" s="1"/>
  <c r="AF23" i="40" s="1"/>
  <c r="AF24" i="40" s="1"/>
  <c r="AF25" i="40" s="1"/>
  <c r="AF26" i="40" s="1"/>
  <c r="AF27" i="40" s="1"/>
  <c r="AF28" i="40" s="1"/>
  <c r="AF29" i="40" s="1"/>
  <c r="AF30" i="40" s="1"/>
  <c r="AF31" i="40" s="1"/>
  <c r="AF32" i="40" s="1"/>
  <c r="AF33" i="40" s="1"/>
  <c r="AF34" i="40" s="1"/>
  <c r="AF35" i="40" s="1"/>
  <c r="AF36" i="40" s="1"/>
  <c r="AF37" i="40" s="1"/>
  <c r="AF38" i="40" s="1"/>
  <c r="AF39" i="40" s="1"/>
  <c r="AF40" i="40" s="1"/>
  <c r="AF41" i="40" s="1"/>
  <c r="AF42" i="40" s="1"/>
  <c r="AF43" i="40" s="1"/>
  <c r="AF44" i="40" s="1"/>
  <c r="AF45" i="40" s="1"/>
  <c r="AF46" i="40" s="1"/>
  <c r="AF47" i="40" s="1"/>
  <c r="AF48" i="40" s="1"/>
  <c r="AF49" i="40" s="1"/>
  <c r="AF50" i="40" s="1"/>
  <c r="AF51" i="40" s="1"/>
  <c r="AF52" i="40" s="1"/>
  <c r="AF53" i="40" s="1"/>
  <c r="AF54" i="40" s="1"/>
  <c r="AF55" i="40" s="1"/>
  <c r="AF56" i="40" s="1"/>
  <c r="AF57" i="40" s="1"/>
  <c r="AF58" i="40" s="1"/>
  <c r="AF59" i="40" s="1"/>
  <c r="AF60" i="40" s="1"/>
  <c r="AF61" i="40" s="1"/>
  <c r="AF62" i="40" s="1"/>
  <c r="AF63" i="40" s="1"/>
  <c r="AF64" i="40" s="1"/>
  <c r="AK4" i="40"/>
  <c r="G3" i="40"/>
  <c r="AJ2" i="40"/>
  <c r="E2" i="40"/>
  <c r="E3" i="40" s="1"/>
  <c r="AJ39" i="40"/>
  <c r="AJ35" i="40"/>
  <c r="AJ16" i="40"/>
  <c r="AJ19" i="40"/>
  <c r="G14" i="40"/>
  <c r="AJ40" i="40"/>
  <c r="AJ15" i="40"/>
  <c r="AJ14" i="40"/>
  <c r="AJ28" i="40"/>
  <c r="AJ11" i="40"/>
  <c r="AJ61" i="40"/>
  <c r="AJ32" i="40"/>
  <c r="AJ20" i="40"/>
  <c r="AJ36" i="40"/>
  <c r="AJ24" i="40"/>
  <c r="AK2" i="40" l="1"/>
  <c r="AL4" i="40"/>
  <c r="AL2" i="40" s="1"/>
  <c r="AL61" i="40"/>
  <c r="AK61" i="40"/>
  <c r="L14" i="40"/>
  <c r="M10" i="40" s="1"/>
  <c r="AJ31" i="40"/>
  <c r="G54" i="40"/>
  <c r="G12" i="40"/>
  <c r="AJ9" i="40"/>
  <c r="G65" i="40"/>
  <c r="AJ60" i="40"/>
  <c r="G41" i="40"/>
  <c r="AJ59" i="40"/>
  <c r="AJ52" i="40"/>
  <c r="AJ8" i="40"/>
  <c r="AJ12" i="40"/>
  <c r="AK19" i="40"/>
  <c r="AJ66" i="40"/>
  <c r="G40" i="40"/>
  <c r="AJ64" i="40"/>
  <c r="AJ57" i="40"/>
  <c r="AJ34" i="40"/>
  <c r="AJ23" i="40"/>
  <c r="AJ44" i="40"/>
  <c r="AK28" i="40"/>
  <c r="AJ43" i="40"/>
  <c r="G26" i="40"/>
  <c r="AK16" i="40"/>
  <c r="G7" i="40"/>
  <c r="AL14" i="40"/>
  <c r="AJ27" i="40"/>
  <c r="G32" i="40"/>
  <c r="AJ62" i="40"/>
  <c r="G34" i="40"/>
  <c r="G52" i="40"/>
  <c r="AL24" i="40"/>
  <c r="G13" i="40"/>
  <c r="G62" i="40"/>
  <c r="G48" i="40"/>
  <c r="AJ17" i="40"/>
  <c r="AK39" i="40"/>
  <c r="G63" i="40"/>
  <c r="G44" i="40"/>
  <c r="E14" i="40"/>
  <c r="G56" i="40"/>
  <c r="AJ47" i="40"/>
  <c r="AJ41" i="40"/>
  <c r="G19" i="40"/>
  <c r="G21" i="40"/>
  <c r="G10" i="40"/>
  <c r="G18" i="40"/>
  <c r="AJ22" i="40"/>
  <c r="G45" i="40"/>
  <c r="G25" i="40"/>
  <c r="AK11" i="40"/>
  <c r="AJ30" i="40"/>
  <c r="G51" i="40"/>
  <c r="AJ48" i="40"/>
  <c r="AK14" i="40"/>
  <c r="AJ56" i="40"/>
  <c r="AJ53" i="40"/>
  <c r="G17" i="40"/>
  <c r="G43" i="40"/>
  <c r="AJ55" i="40"/>
  <c r="G33" i="40"/>
  <c r="G28" i="40"/>
  <c r="G20" i="40"/>
  <c r="AJ10" i="40"/>
  <c r="AJ42" i="40"/>
  <c r="AJ25" i="40"/>
  <c r="AJ46" i="40"/>
  <c r="G38" i="40"/>
  <c r="G46" i="40"/>
  <c r="G47" i="40"/>
  <c r="G31" i="40"/>
  <c r="G8" i="40"/>
  <c r="AJ50" i="40"/>
  <c r="G59" i="40"/>
  <c r="G58" i="40"/>
  <c r="G15" i="40"/>
  <c r="AJ49" i="40"/>
  <c r="G49" i="40"/>
  <c r="G23" i="40"/>
  <c r="G55" i="40"/>
  <c r="AK20" i="40"/>
  <c r="AJ63" i="40"/>
  <c r="AK40" i="40"/>
  <c r="AK24" i="40"/>
  <c r="AJ38" i="40"/>
  <c r="G64" i="40"/>
  <c r="AJ51" i="40"/>
  <c r="AJ33" i="40"/>
  <c r="AJ21" i="40"/>
  <c r="G30" i="40"/>
  <c r="G39" i="40"/>
  <c r="AJ65" i="40"/>
  <c r="AK32" i="40"/>
  <c r="AL28" i="40"/>
  <c r="G11" i="40"/>
  <c r="AJ54" i="40"/>
  <c r="AL39" i="40"/>
  <c r="G53" i="40"/>
  <c r="G42" i="40"/>
  <c r="AJ26" i="40"/>
  <c r="G57" i="40"/>
  <c r="AJ37" i="40"/>
  <c r="AK35" i="40"/>
  <c r="AJ45" i="40"/>
  <c r="G37" i="40"/>
  <c r="G22" i="40"/>
  <c r="AL15" i="40"/>
  <c r="G29" i="40"/>
  <c r="AJ18" i="40"/>
  <c r="G9" i="40"/>
  <c r="AK15" i="40"/>
  <c r="G36" i="40"/>
  <c r="AJ13" i="40"/>
  <c r="AL36" i="40"/>
  <c r="AL32" i="40"/>
  <c r="AJ67" i="40"/>
  <c r="AL35" i="40"/>
  <c r="AL11" i="40"/>
  <c r="AL19" i="40"/>
  <c r="AJ29" i="40"/>
  <c r="AL40" i="40"/>
  <c r="G16" i="40"/>
  <c r="AJ58" i="40"/>
  <c r="G27" i="40"/>
  <c r="G50" i="40"/>
  <c r="AL20" i="40"/>
  <c r="AK36" i="40"/>
  <c r="G35" i="40"/>
  <c r="G24" i="40"/>
  <c r="AJ7" i="40"/>
  <c r="AL16" i="40"/>
  <c r="AG61" i="40" l="1"/>
  <c r="AH61" i="40"/>
  <c r="AH32" i="40"/>
  <c r="AH28" i="40"/>
  <c r="AH11" i="40"/>
  <c r="AH24" i="40"/>
  <c r="AH20" i="40"/>
  <c r="AH35" i="40"/>
  <c r="AH19" i="40"/>
  <c r="AH14" i="40"/>
  <c r="AH36" i="40"/>
  <c r="AH16" i="40"/>
  <c r="AH15" i="40"/>
  <c r="AH40" i="40"/>
  <c r="AH39" i="40"/>
  <c r="AG32" i="40"/>
  <c r="AG28" i="40"/>
  <c r="AG11" i="40"/>
  <c r="AG24" i="40"/>
  <c r="AG20" i="40"/>
  <c r="AG35" i="40"/>
  <c r="AG19" i="40"/>
  <c r="AG14" i="40"/>
  <c r="AG36" i="40"/>
  <c r="AG16" i="40"/>
  <c r="AG15" i="40"/>
  <c r="AG40" i="40"/>
  <c r="AG39" i="40"/>
  <c r="AL60" i="40"/>
  <c r="AL66" i="40"/>
  <c r="AL67" i="40"/>
  <c r="AK60" i="40"/>
  <c r="AK66" i="40"/>
  <c r="AK67" i="40"/>
  <c r="AM61" i="40"/>
  <c r="M13" i="40"/>
  <c r="M9" i="40"/>
  <c r="AM28" i="40"/>
  <c r="AM39" i="40"/>
  <c r="AM24" i="40"/>
  <c r="AM20" i="40"/>
  <c r="AM35" i="40"/>
  <c r="AM19" i="40"/>
  <c r="AM32" i="40"/>
  <c r="AM14" i="40"/>
  <c r="AM11" i="40"/>
  <c r="AM36" i="40"/>
  <c r="AM16" i="40"/>
  <c r="AM15" i="40"/>
  <c r="AM40" i="40"/>
  <c r="M14" i="40"/>
  <c r="C79" i="40"/>
  <c r="Y14" i="40"/>
  <c r="L5" i="40"/>
  <c r="M12" i="40"/>
  <c r="M11" i="40"/>
  <c r="M8" i="40"/>
  <c r="AL27" i="40"/>
  <c r="AK17" i="40"/>
  <c r="AL64" i="40"/>
  <c r="AL33" i="40"/>
  <c r="AK43" i="40"/>
  <c r="AL45" i="40"/>
  <c r="AK58" i="40"/>
  <c r="E33" i="40"/>
  <c r="AK29" i="40"/>
  <c r="E25" i="40"/>
  <c r="E24" i="40"/>
  <c r="AL52" i="40"/>
  <c r="AL26" i="40"/>
  <c r="AK45" i="40"/>
  <c r="AL42" i="40"/>
  <c r="E45" i="40"/>
  <c r="AL55" i="40"/>
  <c r="E62" i="40"/>
  <c r="E39" i="40"/>
  <c r="AK52" i="40"/>
  <c r="AL7" i="40"/>
  <c r="AL59" i="40"/>
  <c r="AK54" i="40"/>
  <c r="E64" i="40"/>
  <c r="AL49" i="40"/>
  <c r="AK27" i="40"/>
  <c r="AK48" i="40"/>
  <c r="E22" i="40"/>
  <c r="AK47" i="40"/>
  <c r="AL54" i="40"/>
  <c r="E19" i="40"/>
  <c r="E27" i="40"/>
  <c r="AL41" i="40"/>
  <c r="E58" i="40"/>
  <c r="E28" i="40"/>
  <c r="E9" i="40"/>
  <c r="AK64" i="40"/>
  <c r="AK44" i="40"/>
  <c r="E20" i="40"/>
  <c r="AL44" i="40"/>
  <c r="AK34" i="40"/>
  <c r="E53" i="40"/>
  <c r="AK59" i="40"/>
  <c r="AK50" i="40"/>
  <c r="AK7" i="40"/>
  <c r="AK55" i="40"/>
  <c r="AL34" i="40"/>
  <c r="AK18" i="40"/>
  <c r="E30" i="40"/>
  <c r="AK49" i="40"/>
  <c r="E18" i="40"/>
  <c r="AL8" i="40"/>
  <c r="AL63" i="40"/>
  <c r="E44" i="40"/>
  <c r="AK46" i="40"/>
  <c r="E46" i="40"/>
  <c r="AL47" i="40"/>
  <c r="AK23" i="40"/>
  <c r="AK56" i="40"/>
  <c r="AL17" i="40"/>
  <c r="E38" i="40"/>
  <c r="AK65" i="40"/>
  <c r="E8" i="40"/>
  <c r="E40" i="40"/>
  <c r="AL38" i="40"/>
  <c r="AL58" i="40"/>
  <c r="AK12" i="40"/>
  <c r="E57" i="40"/>
  <c r="E10" i="40"/>
  <c r="AL48" i="40"/>
  <c r="AL65" i="40"/>
  <c r="E52" i="40"/>
  <c r="AL22" i="40"/>
  <c r="AL18" i="40"/>
  <c r="AK38" i="40"/>
  <c r="E7" i="40"/>
  <c r="E50" i="40"/>
  <c r="E55" i="40"/>
  <c r="AK31" i="40"/>
  <c r="AL23" i="40"/>
  <c r="E26" i="40"/>
  <c r="E65" i="40"/>
  <c r="E41" i="40"/>
  <c r="AK51" i="40"/>
  <c r="AK37" i="40"/>
  <c r="E42" i="40"/>
  <c r="AK30" i="40"/>
  <c r="AL30" i="40"/>
  <c r="E12" i="40"/>
  <c r="AK62" i="40"/>
  <c r="AK53" i="40"/>
  <c r="E56" i="40"/>
  <c r="AL31" i="40"/>
  <c r="AL50" i="40"/>
  <c r="E37" i="40"/>
  <c r="AK63" i="40"/>
  <c r="AK13" i="40"/>
  <c r="E16" i="40"/>
  <c r="AL62" i="40"/>
  <c r="E47" i="40"/>
  <c r="E59" i="40"/>
  <c r="AL29" i="40"/>
  <c r="E15" i="40"/>
  <c r="E63" i="40"/>
  <c r="AL51" i="40"/>
  <c r="E43" i="40"/>
  <c r="E13" i="40"/>
  <c r="AL56" i="40"/>
  <c r="E31" i="40"/>
  <c r="AK57" i="40"/>
  <c r="AL10" i="40"/>
  <c r="E11" i="40"/>
  <c r="E36" i="40"/>
  <c r="E54" i="40"/>
  <c r="E32" i="40"/>
  <c r="E51" i="40"/>
  <c r="AK26" i="40"/>
  <c r="AL25" i="40"/>
  <c r="AK42" i="40"/>
  <c r="AL9" i="40"/>
  <c r="AL37" i="40"/>
  <c r="E35" i="40"/>
  <c r="AK21" i="40"/>
  <c r="AL12" i="40"/>
  <c r="E29" i="40"/>
  <c r="AL53" i="40"/>
  <c r="AL46" i="40"/>
  <c r="AK10" i="40"/>
  <c r="E49" i="40"/>
  <c r="E21" i="40"/>
  <c r="AK41" i="40"/>
  <c r="AL43" i="40"/>
  <c r="AK9" i="40"/>
  <c r="E23" i="40"/>
  <c r="AL13" i="40"/>
  <c r="E17" i="40"/>
  <c r="E34" i="40"/>
  <c r="AL57" i="40"/>
  <c r="AK25" i="40"/>
  <c r="E48" i="40"/>
  <c r="AL21" i="40"/>
  <c r="AK22" i="40"/>
  <c r="AK8" i="40"/>
  <c r="AK33" i="40"/>
  <c r="AH31" i="40" l="1"/>
  <c r="AG31" i="40"/>
  <c r="AH23" i="40"/>
  <c r="AG23" i="40"/>
  <c r="AM31" i="40"/>
  <c r="AM23" i="40"/>
  <c r="AM27" i="40"/>
  <c r="AH27" i="40"/>
  <c r="AG27" i="40"/>
  <c r="AH60" i="40"/>
  <c r="AG60" i="40"/>
  <c r="AH9" i="40"/>
  <c r="AH58" i="40"/>
  <c r="AH52" i="40"/>
  <c r="AH50" i="40"/>
  <c r="AH33" i="40"/>
  <c r="AH49" i="40"/>
  <c r="AH22" i="40"/>
  <c r="AH54" i="40"/>
  <c r="AH37" i="40"/>
  <c r="AH48" i="40"/>
  <c r="AH59" i="40"/>
  <c r="AH26" i="40"/>
  <c r="AH42" i="40"/>
  <c r="AH17" i="40"/>
  <c r="AH25" i="40"/>
  <c r="AH45" i="40"/>
  <c r="AH18" i="40"/>
  <c r="AH38" i="40"/>
  <c r="AH10" i="40"/>
  <c r="AH46" i="40"/>
  <c r="AH44" i="40"/>
  <c r="AH51" i="40"/>
  <c r="AH8" i="40"/>
  <c r="AH12" i="40"/>
  <c r="AH53" i="40"/>
  <c r="AH47" i="40"/>
  <c r="AH21" i="40"/>
  <c r="AH57" i="40"/>
  <c r="AH41" i="40"/>
  <c r="AH34" i="40"/>
  <c r="AH55" i="40"/>
  <c r="AH13" i="40"/>
  <c r="AH56" i="40"/>
  <c r="AH43" i="40"/>
  <c r="AH29" i="40"/>
  <c r="AH30" i="40"/>
  <c r="AH62" i="40"/>
  <c r="AH63" i="40"/>
  <c r="AH64" i="40"/>
  <c r="AH7" i="40"/>
  <c r="AG9" i="40"/>
  <c r="AG58" i="40"/>
  <c r="AG52" i="40"/>
  <c r="AG50" i="40"/>
  <c r="AG33" i="40"/>
  <c r="AG49" i="40"/>
  <c r="AG7" i="40"/>
  <c r="AG22" i="40"/>
  <c r="AG54" i="40"/>
  <c r="AG37" i="40"/>
  <c r="AG48" i="40"/>
  <c r="AG59" i="40"/>
  <c r="AG26" i="40"/>
  <c r="AG42" i="40"/>
  <c r="AG17" i="40"/>
  <c r="AG25" i="40"/>
  <c r="AG45" i="40"/>
  <c r="AG18" i="40"/>
  <c r="AG38" i="40"/>
  <c r="AG10" i="40"/>
  <c r="AG46" i="40"/>
  <c r="AG44" i="40"/>
  <c r="AG51" i="40"/>
  <c r="AG8" i="40"/>
  <c r="AG12" i="40"/>
  <c r="AG53" i="40"/>
  <c r="AG47" i="40"/>
  <c r="AG21" i="40"/>
  <c r="AG57" i="40"/>
  <c r="AG41" i="40"/>
  <c r="AG34" i="40"/>
  <c r="AG55" i="40"/>
  <c r="AG13" i="40"/>
  <c r="AG56" i="40"/>
  <c r="AG43" i="40"/>
  <c r="AG29" i="40"/>
  <c r="AG30" i="40"/>
  <c r="AG62" i="40"/>
  <c r="AG63" i="40"/>
  <c r="AG64" i="40"/>
  <c r="AM66" i="40"/>
  <c r="AM60" i="40"/>
  <c r="AM67" i="40"/>
  <c r="AM53" i="40"/>
  <c r="R16" i="40" a="1"/>
  <c r="R16" i="40" s="1"/>
  <c r="U13" i="40"/>
  <c r="O13" i="40"/>
  <c r="R11" i="40"/>
  <c r="U9" i="40"/>
  <c r="O9" i="40"/>
  <c r="R10" i="40"/>
  <c r="U8" i="40"/>
  <c r="R12" i="40"/>
  <c r="O11" i="40"/>
  <c r="R13" i="40"/>
  <c r="O12" i="40"/>
  <c r="O16" i="40" a="1"/>
  <c r="O16" i="40" s="1"/>
  <c r="U16" i="40" a="1"/>
  <c r="U16" i="40" s="1"/>
  <c r="O10" i="40"/>
  <c r="O8" i="40"/>
  <c r="R9" i="40"/>
  <c r="U11" i="40"/>
  <c r="U10" i="40"/>
  <c r="R8" i="40"/>
  <c r="U12" i="40"/>
  <c r="AM10" i="40"/>
  <c r="AM13" i="40"/>
  <c r="AM21" i="40"/>
  <c r="AM52" i="40"/>
  <c r="AM51" i="40"/>
  <c r="AM50" i="40"/>
  <c r="AM33" i="40"/>
  <c r="AM49" i="40"/>
  <c r="AM7" i="40"/>
  <c r="AM38" i="40"/>
  <c r="AM55" i="40"/>
  <c r="AM58" i="40"/>
  <c r="AM37" i="40"/>
  <c r="AM48" i="40"/>
  <c r="AM43" i="40"/>
  <c r="AM42" i="40"/>
  <c r="AM45" i="40"/>
  <c r="AM18" i="40"/>
  <c r="AM47" i="40"/>
  <c r="AM54" i="40"/>
  <c r="AM64" i="40"/>
  <c r="AM44" i="40"/>
  <c r="AM25" i="40"/>
  <c r="AM62" i="40"/>
  <c r="AM8" i="40"/>
  <c r="AM12" i="40"/>
  <c r="AM17" i="40"/>
  <c r="AM9" i="40"/>
  <c r="AM22" i="40"/>
  <c r="AM57" i="40"/>
  <c r="AM41" i="40"/>
  <c r="AM34" i="40"/>
  <c r="AM65" i="40"/>
  <c r="AM63" i="40"/>
  <c r="AM46" i="40"/>
  <c r="AM56" i="40"/>
  <c r="AM59" i="40"/>
  <c r="AM26" i="40"/>
  <c r="AM29" i="40"/>
  <c r="AM30" i="40"/>
  <c r="AL31" i="7"/>
  <c r="AL11" i="7"/>
  <c r="AL21" i="7"/>
  <c r="V11" i="40" l="1"/>
  <c r="V9" i="40"/>
  <c r="S13" i="40"/>
  <c r="AA11" i="40"/>
  <c r="AA9" i="40"/>
  <c r="AA10" i="40"/>
  <c r="AA13" i="40"/>
  <c r="R14" i="40"/>
  <c r="S12" i="40" s="1"/>
  <c r="O14" i="40"/>
  <c r="P10" i="40" s="1"/>
  <c r="AA8" i="40"/>
  <c r="AA12" i="40"/>
  <c r="U14" i="40"/>
  <c r="V8" i="40" s="1"/>
  <c r="P9" i="40" l="1"/>
  <c r="P13" i="40"/>
  <c r="S11" i="40"/>
  <c r="P12" i="40"/>
  <c r="P8" i="40"/>
  <c r="V14" i="40"/>
  <c r="U5" i="40"/>
  <c r="AA14" i="40"/>
  <c r="S8" i="40"/>
  <c r="V10" i="40"/>
  <c r="O5" i="40"/>
  <c r="P14" i="40"/>
  <c r="S9" i="40"/>
  <c r="S10" i="40"/>
  <c r="P11" i="40"/>
  <c r="S14" i="40"/>
  <c r="R5" i="40"/>
  <c r="V12" i="40"/>
  <c r="V13" i="40"/>
  <c r="L16" i="34" l="1" a="1"/>
  <c r="L16" i="34" s="1"/>
  <c r="AJ2" i="34"/>
  <c r="L13" i="34" l="1"/>
  <c r="L12" i="34"/>
  <c r="L11" i="34"/>
  <c r="L10" i="34"/>
  <c r="L9" i="34"/>
  <c r="L8" i="34"/>
  <c r="E2" i="34"/>
  <c r="E3" i="34" s="1"/>
  <c r="G61" i="34"/>
  <c r="G60" i="34"/>
  <c r="G3" i="34"/>
  <c r="B7" i="38"/>
  <c r="B8" i="38" s="1"/>
  <c r="B9" i="38" s="1"/>
  <c r="B10" i="38" s="1"/>
  <c r="B11" i="38" s="1"/>
  <c r="B12" i="38" s="1"/>
  <c r="B13" i="38" s="1"/>
  <c r="B14" i="38" s="1"/>
  <c r="B15" i="38" s="1"/>
  <c r="B16" i="38" s="1"/>
  <c r="B17" i="38" s="1"/>
  <c r="B18" i="38" s="1"/>
  <c r="B19" i="38" s="1"/>
  <c r="B20" i="38" s="1"/>
  <c r="B21" i="38" s="1"/>
  <c r="B22" i="38" s="1"/>
  <c r="B23" i="38" s="1"/>
  <c r="B24" i="38" s="1"/>
  <c r="B25" i="38" s="1"/>
  <c r="B26" i="38" s="1"/>
  <c r="B27" i="38" s="1"/>
  <c r="B28" i="38" s="1"/>
  <c r="B29" i="38" s="1"/>
  <c r="B30" i="38" s="1"/>
  <c r="B31" i="38" s="1"/>
  <c r="B32" i="38" s="1"/>
  <c r="B33" i="38" s="1"/>
  <c r="B34" i="38" s="1"/>
  <c r="B35" i="38" s="1"/>
  <c r="B36" i="38" s="1"/>
  <c r="B37" i="38" s="1"/>
  <c r="B38" i="38" s="1"/>
  <c r="B39" i="38" s="1"/>
  <c r="G31" i="34"/>
  <c r="G24" i="34"/>
  <c r="G32" i="34"/>
  <c r="G17" i="34"/>
  <c r="G15" i="34"/>
  <c r="G56" i="34"/>
  <c r="G55" i="34"/>
  <c r="G8" i="34"/>
  <c r="G58" i="34"/>
  <c r="G48" i="34"/>
  <c r="G63" i="34"/>
  <c r="G30" i="34"/>
  <c r="G25" i="34"/>
  <c r="G65" i="34"/>
  <c r="G22" i="34"/>
  <c r="G49" i="34"/>
  <c r="G23" i="34"/>
  <c r="G9" i="34"/>
  <c r="B40" i="38" l="1"/>
  <c r="B41" i="38" s="1"/>
  <c r="B42" i="38" s="1"/>
  <c r="B43" i="38" s="1"/>
  <c r="B44" i="38" s="1"/>
  <c r="B45" i="38" s="1"/>
  <c r="B46" i="38" s="1"/>
  <c r="B47" i="38" s="1"/>
  <c r="B48" i="38" s="1"/>
  <c r="B49" i="38" s="1"/>
  <c r="B50" i="38" s="1"/>
  <c r="B51" i="38" s="1"/>
  <c r="B52" i="38" s="1"/>
  <c r="B53" i="38" s="1"/>
  <c r="B54" i="38" s="1"/>
  <c r="B55" i="38" s="1"/>
  <c r="B56" i="38" s="1"/>
  <c r="B57" i="38" s="1"/>
  <c r="B58" i="38" s="1"/>
  <c r="B59" i="38" s="1"/>
  <c r="B60" i="38" s="1"/>
  <c r="B61" i="38" s="1"/>
  <c r="B63" i="38" s="1"/>
  <c r="B64" i="38" s="1"/>
  <c r="B65" i="38" s="1"/>
  <c r="B66" i="38" s="1"/>
  <c r="B67" i="38" s="1"/>
  <c r="B68" i="38" s="1"/>
  <c r="G40" i="34"/>
  <c r="E56" i="34"/>
  <c r="G50" i="34"/>
  <c r="E9" i="34"/>
  <c r="G52" i="34"/>
  <c r="G14" i="34"/>
  <c r="G36" i="34"/>
  <c r="G19" i="34"/>
  <c r="G26" i="34"/>
  <c r="E23" i="34"/>
  <c r="E8" i="34"/>
  <c r="G45" i="34"/>
  <c r="G38" i="34"/>
  <c r="G11" i="34"/>
  <c r="G51" i="34"/>
  <c r="G10" i="34"/>
  <c r="E32" i="34"/>
  <c r="G44" i="34"/>
  <c r="E58" i="34"/>
  <c r="G33" i="34"/>
  <c r="E55" i="34"/>
  <c r="G12" i="34"/>
  <c r="G7" i="34"/>
  <c r="G59" i="34"/>
  <c r="E48" i="34"/>
  <c r="E65" i="34"/>
  <c r="E22" i="34"/>
  <c r="G35" i="34"/>
  <c r="E15" i="34"/>
  <c r="G64" i="34"/>
  <c r="G18" i="34"/>
  <c r="G28" i="34"/>
  <c r="E17" i="34"/>
  <c r="G20" i="34"/>
  <c r="G41" i="34"/>
  <c r="E49" i="34"/>
  <c r="G42" i="34"/>
  <c r="E24" i="34"/>
  <c r="G34" i="34"/>
  <c r="E30" i="34"/>
  <c r="G47" i="34"/>
  <c r="E63" i="34"/>
  <c r="G37" i="34"/>
  <c r="G29" i="34"/>
  <c r="G39" i="34"/>
  <c r="G57" i="34"/>
  <c r="E25" i="34"/>
  <c r="G16" i="34"/>
  <c r="G13" i="34"/>
  <c r="G62" i="34"/>
  <c r="G46" i="34"/>
  <c r="G54" i="34"/>
  <c r="G21" i="34"/>
  <c r="G27" i="34"/>
  <c r="E31" i="34"/>
  <c r="G53" i="34"/>
  <c r="G43" i="34"/>
  <c r="BL62" i="5" l="1"/>
  <c r="BK62" i="5"/>
  <c r="BJ62" i="5"/>
  <c r="BL61" i="5"/>
  <c r="BL63" i="5" s="1"/>
  <c r="BK61" i="5"/>
  <c r="BK63" i="5" s="1"/>
  <c r="BJ61" i="5"/>
  <c r="BJ63" i="5" s="1"/>
  <c r="BM57" i="5"/>
  <c r="BL57" i="5"/>
  <c r="BK57" i="5"/>
  <c r="BJ57" i="5"/>
  <c r="BM56" i="5"/>
  <c r="BL56" i="5"/>
  <c r="BK56" i="5"/>
  <c r="BJ56" i="5"/>
  <c r="BM47" i="5"/>
  <c r="BL47" i="5"/>
  <c r="BK47" i="5"/>
  <c r="BJ47" i="5"/>
  <c r="BM46" i="5"/>
  <c r="BL46" i="5"/>
  <c r="BL52" i="5" s="1"/>
  <c r="BK46" i="5"/>
  <c r="BK52" i="5" s="1"/>
  <c r="BJ46" i="5"/>
  <c r="BJ52" i="5" s="1"/>
  <c r="BM45" i="5"/>
  <c r="BL45" i="5"/>
  <c r="BK45" i="5"/>
  <c r="BJ45" i="5"/>
  <c r="BM44" i="5"/>
  <c r="BL44" i="5"/>
  <c r="BL51" i="5" s="1"/>
  <c r="BL53" i="5" s="1"/>
  <c r="BK44" i="5"/>
  <c r="BK51" i="5" s="1"/>
  <c r="BK53" i="5" s="1"/>
  <c r="BJ44" i="5"/>
  <c r="BJ51" i="5" s="1"/>
  <c r="BJ53" i="5" s="1"/>
  <c r="BM43" i="5"/>
  <c r="BL43" i="5"/>
  <c r="BK43" i="5"/>
  <c r="BJ43" i="5"/>
  <c r="BM42" i="5"/>
  <c r="BL42" i="5"/>
  <c r="BL50" i="5" s="1"/>
  <c r="BK42" i="5"/>
  <c r="BK50" i="5" s="1"/>
  <c r="BJ42" i="5"/>
  <c r="BJ50" i="5" s="1"/>
  <c r="E46" i="34"/>
  <c r="E12" i="34"/>
  <c r="E54" i="34"/>
  <c r="E21" i="34"/>
  <c r="E45" i="34"/>
  <c r="E64" i="34"/>
  <c r="E13" i="34"/>
  <c r="E28" i="34"/>
  <c r="E34" i="34"/>
  <c r="E16" i="34"/>
  <c r="E39" i="34"/>
  <c r="E11" i="34"/>
  <c r="E43" i="34"/>
  <c r="E26" i="34"/>
  <c r="E18" i="34"/>
  <c r="E19" i="34"/>
  <c r="E35" i="34"/>
  <c r="E57" i="34"/>
  <c r="E36" i="34"/>
  <c r="E59" i="34"/>
  <c r="E47" i="34"/>
  <c r="E50" i="34"/>
  <c r="E51" i="34"/>
  <c r="E62" i="34"/>
  <c r="E41" i="34"/>
  <c r="E27" i="34"/>
  <c r="E42" i="34"/>
  <c r="E20" i="34"/>
  <c r="E40" i="34"/>
  <c r="E33" i="34"/>
  <c r="E38" i="34"/>
  <c r="E10" i="34"/>
  <c r="E14" i="34"/>
  <c r="E7" i="34"/>
  <c r="E52" i="34"/>
  <c r="E29" i="34"/>
  <c r="E53" i="34"/>
  <c r="E37" i="34"/>
  <c r="E44" i="34"/>
  <c r="BJ58" i="5" l="1"/>
  <c r="BM50" i="5"/>
  <c r="R11" i="9" s="1"/>
  <c r="BM51" i="5"/>
  <c r="R12" i="9" s="1"/>
  <c r="BM52" i="5"/>
  <c r="R13" i="9" s="1"/>
  <c r="BM58" i="5"/>
  <c r="BL58" i="5"/>
  <c r="O16" i="34" a="1"/>
  <c r="O16" i="34" s="1"/>
  <c r="U11" i="34"/>
  <c r="R12" i="34"/>
  <c r="R13" i="34"/>
  <c r="S13" i="34" s="1"/>
  <c r="O13" i="34"/>
  <c r="U10" i="34"/>
  <c r="U13" i="34"/>
  <c r="R10" i="34"/>
  <c r="O11" i="34"/>
  <c r="O8" i="34"/>
  <c r="U12" i="34"/>
  <c r="R11" i="34"/>
  <c r="R8" i="34"/>
  <c r="O10" i="34"/>
  <c r="U9" i="34"/>
  <c r="V9" i="34" s="1"/>
  <c r="U8" i="34"/>
  <c r="R9" i="34"/>
  <c r="O9" i="34"/>
  <c r="O12" i="34"/>
  <c r="U16" i="34" a="1"/>
  <c r="U16" i="34" s="1"/>
  <c r="R16" i="34" a="1"/>
  <c r="R16" i="34" s="1"/>
  <c r="V11" i="34"/>
  <c r="BM62" i="5"/>
  <c r="R12" i="10" s="1"/>
  <c r="BM61" i="5"/>
  <c r="R14" i="9"/>
  <c r="BM53" i="5"/>
  <c r="BK58" i="5"/>
  <c r="AI21" i="7"/>
  <c r="AI31" i="7"/>
  <c r="AI11" i="7"/>
  <c r="AA12" i="34" l="1"/>
  <c r="O14" i="34"/>
  <c r="P12" i="34" s="1"/>
  <c r="AA10" i="34"/>
  <c r="AA9" i="34"/>
  <c r="AA8" i="34"/>
  <c r="AA11" i="34"/>
  <c r="AA13" i="34"/>
  <c r="R14" i="34"/>
  <c r="R5" i="34" s="1"/>
  <c r="U14" i="34"/>
  <c r="V8" i="34" s="1"/>
  <c r="O5" i="34"/>
  <c r="BM63" i="5"/>
  <c r="R11" i="10"/>
  <c r="P8" i="34" l="1"/>
  <c r="V10" i="34"/>
  <c r="S14" i="34"/>
  <c r="P10" i="34"/>
  <c r="P9" i="34"/>
  <c r="V12" i="34"/>
  <c r="U5" i="34"/>
  <c r="V13" i="34"/>
  <c r="V14" i="34"/>
  <c r="P11" i="34"/>
  <c r="P14" i="34"/>
  <c r="P13" i="34"/>
  <c r="S12" i="34"/>
  <c r="S11" i="34"/>
  <c r="S8" i="34"/>
  <c r="S10" i="34"/>
  <c r="S9" i="34"/>
  <c r="AK4" i="34"/>
  <c r="AJ35" i="34"/>
  <c r="AJ47" i="34"/>
  <c r="AJ7" i="34"/>
  <c r="AK2" i="34" l="1"/>
  <c r="AL4" i="34"/>
  <c r="AL2" i="34" s="1"/>
  <c r="AJ40" i="34"/>
  <c r="AJ66" i="34"/>
  <c r="AJ16" i="34"/>
  <c r="AJ42" i="34"/>
  <c r="AJ37" i="34"/>
  <c r="AJ34" i="34"/>
  <c r="AJ33" i="34"/>
  <c r="AJ46" i="34"/>
  <c r="AJ31" i="34"/>
  <c r="AL35" i="34"/>
  <c r="AJ62" i="34"/>
  <c r="AL47" i="34"/>
  <c r="AJ51" i="34"/>
  <c r="AJ55" i="34"/>
  <c r="AJ24" i="34"/>
  <c r="AJ20" i="34"/>
  <c r="AJ30" i="34"/>
  <c r="AJ45" i="34"/>
  <c r="AJ21" i="34"/>
  <c r="AJ49" i="34"/>
  <c r="AJ22" i="34"/>
  <c r="AJ38" i="34"/>
  <c r="AJ64" i="34"/>
  <c r="AJ17" i="34"/>
  <c r="AK35" i="34"/>
  <c r="AJ9" i="34"/>
  <c r="AJ56" i="34"/>
  <c r="AJ48" i="34"/>
  <c r="AJ26" i="34"/>
  <c r="AJ10" i="34"/>
  <c r="AJ11" i="34"/>
  <c r="AJ63" i="34"/>
  <c r="AK47" i="34"/>
  <c r="AJ41" i="34"/>
  <c r="AJ54" i="34"/>
  <c r="AJ60" i="34"/>
  <c r="AJ61" i="34"/>
  <c r="AJ39" i="34"/>
  <c r="AL7" i="34"/>
  <c r="AJ19" i="34"/>
  <c r="AJ15" i="34"/>
  <c r="AJ59" i="34"/>
  <c r="AJ13" i="34"/>
  <c r="AK7" i="34"/>
  <c r="AJ23" i="34"/>
  <c r="AJ43" i="34"/>
  <c r="AJ67" i="34"/>
  <c r="AJ18" i="34"/>
  <c r="AJ53" i="34"/>
  <c r="AJ52" i="34"/>
  <c r="AJ12" i="34"/>
  <c r="AJ28" i="34"/>
  <c r="AJ58" i="34"/>
  <c r="AJ8" i="34"/>
  <c r="AJ57" i="34"/>
  <c r="AJ50" i="34"/>
  <c r="AJ65" i="34"/>
  <c r="AH47" i="34" l="1"/>
  <c r="AG47" i="34"/>
  <c r="AH35" i="34"/>
  <c r="AG35" i="34"/>
  <c r="AH7" i="34"/>
  <c r="AG7" i="34"/>
  <c r="AM47" i="34"/>
  <c r="AM35" i="34"/>
  <c r="AM7" i="34"/>
  <c r="AL66" i="34"/>
  <c r="AK66" i="34"/>
  <c r="AL61" i="34"/>
  <c r="AK61" i="34"/>
  <c r="AL67" i="34"/>
  <c r="AK67" i="34"/>
  <c r="AL60" i="34"/>
  <c r="AK60" i="34"/>
  <c r="AK52" i="34"/>
  <c r="AJ32" i="34"/>
  <c r="AK20" i="34"/>
  <c r="AJ14" i="34"/>
  <c r="AL56" i="34"/>
  <c r="AK53" i="34"/>
  <c r="AL17" i="34"/>
  <c r="AK58" i="34"/>
  <c r="AK64" i="34"/>
  <c r="AL58" i="34"/>
  <c r="AL40" i="34"/>
  <c r="AK13" i="34"/>
  <c r="AK51" i="34"/>
  <c r="AL9" i="34"/>
  <c r="AL41" i="34"/>
  <c r="AL24" i="34"/>
  <c r="AK22" i="34"/>
  <c r="AJ44" i="34"/>
  <c r="AL59" i="34"/>
  <c r="AK19" i="34"/>
  <c r="AK31" i="34"/>
  <c r="AK48" i="34"/>
  <c r="AK45" i="34"/>
  <c r="AL49" i="34"/>
  <c r="AL28" i="34"/>
  <c r="AL42" i="34"/>
  <c r="AK39" i="34"/>
  <c r="AK34" i="34"/>
  <c r="AL46" i="34"/>
  <c r="AL53" i="34"/>
  <c r="AL33" i="34"/>
  <c r="AL10" i="34"/>
  <c r="AL43" i="34"/>
  <c r="AK12" i="34"/>
  <c r="AK33" i="34"/>
  <c r="AL11" i="34"/>
  <c r="AL63" i="34"/>
  <c r="AK54" i="34"/>
  <c r="AL18" i="34"/>
  <c r="AL20" i="34"/>
  <c r="AK56" i="34"/>
  <c r="AL62" i="34"/>
  <c r="AL48" i="34"/>
  <c r="AL39" i="34"/>
  <c r="AK63" i="34"/>
  <c r="AK38" i="34"/>
  <c r="AK43" i="34"/>
  <c r="AL8" i="34"/>
  <c r="AK42" i="34"/>
  <c r="AL30" i="34"/>
  <c r="AL19" i="34"/>
  <c r="AK30" i="34"/>
  <c r="AL16" i="34"/>
  <c r="AK59" i="34"/>
  <c r="AK17" i="34"/>
  <c r="AL26" i="34"/>
  <c r="AK10" i="34"/>
  <c r="AL52" i="34"/>
  <c r="AL55" i="34"/>
  <c r="AK18" i="34"/>
  <c r="AL38" i="34"/>
  <c r="AL34" i="34"/>
  <c r="AK49" i="34"/>
  <c r="AL50" i="34"/>
  <c r="AK26" i="34"/>
  <c r="AK41" i="34"/>
  <c r="AL57" i="34"/>
  <c r="AK24" i="34"/>
  <c r="AL12" i="34"/>
  <c r="AK8" i="34"/>
  <c r="AK15" i="34"/>
  <c r="AK57" i="34"/>
  <c r="AK21" i="34"/>
  <c r="AK37" i="34"/>
  <c r="AJ27" i="34"/>
  <c r="AL31" i="34"/>
  <c r="AK50" i="34"/>
  <c r="AK28" i="34"/>
  <c r="AK23" i="34"/>
  <c r="AK16" i="34"/>
  <c r="AL54" i="34"/>
  <c r="AK40" i="34"/>
  <c r="AL37" i="34"/>
  <c r="AK46" i="34"/>
  <c r="AL13" i="34"/>
  <c r="AK65" i="34"/>
  <c r="AK62" i="34"/>
  <c r="AK11" i="34"/>
  <c r="AK9" i="34"/>
  <c r="AL45" i="34"/>
  <c r="AJ36" i="34"/>
  <c r="AL22" i="34"/>
  <c r="AL65" i="34"/>
  <c r="AL15" i="34"/>
  <c r="AJ29" i="34"/>
  <c r="AK55" i="34"/>
  <c r="AL64" i="34"/>
  <c r="AL23" i="34"/>
  <c r="AL51" i="34"/>
  <c r="AL21" i="34"/>
  <c r="AJ25" i="34"/>
  <c r="AG62" i="34" l="1"/>
  <c r="AH62" i="34"/>
  <c r="AG16" i="34"/>
  <c r="AH16" i="34"/>
  <c r="AH57" i="34"/>
  <c r="AG57" i="34"/>
  <c r="AH59" i="34"/>
  <c r="AG59" i="34"/>
  <c r="AH26" i="34"/>
  <c r="AG26" i="34"/>
  <c r="AH45" i="34"/>
  <c r="AG45" i="34"/>
  <c r="AH9" i="34"/>
  <c r="AG9" i="34"/>
  <c r="AH20" i="34"/>
  <c r="AG20" i="34"/>
  <c r="AH13" i="34"/>
  <c r="AG13" i="34"/>
  <c r="AH38" i="34"/>
  <c r="AG38" i="34"/>
  <c r="AG30" i="34"/>
  <c r="AH30" i="34"/>
  <c r="AH28" i="34"/>
  <c r="AG28" i="34"/>
  <c r="AH17" i="34"/>
  <c r="AG17" i="34"/>
  <c r="AG12" i="34"/>
  <c r="AH12" i="34"/>
  <c r="AH31" i="34"/>
  <c r="AG31" i="34"/>
  <c r="AH10" i="34"/>
  <c r="AG10" i="34"/>
  <c r="AH56" i="34"/>
  <c r="AG56" i="34"/>
  <c r="AG58" i="34"/>
  <c r="AH58" i="34"/>
  <c r="AH33" i="34"/>
  <c r="AG33" i="34"/>
  <c r="AH21" i="34"/>
  <c r="AG21" i="34"/>
  <c r="AH51" i="34"/>
  <c r="AG51" i="34"/>
  <c r="AH55" i="34"/>
  <c r="AG55" i="34"/>
  <c r="AH64" i="34"/>
  <c r="AG64" i="34"/>
  <c r="AH48" i="34"/>
  <c r="AG48" i="34"/>
  <c r="AH18" i="34"/>
  <c r="AG18" i="34"/>
  <c r="AG54" i="34"/>
  <c r="AH54" i="34"/>
  <c r="AH41" i="34"/>
  <c r="AG41" i="34"/>
  <c r="AH40" i="34"/>
  <c r="AG40" i="34"/>
  <c r="AH22" i="34"/>
  <c r="AG22" i="34"/>
  <c r="AH53" i="34"/>
  <c r="AG53" i="34"/>
  <c r="AH63" i="34"/>
  <c r="AG63" i="34"/>
  <c r="AG46" i="34"/>
  <c r="AH46" i="34"/>
  <c r="AH37" i="34"/>
  <c r="AG37" i="34"/>
  <c r="AH15" i="34"/>
  <c r="AG15" i="34"/>
  <c r="AH52" i="34"/>
  <c r="AG52" i="34"/>
  <c r="AH24" i="34"/>
  <c r="AG24" i="34"/>
  <c r="AG50" i="34"/>
  <c r="AH50" i="34"/>
  <c r="AH23" i="34"/>
  <c r="AG23" i="34"/>
  <c r="AH34" i="34"/>
  <c r="AG34" i="34"/>
  <c r="AG8" i="34"/>
  <c r="AH8" i="34"/>
  <c r="AH11" i="34"/>
  <c r="AG11" i="34"/>
  <c r="AH49" i="34"/>
  <c r="AG49" i="34"/>
  <c r="AH42" i="34"/>
  <c r="AG42" i="34"/>
  <c r="AH39" i="34"/>
  <c r="AG39" i="34"/>
  <c r="AH43" i="34"/>
  <c r="AG43" i="34"/>
  <c r="AH19" i="34"/>
  <c r="AG19" i="34"/>
  <c r="AM39" i="34"/>
  <c r="AM61" i="34"/>
  <c r="AM67" i="34"/>
  <c r="AM60" i="34"/>
  <c r="AM66" i="34"/>
  <c r="AM55" i="34"/>
  <c r="AM59" i="34"/>
  <c r="AM19" i="34"/>
  <c r="AM43" i="34"/>
  <c r="AM51" i="34"/>
  <c r="AM31" i="34"/>
  <c r="AM63" i="34"/>
  <c r="AM15" i="34"/>
  <c r="AM11" i="34"/>
  <c r="AM23" i="34"/>
  <c r="AM49" i="34"/>
  <c r="AM52" i="34"/>
  <c r="AM8" i="34"/>
  <c r="AM10" i="34"/>
  <c r="AM9" i="34"/>
  <c r="AM12" i="34"/>
  <c r="AM13" i="34"/>
  <c r="AM34" i="34"/>
  <c r="AM45" i="34"/>
  <c r="AM65" i="34"/>
  <c r="AM17" i="34"/>
  <c r="AM20" i="34"/>
  <c r="AM22" i="34"/>
  <c r="AM37" i="34"/>
  <c r="AM40" i="34"/>
  <c r="AM42" i="34"/>
  <c r="AM41" i="34"/>
  <c r="AM46" i="34"/>
  <c r="AM64" i="34"/>
  <c r="AM33" i="34"/>
  <c r="AM38" i="34"/>
  <c r="AM53" i="34"/>
  <c r="AM56" i="34"/>
  <c r="AM58" i="34"/>
  <c r="AM57" i="34"/>
  <c r="AM62" i="34"/>
  <c r="AM16" i="34"/>
  <c r="AM18" i="34"/>
  <c r="AM54" i="34"/>
  <c r="AM21" i="34"/>
  <c r="AM24" i="34"/>
  <c r="AM26" i="34"/>
  <c r="AM28" i="34"/>
  <c r="AM30" i="34"/>
  <c r="AM48" i="34"/>
  <c r="AM50" i="34"/>
  <c r="AK27" i="34"/>
  <c r="AK14" i="34"/>
  <c r="AL32" i="34"/>
  <c r="AK36" i="34"/>
  <c r="AK29" i="34"/>
  <c r="AK44" i="34"/>
  <c r="AL36" i="34"/>
  <c r="AL14" i="34"/>
  <c r="AL44" i="34"/>
  <c r="AL27" i="34"/>
  <c r="AL29" i="34"/>
  <c r="AK25" i="34"/>
  <c r="AK32" i="34"/>
  <c r="AL25" i="34"/>
  <c r="AH29" i="34" l="1"/>
  <c r="AG29" i="34"/>
  <c r="AH27" i="34"/>
  <c r="AG27" i="34"/>
  <c r="AH44" i="34"/>
  <c r="AG44" i="34"/>
  <c r="AH32" i="34"/>
  <c r="AG32" i="34"/>
  <c r="AH36" i="34"/>
  <c r="AG36" i="34"/>
  <c r="AH25" i="34"/>
  <c r="AG25" i="34"/>
  <c r="AH14" i="34"/>
  <c r="AG14" i="34"/>
  <c r="AM36" i="34"/>
  <c r="AM44" i="34"/>
  <c r="AM32" i="34"/>
  <c r="AM29" i="34"/>
  <c r="AM25" i="34"/>
  <c r="AM14" i="34"/>
  <c r="AM27" i="34"/>
  <c r="AF67" i="34"/>
  <c r="AF66" i="34"/>
  <c r="AF65" i="34"/>
  <c r="AF7" i="34"/>
  <c r="AF8" i="34" s="1"/>
  <c r="AF9" i="34" s="1"/>
  <c r="AF10" i="34" s="1"/>
  <c r="AF11" i="34" s="1"/>
  <c r="AF12" i="34" s="1"/>
  <c r="AF13" i="34" s="1"/>
  <c r="AF14" i="34" s="1"/>
  <c r="AF15" i="34" s="1"/>
  <c r="AF16" i="34" s="1"/>
  <c r="AF17" i="34" s="1"/>
  <c r="AF18" i="34" s="1"/>
  <c r="AF19" i="34" s="1"/>
  <c r="AF20" i="34" s="1"/>
  <c r="AF21" i="34" s="1"/>
  <c r="AF22" i="34" s="1"/>
  <c r="AF23" i="34" s="1"/>
  <c r="AF24" i="34" s="1"/>
  <c r="AF25" i="34" s="1"/>
  <c r="AF26" i="34" s="1"/>
  <c r="AF27" i="34" s="1"/>
  <c r="AF28" i="34" s="1"/>
  <c r="AF29" i="34" s="1"/>
  <c r="AF30" i="34" s="1"/>
  <c r="AF31" i="34" s="1"/>
  <c r="AF32" i="34" s="1"/>
  <c r="AF33" i="34" s="1"/>
  <c r="AF34" i="34" s="1"/>
  <c r="AF35" i="34" s="1"/>
  <c r="AF36" i="34" s="1"/>
  <c r="AF37" i="34" s="1"/>
  <c r="AF38" i="34" s="1"/>
  <c r="AF39" i="34" s="1"/>
  <c r="AF40" i="34" s="1"/>
  <c r="AF41" i="34" s="1"/>
  <c r="AF42" i="34" s="1"/>
  <c r="AF43" i="34" s="1"/>
  <c r="AF44" i="34" s="1"/>
  <c r="AF45" i="34" s="1"/>
  <c r="AF46" i="34" s="1"/>
  <c r="AF47" i="34" s="1"/>
  <c r="AF48" i="34" s="1"/>
  <c r="AF49" i="34" s="1"/>
  <c r="AF50" i="34" s="1"/>
  <c r="AF51" i="34" s="1"/>
  <c r="AF52" i="34" s="1"/>
  <c r="AF53" i="34" s="1"/>
  <c r="AF54" i="34" s="1"/>
  <c r="AF55" i="34" s="1"/>
  <c r="AF56" i="34" s="1"/>
  <c r="AF57" i="34" s="1"/>
  <c r="AF58" i="34" s="1"/>
  <c r="AF59" i="34" s="1"/>
  <c r="AF60" i="34" s="1"/>
  <c r="AF61" i="34" s="1"/>
  <c r="AF62" i="34" s="1"/>
  <c r="AF63" i="34" s="1"/>
  <c r="AF64" i="34" s="1"/>
  <c r="L14" i="34" l="1"/>
  <c r="L5" i="34" l="1"/>
  <c r="M13" i="34"/>
  <c r="M8" i="34"/>
  <c r="M10" i="34"/>
  <c r="M12" i="34"/>
  <c r="M9" i="34"/>
  <c r="M11" i="34"/>
  <c r="Y14" i="34"/>
  <c r="C79" i="34"/>
  <c r="M14" i="34"/>
  <c r="AY12" i="7"/>
  <c r="AR12" i="7"/>
  <c r="AO12" i="7"/>
  <c r="AY22" i="7" l="1"/>
  <c r="AY13" i="7"/>
  <c r="AA14" i="34"/>
  <c r="E16" i="10"/>
  <c r="F16" i="10" s="1"/>
  <c r="G16" i="10" s="1"/>
  <c r="H16" i="10" s="1"/>
  <c r="I16" i="10" s="1"/>
  <c r="J16" i="10" s="1"/>
  <c r="K16" i="10" s="1"/>
  <c r="L16" i="10" s="1"/>
  <c r="AV62" i="5"/>
  <c r="AU62" i="5"/>
  <c r="AT62" i="5"/>
  <c r="AV61" i="5"/>
  <c r="AV63" i="5" s="1"/>
  <c r="AU61" i="5"/>
  <c r="AU63" i="5" s="1"/>
  <c r="AT61" i="5"/>
  <c r="AT63" i="5" s="1"/>
  <c r="AW57" i="5"/>
  <c r="AV57" i="5"/>
  <c r="AU57" i="5"/>
  <c r="AT57" i="5"/>
  <c r="AT58" i="5" s="1"/>
  <c r="AW56" i="5"/>
  <c r="AW58" i="5" s="1"/>
  <c r="AV56" i="5"/>
  <c r="AU56" i="5"/>
  <c r="AT56" i="5"/>
  <c r="AW47" i="5"/>
  <c r="AV47" i="5"/>
  <c r="AU47" i="5"/>
  <c r="AT47" i="5"/>
  <c r="AW46" i="5"/>
  <c r="AV46" i="5"/>
  <c r="AV52" i="5" s="1"/>
  <c r="AU46" i="5"/>
  <c r="AU52" i="5" s="1"/>
  <c r="AT46" i="5"/>
  <c r="AT52" i="5" s="1"/>
  <c r="AW45" i="5"/>
  <c r="AV45" i="5"/>
  <c r="AU45" i="5"/>
  <c r="AT45" i="5"/>
  <c r="AW44" i="5"/>
  <c r="AV44" i="5"/>
  <c r="AV51" i="5" s="1"/>
  <c r="AV53" i="5" s="1"/>
  <c r="AU44" i="5"/>
  <c r="AU51" i="5"/>
  <c r="AU53" i="5" s="1"/>
  <c r="AT44" i="5"/>
  <c r="AT51" i="5" s="1"/>
  <c r="AT53" i="5" s="1"/>
  <c r="AW43" i="5"/>
  <c r="AV43" i="5"/>
  <c r="AU43" i="5"/>
  <c r="AT43" i="5"/>
  <c r="AW42" i="5"/>
  <c r="AV42" i="5"/>
  <c r="AV50" i="5" s="1"/>
  <c r="AU42" i="5"/>
  <c r="AU50" i="5" s="1"/>
  <c r="AT42" i="5"/>
  <c r="AT50" i="5" s="1"/>
  <c r="AS40" i="5"/>
  <c r="AR40" i="5"/>
  <c r="AQ40" i="5"/>
  <c r="AP40" i="5"/>
  <c r="AN40" i="5"/>
  <c r="AM40" i="5"/>
  <c r="AL40" i="5"/>
  <c r="AK40" i="5"/>
  <c r="AJ40" i="5"/>
  <c r="AI40" i="5"/>
  <c r="AH40" i="5"/>
  <c r="AG40" i="5"/>
  <c r="AF40" i="5"/>
  <c r="AE40" i="5"/>
  <c r="AD40" i="5"/>
  <c r="AC40" i="5"/>
  <c r="AB40" i="5"/>
  <c r="AA40" i="5"/>
  <c r="Z40" i="5"/>
  <c r="Y40" i="5"/>
  <c r="X40" i="5"/>
  <c r="W40" i="5"/>
  <c r="V40" i="5"/>
  <c r="U40" i="5"/>
  <c r="T40" i="5"/>
  <c r="S40" i="5"/>
  <c r="R40" i="5"/>
  <c r="Q40" i="5"/>
  <c r="P40" i="5"/>
  <c r="O40" i="5"/>
  <c r="N40" i="5"/>
  <c r="M40" i="5"/>
  <c r="L40" i="5"/>
  <c r="K40" i="5"/>
  <c r="J40" i="5"/>
  <c r="I40" i="5"/>
  <c r="H40" i="5"/>
  <c r="G40" i="5"/>
  <c r="F40" i="5"/>
  <c r="E40" i="5"/>
  <c r="AO40" i="5"/>
  <c r="AS47" i="5"/>
  <c r="AR47" i="5"/>
  <c r="AQ47" i="5"/>
  <c r="AP47" i="5"/>
  <c r="AO47" i="5"/>
  <c r="AN47" i="5"/>
  <c r="AM47" i="5"/>
  <c r="AL47" i="5"/>
  <c r="AK47" i="5"/>
  <c r="AJ47" i="5"/>
  <c r="AI47" i="5"/>
  <c r="AH47" i="5"/>
  <c r="AG47" i="5"/>
  <c r="AF47" i="5"/>
  <c r="AE47" i="5"/>
  <c r="AD47" i="5"/>
  <c r="AC47" i="5"/>
  <c r="AB47" i="5"/>
  <c r="AA47" i="5"/>
  <c r="Z47" i="5"/>
  <c r="Y47" i="5"/>
  <c r="X47" i="5"/>
  <c r="W47" i="5"/>
  <c r="V47" i="5"/>
  <c r="U47" i="5"/>
  <c r="T47" i="5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F47" i="5"/>
  <c r="AS46" i="5"/>
  <c r="AS52" i="5"/>
  <c r="M13" i="9" s="1"/>
  <c r="AR46" i="5"/>
  <c r="AR52" i="5" s="1"/>
  <c r="AQ46" i="5"/>
  <c r="AQ52" i="5" s="1"/>
  <c r="AP46" i="5"/>
  <c r="AP52" i="5" s="1"/>
  <c r="AO46" i="5"/>
  <c r="AN46" i="5"/>
  <c r="AN52" i="5" s="1"/>
  <c r="AM46" i="5"/>
  <c r="AM52" i="5" s="1"/>
  <c r="AL46" i="5"/>
  <c r="AL52" i="5" s="1"/>
  <c r="AK46" i="5"/>
  <c r="AJ46" i="5"/>
  <c r="AJ52" i="5" s="1"/>
  <c r="AI46" i="5"/>
  <c r="AI52" i="5" s="1"/>
  <c r="AH46" i="5"/>
  <c r="AH52" i="5" s="1"/>
  <c r="AG46" i="5"/>
  <c r="AF46" i="5"/>
  <c r="AF52" i="5" s="1"/>
  <c r="AE46" i="5"/>
  <c r="AE52" i="5" s="1"/>
  <c r="AD46" i="5"/>
  <c r="AD52" i="5" s="1"/>
  <c r="AC46" i="5"/>
  <c r="AB46" i="5"/>
  <c r="AB52" i="5" s="1"/>
  <c r="AA46" i="5"/>
  <c r="AA52" i="5" s="1"/>
  <c r="Z46" i="5"/>
  <c r="Z52" i="5" s="1"/>
  <c r="Y46" i="5"/>
  <c r="X46" i="5"/>
  <c r="X52" i="5" s="1"/>
  <c r="W46" i="5"/>
  <c r="W52" i="5" s="1"/>
  <c r="V46" i="5"/>
  <c r="V52" i="5" s="1"/>
  <c r="U46" i="5"/>
  <c r="U52" i="5" s="1"/>
  <c r="T46" i="5"/>
  <c r="T52" i="5" s="1"/>
  <c r="S46" i="5"/>
  <c r="S52" i="5" s="1"/>
  <c r="R46" i="5"/>
  <c r="R52" i="5" s="1"/>
  <c r="Q46" i="5"/>
  <c r="P46" i="5"/>
  <c r="P52" i="5" s="1"/>
  <c r="O46" i="5"/>
  <c r="O52" i="5" s="1"/>
  <c r="N46" i="5"/>
  <c r="N52" i="5" s="1"/>
  <c r="M46" i="5"/>
  <c r="M52" i="5" s="1"/>
  <c r="L46" i="5"/>
  <c r="L52" i="5" s="1"/>
  <c r="K46" i="5"/>
  <c r="K52" i="5" s="1"/>
  <c r="J46" i="5"/>
  <c r="J52" i="5" s="1"/>
  <c r="I46" i="5"/>
  <c r="H46" i="5"/>
  <c r="H52" i="5" s="1"/>
  <c r="G46" i="5"/>
  <c r="G52" i="5" s="1"/>
  <c r="F46" i="5"/>
  <c r="F52" i="5" s="1"/>
  <c r="AS45" i="5"/>
  <c r="AR45" i="5"/>
  <c r="AQ45" i="5"/>
  <c r="AP45" i="5"/>
  <c r="AO45" i="5"/>
  <c r="AN45" i="5"/>
  <c r="AM45" i="5"/>
  <c r="AL45" i="5"/>
  <c r="AK45" i="5"/>
  <c r="AJ45" i="5"/>
  <c r="AI45" i="5"/>
  <c r="AH45" i="5"/>
  <c r="AG45" i="5"/>
  <c r="AF45" i="5"/>
  <c r="AE45" i="5"/>
  <c r="AD45" i="5"/>
  <c r="AC45" i="5"/>
  <c r="AB45" i="5"/>
  <c r="AA45" i="5"/>
  <c r="Z45" i="5"/>
  <c r="Y45" i="5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H45" i="5"/>
  <c r="G45" i="5"/>
  <c r="F45" i="5"/>
  <c r="AS44" i="5"/>
  <c r="AS51" i="5" s="1"/>
  <c r="M12" i="9" s="1"/>
  <c r="AR44" i="5"/>
  <c r="AR51" i="5" s="1"/>
  <c r="AR53" i="5" s="1"/>
  <c r="AQ44" i="5"/>
  <c r="AQ51" i="5" s="1"/>
  <c r="AQ53" i="5" s="1"/>
  <c r="AP44" i="5"/>
  <c r="AP51" i="5"/>
  <c r="AP53" i="5" s="1"/>
  <c r="AO44" i="5"/>
  <c r="AN44" i="5"/>
  <c r="AN51" i="5" s="1"/>
  <c r="AN53" i="5" s="1"/>
  <c r="AM44" i="5"/>
  <c r="AM51" i="5" s="1"/>
  <c r="AM53" i="5" s="1"/>
  <c r="AL44" i="5"/>
  <c r="AL51" i="5" s="1"/>
  <c r="AL53" i="5" s="1"/>
  <c r="AK44" i="5"/>
  <c r="AJ44" i="5"/>
  <c r="AJ51" i="5" s="1"/>
  <c r="AJ53" i="5" s="1"/>
  <c r="AI44" i="5"/>
  <c r="AI51" i="5" s="1"/>
  <c r="AI53" i="5" s="1"/>
  <c r="AH44" i="5"/>
  <c r="AH51" i="5" s="1"/>
  <c r="AH53" i="5" s="1"/>
  <c r="AG44" i="5"/>
  <c r="AF44" i="5"/>
  <c r="AF51" i="5" s="1"/>
  <c r="AF53" i="5" s="1"/>
  <c r="AE44" i="5"/>
  <c r="AE51" i="5" s="1"/>
  <c r="AE53" i="5" s="1"/>
  <c r="AD44" i="5"/>
  <c r="AD51" i="5" s="1"/>
  <c r="AD53" i="5" s="1"/>
  <c r="AC44" i="5"/>
  <c r="AB44" i="5"/>
  <c r="AB51" i="5" s="1"/>
  <c r="AB53" i="5" s="1"/>
  <c r="AA44" i="5"/>
  <c r="AA51" i="5" s="1"/>
  <c r="AA53" i="5" s="1"/>
  <c r="Z44" i="5"/>
  <c r="Z51" i="5" s="1"/>
  <c r="Z53" i="5" s="1"/>
  <c r="Y44" i="5"/>
  <c r="X44" i="5"/>
  <c r="X51" i="5" s="1"/>
  <c r="X53" i="5" s="1"/>
  <c r="W44" i="5"/>
  <c r="W51" i="5" s="1"/>
  <c r="W53" i="5" s="1"/>
  <c r="V44" i="5"/>
  <c r="V51" i="5" s="1"/>
  <c r="V53" i="5" s="1"/>
  <c r="U44" i="5"/>
  <c r="T44" i="5"/>
  <c r="T51" i="5" s="1"/>
  <c r="T53" i="5" s="1"/>
  <c r="S44" i="5"/>
  <c r="S51" i="5" s="1"/>
  <c r="S53" i="5" s="1"/>
  <c r="R44" i="5"/>
  <c r="R51" i="5" s="1"/>
  <c r="R53" i="5" s="1"/>
  <c r="Q44" i="5"/>
  <c r="P44" i="5"/>
  <c r="P51" i="5" s="1"/>
  <c r="P53" i="5" s="1"/>
  <c r="O44" i="5"/>
  <c r="O51" i="5" s="1"/>
  <c r="O53" i="5" s="1"/>
  <c r="N44" i="5"/>
  <c r="N51" i="5" s="1"/>
  <c r="N53" i="5" s="1"/>
  <c r="M44" i="5"/>
  <c r="L44" i="5"/>
  <c r="L51" i="5" s="1"/>
  <c r="L53" i="5" s="1"/>
  <c r="K44" i="5"/>
  <c r="K51" i="5" s="1"/>
  <c r="K53" i="5" s="1"/>
  <c r="J44" i="5"/>
  <c r="J51" i="5" s="1"/>
  <c r="J53" i="5" s="1"/>
  <c r="I44" i="5"/>
  <c r="H44" i="5"/>
  <c r="H51" i="5" s="1"/>
  <c r="H53" i="5" s="1"/>
  <c r="G44" i="5"/>
  <c r="G51" i="5" s="1"/>
  <c r="G53" i="5" s="1"/>
  <c r="F44" i="5"/>
  <c r="F51" i="5" s="1"/>
  <c r="F53" i="5" s="1"/>
  <c r="AS43" i="5"/>
  <c r="AR43" i="5"/>
  <c r="AQ43" i="5"/>
  <c r="AP43" i="5"/>
  <c r="AO43" i="5"/>
  <c r="AN43" i="5"/>
  <c r="AM43" i="5"/>
  <c r="AL43" i="5"/>
  <c r="AK43" i="5"/>
  <c r="AJ43" i="5"/>
  <c r="AI43" i="5"/>
  <c r="AH43" i="5"/>
  <c r="AG43" i="5"/>
  <c r="AF43" i="5"/>
  <c r="AE43" i="5"/>
  <c r="AD43" i="5"/>
  <c r="AC43" i="5"/>
  <c r="AB43" i="5"/>
  <c r="AA43" i="5"/>
  <c r="Z43" i="5"/>
  <c r="Y43" i="5"/>
  <c r="X43" i="5"/>
  <c r="W43" i="5"/>
  <c r="V43" i="5"/>
  <c r="U43" i="5"/>
  <c r="T43" i="5"/>
  <c r="S43" i="5"/>
  <c r="R43" i="5"/>
  <c r="Q43" i="5"/>
  <c r="P43" i="5"/>
  <c r="O43" i="5"/>
  <c r="N43" i="5"/>
  <c r="M43" i="5"/>
  <c r="L43" i="5"/>
  <c r="K43" i="5"/>
  <c r="J43" i="5"/>
  <c r="I43" i="5"/>
  <c r="H43" i="5"/>
  <c r="G43" i="5"/>
  <c r="F43" i="5"/>
  <c r="AS42" i="5"/>
  <c r="AS50" i="5" s="1"/>
  <c r="M11" i="9" s="1"/>
  <c r="AR42" i="5"/>
  <c r="AR50" i="5" s="1"/>
  <c r="AQ42" i="5"/>
  <c r="AQ50" i="5" s="1"/>
  <c r="AP42" i="5"/>
  <c r="AP50" i="5" s="1"/>
  <c r="AO42" i="5"/>
  <c r="AN42" i="5"/>
  <c r="AN50" i="5" s="1"/>
  <c r="AM42" i="5"/>
  <c r="AM50" i="5" s="1"/>
  <c r="AL42" i="5"/>
  <c r="AL50" i="5" s="1"/>
  <c r="AK42" i="5"/>
  <c r="AJ42" i="5"/>
  <c r="AJ50" i="5" s="1"/>
  <c r="AI42" i="5"/>
  <c r="AI50" i="5" s="1"/>
  <c r="AH42" i="5"/>
  <c r="AH50" i="5" s="1"/>
  <c r="AG42" i="5"/>
  <c r="AG50" i="5" s="1"/>
  <c r="AF42" i="5"/>
  <c r="AF50" i="5" s="1"/>
  <c r="AE42" i="5"/>
  <c r="AE50" i="5" s="1"/>
  <c r="AD42" i="5"/>
  <c r="AD50" i="5" s="1"/>
  <c r="AC42" i="5"/>
  <c r="AB42" i="5"/>
  <c r="AB50" i="5" s="1"/>
  <c r="AA42" i="5"/>
  <c r="AA50" i="5" s="1"/>
  <c r="Z42" i="5"/>
  <c r="Z50" i="5" s="1"/>
  <c r="Y42" i="5"/>
  <c r="X42" i="5"/>
  <c r="X50" i="5" s="1"/>
  <c r="W42" i="5"/>
  <c r="W50" i="5" s="1"/>
  <c r="V42" i="5"/>
  <c r="V50" i="5" s="1"/>
  <c r="U42" i="5"/>
  <c r="U50" i="5" s="1"/>
  <c r="T42" i="5"/>
  <c r="T50" i="5" s="1"/>
  <c r="S42" i="5"/>
  <c r="S50" i="5" s="1"/>
  <c r="R42" i="5"/>
  <c r="R50" i="5" s="1"/>
  <c r="Q42" i="5"/>
  <c r="P42" i="5"/>
  <c r="P50" i="5" s="1"/>
  <c r="O42" i="5"/>
  <c r="O50" i="5" s="1"/>
  <c r="N42" i="5"/>
  <c r="N50" i="5" s="1"/>
  <c r="M42" i="5"/>
  <c r="L42" i="5"/>
  <c r="L50" i="5" s="1"/>
  <c r="K42" i="5"/>
  <c r="K50" i="5" s="1"/>
  <c r="J42" i="5"/>
  <c r="J50" i="5" s="1"/>
  <c r="I42" i="5"/>
  <c r="H42" i="5"/>
  <c r="H50" i="5" s="1"/>
  <c r="G42" i="5"/>
  <c r="G50" i="5" s="1"/>
  <c r="F42" i="5"/>
  <c r="F50" i="5" s="1"/>
  <c r="E47" i="5"/>
  <c r="E46" i="5"/>
  <c r="E45" i="5"/>
  <c r="E44" i="5"/>
  <c r="E43" i="5"/>
  <c r="E42" i="5"/>
  <c r="D57" i="5"/>
  <c r="C57" i="5"/>
  <c r="B57" i="5"/>
  <c r="D56" i="5"/>
  <c r="C56" i="5"/>
  <c r="B56" i="5"/>
  <c r="AR62" i="5"/>
  <c r="AQ62" i="5"/>
  <c r="AP62" i="5"/>
  <c r="AN62" i="5"/>
  <c r="AM62" i="5"/>
  <c r="AL62" i="5"/>
  <c r="AJ62" i="5"/>
  <c r="AI62" i="5"/>
  <c r="AH62" i="5"/>
  <c r="AF62" i="5"/>
  <c r="AE62" i="5"/>
  <c r="AD62" i="5"/>
  <c r="AB62" i="5"/>
  <c r="AA62" i="5"/>
  <c r="Z62" i="5"/>
  <c r="X62" i="5"/>
  <c r="W62" i="5"/>
  <c r="V62" i="5"/>
  <c r="T62" i="5"/>
  <c r="S62" i="5"/>
  <c r="R62" i="5"/>
  <c r="P62" i="5"/>
  <c r="O62" i="5"/>
  <c r="N62" i="5"/>
  <c r="L62" i="5"/>
  <c r="K62" i="5"/>
  <c r="J62" i="5"/>
  <c r="H62" i="5"/>
  <c r="G62" i="5"/>
  <c r="F62" i="5"/>
  <c r="AR61" i="5"/>
  <c r="AR63" i="5" s="1"/>
  <c r="AQ61" i="5"/>
  <c r="AQ63" i="5" s="1"/>
  <c r="AP61" i="5"/>
  <c r="AP63" i="5" s="1"/>
  <c r="AN61" i="5"/>
  <c r="AN63" i="5" s="1"/>
  <c r="AM61" i="5"/>
  <c r="AM63" i="5" s="1"/>
  <c r="AL61" i="5"/>
  <c r="AL63" i="5" s="1"/>
  <c r="AJ61" i="5"/>
  <c r="AJ63" i="5" s="1"/>
  <c r="AI61" i="5"/>
  <c r="AI63" i="5" s="1"/>
  <c r="AH61" i="5"/>
  <c r="AH63" i="5" s="1"/>
  <c r="AF61" i="5"/>
  <c r="AF63" i="5" s="1"/>
  <c r="AE61" i="5"/>
  <c r="AE63" i="5" s="1"/>
  <c r="AD61" i="5"/>
  <c r="AD63" i="5" s="1"/>
  <c r="AB61" i="5"/>
  <c r="AB63" i="5" s="1"/>
  <c r="AA61" i="5"/>
  <c r="AA63" i="5" s="1"/>
  <c r="Z61" i="5"/>
  <c r="Z63" i="5" s="1"/>
  <c r="X61" i="5"/>
  <c r="X63" i="5" s="1"/>
  <c r="W61" i="5"/>
  <c r="W63" i="5" s="1"/>
  <c r="V61" i="5"/>
  <c r="V63" i="5" s="1"/>
  <c r="T61" i="5"/>
  <c r="T63" i="5" s="1"/>
  <c r="S61" i="5"/>
  <c r="S63" i="5" s="1"/>
  <c r="R61" i="5"/>
  <c r="R63" i="5" s="1"/>
  <c r="P61" i="5"/>
  <c r="P63" i="5" s="1"/>
  <c r="O61" i="5"/>
  <c r="O63" i="5" s="1"/>
  <c r="N61" i="5"/>
  <c r="N63" i="5"/>
  <c r="L61" i="5"/>
  <c r="L63" i="5" s="1"/>
  <c r="K61" i="5"/>
  <c r="K63" i="5" s="1"/>
  <c r="J61" i="5"/>
  <c r="J63" i="5" s="1"/>
  <c r="H61" i="5"/>
  <c r="H63" i="5" s="1"/>
  <c r="G61" i="5"/>
  <c r="G63" i="5" s="1"/>
  <c r="F61" i="5"/>
  <c r="F63" i="5" s="1"/>
  <c r="AO57" i="5"/>
  <c r="AN57" i="5"/>
  <c r="AM57" i="5"/>
  <c r="AL57" i="5"/>
  <c r="AK57" i="5"/>
  <c r="AJ57" i="5"/>
  <c r="AI57" i="5"/>
  <c r="AH57" i="5"/>
  <c r="AG57" i="5"/>
  <c r="AF57" i="5"/>
  <c r="AE57" i="5"/>
  <c r="AD57" i="5"/>
  <c r="AC57" i="5"/>
  <c r="AB57" i="5"/>
  <c r="AA57" i="5"/>
  <c r="Z57" i="5"/>
  <c r="Y57" i="5"/>
  <c r="X57" i="5"/>
  <c r="W57" i="5"/>
  <c r="V57" i="5"/>
  <c r="U57" i="5"/>
  <c r="T57" i="5"/>
  <c r="S57" i="5"/>
  <c r="R57" i="5"/>
  <c r="Q57" i="5"/>
  <c r="P57" i="5"/>
  <c r="O57" i="5"/>
  <c r="N57" i="5"/>
  <c r="M57" i="5"/>
  <c r="L57" i="5"/>
  <c r="K57" i="5"/>
  <c r="J57" i="5"/>
  <c r="I57" i="5"/>
  <c r="H57" i="5"/>
  <c r="G57" i="5"/>
  <c r="F57" i="5"/>
  <c r="E57" i="5"/>
  <c r="AO56" i="5"/>
  <c r="AN56" i="5"/>
  <c r="AM56" i="5"/>
  <c r="AL56" i="5"/>
  <c r="AK56" i="5"/>
  <c r="AJ56" i="5"/>
  <c r="AI56" i="5"/>
  <c r="AH56" i="5"/>
  <c r="AG56" i="5"/>
  <c r="AF56" i="5"/>
  <c r="AE56" i="5"/>
  <c r="AD56" i="5"/>
  <c r="AC56" i="5"/>
  <c r="AB56" i="5"/>
  <c r="AA56" i="5"/>
  <c r="Z56" i="5"/>
  <c r="Y56" i="5"/>
  <c r="X56" i="5"/>
  <c r="W56" i="5"/>
  <c r="V56" i="5"/>
  <c r="U56" i="5"/>
  <c r="T56" i="5"/>
  <c r="S56" i="5"/>
  <c r="R56" i="5"/>
  <c r="Q56" i="5"/>
  <c r="P56" i="5"/>
  <c r="O56" i="5"/>
  <c r="N56" i="5"/>
  <c r="M56" i="5"/>
  <c r="L56" i="5"/>
  <c r="K56" i="5"/>
  <c r="J56" i="5"/>
  <c r="I56" i="5"/>
  <c r="H56" i="5"/>
  <c r="G56" i="5"/>
  <c r="F56" i="5"/>
  <c r="E56" i="5"/>
  <c r="AR57" i="5"/>
  <c r="AR56" i="5"/>
  <c r="C68" i="28"/>
  <c r="E67" i="28"/>
  <c r="E66" i="28"/>
  <c r="E65" i="28"/>
  <c r="E64" i="28"/>
  <c r="E63" i="28"/>
  <c r="E62" i="28"/>
  <c r="E61" i="28"/>
  <c r="E60" i="28"/>
  <c r="E59" i="28"/>
  <c r="E58" i="28"/>
  <c r="E57" i="28"/>
  <c r="E56" i="28"/>
  <c r="E55" i="28"/>
  <c r="E54" i="28"/>
  <c r="E53" i="28"/>
  <c r="E52" i="28"/>
  <c r="E50" i="28"/>
  <c r="E49" i="28"/>
  <c r="E48" i="28"/>
  <c r="E47" i="28"/>
  <c r="E46" i="28"/>
  <c r="E45" i="28"/>
  <c r="E44" i="28"/>
  <c r="E42" i="28"/>
  <c r="E41" i="28"/>
  <c r="E39" i="28"/>
  <c r="E38" i="28"/>
  <c r="E37" i="28"/>
  <c r="E36" i="28"/>
  <c r="E35" i="28"/>
  <c r="E34" i="28"/>
  <c r="E33" i="28"/>
  <c r="E19" i="28"/>
  <c r="E32" i="28"/>
  <c r="E31" i="28"/>
  <c r="E30" i="28"/>
  <c r="AD35" i="28"/>
  <c r="E29" i="28"/>
  <c r="AD34" i="28"/>
  <c r="E28" i="28"/>
  <c r="AD33" i="28"/>
  <c r="E27" i="28"/>
  <c r="AD32" i="28"/>
  <c r="E43" i="28"/>
  <c r="AD31" i="28"/>
  <c r="E40" i="28"/>
  <c r="AD30" i="28"/>
  <c r="E26" i="28"/>
  <c r="E25" i="28"/>
  <c r="AF28" i="28"/>
  <c r="E24" i="28"/>
  <c r="E23" i="28"/>
  <c r="E22" i="28"/>
  <c r="AD24" i="28"/>
  <c r="AD23" i="28"/>
  <c r="E21" i="28"/>
  <c r="AD22" i="28"/>
  <c r="E20" i="28"/>
  <c r="AD21" i="28"/>
  <c r="E18" i="28"/>
  <c r="AD20" i="28"/>
  <c r="E17" i="28"/>
  <c r="AD19" i="28"/>
  <c r="E16" i="28"/>
  <c r="E15" i="28"/>
  <c r="AF17" i="28"/>
  <c r="E14" i="28"/>
  <c r="E13" i="28"/>
  <c r="AD13" i="28"/>
  <c r="H13" i="28"/>
  <c r="E12" i="28"/>
  <c r="AD12" i="28"/>
  <c r="AF15" i="7" s="1"/>
  <c r="H12" i="28"/>
  <c r="E11" i="28"/>
  <c r="AD11" i="28"/>
  <c r="AF14" i="7" s="1"/>
  <c r="H11" i="28"/>
  <c r="E51" i="28"/>
  <c r="AD10" i="28"/>
  <c r="AF13" i="7" s="1"/>
  <c r="H10" i="28"/>
  <c r="E10" i="28"/>
  <c r="AD9" i="28"/>
  <c r="AF12" i="7" s="1"/>
  <c r="H9" i="28"/>
  <c r="E9" i="28"/>
  <c r="AD8" i="28"/>
  <c r="AF11" i="7" s="1"/>
  <c r="H8" i="28"/>
  <c r="E8" i="28"/>
  <c r="E7" i="28"/>
  <c r="AF6" i="28"/>
  <c r="AP57" i="5"/>
  <c r="AQ57" i="5"/>
  <c r="AS57" i="5"/>
  <c r="AS56" i="5"/>
  <c r="AQ56" i="5"/>
  <c r="AP56" i="5"/>
  <c r="C68" i="27"/>
  <c r="E67" i="27"/>
  <c r="E66" i="27"/>
  <c r="E65" i="27"/>
  <c r="E64" i="27"/>
  <c r="E63" i="27"/>
  <c r="E62" i="27"/>
  <c r="E61" i="27"/>
  <c r="E60" i="27"/>
  <c r="E59" i="27"/>
  <c r="E58" i="27"/>
  <c r="E57" i="27"/>
  <c r="E56" i="27"/>
  <c r="E55" i="27"/>
  <c r="E54" i="27"/>
  <c r="E53" i="27"/>
  <c r="E52" i="27"/>
  <c r="E51" i="27"/>
  <c r="E50" i="27"/>
  <c r="E49" i="27"/>
  <c r="E48" i="27"/>
  <c r="E47" i="27"/>
  <c r="E46" i="27"/>
  <c r="E45" i="27"/>
  <c r="E44" i="27"/>
  <c r="E43" i="27"/>
  <c r="E42" i="27"/>
  <c r="E41" i="27"/>
  <c r="E40" i="27"/>
  <c r="E39" i="27"/>
  <c r="E38" i="27"/>
  <c r="E37" i="27"/>
  <c r="E36" i="27"/>
  <c r="E35" i="27"/>
  <c r="E34" i="27"/>
  <c r="E33" i="27"/>
  <c r="E32" i="27"/>
  <c r="AD35" i="27"/>
  <c r="E31" i="27"/>
  <c r="AD34" i="27"/>
  <c r="E30" i="27"/>
  <c r="AD33" i="27"/>
  <c r="E29" i="27"/>
  <c r="AD32" i="27"/>
  <c r="E28" i="27"/>
  <c r="AD31" i="27"/>
  <c r="E27" i="27"/>
  <c r="AD30" i="27"/>
  <c r="E26" i="27"/>
  <c r="E25" i="27"/>
  <c r="AF28" i="27"/>
  <c r="E24" i="27"/>
  <c r="E23" i="27"/>
  <c r="E22" i="27"/>
  <c r="AD24" i="27"/>
  <c r="AD23" i="27"/>
  <c r="E21" i="27"/>
  <c r="AD22" i="27"/>
  <c r="E20" i="27"/>
  <c r="AD21" i="27"/>
  <c r="E19" i="27"/>
  <c r="AD20" i="27"/>
  <c r="E18" i="27"/>
  <c r="AD19" i="27"/>
  <c r="AD25" i="27" s="1"/>
  <c r="AE25" i="27" s="1"/>
  <c r="E17" i="27"/>
  <c r="E16" i="27"/>
  <c r="AF17" i="27"/>
  <c r="E15" i="27"/>
  <c r="E14" i="27"/>
  <c r="AD13" i="27"/>
  <c r="H13" i="27"/>
  <c r="E13" i="27"/>
  <c r="AD12" i="27"/>
  <c r="H12" i="27"/>
  <c r="E12" i="27"/>
  <c r="AD11" i="27"/>
  <c r="H11" i="27"/>
  <c r="E11" i="27"/>
  <c r="AD10" i="27"/>
  <c r="H10" i="27"/>
  <c r="E10" i="27"/>
  <c r="AD9" i="27"/>
  <c r="H9" i="27"/>
  <c r="E9" i="27"/>
  <c r="AD8" i="27"/>
  <c r="H8" i="27"/>
  <c r="E8" i="27"/>
  <c r="E7" i="27"/>
  <c r="AF6" i="27"/>
  <c r="C68" i="26"/>
  <c r="E67" i="26"/>
  <c r="E66" i="26"/>
  <c r="E65" i="26"/>
  <c r="E64" i="26"/>
  <c r="E63" i="26"/>
  <c r="E62" i="26"/>
  <c r="E61" i="26"/>
  <c r="E60" i="26"/>
  <c r="E59" i="26"/>
  <c r="E43" i="26"/>
  <c r="E58" i="26"/>
  <c r="E57" i="26"/>
  <c r="E56" i="26"/>
  <c r="E55" i="26"/>
  <c r="E54" i="26"/>
  <c r="E53" i="26"/>
  <c r="E52" i="26"/>
  <c r="E51" i="26"/>
  <c r="E50" i="26"/>
  <c r="E49" i="26"/>
  <c r="E48" i="26"/>
  <c r="E47" i="26"/>
  <c r="E46" i="26"/>
  <c r="E32" i="26"/>
  <c r="E45" i="26"/>
  <c r="E44" i="26"/>
  <c r="E42" i="26"/>
  <c r="E24" i="26"/>
  <c r="E41" i="26"/>
  <c r="E40" i="26"/>
  <c r="E39" i="26"/>
  <c r="E38" i="26"/>
  <c r="E37" i="26"/>
  <c r="E36" i="26"/>
  <c r="E35" i="26"/>
  <c r="E34" i="26"/>
  <c r="AD35" i="26"/>
  <c r="E33" i="26"/>
  <c r="AD34" i="26"/>
  <c r="E16" i="26"/>
  <c r="AD33" i="26"/>
  <c r="E31" i="26"/>
  <c r="AD32" i="26"/>
  <c r="E30" i="26"/>
  <c r="AD31" i="26"/>
  <c r="E29" i="26"/>
  <c r="AD30" i="26"/>
  <c r="E28" i="26"/>
  <c r="E27" i="26"/>
  <c r="AF28" i="26"/>
  <c r="E26" i="26"/>
  <c r="E25" i="26"/>
  <c r="E23" i="26"/>
  <c r="E22" i="26"/>
  <c r="AD24" i="26"/>
  <c r="AD23" i="26"/>
  <c r="AD22" i="26"/>
  <c r="E21" i="26"/>
  <c r="AD21" i="26"/>
  <c r="E20" i="26"/>
  <c r="AD20" i="26"/>
  <c r="E19" i="26"/>
  <c r="AD19" i="26"/>
  <c r="E18" i="26"/>
  <c r="E17" i="26"/>
  <c r="AF17" i="26"/>
  <c r="E15" i="26"/>
  <c r="E14" i="26"/>
  <c r="AD13" i="26"/>
  <c r="H13" i="26"/>
  <c r="E13" i="26"/>
  <c r="AD12" i="26"/>
  <c r="H12" i="26"/>
  <c r="E12" i="26"/>
  <c r="AD11" i="26"/>
  <c r="H11" i="26"/>
  <c r="E11" i="26"/>
  <c r="AD10" i="26"/>
  <c r="H10" i="26"/>
  <c r="E10" i="26"/>
  <c r="AD9" i="26"/>
  <c r="H9" i="26"/>
  <c r="E9" i="26"/>
  <c r="AD8" i="26"/>
  <c r="H8" i="26"/>
  <c r="E8" i="26"/>
  <c r="E7" i="26"/>
  <c r="AF6" i="26"/>
  <c r="L14" i="9"/>
  <c r="AD35" i="25"/>
  <c r="AD34" i="25"/>
  <c r="AD33" i="25"/>
  <c r="AD32" i="25"/>
  <c r="AD31" i="25"/>
  <c r="AD30" i="25"/>
  <c r="AD24" i="25"/>
  <c r="AD23" i="25"/>
  <c r="AD22" i="25"/>
  <c r="AD21" i="25"/>
  <c r="AD20" i="25"/>
  <c r="AD19" i="25"/>
  <c r="AD13" i="25"/>
  <c r="AD12" i="25"/>
  <c r="AD11" i="25"/>
  <c r="AD10" i="25"/>
  <c r="AD9" i="25"/>
  <c r="AD8" i="25"/>
  <c r="AF28" i="25"/>
  <c r="AF17" i="25"/>
  <c r="AF6" i="25"/>
  <c r="E67" i="25"/>
  <c r="E66" i="25"/>
  <c r="E65" i="25"/>
  <c r="E64" i="25"/>
  <c r="E63" i="25"/>
  <c r="E62" i="25"/>
  <c r="E61" i="25"/>
  <c r="E60" i="25"/>
  <c r="E59" i="25"/>
  <c r="E58" i="25"/>
  <c r="E57" i="25"/>
  <c r="E56" i="25"/>
  <c r="E55" i="25"/>
  <c r="E54" i="25"/>
  <c r="E53" i="25"/>
  <c r="E52" i="25"/>
  <c r="E51" i="25"/>
  <c r="E50" i="25"/>
  <c r="E49" i="25"/>
  <c r="E48" i="25"/>
  <c r="E32" i="25"/>
  <c r="E47" i="25"/>
  <c r="E46" i="25"/>
  <c r="E45" i="25"/>
  <c r="E44" i="25"/>
  <c r="E43" i="25"/>
  <c r="E42" i="25"/>
  <c r="E41" i="25"/>
  <c r="E40" i="25"/>
  <c r="E39" i="25"/>
  <c r="E38" i="25"/>
  <c r="E37" i="25"/>
  <c r="E36" i="25"/>
  <c r="E35" i="25"/>
  <c r="E34" i="25"/>
  <c r="E33" i="25"/>
  <c r="E31" i="25"/>
  <c r="E30" i="25"/>
  <c r="E29" i="25"/>
  <c r="E28" i="25"/>
  <c r="E27" i="25"/>
  <c r="E26" i="25"/>
  <c r="E25" i="25"/>
  <c r="E24" i="25"/>
  <c r="E23" i="25"/>
  <c r="E22" i="25"/>
  <c r="E21" i="25"/>
  <c r="E20" i="25"/>
  <c r="E19" i="25"/>
  <c r="E18" i="25"/>
  <c r="E17" i="25"/>
  <c r="E16" i="25"/>
  <c r="E15" i="25"/>
  <c r="E14" i="25"/>
  <c r="E13" i="25"/>
  <c r="E12" i="25"/>
  <c r="E11" i="25"/>
  <c r="E10" i="25"/>
  <c r="E9" i="25"/>
  <c r="E8" i="25"/>
  <c r="E7" i="25"/>
  <c r="C68" i="25"/>
  <c r="H13" i="25"/>
  <c r="H12" i="25"/>
  <c r="H11" i="25"/>
  <c r="H10" i="25"/>
  <c r="H9" i="25"/>
  <c r="H8" i="25"/>
  <c r="AD35" i="24"/>
  <c r="AC36" i="7" s="1"/>
  <c r="AD34" i="24"/>
  <c r="AD33" i="24"/>
  <c r="AC34" i="7"/>
  <c r="AD32" i="24"/>
  <c r="AC33" i="7" s="1"/>
  <c r="AD31" i="24"/>
  <c r="AC32" i="7"/>
  <c r="AD30" i="24"/>
  <c r="AF28" i="24"/>
  <c r="AD24" i="24"/>
  <c r="AC26" i="7" s="1"/>
  <c r="AD23" i="24"/>
  <c r="AC25" i="7" s="1"/>
  <c r="AD22" i="24"/>
  <c r="AC24" i="7" s="1"/>
  <c r="AD21" i="24"/>
  <c r="AC23" i="7" s="1"/>
  <c r="AD20" i="24"/>
  <c r="AD25" i="24" s="1"/>
  <c r="AF17" i="24"/>
  <c r="AD19" i="24"/>
  <c r="AC21" i="7"/>
  <c r="AD13" i="24"/>
  <c r="AC16" i="7" s="1"/>
  <c r="AD12" i="24"/>
  <c r="AC15" i="7" s="1"/>
  <c r="AD11" i="24"/>
  <c r="AC14" i="7" s="1"/>
  <c r="AD10" i="24"/>
  <c r="AD9" i="24"/>
  <c r="AD8" i="24"/>
  <c r="AC11" i="7" s="1"/>
  <c r="AF6" i="24"/>
  <c r="C75" i="24"/>
  <c r="E74" i="24"/>
  <c r="E73" i="24"/>
  <c r="E72" i="24"/>
  <c r="E71" i="24"/>
  <c r="E70" i="24"/>
  <c r="E69" i="24"/>
  <c r="E68" i="24"/>
  <c r="E67" i="24"/>
  <c r="E66" i="24"/>
  <c r="E65" i="24"/>
  <c r="E64" i="24"/>
  <c r="E63" i="24"/>
  <c r="E62" i="24"/>
  <c r="E60" i="24"/>
  <c r="E59" i="24"/>
  <c r="E58" i="24"/>
  <c r="E56" i="24"/>
  <c r="E55" i="24"/>
  <c r="E54" i="24"/>
  <c r="E53" i="24"/>
  <c r="E52" i="24"/>
  <c r="E51" i="24"/>
  <c r="E50" i="24"/>
  <c r="E49" i="24"/>
  <c r="E48" i="24"/>
  <c r="E47" i="24"/>
  <c r="E30" i="24"/>
  <c r="E46" i="24"/>
  <c r="E45" i="24"/>
  <c r="E44" i="24"/>
  <c r="E43" i="24"/>
  <c r="E61" i="24"/>
  <c r="E41" i="24"/>
  <c r="E40" i="24"/>
  <c r="E39" i="24"/>
  <c r="E38" i="24"/>
  <c r="E21" i="24"/>
  <c r="E37" i="24"/>
  <c r="E36" i="24"/>
  <c r="E35" i="24"/>
  <c r="E34" i="24"/>
  <c r="E33" i="24"/>
  <c r="E32" i="24"/>
  <c r="E31" i="24"/>
  <c r="E29" i="24"/>
  <c r="E28" i="24"/>
  <c r="E27" i="24"/>
  <c r="E26" i="24"/>
  <c r="E25" i="24"/>
  <c r="E22" i="24"/>
  <c r="E20" i="24"/>
  <c r="E19" i="24"/>
  <c r="E18" i="24"/>
  <c r="E17" i="24"/>
  <c r="E14" i="24"/>
  <c r="H13" i="24"/>
  <c r="E13" i="24"/>
  <c r="H12" i="24"/>
  <c r="E12" i="24"/>
  <c r="H11" i="24"/>
  <c r="E11" i="24"/>
  <c r="H10" i="24"/>
  <c r="H14" i="24" s="1"/>
  <c r="I13" i="24" s="1"/>
  <c r="E10" i="24"/>
  <c r="H9" i="24"/>
  <c r="E9" i="24"/>
  <c r="H8" i="24"/>
  <c r="E8" i="24"/>
  <c r="E7" i="24"/>
  <c r="AF6" i="20"/>
  <c r="AG6" i="24" s="1"/>
  <c r="AF28" i="20"/>
  <c r="AF17" i="20"/>
  <c r="Z37" i="7"/>
  <c r="AA36" i="7" s="1"/>
  <c r="W37" i="7"/>
  <c r="T37" i="7"/>
  <c r="Z27" i="7"/>
  <c r="AA22" i="7" s="1"/>
  <c r="W27" i="7"/>
  <c r="X23" i="7" s="1"/>
  <c r="T27" i="7"/>
  <c r="U24" i="7" s="1"/>
  <c r="Z17" i="7"/>
  <c r="AA14" i="7" s="1"/>
  <c r="W17" i="7"/>
  <c r="X11" i="7" s="1"/>
  <c r="T17" i="7"/>
  <c r="U11" i="7" s="1"/>
  <c r="AD35" i="20"/>
  <c r="AD34" i="20"/>
  <c r="AD33" i="20"/>
  <c r="AD32" i="20"/>
  <c r="AD31" i="20"/>
  <c r="AD30" i="20"/>
  <c r="AD24" i="20"/>
  <c r="AD23" i="20"/>
  <c r="AD22" i="20"/>
  <c r="AD21" i="20"/>
  <c r="AD20" i="20"/>
  <c r="AD19" i="20"/>
  <c r="AD13" i="20"/>
  <c r="AD12" i="20"/>
  <c r="AD11" i="20"/>
  <c r="AD10" i="20"/>
  <c r="AD9" i="20"/>
  <c r="AD8" i="20"/>
  <c r="E8" i="20"/>
  <c r="E7" i="20"/>
  <c r="E75" i="20"/>
  <c r="E51" i="20"/>
  <c r="E74" i="20"/>
  <c r="E69" i="20"/>
  <c r="E68" i="20"/>
  <c r="E67" i="20"/>
  <c r="E72" i="20"/>
  <c r="E66" i="20"/>
  <c r="E73" i="20"/>
  <c r="E65" i="20"/>
  <c r="E64" i="20"/>
  <c r="E63" i="20"/>
  <c r="E62" i="20"/>
  <c r="E61" i="20"/>
  <c r="E60" i="20"/>
  <c r="E59" i="20"/>
  <c r="E56" i="20"/>
  <c r="E55" i="20"/>
  <c r="E54" i="20"/>
  <c r="E53" i="20"/>
  <c r="E52" i="20"/>
  <c r="E50" i="20"/>
  <c r="E49" i="20"/>
  <c r="E48" i="20"/>
  <c r="E47" i="20"/>
  <c r="E46" i="20"/>
  <c r="E45" i="20"/>
  <c r="E44" i="20"/>
  <c r="E43" i="20"/>
  <c r="E41" i="20"/>
  <c r="E40" i="20"/>
  <c r="E39" i="20"/>
  <c r="E38" i="20"/>
  <c r="E37" i="20"/>
  <c r="E36" i="20"/>
  <c r="E57" i="20"/>
  <c r="E35" i="20"/>
  <c r="E34" i="20"/>
  <c r="E33" i="20"/>
  <c r="E32" i="20"/>
  <c r="E31" i="20"/>
  <c r="E30" i="20"/>
  <c r="E29" i="20"/>
  <c r="E28" i="20"/>
  <c r="E27" i="20"/>
  <c r="E26" i="20"/>
  <c r="E25" i="20"/>
  <c r="E24" i="20"/>
  <c r="E23" i="20"/>
  <c r="E20" i="20"/>
  <c r="E19" i="20"/>
  <c r="E18" i="20"/>
  <c r="E17" i="20"/>
  <c r="E14" i="20"/>
  <c r="E13" i="20"/>
  <c r="E12" i="20"/>
  <c r="E11" i="20"/>
  <c r="E10" i="20"/>
  <c r="E9" i="20"/>
  <c r="E71" i="20"/>
  <c r="E70" i="20"/>
  <c r="C76" i="20"/>
  <c r="H13" i="20"/>
  <c r="H12" i="20"/>
  <c r="H11" i="20"/>
  <c r="H10" i="20"/>
  <c r="H9" i="20"/>
  <c r="H8" i="20"/>
  <c r="C77" i="17"/>
  <c r="F13" i="17"/>
  <c r="F12" i="17"/>
  <c r="F11" i="17"/>
  <c r="F14" i="17" s="1"/>
  <c r="F10" i="17"/>
  <c r="F9" i="17"/>
  <c r="F8" i="17"/>
  <c r="C76" i="16"/>
  <c r="F13" i="16"/>
  <c r="F12" i="16"/>
  <c r="F11" i="16"/>
  <c r="F10" i="16"/>
  <c r="F9" i="16"/>
  <c r="F8" i="16"/>
  <c r="K14" i="10"/>
  <c r="K13" i="10" s="1"/>
  <c r="K14" i="9"/>
  <c r="J14" i="10"/>
  <c r="J13" i="10" s="1"/>
  <c r="J14" i="9"/>
  <c r="E17" i="7"/>
  <c r="F13" i="7" s="1"/>
  <c r="H17" i="7"/>
  <c r="I14" i="7" s="1"/>
  <c r="K17" i="7"/>
  <c r="L14" i="7" s="1"/>
  <c r="N17" i="7"/>
  <c r="O13" i="7" s="1"/>
  <c r="Q17" i="7"/>
  <c r="R13" i="7" s="1"/>
  <c r="E27" i="7"/>
  <c r="F27" i="7"/>
  <c r="H27" i="7"/>
  <c r="I27" i="7"/>
  <c r="K27" i="7"/>
  <c r="L27" i="7"/>
  <c r="N27" i="7"/>
  <c r="O22" i="7" s="1"/>
  <c r="Q27" i="7"/>
  <c r="E37" i="7"/>
  <c r="F37" i="7"/>
  <c r="H37" i="7"/>
  <c r="I37" i="7"/>
  <c r="K37" i="7"/>
  <c r="L37" i="7"/>
  <c r="N37" i="7"/>
  <c r="O35" i="7" s="1"/>
  <c r="Q37" i="7"/>
  <c r="R31" i="7" s="1"/>
  <c r="D14" i="10"/>
  <c r="D13" i="10" s="1"/>
  <c r="E14" i="10"/>
  <c r="E13" i="10" s="1"/>
  <c r="F14" i="10"/>
  <c r="F13" i="10" s="1"/>
  <c r="G14" i="10"/>
  <c r="G13" i="10" s="1"/>
  <c r="H14" i="10"/>
  <c r="H13" i="10" s="1"/>
  <c r="I14" i="10"/>
  <c r="I13" i="10" s="1"/>
  <c r="D14" i="9"/>
  <c r="E14" i="9"/>
  <c r="F14" i="9"/>
  <c r="G14" i="9"/>
  <c r="H14" i="9"/>
  <c r="I14" i="9"/>
  <c r="F16" i="8"/>
  <c r="G15" i="8" s="1"/>
  <c r="C85" i="8"/>
  <c r="F14" i="11"/>
  <c r="C77" i="11"/>
  <c r="G13" i="11"/>
  <c r="G9" i="11"/>
  <c r="R12" i="7"/>
  <c r="AF32" i="7"/>
  <c r="AI12" i="7"/>
  <c r="AL12" i="7"/>
  <c r="AL13" i="7"/>
  <c r="AO13" i="7"/>
  <c r="AU12" i="7"/>
  <c r="AO22" i="7"/>
  <c r="I8" i="24" l="1"/>
  <c r="AW51" i="5"/>
  <c r="N12" i="9" s="1"/>
  <c r="AW52" i="5"/>
  <c r="H14" i="25"/>
  <c r="H14" i="27"/>
  <c r="I13" i="27" s="1"/>
  <c r="Q16" i="10"/>
  <c r="P16" i="10"/>
  <c r="AW50" i="5"/>
  <c r="N11" i="9" s="1"/>
  <c r="AU58" i="5"/>
  <c r="E58" i="5"/>
  <c r="AO58" i="5"/>
  <c r="AA26" i="7"/>
  <c r="AU22" i="7"/>
  <c r="AI22" i="7"/>
  <c r="AI13" i="7"/>
  <c r="AR13" i="7"/>
  <c r="AU13" i="7"/>
  <c r="AR22" i="7"/>
  <c r="AL22" i="7"/>
  <c r="Q58" i="5" l="1"/>
  <c r="B58" i="5"/>
  <c r="AI58" i="5"/>
  <c r="J58" i="5"/>
  <c r="AC51" i="5"/>
  <c r="I62" i="5"/>
  <c r="R58" i="5"/>
  <c r="AO62" i="5"/>
  <c r="L12" i="10" s="1"/>
  <c r="AP58" i="5"/>
  <c r="L58" i="5"/>
  <c r="P58" i="5"/>
  <c r="AF58" i="5"/>
  <c r="AJ58" i="5"/>
  <c r="E62" i="5"/>
  <c r="E63" i="5" s="1"/>
  <c r="AO50" i="5"/>
  <c r="AC52" i="5"/>
  <c r="AK52" i="5"/>
  <c r="U58" i="5"/>
  <c r="AC58" i="5"/>
  <c r="AG58" i="5"/>
  <c r="C58" i="5"/>
  <c r="G58" i="5"/>
  <c r="AE58" i="5"/>
  <c r="I50" i="5"/>
  <c r="N58" i="5"/>
  <c r="D58" i="5"/>
  <c r="E50" i="5"/>
  <c r="Q50" i="5"/>
  <c r="AC50" i="5"/>
  <c r="M50" i="5"/>
  <c r="AK50" i="5"/>
  <c r="AM58" i="5"/>
  <c r="E51" i="5"/>
  <c r="Y50" i="5"/>
  <c r="Y52" i="5"/>
  <c r="U61" i="5"/>
  <c r="U62" i="5"/>
  <c r="Q61" i="5"/>
  <c r="AK61" i="5"/>
  <c r="I61" i="5"/>
  <c r="I63" i="5" s="1"/>
  <c r="E61" i="5"/>
  <c r="I51" i="5"/>
  <c r="M51" i="5"/>
  <c r="Q51" i="5"/>
  <c r="U51" i="5"/>
  <c r="I52" i="5"/>
  <c r="F58" i="5"/>
  <c r="Z58" i="5"/>
  <c r="AK58" i="5"/>
  <c r="Q62" i="5"/>
  <c r="AS61" i="5"/>
  <c r="M11" i="10" s="1"/>
  <c r="AH58" i="5"/>
  <c r="AO61" i="5"/>
  <c r="L11" i="10" s="1"/>
  <c r="H58" i="5"/>
  <c r="T58" i="5"/>
  <c r="AK62" i="5"/>
  <c r="E52" i="5"/>
  <c r="AG52" i="5"/>
  <c r="U53" i="5"/>
  <c r="I15" i="7"/>
  <c r="I16" i="7"/>
  <c r="I12" i="7"/>
  <c r="X12" i="7"/>
  <c r="R11" i="7"/>
  <c r="R14" i="7"/>
  <c r="R34" i="7"/>
  <c r="AY23" i="7"/>
  <c r="AY32" i="7"/>
  <c r="G14" i="17"/>
  <c r="G9" i="17"/>
  <c r="X31" i="7"/>
  <c r="X35" i="7"/>
  <c r="AF26" i="7"/>
  <c r="M14" i="9"/>
  <c r="R16" i="7"/>
  <c r="AA15" i="7"/>
  <c r="I10" i="24"/>
  <c r="G10" i="11"/>
  <c r="G8" i="11"/>
  <c r="G12" i="11"/>
  <c r="G14" i="11"/>
  <c r="G11" i="11"/>
  <c r="AD14" i="24"/>
  <c r="AC22" i="7"/>
  <c r="O58" i="5"/>
  <c r="S58" i="5"/>
  <c r="Y51" i="5"/>
  <c r="G13" i="8"/>
  <c r="G12" i="8"/>
  <c r="G14" i="8"/>
  <c r="G10" i="8"/>
  <c r="G11" i="8"/>
  <c r="O25" i="7"/>
  <c r="O21" i="7"/>
  <c r="AE24" i="27"/>
  <c r="AD14" i="28"/>
  <c r="O26" i="7"/>
  <c r="AD25" i="20"/>
  <c r="AD36" i="20"/>
  <c r="U31" i="7"/>
  <c r="U34" i="7"/>
  <c r="I9" i="24"/>
  <c r="AC35" i="7"/>
  <c r="AD25" i="26"/>
  <c r="AE25" i="26" s="1"/>
  <c r="AE33" i="26"/>
  <c r="AE35" i="26"/>
  <c r="AE21" i="27"/>
  <c r="AE23" i="27"/>
  <c r="AD36" i="27"/>
  <c r="AE36" i="27" s="1"/>
  <c r="AQ58" i="5"/>
  <c r="AS62" i="5"/>
  <c r="M12" i="10" s="1"/>
  <c r="AF21" i="7"/>
  <c r="AF23" i="7"/>
  <c r="AF25" i="7"/>
  <c r="AF31" i="7"/>
  <c r="AF33" i="7"/>
  <c r="AF35" i="7"/>
  <c r="AR58" i="5"/>
  <c r="AS53" i="5"/>
  <c r="AK51" i="5"/>
  <c r="X58" i="5"/>
  <c r="AC62" i="5"/>
  <c r="AL58" i="5"/>
  <c r="AE32" i="26"/>
  <c r="AE20" i="27"/>
  <c r="AE22" i="27"/>
  <c r="AE31" i="27"/>
  <c r="AE13" i="28"/>
  <c r="AF22" i="7"/>
  <c r="AF24" i="7"/>
  <c r="AF34" i="7"/>
  <c r="AF36" i="7"/>
  <c r="K58" i="5"/>
  <c r="M58" i="5"/>
  <c r="AG51" i="5"/>
  <c r="Q52" i="5"/>
  <c r="AD14" i="20"/>
  <c r="AE9" i="20" s="1"/>
  <c r="AG17" i="24"/>
  <c r="AD14" i="25"/>
  <c r="AD25" i="25"/>
  <c r="AE25" i="25" s="1"/>
  <c r="AE19" i="25"/>
  <c r="AE19" i="27"/>
  <c r="AS58" i="5"/>
  <c r="I58" i="5"/>
  <c r="M61" i="5"/>
  <c r="W58" i="5"/>
  <c r="AA58" i="5"/>
  <c r="AN58" i="5"/>
  <c r="M62" i="5"/>
  <c r="AO51" i="5"/>
  <c r="AO52" i="5"/>
  <c r="AD36" i="26"/>
  <c r="AE36" i="26" s="1"/>
  <c r="H14" i="26"/>
  <c r="I10" i="26" s="1"/>
  <c r="H14" i="28"/>
  <c r="AD36" i="28"/>
  <c r="AE36" i="28" s="1"/>
  <c r="AE8" i="28"/>
  <c r="AF16" i="7"/>
  <c r="R15" i="7"/>
  <c r="O24" i="7"/>
  <c r="O23" i="7"/>
  <c r="AA11" i="7"/>
  <c r="F16" i="7"/>
  <c r="AU32" i="7"/>
  <c r="AR32" i="7"/>
  <c r="AR23" i="7"/>
  <c r="AL32" i="7"/>
  <c r="AI32" i="7"/>
  <c r="AE30" i="28" l="1"/>
  <c r="AE35" i="28"/>
  <c r="L14" i="10"/>
  <c r="AE31" i="28"/>
  <c r="AE30" i="26"/>
  <c r="AE34" i="28"/>
  <c r="AE20" i="25"/>
  <c r="M53" i="5"/>
  <c r="Q53" i="5"/>
  <c r="AE19" i="26"/>
  <c r="AK53" i="5"/>
  <c r="Y53" i="5"/>
  <c r="E53" i="5"/>
  <c r="U63" i="5"/>
  <c r="AK63" i="5"/>
  <c r="I53" i="5"/>
  <c r="AG53" i="5"/>
  <c r="M14" i="10"/>
  <c r="M13" i="10" s="1"/>
  <c r="AY33" i="7"/>
  <c r="AE23" i="26"/>
  <c r="AE19" i="24"/>
  <c r="AE12" i="24"/>
  <c r="AE24" i="24"/>
  <c r="AE30" i="24"/>
  <c r="AE33" i="28"/>
  <c r="AE35" i="27"/>
  <c r="AE24" i="26"/>
  <c r="AE32" i="28"/>
  <c r="AE34" i="27"/>
  <c r="AE31" i="26"/>
  <c r="AE14" i="28"/>
  <c r="AE12" i="28"/>
  <c r="AE9" i="28"/>
  <c r="AE35" i="20"/>
  <c r="AE22" i="20"/>
  <c r="AE21" i="20"/>
  <c r="AE12" i="20"/>
  <c r="AE11" i="20"/>
  <c r="AE33" i="20"/>
  <c r="AE14" i="20"/>
  <c r="AE30" i="27"/>
  <c r="AE20" i="26"/>
  <c r="AE34" i="24"/>
  <c r="AS63" i="5"/>
  <c r="M63" i="5"/>
  <c r="AE23" i="25"/>
  <c r="AE33" i="27"/>
  <c r="AE34" i="26"/>
  <c r="AE21" i="26"/>
  <c r="AE22" i="25"/>
  <c r="AE32" i="27"/>
  <c r="AE22" i="26"/>
  <c r="AE24" i="25"/>
  <c r="AE25" i="24"/>
  <c r="AE36" i="20"/>
  <c r="AE19" i="20"/>
  <c r="AE11" i="28"/>
  <c r="AE21" i="25"/>
  <c r="I12" i="26"/>
  <c r="I14" i="26"/>
  <c r="I8" i="26"/>
  <c r="I14" i="28"/>
  <c r="I13" i="28"/>
  <c r="I10" i="28"/>
  <c r="I11" i="28"/>
  <c r="I9" i="28"/>
  <c r="I8" i="28"/>
  <c r="I12" i="28"/>
  <c r="L13" i="7"/>
  <c r="O15" i="7"/>
  <c r="L16" i="7"/>
  <c r="O33" i="7"/>
  <c r="L15" i="7"/>
  <c r="AA16" i="7"/>
  <c r="U32" i="7"/>
  <c r="AA13" i="7"/>
  <c r="O11" i="7"/>
  <c r="U35" i="7"/>
  <c r="O12" i="7"/>
  <c r="AY14" i="7"/>
  <c r="U33" i="7"/>
  <c r="I13" i="7"/>
  <c r="AF27" i="7"/>
  <c r="AG25" i="7" s="1"/>
  <c r="M16" i="10"/>
  <c r="N16" i="10"/>
  <c r="AW61" i="5"/>
  <c r="AW62" i="5"/>
  <c r="N12" i="10" s="1"/>
  <c r="X22" i="7"/>
  <c r="L12" i="7"/>
  <c r="X36" i="7"/>
  <c r="R17" i="7"/>
  <c r="AA12" i="7"/>
  <c r="F11" i="7"/>
  <c r="X34" i="7"/>
  <c r="X32" i="7"/>
  <c r="U36" i="7"/>
  <c r="O16" i="7"/>
  <c r="O36" i="7"/>
  <c r="X33" i="7"/>
  <c r="O32" i="7"/>
  <c r="AC27" i="7"/>
  <c r="L11" i="7"/>
  <c r="O34" i="7"/>
  <c r="F15" i="7"/>
  <c r="X16" i="7"/>
  <c r="X14" i="7"/>
  <c r="X26" i="7"/>
  <c r="X24" i="7"/>
  <c r="F14" i="7"/>
  <c r="X15" i="7"/>
  <c r="X25" i="7"/>
  <c r="X21" i="7"/>
  <c r="F12" i="7"/>
  <c r="X13" i="7"/>
  <c r="O14" i="7"/>
  <c r="I11" i="7"/>
  <c r="I12" i="25"/>
  <c r="I14" i="25"/>
  <c r="I13" i="25"/>
  <c r="I11" i="25"/>
  <c r="I8" i="25"/>
  <c r="I9" i="25"/>
  <c r="I10" i="25"/>
  <c r="AE9" i="25"/>
  <c r="AE13" i="25"/>
  <c r="AE8" i="25"/>
  <c r="AE12" i="25"/>
  <c r="AE14" i="25"/>
  <c r="AE14" i="24"/>
  <c r="AE33" i="24"/>
  <c r="U16" i="7"/>
  <c r="U14" i="7"/>
  <c r="U13" i="7"/>
  <c r="U12" i="7"/>
  <c r="U21" i="7"/>
  <c r="U22" i="7"/>
  <c r="U25" i="7"/>
  <c r="AA32" i="7"/>
  <c r="AA34" i="7"/>
  <c r="L13" i="10"/>
  <c r="AE13" i="24"/>
  <c r="AE23" i="24"/>
  <c r="AD25" i="28"/>
  <c r="AE10" i="25"/>
  <c r="R33" i="7"/>
  <c r="R32" i="7"/>
  <c r="R35" i="7"/>
  <c r="R26" i="7"/>
  <c r="R23" i="7"/>
  <c r="AD14" i="27"/>
  <c r="AE13" i="27" s="1"/>
  <c r="N13" i="9"/>
  <c r="N14" i="9" s="1"/>
  <c r="AW53" i="5"/>
  <c r="AE20" i="24"/>
  <c r="R24" i="7"/>
  <c r="AE25" i="20"/>
  <c r="I14" i="27"/>
  <c r="U15" i="7"/>
  <c r="R21" i="7"/>
  <c r="G12" i="17"/>
  <c r="AE13" i="20"/>
  <c r="AD14" i="26"/>
  <c r="AO53" i="5"/>
  <c r="G13" i="17"/>
  <c r="G10" i="17"/>
  <c r="G11" i="17"/>
  <c r="AC13" i="7"/>
  <c r="AE10" i="24"/>
  <c r="AE21" i="24"/>
  <c r="AE22" i="24"/>
  <c r="AA23" i="7"/>
  <c r="G8" i="17"/>
  <c r="AA35" i="7"/>
  <c r="F14" i="16"/>
  <c r="G8" i="16" s="1"/>
  <c r="AE32" i="20"/>
  <c r="AE20" i="20"/>
  <c r="AE31" i="20"/>
  <c r="AC31" i="7"/>
  <c r="AD36" i="24"/>
  <c r="AE36" i="24" s="1"/>
  <c r="AE11" i="25"/>
  <c r="I12" i="27"/>
  <c r="AE35" i="24"/>
  <c r="AA33" i="7"/>
  <c r="AE31" i="24"/>
  <c r="AV58" i="5"/>
  <c r="AC61" i="5"/>
  <c r="AC63" i="5" s="1"/>
  <c r="AE34" i="20"/>
  <c r="AE8" i="20"/>
  <c r="AE23" i="20"/>
  <c r="AA25" i="7"/>
  <c r="AF17" i="7"/>
  <c r="R25" i="7"/>
  <c r="I11" i="26"/>
  <c r="I13" i="26"/>
  <c r="I11" i="27"/>
  <c r="AG61" i="5"/>
  <c r="AE32" i="24"/>
  <c r="AE11" i="24"/>
  <c r="Y61" i="5"/>
  <c r="AO63" i="5"/>
  <c r="AA21" i="7"/>
  <c r="Q63" i="5"/>
  <c r="AE8" i="24"/>
  <c r="AE10" i="20"/>
  <c r="I10" i="27"/>
  <c r="I9" i="26"/>
  <c r="AE24" i="20"/>
  <c r="O27" i="7"/>
  <c r="R36" i="7"/>
  <c r="R22" i="7"/>
  <c r="U23" i="7"/>
  <c r="U26" i="7"/>
  <c r="AA24" i="7"/>
  <c r="AA31" i="7"/>
  <c r="I11" i="24"/>
  <c r="I14" i="24"/>
  <c r="I12" i="24"/>
  <c r="AC12" i="7"/>
  <c r="AE9" i="24"/>
  <c r="I8" i="27"/>
  <c r="I9" i="27"/>
  <c r="H14" i="20"/>
  <c r="AE10" i="28"/>
  <c r="O31" i="7"/>
  <c r="AE30" i="20"/>
  <c r="AG28" i="24"/>
  <c r="AD36" i="25"/>
  <c r="AF37" i="7"/>
  <c r="AG32" i="7" s="1"/>
  <c r="Y58" i="5"/>
  <c r="Y62" i="5"/>
  <c r="V58" i="5"/>
  <c r="AG62" i="5"/>
  <c r="AD58" i="5"/>
  <c r="AC53" i="5"/>
  <c r="AB58" i="5"/>
  <c r="AU23" i="7"/>
  <c r="AI33" i="7"/>
  <c r="AO32" i="7"/>
  <c r="AI23" i="7"/>
  <c r="AL23" i="7"/>
  <c r="AO23" i="7"/>
  <c r="AR14" i="7"/>
  <c r="R16" i="10" l="1"/>
  <c r="O16" i="10"/>
  <c r="AW63" i="5"/>
  <c r="AG22" i="7"/>
  <c r="AG24" i="7"/>
  <c r="AD23" i="7"/>
  <c r="AD24" i="7"/>
  <c r="AD25" i="7"/>
  <c r="AD26" i="7"/>
  <c r="AD21" i="7"/>
  <c r="AG15" i="7"/>
  <c r="AG13" i="7"/>
  <c r="AG12" i="7"/>
  <c r="AG11" i="7"/>
  <c r="AG14" i="7"/>
  <c r="AD22" i="7"/>
  <c r="AG16" i="7"/>
  <c r="AG31" i="7"/>
  <c r="AG26" i="7"/>
  <c r="AG36" i="7"/>
  <c r="AG21" i="7"/>
  <c r="AG23" i="7"/>
  <c r="AG35" i="7"/>
  <c r="AG34" i="7"/>
  <c r="AG33" i="7"/>
  <c r="I17" i="7"/>
  <c r="AY24" i="7"/>
  <c r="AE25" i="28"/>
  <c r="AE20" i="28"/>
  <c r="AE22" i="28"/>
  <c r="AE19" i="28"/>
  <c r="AE23" i="28"/>
  <c r="AE24" i="28"/>
  <c r="AE21" i="28"/>
  <c r="AE36" i="25"/>
  <c r="AE30" i="25"/>
  <c r="AE35" i="25"/>
  <c r="AE34" i="25"/>
  <c r="AE33" i="25"/>
  <c r="AE31" i="25"/>
  <c r="AE32" i="25"/>
  <c r="R14" i="10"/>
  <c r="R13" i="10" s="1"/>
  <c r="N11" i="10"/>
  <c r="N14" i="10" s="1"/>
  <c r="N13" i="10" s="1"/>
  <c r="L17" i="7"/>
  <c r="U37" i="7"/>
  <c r="AA17" i="7"/>
  <c r="AY15" i="7"/>
  <c r="O17" i="7"/>
  <c r="F17" i="7"/>
  <c r="X17" i="7"/>
  <c r="X27" i="7"/>
  <c r="O37" i="7"/>
  <c r="X37" i="7"/>
  <c r="U17" i="7"/>
  <c r="R37" i="7"/>
  <c r="AG63" i="5"/>
  <c r="I12" i="20"/>
  <c r="I14" i="20"/>
  <c r="I9" i="20"/>
  <c r="I10" i="20"/>
  <c r="I11" i="20"/>
  <c r="I8" i="20"/>
  <c r="AC17" i="7"/>
  <c r="AD12" i="7" s="1"/>
  <c r="AA37" i="7"/>
  <c r="Y63" i="5"/>
  <c r="AC37" i="7"/>
  <c r="AD31" i="7" s="1"/>
  <c r="G10" i="16"/>
  <c r="G13" i="16"/>
  <c r="G9" i="16"/>
  <c r="G12" i="16"/>
  <c r="G14" i="16"/>
  <c r="G11" i="16"/>
  <c r="I13" i="20"/>
  <c r="AE11" i="26"/>
  <c r="AE13" i="26"/>
  <c r="AE10" i="26"/>
  <c r="AE8" i="26"/>
  <c r="AE14" i="26"/>
  <c r="AE12" i="26"/>
  <c r="AA27" i="7"/>
  <c r="AE9" i="26"/>
  <c r="R27" i="7"/>
  <c r="AE10" i="27"/>
  <c r="AE9" i="27"/>
  <c r="AE14" i="27"/>
  <c r="AE11" i="27"/>
  <c r="AE8" i="27"/>
  <c r="AE12" i="27"/>
  <c r="U27" i="7"/>
  <c r="AO14" i="7"/>
  <c r="AU14" i="7"/>
  <c r="AI14" i="7"/>
  <c r="AU33" i="7"/>
  <c r="AU15" i="7"/>
  <c r="AI15" i="7"/>
  <c r="AR33" i="7"/>
  <c r="AO33" i="7"/>
  <c r="AL33" i="7"/>
  <c r="AL14" i="7"/>
  <c r="AU24" i="7"/>
  <c r="AG27" i="7" l="1"/>
  <c r="AG37" i="7"/>
  <c r="AD14" i="7"/>
  <c r="AD15" i="7"/>
  <c r="AD16" i="7"/>
  <c r="AD11" i="7"/>
  <c r="AD13" i="7"/>
  <c r="AG17" i="7"/>
  <c r="AD33" i="7"/>
  <c r="AD36" i="7"/>
  <c r="AD34" i="7"/>
  <c r="AD32" i="7"/>
  <c r="AD35" i="7"/>
  <c r="AD27" i="7"/>
  <c r="AY25" i="7"/>
  <c r="AY34" i="7"/>
  <c r="AY16" i="7"/>
  <c r="AI24" i="7"/>
  <c r="AR16" i="7"/>
  <c r="AR24" i="7"/>
  <c r="AO15" i="7"/>
  <c r="AL15" i="7"/>
  <c r="AO16" i="7"/>
  <c r="AU16" i="7"/>
  <c r="AR15" i="7"/>
  <c r="AL24" i="7"/>
  <c r="AO24" i="7"/>
  <c r="AL16" i="7"/>
  <c r="AR25" i="7"/>
  <c r="AL25" i="7"/>
  <c r="AU25" i="7"/>
  <c r="AU34" i="7"/>
  <c r="AO17" i="7" l="1"/>
  <c r="AU17" i="7"/>
  <c r="AV16" i="7" s="1"/>
  <c r="AI25" i="7"/>
  <c r="AO34" i="7"/>
  <c r="AL34" i="7"/>
  <c r="AI34" i="7"/>
  <c r="AR34" i="7"/>
  <c r="AO25" i="7"/>
  <c r="AI16" i="7"/>
  <c r="AP11" i="7" l="1"/>
  <c r="AP12" i="7"/>
  <c r="AP13" i="7"/>
  <c r="AP14" i="7"/>
  <c r="AP15" i="7"/>
  <c r="AP16" i="7"/>
  <c r="AV14" i="7"/>
  <c r="AV11" i="7"/>
  <c r="AV12" i="7"/>
  <c r="AV13" i="7"/>
  <c r="AV15" i="7"/>
  <c r="AR17" i="7"/>
  <c r="AS16" i="7" s="1"/>
  <c r="AD37" i="7"/>
  <c r="AD17" i="7"/>
  <c r="AL17" i="7"/>
  <c r="AM16" i="7" s="1"/>
  <c r="AY35" i="7"/>
  <c r="AY26" i="7"/>
  <c r="AI17" i="7"/>
  <c r="AL26" i="7"/>
  <c r="AI26" i="7"/>
  <c r="AI35" i="7"/>
  <c r="AP17" i="7" l="1"/>
  <c r="AV17" i="7"/>
  <c r="AR35" i="7"/>
  <c r="AO35" i="7"/>
  <c r="AU35" i="7"/>
  <c r="AL35" i="7"/>
  <c r="AR26" i="7"/>
  <c r="AU26" i="7"/>
  <c r="AO26" i="7"/>
  <c r="AO27" i="7" l="1"/>
  <c r="AP26" i="7" s="1"/>
  <c r="AU27" i="7"/>
  <c r="AV26" i="7" s="1"/>
  <c r="AR27" i="7"/>
  <c r="AS26" i="7" s="1"/>
  <c r="AS11" i="7"/>
  <c r="AS12" i="7"/>
  <c r="AS13" i="7"/>
  <c r="AS14" i="7"/>
  <c r="AS15" i="7"/>
  <c r="AJ11" i="7"/>
  <c r="AJ12" i="7"/>
  <c r="AJ13" i="7"/>
  <c r="AJ14" i="7"/>
  <c r="AJ15" i="7"/>
  <c r="AJ16" i="7"/>
  <c r="AL27" i="7"/>
  <c r="AY36" i="7"/>
  <c r="AM12" i="7"/>
  <c r="AM13" i="7"/>
  <c r="AM11" i="7"/>
  <c r="AM14" i="7"/>
  <c r="AM15" i="7"/>
  <c r="AO36" i="7"/>
  <c r="AP21" i="7" l="1"/>
  <c r="AP25" i="7"/>
  <c r="AP24" i="7"/>
  <c r="AP23" i="7"/>
  <c r="AP22" i="7"/>
  <c r="AO37" i="7"/>
  <c r="AV23" i="7"/>
  <c r="AV21" i="7"/>
  <c r="AV22" i="7"/>
  <c r="AV24" i="7"/>
  <c r="AV25" i="7"/>
  <c r="AI36" i="7"/>
  <c r="AU36" i="7"/>
  <c r="AL36" i="7"/>
  <c r="AR36" i="7"/>
  <c r="AP27" i="7" l="1"/>
  <c r="AV27" i="7"/>
  <c r="AP31" i="7"/>
  <c r="AP32" i="7"/>
  <c r="AP33" i="7"/>
  <c r="AP34" i="7"/>
  <c r="AP35" i="7"/>
  <c r="AP36" i="7"/>
  <c r="AU37" i="7"/>
  <c r="AR37" i="7"/>
  <c r="AS17" i="7"/>
  <c r="AS21" i="7"/>
  <c r="AS22" i="7"/>
  <c r="AS23" i="7"/>
  <c r="AS24" i="7"/>
  <c r="AS25" i="7"/>
  <c r="AJ17" i="7"/>
  <c r="AL37" i="7"/>
  <c r="AM21" i="7"/>
  <c r="AI37" i="7"/>
  <c r="AI27" i="7"/>
  <c r="AM17" i="7"/>
  <c r="AP37" i="7" l="1"/>
  <c r="AV32" i="7"/>
  <c r="AV31" i="7"/>
  <c r="AV33" i="7"/>
  <c r="AV34" i="7"/>
  <c r="AV35" i="7"/>
  <c r="AV36" i="7"/>
  <c r="AS31" i="7"/>
  <c r="AS32" i="7"/>
  <c r="AS33" i="7"/>
  <c r="AS34" i="7"/>
  <c r="AS35" i="7"/>
  <c r="AS36" i="7"/>
  <c r="AS27" i="7"/>
  <c r="AJ21" i="7"/>
  <c r="AJ22" i="7"/>
  <c r="AJ23" i="7"/>
  <c r="AJ24" i="7"/>
  <c r="AJ25" i="7"/>
  <c r="AJ26" i="7"/>
  <c r="AJ31" i="7"/>
  <c r="AJ32" i="7"/>
  <c r="AJ33" i="7"/>
  <c r="AJ34" i="7"/>
  <c r="AJ35" i="7"/>
  <c r="AJ36" i="7"/>
  <c r="AM24" i="7"/>
  <c r="AM22" i="7"/>
  <c r="AM25" i="7"/>
  <c r="AM23" i="7"/>
  <c r="AM26" i="7"/>
  <c r="AV37" i="7" l="1"/>
  <c r="AS37" i="7"/>
  <c r="AJ27" i="7"/>
  <c r="AJ37" i="7"/>
  <c r="AM27" i="7"/>
  <c r="AM33" i="7"/>
  <c r="AM31" i="7"/>
  <c r="AM32" i="7"/>
  <c r="AM34" i="7"/>
  <c r="AM35" i="7"/>
  <c r="AM36" i="7"/>
  <c r="AM37" i="7" l="1"/>
</calcChain>
</file>

<file path=xl/comments1.xml><?xml version="1.0" encoding="utf-8"?>
<comments xmlns="http://schemas.openxmlformats.org/spreadsheetml/2006/main">
  <authors>
    <author>Aaron Trent</author>
  </authors>
  <commentList>
    <comment ref="R9" authorId="0" shapeId="0">
      <text>
        <r>
          <rPr>
            <b/>
            <sz val="8"/>
            <color indexed="81"/>
            <rFont val="Tahoma"/>
            <family val="2"/>
          </rPr>
          <t>EEI:</t>
        </r>
        <r>
          <rPr>
            <sz val="8"/>
            <color indexed="81"/>
            <rFont val="Tahoma"/>
            <family val="2"/>
          </rPr>
          <t xml:space="preserve">
YTD</t>
        </r>
      </text>
    </comment>
  </commentList>
</comments>
</file>

<file path=xl/comments2.xml><?xml version="1.0" encoding="utf-8"?>
<comments xmlns="http://schemas.openxmlformats.org/spreadsheetml/2006/main">
  <authors>
    <author>Aaron Trent</author>
  </authors>
  <commentList>
    <comment ref="R9" authorId="0" shapeId="0">
      <text>
        <r>
          <rPr>
            <b/>
            <sz val="8"/>
            <color indexed="81"/>
            <rFont val="Tahoma"/>
            <family val="2"/>
          </rPr>
          <t>EEI:</t>
        </r>
        <r>
          <rPr>
            <sz val="8"/>
            <color indexed="81"/>
            <rFont val="Tahoma"/>
            <family val="2"/>
          </rPr>
          <t xml:space="preserve">
YTD</t>
        </r>
      </text>
    </comment>
  </commentList>
</comments>
</file>

<file path=xl/comments3.xml><?xml version="1.0" encoding="utf-8"?>
<comments xmlns="http://schemas.openxmlformats.org/spreadsheetml/2006/main">
  <authors>
    <author>Aaron Trent</author>
  </authors>
  <commentList>
    <comment ref="Z7" authorId="0" shapeId="0">
      <text>
        <r>
          <rPr>
            <b/>
            <sz val="8"/>
            <color indexed="81"/>
            <rFont val="Tahoma"/>
            <family val="2"/>
          </rPr>
          <t>EEI:</t>
        </r>
        <r>
          <rPr>
            <sz val="8"/>
            <color indexed="81"/>
            <rFont val="Tahoma"/>
            <family val="2"/>
          </rPr>
          <t xml:space="preserve">
Ratings at 12/31/09; categories based on assets at 12/31/08</t>
        </r>
      </text>
    </comment>
    <comment ref="AC7" authorId="0" shapeId="0">
      <text>
        <r>
          <rPr>
            <b/>
            <sz val="8"/>
            <color indexed="81"/>
            <rFont val="Tahoma"/>
            <family val="2"/>
          </rPr>
          <t>EEI:</t>
        </r>
        <r>
          <rPr>
            <sz val="8"/>
            <color indexed="81"/>
            <rFont val="Tahoma"/>
            <family val="2"/>
          </rPr>
          <t xml:space="preserve">
At EOQ:  Ratings at 12/31/10; categories based on assets at 12/31/09</t>
        </r>
      </text>
    </comment>
    <comment ref="AF7" authorId="0" shapeId="0">
      <text>
        <r>
          <rPr>
            <b/>
            <sz val="8"/>
            <color indexed="81"/>
            <rFont val="Tahoma"/>
            <family val="2"/>
          </rPr>
          <t>EEI:</t>
        </r>
        <r>
          <rPr>
            <sz val="8"/>
            <color indexed="81"/>
            <rFont val="Tahoma"/>
            <family val="2"/>
          </rPr>
          <t xml:space="preserve">
At EOQ:  Ratings at 12/31/11; categories based on assets at 12/31/10</t>
        </r>
      </text>
    </comment>
    <comment ref="AI7" authorId="0" shapeId="0">
      <text>
        <r>
          <rPr>
            <b/>
            <sz val="8"/>
            <color indexed="81"/>
            <rFont val="Tahoma"/>
            <family val="2"/>
          </rPr>
          <t>EEI:</t>
        </r>
        <r>
          <rPr>
            <sz val="8"/>
            <color indexed="81"/>
            <rFont val="Tahoma"/>
            <family val="2"/>
          </rPr>
          <t xml:space="preserve">
Categories based on assets at 12/31/11</t>
        </r>
      </text>
    </comment>
    <comment ref="AL7" authorId="0" shapeId="0">
      <text>
        <r>
          <rPr>
            <b/>
            <sz val="8"/>
            <color indexed="81"/>
            <rFont val="Tahoma"/>
            <family val="2"/>
          </rPr>
          <t>EEI:</t>
        </r>
        <r>
          <rPr>
            <sz val="8"/>
            <color indexed="81"/>
            <rFont val="Tahoma"/>
            <family val="2"/>
          </rPr>
          <t xml:space="preserve">
Ratings at quarter's end; categories based on assets at 12/31/12</t>
        </r>
      </text>
    </comment>
    <comment ref="AO7" authorId="0" shapeId="0">
      <text>
        <r>
          <rPr>
            <b/>
            <sz val="8"/>
            <color indexed="81"/>
            <rFont val="Tahoma"/>
            <family val="2"/>
          </rPr>
          <t>EEI:</t>
        </r>
        <r>
          <rPr>
            <sz val="8"/>
            <color indexed="81"/>
            <rFont val="Tahoma"/>
            <family val="2"/>
          </rPr>
          <t xml:space="preserve">
Ratings at quarter's end; categories based on assets at 12/31/12</t>
        </r>
      </text>
    </comment>
    <comment ref="AR7" authorId="0" shapeId="0">
      <text>
        <r>
          <rPr>
            <b/>
            <sz val="8"/>
            <color indexed="81"/>
            <rFont val="Tahoma"/>
            <family val="2"/>
          </rPr>
          <t>EEI:</t>
        </r>
        <r>
          <rPr>
            <sz val="8"/>
            <color indexed="81"/>
            <rFont val="Tahoma"/>
            <family val="2"/>
          </rPr>
          <t xml:space="preserve">
Ratings at quarter's end; categories based on assets at 12/31/12</t>
        </r>
      </text>
    </comment>
    <comment ref="AU7" authorId="0" shapeId="0">
      <text>
        <r>
          <rPr>
            <b/>
            <sz val="8"/>
            <color indexed="81"/>
            <rFont val="Tahoma"/>
            <family val="2"/>
          </rPr>
          <t>EEI:</t>
        </r>
        <r>
          <rPr>
            <sz val="8"/>
            <color indexed="81"/>
            <rFont val="Tahoma"/>
            <family val="2"/>
          </rPr>
          <t xml:space="preserve">
Ratings at quarter's end; categories based on assets at 12/31/12</t>
        </r>
      </text>
    </comment>
  </commentList>
</comments>
</file>

<file path=xl/comments4.xml><?xml version="1.0" encoding="utf-8"?>
<comments xmlns="http://schemas.openxmlformats.org/spreadsheetml/2006/main">
  <authors>
    <author>Michael Buckley</author>
  </authors>
  <commentList>
    <comment ref="D45" authorId="0" shapeId="0">
      <text>
        <r>
          <rPr>
            <b/>
            <sz val="9"/>
            <color indexed="81"/>
            <rFont val="Tahoma"/>
            <family val="2"/>
          </rPr>
          <t>Michael Buckley:</t>
        </r>
        <r>
          <rPr>
            <sz val="9"/>
            <color indexed="81"/>
            <rFont val="Tahoma"/>
            <family val="2"/>
          </rPr>
          <t xml:space="preserve">
Modified to match 'Credit_2015Q4'</t>
        </r>
      </text>
    </comment>
  </commentList>
</comments>
</file>

<file path=xl/comments5.xml><?xml version="1.0" encoding="utf-8"?>
<comments xmlns="http://schemas.openxmlformats.org/spreadsheetml/2006/main">
  <authors>
    <author>Aaron Trent</author>
  </authors>
  <commentList>
    <comment ref="AG5" authorId="0" shapeId="0">
      <text>
        <r>
          <rPr>
            <b/>
            <sz val="8"/>
            <color indexed="81"/>
            <rFont val="Tahoma"/>
            <family val="2"/>
          </rPr>
          <t>EEI:</t>
        </r>
        <r>
          <rPr>
            <sz val="8"/>
            <color indexed="81"/>
            <rFont val="Tahoma"/>
            <family val="2"/>
          </rPr>
          <t xml:space="preserve">
Versus 12/31/09, using 12/31/09 business categories by assets</t>
        </r>
      </text>
    </comment>
  </commentList>
</comments>
</file>

<file path=xl/comments6.xml><?xml version="1.0" encoding="utf-8"?>
<comments xmlns="http://schemas.openxmlformats.org/spreadsheetml/2006/main">
  <authors>
    <author>Michael Buckley</author>
  </authors>
  <commentList>
    <comment ref="D56" authorId="0" shapeId="0">
      <text>
        <r>
          <rPr>
            <b/>
            <sz val="10"/>
            <color indexed="81"/>
            <rFont val="Tahoma"/>
            <family val="2"/>
          </rPr>
          <t>Michael Buckley:</t>
        </r>
        <r>
          <rPr>
            <sz val="10"/>
            <color indexed="81"/>
            <rFont val="Tahoma"/>
            <family val="2"/>
          </rPr>
          <t xml:space="preserve">
Modified to match 'Credit_2015Q4'</t>
        </r>
      </text>
    </comment>
  </commentList>
</comments>
</file>

<file path=xl/sharedStrings.xml><?xml version="1.0" encoding="utf-8"?>
<sst xmlns="http://schemas.openxmlformats.org/spreadsheetml/2006/main" count="13197" uniqueCount="550">
  <si>
    <t>Company Name</t>
  </si>
  <si>
    <t>CH Energy Group, Inc.</t>
  </si>
  <si>
    <t>A</t>
  </si>
  <si>
    <t>Consolidated Edison, Inc.</t>
  </si>
  <si>
    <t>FPL Group, Inc.</t>
  </si>
  <si>
    <t>Niagara Mohawk Power Corporation</t>
  </si>
  <si>
    <t>NSTAR</t>
  </si>
  <si>
    <t>Southern Company</t>
  </si>
  <si>
    <t>WPS Resources Corporation</t>
  </si>
  <si>
    <t>Ameren Corporation</t>
  </si>
  <si>
    <t>A-</t>
  </si>
  <si>
    <t>Exelon Corporation</t>
  </si>
  <si>
    <t>MDU Resources Group, Inc.</t>
  </si>
  <si>
    <t>SCANA Corporation</t>
  </si>
  <si>
    <t>Vectren Corporation</t>
  </si>
  <si>
    <t>ALLETE, Inc.</t>
  </si>
  <si>
    <t>BBB+</t>
  </si>
  <si>
    <t>Alliant Energy Corporation</t>
  </si>
  <si>
    <t>Dominion Resources, Inc.</t>
  </si>
  <si>
    <t>Energy East Corporation</t>
  </si>
  <si>
    <t>IDACORP, Inc.</t>
  </si>
  <si>
    <t>OGE Energy Corp.</t>
  </si>
  <si>
    <t>Otter Tail Corporation</t>
  </si>
  <si>
    <t>Pepco Holdings, Inc.</t>
  </si>
  <si>
    <t>Portland General Electric Company</t>
  </si>
  <si>
    <t>Sempra Energy</t>
  </si>
  <si>
    <t>Wisconsin Energy Corporation</t>
  </si>
  <si>
    <t>American Electric Power Company</t>
  </si>
  <si>
    <t>BBB</t>
  </si>
  <si>
    <t>CenterPoint Energy, Inc.</t>
  </si>
  <si>
    <t>Cleco Corporation</t>
  </si>
  <si>
    <t>DTE Energy Company</t>
  </si>
  <si>
    <t>Duke Energy Corporation</t>
  </si>
  <si>
    <t>Duquesne Light Holdings, Inc.</t>
  </si>
  <si>
    <t>El Paso Electric Company</t>
  </si>
  <si>
    <t>Empire District Electric Company</t>
  </si>
  <si>
    <t>Entergy Corporation</t>
  </si>
  <si>
    <t>Great Plains Energy, Inc.</t>
  </si>
  <si>
    <t>Green Mountain Power Corporation</t>
  </si>
  <si>
    <t>Hawaiian Electric Industries, Inc.</t>
  </si>
  <si>
    <t>NiSource Inc.</t>
  </si>
  <si>
    <t>Pinnacle West Capital Corporation</t>
  </si>
  <si>
    <t>PNM Resources, Inc.</t>
  </si>
  <si>
    <t>PPL Corporation</t>
  </si>
  <si>
    <t>Progress Energy Inc.</t>
  </si>
  <si>
    <t>Public Service Enterprise Group Incorporated</t>
  </si>
  <si>
    <t>TXU Corp.</t>
  </si>
  <si>
    <t>Xcel Energy, Inc.</t>
  </si>
  <si>
    <t>Black Hills Corporation</t>
  </si>
  <si>
    <t>BBB-</t>
  </si>
  <si>
    <t>Central Vermont Public Service Corporation</t>
  </si>
  <si>
    <t>FirstEnergy Corp.</t>
  </si>
  <si>
    <t>MidAmerican Energy Holdings Company</t>
  </si>
  <si>
    <t>PG&amp;E Corporation</t>
  </si>
  <si>
    <t>Puget Energy, Inc.</t>
  </si>
  <si>
    <t>Avista Corporation</t>
  </si>
  <si>
    <t>BB+</t>
  </si>
  <si>
    <t>Edison International</t>
  </si>
  <si>
    <t>IPALCO Enterprises, Inc.</t>
  </si>
  <si>
    <t>Westar Energy, Inc.</t>
  </si>
  <si>
    <t>CMS Energy Corporation</t>
  </si>
  <si>
    <t>BB</t>
  </si>
  <si>
    <t>TECO Energy, Inc.</t>
  </si>
  <si>
    <t>UniSource Energy Corporation</t>
  </si>
  <si>
    <t>DPL Inc.</t>
  </si>
  <si>
    <t>BB-</t>
  </si>
  <si>
    <t>NorthWestern Corporation</t>
  </si>
  <si>
    <t>Allegheny Energy, Inc.</t>
  </si>
  <si>
    <t>B+</t>
  </si>
  <si>
    <t>Sierra Pacific Resources</t>
  </si>
  <si>
    <t>Aquila, Inc.</t>
  </si>
  <si>
    <t>B-</t>
  </si>
  <si>
    <t>Maine &amp; Maritimes Corporation</t>
  </si>
  <si>
    <t/>
  </si>
  <si>
    <t>MGE Energy, Inc.</t>
  </si>
  <si>
    <t>UIL Holdings Corporation</t>
  </si>
  <si>
    <t>Unitil Corporation</t>
  </si>
  <si>
    <t>Rating</t>
  </si>
  <si>
    <t>B</t>
  </si>
  <si>
    <t>Below BBB-</t>
  </si>
  <si>
    <t>Total</t>
  </si>
  <si>
    <t>#</t>
  </si>
  <si>
    <t>%</t>
  </si>
  <si>
    <t>Note:</t>
  </si>
  <si>
    <t xml:space="preserve">Note: </t>
  </si>
  <si>
    <t>All ratings are at the holding company level with the exception of 4 companies that do not have a credit rating (Maine &amp; Maritimes, MGE Energy, Unitil Corp, &amp; UIL Holdings)</t>
  </si>
  <si>
    <t>D</t>
  </si>
  <si>
    <t>KeySpan Corp.</t>
  </si>
  <si>
    <t>Constellation Energy, Inc.</t>
  </si>
  <si>
    <t>Fitch</t>
  </si>
  <si>
    <t>S&amp;P</t>
  </si>
  <si>
    <t>2002 Q3</t>
  </si>
  <si>
    <t>2002 Q4</t>
  </si>
  <si>
    <t>2003 Q1</t>
  </si>
  <si>
    <t>2003 Q2</t>
  </si>
  <si>
    <t>2004 Q1</t>
  </si>
  <si>
    <t>2004 Q3</t>
  </si>
  <si>
    <t>2005 Q1</t>
  </si>
  <si>
    <t>Standard &amp; Poor's</t>
  </si>
  <si>
    <t>MOODY'S</t>
  </si>
  <si>
    <t>FITCH</t>
  </si>
  <si>
    <t>Aaa</t>
  </si>
  <si>
    <t>AAA</t>
  </si>
  <si>
    <t>Aa1</t>
  </si>
  <si>
    <t>AA+</t>
  </si>
  <si>
    <t>Aa2</t>
  </si>
  <si>
    <t>AA</t>
  </si>
  <si>
    <t>Aa3</t>
  </si>
  <si>
    <t>AA-</t>
  </si>
  <si>
    <t>A1</t>
  </si>
  <si>
    <t>A+</t>
  </si>
  <si>
    <t>A2</t>
  </si>
  <si>
    <t>A3</t>
  </si>
  <si>
    <t>Baa1</t>
  </si>
  <si>
    <t>Baa2</t>
  </si>
  <si>
    <t>Baa3</t>
  </si>
  <si>
    <t>Ba1</t>
  </si>
  <si>
    <t>Ba2</t>
  </si>
  <si>
    <t>Ba3</t>
  </si>
  <si>
    <t>B1</t>
  </si>
  <si>
    <t>B2</t>
  </si>
  <si>
    <t>B3</t>
  </si>
  <si>
    <t>Caa1</t>
  </si>
  <si>
    <t>CCC+</t>
  </si>
  <si>
    <t>Caa2</t>
  </si>
  <si>
    <t>CCC</t>
  </si>
  <si>
    <t>Caa3</t>
  </si>
  <si>
    <t>CCC-</t>
  </si>
  <si>
    <t>Ca</t>
  </si>
  <si>
    <t>CC</t>
  </si>
  <si>
    <t>C</t>
  </si>
  <si>
    <t>Default</t>
  </si>
  <si>
    <t>Source: Fitch Ratings, Moody's, Standard &amp; Poor's</t>
  </si>
  <si>
    <t>Source: Standard &amp; Poor's, SNL Financial</t>
  </si>
  <si>
    <t>Average</t>
  </si>
  <si>
    <t xml:space="preserve">Average </t>
  </si>
  <si>
    <t>N/A</t>
  </si>
  <si>
    <t>Regulated</t>
  </si>
  <si>
    <t>A or higher</t>
  </si>
  <si>
    <t>Mostly Regulated</t>
  </si>
  <si>
    <t>Diversified</t>
  </si>
  <si>
    <t>Source: Standard &amp; Poor's, SNL Financial, EEI Finance Department, and company annual reports</t>
  </si>
  <si>
    <t>S&amp;P Utility Credit Rating Distribution by Category</t>
  </si>
  <si>
    <t>2001 Y</t>
  </si>
  <si>
    <t>El Paso Electric</t>
  </si>
  <si>
    <t>Empire District</t>
  </si>
  <si>
    <t>Green Mtn Power Corp</t>
  </si>
  <si>
    <t>Illinois Power Co</t>
  </si>
  <si>
    <t>IPALCO Enterprises</t>
  </si>
  <si>
    <t>Montana Power</t>
  </si>
  <si>
    <t>New England Power</t>
  </si>
  <si>
    <t>Niagara Mohawk Power Corp</t>
  </si>
  <si>
    <t>Pacificorp</t>
  </si>
  <si>
    <t>Portland General Electric</t>
  </si>
  <si>
    <t>RGS Energy Group, Inc.</t>
  </si>
  <si>
    <t>TNP Enterprises</t>
  </si>
  <si>
    <t>Allegheny Energy</t>
  </si>
  <si>
    <t>MidAmerican Energy Holdings</t>
  </si>
  <si>
    <t>Xcel Energy</t>
  </si>
  <si>
    <t>Ameren Corp</t>
  </si>
  <si>
    <t>Maine Public Service</t>
  </si>
  <si>
    <t>Puget Energy</t>
  </si>
  <si>
    <t>Unisource</t>
  </si>
  <si>
    <t>Southern Co</t>
  </si>
  <si>
    <t>Energy East</t>
  </si>
  <si>
    <t>Great Plains Energy</t>
  </si>
  <si>
    <t>Centr Vermont Pub Serv</t>
  </si>
  <si>
    <t>Consolidated Edison</t>
  </si>
  <si>
    <t>Pinnacle West Capital</t>
  </si>
  <si>
    <t>UIL Holdings</t>
  </si>
  <si>
    <t>Wisconsin Energy</t>
  </si>
  <si>
    <t>CH Energy Group</t>
  </si>
  <si>
    <t>PEPCO</t>
  </si>
  <si>
    <t>Exelon</t>
  </si>
  <si>
    <t>IDACORP Inc</t>
  </si>
  <si>
    <t>Entergy</t>
  </si>
  <si>
    <t>First Energy</t>
  </si>
  <si>
    <t>Vectren</t>
  </si>
  <si>
    <t>DTE Energy</t>
  </si>
  <si>
    <t>Keyspan</t>
  </si>
  <si>
    <t>PG&amp;E</t>
  </si>
  <si>
    <t>Conectiv</t>
  </si>
  <si>
    <t>Progress Energy</t>
  </si>
  <si>
    <t>FPL Group</t>
  </si>
  <si>
    <t>Otter Tail Power</t>
  </si>
  <si>
    <t>DQE</t>
  </si>
  <si>
    <t>Westar Energy Inc.</t>
  </si>
  <si>
    <t>Alliant Energy</t>
  </si>
  <si>
    <t>Avista Corp.</t>
  </si>
  <si>
    <t>WPS Resources</t>
  </si>
  <si>
    <t>TECO Energy</t>
  </si>
  <si>
    <t>Cinergy</t>
  </si>
  <si>
    <t>Public Service Enterprise Group</t>
  </si>
  <si>
    <t>PPL Corp</t>
  </si>
  <si>
    <t>CMS Energy</t>
  </si>
  <si>
    <t>OGE Energy Corp</t>
  </si>
  <si>
    <t>American Electric Power</t>
  </si>
  <si>
    <t>Constellation Energy</t>
  </si>
  <si>
    <t>NiSource</t>
  </si>
  <si>
    <t>Hawaiian Electric</t>
  </si>
  <si>
    <t>Duke Energy</t>
  </si>
  <si>
    <t>TXU</t>
  </si>
  <si>
    <t>Black Hills Corp</t>
  </si>
  <si>
    <t>Northwestern Corp</t>
  </si>
  <si>
    <t>Dominion Resources</t>
  </si>
  <si>
    <t>MDU Resources</t>
  </si>
  <si>
    <t>Allete</t>
  </si>
  <si>
    <t xml:space="preserve">BBB- </t>
  </si>
  <si>
    <t xml:space="preserve">CH Energy - Using Central Hudson Gas &amp; Electric (A on 12/14/01). </t>
  </si>
  <si>
    <t>PG&amp;E - Using Pacific Gas &amp; Electric Company credit rating (CCC/D according to 2001 Annual Report, p. 13).</t>
  </si>
  <si>
    <t>PNM Resources - BBB- according to 2001 annual report p. 56.</t>
  </si>
  <si>
    <t xml:space="preserve">and 6 companies that do not have a parent level rating in SNL Datasource -- see below.  </t>
  </si>
  <si>
    <t xml:space="preserve">Great Plains Enregy - Using Kansas City Power &amp; Light (A- on 1/2/02). </t>
  </si>
  <si>
    <t>Unisource - Using Tuscon Electric Power Company credit rating (BB on 11/08/02).</t>
  </si>
  <si>
    <t xml:space="preserve">PEPCO - Using Potomac Electric Power rating (BBB+ on 7/15/03). </t>
  </si>
  <si>
    <t>2005 Q4</t>
  </si>
  <si>
    <t>Rating Agency Activity</t>
  </si>
  <si>
    <t>U.S. Shareholder-Owned Electric Utility Industry</t>
  </si>
  <si>
    <t>Total Rating Activity</t>
  </si>
  <si>
    <t xml:space="preserve">Moody's </t>
  </si>
  <si>
    <t xml:space="preserve">Total </t>
  </si>
  <si>
    <t>Upgrades</t>
  </si>
  <si>
    <t>Downgrades</t>
  </si>
  <si>
    <t>% Upgrades</t>
  </si>
  <si>
    <t>MGE Energy</t>
  </si>
  <si>
    <t xml:space="preserve">Cinergy Corp and Pacificorp are no longer part of the EEI Index.  Numbers based on 64+4 companies.  </t>
  </si>
  <si>
    <t>2001 Q1</t>
  </si>
  <si>
    <t>2001 Q2</t>
  </si>
  <si>
    <t>2006 Q1</t>
  </si>
  <si>
    <t>2005 Q2</t>
  </si>
  <si>
    <t>2005 Q3</t>
  </si>
  <si>
    <t>2006 Q2</t>
  </si>
  <si>
    <t>Unisource - Using Tuscon Electric Power Company credit rating (BB on 9/16/05).  Unisource rating is not available for 12/30/06.</t>
  </si>
  <si>
    <t>CH Energy - Using Central Hudson Gas &amp; Electric (A on 5/29/03). CH Energy rating is not available for 12/30/06.</t>
  </si>
  <si>
    <t xml:space="preserve">PG&amp;E - Using Pacific Gas &amp; Electric Company credit rating (BBB on 2/16/05).  PG&amp;E Corp rating is not available for 12/30/06. </t>
  </si>
  <si>
    <t>2006 Q3</t>
  </si>
  <si>
    <t>2006 Q4</t>
  </si>
  <si>
    <t>Louisville Gas &amp; Electric</t>
  </si>
  <si>
    <t>Kentucky Utilities</t>
  </si>
  <si>
    <t>2007Q1</t>
  </si>
  <si>
    <t>2007 Q2</t>
  </si>
  <si>
    <t>2007 Q3</t>
  </si>
  <si>
    <t>I. S&amp;P Utility Credit Ratings Distribution - 2006</t>
  </si>
  <si>
    <t>I. S&amp;P Utility Credit Ratings Distribution - 2001</t>
  </si>
  <si>
    <t>Direction of Ratings Actions</t>
  </si>
  <si>
    <t>Credit Ratings Scales</t>
  </si>
  <si>
    <t>Investment Grade</t>
  </si>
  <si>
    <t>Speculative Grade</t>
  </si>
  <si>
    <t>2007 Q4</t>
  </si>
  <si>
    <t>Energy Future Holdings Corp.</t>
  </si>
  <si>
    <t>2008 Q1</t>
  </si>
  <si>
    <t>2008 Q2</t>
  </si>
  <si>
    <t>2008 Q3</t>
  </si>
  <si>
    <t>2008 Q4</t>
  </si>
  <si>
    <t>Integrys Energy Group, Inc.</t>
  </si>
  <si>
    <t>Kentucky Utilities Company</t>
  </si>
  <si>
    <t>Louisville Gas and Electric Company</t>
  </si>
  <si>
    <t>Progress Energy, Inc.</t>
  </si>
  <si>
    <t>Xcel Energy Inc.</t>
  </si>
  <si>
    <t>American Electric Power Company, Inc.</t>
  </si>
  <si>
    <t>Constellation Energy Group, Inc.</t>
  </si>
  <si>
    <t>Great Plains Energy Inc.</t>
  </si>
  <si>
    <t>Duquesne Light Company</t>
  </si>
  <si>
    <t>MGE Energy, Inc.*</t>
  </si>
  <si>
    <t>CH Energy Group, Inc.*</t>
  </si>
  <si>
    <t>UniSource Energy Corporation*</t>
  </si>
  <si>
    <t>NV Energy, Inc.</t>
  </si>
  <si>
    <t xml:space="preserve">Notes: </t>
  </si>
  <si>
    <t>Source:  Standard &amp; Poor's, SNL Financial and EEI Finance Dept.</t>
  </si>
  <si>
    <t>Note:  Chart depicts the number of occurences and includes each event, even if multiple downgrades occurred for a single company.</t>
  </si>
  <si>
    <t>II.  Upgrades &amp; Downgrades</t>
  </si>
  <si>
    <t>2009 Q1</t>
  </si>
  <si>
    <t>III.  Total Ratings Actions</t>
  </si>
  <si>
    <t>IV.  Direction of Ratings Actions</t>
  </si>
  <si>
    <t>AEE</t>
  </si>
  <si>
    <t>AEP</t>
  </si>
  <si>
    <t>AES</t>
  </si>
  <si>
    <t>ALE</t>
  </si>
  <si>
    <t>AVA</t>
  </si>
  <si>
    <t>AYE</t>
  </si>
  <si>
    <t>BKH</t>
  </si>
  <si>
    <t>BRK</t>
  </si>
  <si>
    <t>CEG</t>
  </si>
  <si>
    <t>CHG</t>
  </si>
  <si>
    <t>CMS</t>
  </si>
  <si>
    <t>CNL</t>
  </si>
  <si>
    <t>CNP</t>
  </si>
  <si>
    <t>CV</t>
  </si>
  <si>
    <t>DPL</t>
  </si>
  <si>
    <t>DTE</t>
  </si>
  <si>
    <t>DUK</t>
  </si>
  <si>
    <t>EAST</t>
  </si>
  <si>
    <t>ED</t>
  </si>
  <si>
    <t>EDE</t>
  </si>
  <si>
    <t>EE</t>
  </si>
  <si>
    <t>EFH</t>
  </si>
  <si>
    <t>EIX</t>
  </si>
  <si>
    <t>ETR</t>
  </si>
  <si>
    <t>EXC</t>
  </si>
  <si>
    <t>FE</t>
  </si>
  <si>
    <t>GMT</t>
  </si>
  <si>
    <t>GXP</t>
  </si>
  <si>
    <t>HE</t>
  </si>
  <si>
    <t>IDA</t>
  </si>
  <si>
    <t>KEY</t>
  </si>
  <si>
    <t>KU</t>
  </si>
  <si>
    <t>LGE</t>
  </si>
  <si>
    <t>LNT</t>
  </si>
  <si>
    <t>MAM</t>
  </si>
  <si>
    <t>MDU</t>
  </si>
  <si>
    <t>MGEE</t>
  </si>
  <si>
    <t>NI</t>
  </si>
  <si>
    <t>NIMO</t>
  </si>
  <si>
    <t>NST</t>
  </si>
  <si>
    <t>NVE</t>
  </si>
  <si>
    <t>NWE</t>
  </si>
  <si>
    <t>OGE</t>
  </si>
  <si>
    <t>OTTR</t>
  </si>
  <si>
    <t>PCG</t>
  </si>
  <si>
    <t>PEG</t>
  </si>
  <si>
    <t>PGN</t>
  </si>
  <si>
    <t>PNM</t>
  </si>
  <si>
    <t>PNW</t>
  </si>
  <si>
    <t>POM</t>
  </si>
  <si>
    <t>POR</t>
  </si>
  <si>
    <t>PPL</t>
  </si>
  <si>
    <t>PSD</t>
  </si>
  <si>
    <t>SCG</t>
  </si>
  <si>
    <t>SO</t>
  </si>
  <si>
    <t>SRE</t>
  </si>
  <si>
    <t>TE</t>
  </si>
  <si>
    <t>TEG</t>
  </si>
  <si>
    <t>UIL</t>
  </si>
  <si>
    <t>UNS</t>
  </si>
  <si>
    <t>UTL</t>
  </si>
  <si>
    <t>VVC</t>
  </si>
  <si>
    <t>WEC</t>
  </si>
  <si>
    <t>WR</t>
  </si>
  <si>
    <t>XEL</t>
  </si>
  <si>
    <t>% regulated at</t>
  </si>
  <si>
    <t>V.  S&amp;P Ratings by Category</t>
  </si>
  <si>
    <t>PG&amp;E Corporation*</t>
  </si>
  <si>
    <t>PG&amp;E:  Using Pacific Gas and Electric Co.; PG&amp;E long-term issuer credit rating not available as of 12/31/08.</t>
  </si>
  <si>
    <t>CH Energy Group:  Using Central Hudson Gas &amp; Electric Corp.; CH Energy Group long-term issuer credit rating not available as of 12/31/08.</t>
  </si>
  <si>
    <t>UniSource Energy:  Using Tucson Electric Power Co.; UniSource Energy long-term issuer credit rating not available as of 12/31/08.</t>
  </si>
  <si>
    <t>12/31/2008r</t>
  </si>
  <si>
    <t>I.  S&amp;P Utility Credit Ratings Distribution -- 2008r</t>
  </si>
  <si>
    <t>I.  S&amp;P Utility Credit Ratings Distribution -- 2007r</t>
  </si>
  <si>
    <t>2008r</t>
  </si>
  <si>
    <t>2007r</t>
  </si>
  <si>
    <t>12/31/2007r</t>
  </si>
  <si>
    <t>CH Energy Group:  Using Central Hudson Gas &amp; Electric Corp.; CH Energy Group long-term issuer credit rating not available as of 12/31/07.</t>
  </si>
  <si>
    <t>PG&amp;E:  Using Pacific Gas and Electric Co.; PG&amp;E long-term issuer credit rating not available as of 12/31/07.</t>
  </si>
  <si>
    <t>UniSource Energy:  Using Tucson Electric Power Co.; UniSource Energy long-term issuer credit rating not available as of 12/31/07.</t>
  </si>
  <si>
    <t>Cat. Avg.</t>
  </si>
  <si>
    <t>2009 Q2</t>
  </si>
  <si>
    <t>CH Energy Group:  Using Central Hudson Gas &amp; Electric Corp.; CH Energy Group long-term issuer credit rating not available.</t>
  </si>
  <si>
    <t>MGE Energy:  Using Madison Gas and Electric Co.; MGE Energy long-term issuer credit rating not available.</t>
  </si>
  <si>
    <t>UniSource Energy:  Using Tucson Electric Power Co.; UniSource Energy long-term issuer credit rating not available.</t>
  </si>
  <si>
    <r>
      <t xml:space="preserve">Companies in green/red were </t>
    </r>
    <r>
      <rPr>
        <u/>
        <sz val="8"/>
        <color indexed="17"/>
        <rFont val="Calibri"/>
        <family val="2"/>
      </rPr>
      <t>upgraded</t>
    </r>
    <r>
      <rPr>
        <sz val="8"/>
        <rFont val="Calibri"/>
        <family val="2"/>
      </rPr>
      <t>/</t>
    </r>
    <r>
      <rPr>
        <u/>
        <sz val="8"/>
        <color indexed="10"/>
        <rFont val="Calibri"/>
        <family val="2"/>
      </rPr>
      <t>downgraded</t>
    </r>
    <r>
      <rPr>
        <sz val="8"/>
        <rFont val="Calibri"/>
        <family val="2"/>
      </rPr>
      <t xml:space="preserve"> by S&amp;P at the parent level in the most recent quarter.</t>
    </r>
  </si>
  <si>
    <t>Chg.</t>
  </si>
  <si>
    <t>2009 Q3</t>
  </si>
  <si>
    <t>I.  S&amp;P Utility Credit Ratings Distribution -- Q4 2009</t>
  </si>
  <si>
    <t>Q4 2009</t>
  </si>
  <si>
    <r>
      <rPr>
        <u/>
        <sz val="8"/>
        <color indexed="30"/>
        <rFont val="Calibri"/>
        <family val="2"/>
      </rPr>
      <t>Central Vermont Public Service</t>
    </r>
    <r>
      <rPr>
        <sz val="8"/>
        <rFont val="Calibri"/>
        <family val="2"/>
      </rPr>
      <t>:  S&amp;P removed its long-term issuer credit rating on Central Vermont Public Service Corporation on December 10, 2009.</t>
    </r>
  </si>
  <si>
    <r>
      <rPr>
        <u/>
        <sz val="8"/>
        <color indexed="30"/>
        <rFont val="Calibri"/>
        <family val="2"/>
      </rPr>
      <t>UIL</t>
    </r>
    <r>
      <rPr>
        <sz val="8"/>
        <rFont val="Calibri"/>
        <family val="2"/>
      </rPr>
      <t>:  S&amp;P initiated a long-term issuer credit rating on UIL Holdings Corporation on December 23, 2009.</t>
    </r>
  </si>
  <si>
    <t>* For the following companies, EEI includes the subsidiary rating because parent/holding company ratings are not available:</t>
  </si>
  <si>
    <t>2009 Q4</t>
  </si>
  <si>
    <t>2010 Q1</t>
  </si>
  <si>
    <t>NEE</t>
  </si>
  <si>
    <t>NextEra Energy, Inc.</t>
  </si>
  <si>
    <t>R</t>
  </si>
  <si>
    <t>MR</t>
  </si>
  <si>
    <t>N.A.</t>
  </si>
  <si>
    <t>2010 Q2</t>
  </si>
  <si>
    <t>2010 Q3</t>
  </si>
  <si>
    <t>I.  S&amp;P Utility Credit Ratings Distribution -- Q4 2010</t>
  </si>
  <si>
    <t>Q4 2010</t>
  </si>
  <si>
    <t>2010 Q4</t>
  </si>
  <si>
    <t>I.  S&amp;P Utility Credit Ratings Distribution -- Q1 2011</t>
  </si>
  <si>
    <t>Q1 2011</t>
  </si>
  <si>
    <t>2011 Q1</t>
  </si>
  <si>
    <t>I.  S&amp;P Utility Credit Ratings Distribution -- Q2 2011</t>
  </si>
  <si>
    <t>Q2 2011</t>
  </si>
  <si>
    <t>2011 Q2</t>
  </si>
  <si>
    <t>I.  S&amp;P Utility Credit Ratings Distribution -- Q3 2011</t>
  </si>
  <si>
    <t>Q3 2011</t>
  </si>
  <si>
    <t>2011 Q3</t>
  </si>
  <si>
    <t>I.  S&amp;P Utility Credit Ratings Distribution -- Q4 2011</t>
  </si>
  <si>
    <t>Q4 2011</t>
  </si>
  <si>
    <t>2011 Q4</t>
  </si>
  <si>
    <t>2012 Q1</t>
  </si>
  <si>
    <t>Quarterly Upgrade</t>
  </si>
  <si>
    <t>Quarterly Downgrade</t>
  </si>
  <si>
    <t>Annual Upgrade</t>
  </si>
  <si>
    <t>Annual Downgrade</t>
  </si>
  <si>
    <t>Quarterly Activity</t>
  </si>
  <si>
    <t>Fitch (upgrade)</t>
  </si>
  <si>
    <t>Fitch (downgrade)</t>
  </si>
  <si>
    <t>Moody's (upgrade)</t>
  </si>
  <si>
    <t>Standard &amp; Poor's (upgrade)</t>
  </si>
  <si>
    <t>Moody's (downgrade)</t>
  </si>
  <si>
    <t>Standard &amp; Poor's (downgrade)</t>
  </si>
  <si>
    <t>Fitch (activity)</t>
  </si>
  <si>
    <t>Moody's (activity)</t>
  </si>
  <si>
    <t>Standard &amp; Poor's (activity)</t>
  </si>
  <si>
    <t>2012 Q2</t>
  </si>
  <si>
    <t>2012 Q3</t>
  </si>
  <si>
    <t>2012 Q4</t>
  </si>
  <si>
    <t>2001 Q3</t>
  </si>
  <si>
    <t>2001 Q4</t>
  </si>
  <si>
    <t>2002 Q1</t>
  </si>
  <si>
    <t>2002 Q2</t>
  </si>
  <si>
    <t>2003 Q3</t>
  </si>
  <si>
    <t>2003 Q4</t>
  </si>
  <si>
    <t>2004 Q2</t>
  </si>
  <si>
    <t>2004 Q4</t>
  </si>
  <si>
    <t>Annual Activity</t>
  </si>
  <si>
    <t>Note:  Chart depicts the number of upgrades / downgrades for all rated companies, including subisidiaries, during the quarter.</t>
  </si>
  <si>
    <t>Upgrades = Downgrades</t>
  </si>
  <si>
    <t>Group</t>
  </si>
  <si>
    <t>Up</t>
  </si>
  <si>
    <t>Down</t>
  </si>
  <si>
    <t>SD</t>
  </si>
  <si>
    <t>Match</t>
  </si>
  <si>
    <t>a:a</t>
  </si>
  <si>
    <t>Previous</t>
  </si>
  <si>
    <t>b1</t>
  </si>
  <si>
    <t>UNS Energy Corporation</t>
  </si>
  <si>
    <t>2013 Q1</t>
  </si>
  <si>
    <t>2013 Q2</t>
  </si>
  <si>
    <t>2013 Q3</t>
  </si>
  <si>
    <t>2013 Q4</t>
  </si>
  <si>
    <t xml:space="preserve"> </t>
  </si>
  <si>
    <t>Ticker</t>
  </si>
  <si>
    <t>Regulated Percentage</t>
  </si>
  <si>
    <t>Category</t>
  </si>
  <si>
    <t>Reg_Percent_2011</t>
  </si>
  <si>
    <t>d:d</t>
  </si>
  <si>
    <t>e1</t>
  </si>
  <si>
    <t>*MGEE</t>
  </si>
  <si>
    <t>*CHG</t>
  </si>
  <si>
    <t>*UNS</t>
  </si>
  <si>
    <t>**DPL</t>
  </si>
  <si>
    <t>**EAST</t>
  </si>
  <si>
    <t>**EFH</t>
  </si>
  <si>
    <t>**IPALCO</t>
  </si>
  <si>
    <t>**BRK</t>
  </si>
  <si>
    <t>*UTL</t>
  </si>
  <si>
    <t>**PSD</t>
  </si>
  <si>
    <t>Average Rating</t>
  </si>
  <si>
    <t>'Credit_2012Q4'!</t>
  </si>
  <si>
    <t>Iberdrola USA</t>
  </si>
  <si>
    <t>c1</t>
  </si>
  <si>
    <t>Moody's</t>
  </si>
  <si>
    <t>rating_scale_Moody</t>
  </si>
  <si>
    <t>rating_scale_SP</t>
  </si>
  <si>
    <t>rating_scale_Fitch</t>
  </si>
  <si>
    <t>RD</t>
  </si>
  <si>
    <t>D+</t>
  </si>
  <si>
    <t>rating_scale_SP_invest</t>
  </si>
  <si>
    <t>DD</t>
  </si>
  <si>
    <t>C+</t>
  </si>
  <si>
    <t>DDD</t>
  </si>
  <si>
    <t>&gt;20</t>
  </si>
  <si>
    <t>=20</t>
  </si>
  <si>
    <t>=19</t>
  </si>
  <si>
    <t>=18</t>
  </si>
  <si>
    <t>=17</t>
  </si>
  <si>
    <t>&lt;17</t>
  </si>
  <si>
    <t>UNS Energy:  Using Tucson Electric Power Co.; UniSource Energy long-term issuer credit rating not available.</t>
  </si>
  <si>
    <t>Score</t>
  </si>
  <si>
    <t>'Credit_2012Q3'!</t>
  </si>
  <si>
    <t>'Credit_2013Q1'!</t>
  </si>
  <si>
    <t>*MGE Energy, Inc.</t>
  </si>
  <si>
    <t>*CH Energy Group, Inc.</t>
  </si>
  <si>
    <t>*UNS Energy Corporation</t>
  </si>
  <si>
    <t>*Unitil Corporation</t>
  </si>
  <si>
    <t>Reg_Percent_2012</t>
  </si>
  <si>
    <t>'Credit_2012Q2'!</t>
  </si>
  <si>
    <t>'Credit_2012Q1'!</t>
  </si>
  <si>
    <t>*MidAmerican Energy Holdings Company</t>
  </si>
  <si>
    <t>*IPALCO Enterprises, Inc.</t>
  </si>
  <si>
    <t>*Energy Future Holdings Corp.</t>
  </si>
  <si>
    <t>*DPL Inc.</t>
  </si>
  <si>
    <t>*Puget Energy, Inc.</t>
  </si>
  <si>
    <t>*Iberdrola USA</t>
  </si>
  <si>
    <t>Reg_Percent_2010</t>
  </si>
  <si>
    <t>'Credit_2012Q4'</t>
  </si>
  <si>
    <t>o</t>
  </si>
  <si>
    <t>r</t>
  </si>
  <si>
    <t>u</t>
  </si>
  <si>
    <t>b6</t>
  </si>
  <si>
    <t>'Credit_2011Q4'!</t>
  </si>
  <si>
    <t>'Credit_2013Q2'!</t>
  </si>
  <si>
    <t>'Credit_2013Q4'</t>
  </si>
  <si>
    <t>'Credit_2013Q3'!</t>
  </si>
  <si>
    <t>Comparison Period</t>
  </si>
  <si>
    <t>'Credit_2013Q4'!</t>
  </si>
  <si>
    <t>2014 Q1</t>
  </si>
  <si>
    <t>'Credit_2014Q1'!</t>
  </si>
  <si>
    <t>Berkshire Energy Holdings Company</t>
  </si>
  <si>
    <t>2014 Q2</t>
  </si>
  <si>
    <t>2014 Q3</t>
  </si>
  <si>
    <t>2014 Q4</t>
  </si>
  <si>
    <t>Reg_Percent_2013</t>
  </si>
  <si>
    <t>e3</t>
  </si>
  <si>
    <t>**Companies that are not publicly traded</t>
  </si>
  <si>
    <t>'Credit_2014Q2'!</t>
  </si>
  <si>
    <t>'Credit_2014Q3'!</t>
  </si>
  <si>
    <t>'Credit_2014Q4'</t>
  </si>
  <si>
    <t>'Credit_2014Q4'!</t>
  </si>
  <si>
    <t>ES</t>
  </si>
  <si>
    <t>Eversource</t>
  </si>
  <si>
    <t>2015 Q1</t>
  </si>
  <si>
    <t>2015 Q2</t>
  </si>
  <si>
    <t>Eversource Energy</t>
  </si>
  <si>
    <t>'Credit_2015Q1'!</t>
  </si>
  <si>
    <t>2015 Q3</t>
  </si>
  <si>
    <t>2015 Q4</t>
  </si>
  <si>
    <t>'Credit_2015Q2'!</t>
  </si>
  <si>
    <t>DPL Inc. *</t>
  </si>
  <si>
    <t>Energy Future Holdings Corp. *</t>
  </si>
  <si>
    <t>IPALCO Enterprises, Inc. *</t>
  </si>
  <si>
    <t>Berkshire Hathaway Energy *</t>
  </si>
  <si>
    <t>Puget Energy, Inc. *</t>
  </si>
  <si>
    <t>Reg_Percent_2014</t>
  </si>
  <si>
    <t>WEC Energy Group, Inc.</t>
  </si>
  <si>
    <t>'Credit_2015Q3'!</t>
  </si>
  <si>
    <t>'Credit_2015Q4'</t>
  </si>
  <si>
    <t>AGR</t>
  </si>
  <si>
    <t xml:space="preserve">AVANGRID, Inc. </t>
  </si>
  <si>
    <t>AVANGRID, Inc.</t>
  </si>
  <si>
    <t>'Credit_2015Q4'!</t>
  </si>
  <si>
    <t>2016 Q1</t>
  </si>
  <si>
    <t>2016 Q2</t>
  </si>
  <si>
    <t>2016 Q3</t>
  </si>
  <si>
    <t>2016 Q4</t>
  </si>
  <si>
    <t xml:space="preserve">WEC Energy Group, Inc. </t>
  </si>
  <si>
    <t>Reg_Percent_2015</t>
  </si>
  <si>
    <t>'Credit_2016Q1'!</t>
  </si>
  <si>
    <t>**CNL</t>
  </si>
  <si>
    <t>.</t>
  </si>
  <si>
    <t>'Credit_2016Q2'!</t>
  </si>
  <si>
    <t>**TE</t>
  </si>
  <si>
    <t>'Credit_2016Q3'!</t>
  </si>
  <si>
    <t>'Credit_2016Q4'</t>
  </si>
  <si>
    <t>Source:  Standard &amp; Poor's, S&amp;P Global Market Intelligence, and EEI Finance Dept.</t>
  </si>
  <si>
    <t>Sources:  Standard &amp; Poor's, S&amp;P Global Market Intelligence, and EEI Finance Dept.</t>
  </si>
  <si>
    <t>Source:  S&amp;P Global Market Intelligence and EEI Finance Dept.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</si>
</sst>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000%"/>
    <numFmt numFmtId="166" formatCode="[$-409]mmm\-yy;@"/>
    <numFmt numFmtId="167" formatCode="0.0"/>
  </numFmts>
  <fonts count="61" x14ac:knownFonts="1">
    <font>
      <sz val="10"/>
      <name val="Arial"/>
    </font>
    <font>
      <sz val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9"/>
      <name val="Arial"/>
      <family val="2"/>
    </font>
    <font>
      <b/>
      <sz val="10"/>
      <color indexed="8"/>
      <name val="Arial"/>
      <family val="2"/>
    </font>
    <font>
      <sz val="1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6"/>
      <name val="Arial"/>
      <family val="2"/>
    </font>
    <font>
      <sz val="8"/>
      <name val="Calibri"/>
      <family val="2"/>
    </font>
    <font>
      <u/>
      <sz val="8"/>
      <color indexed="17"/>
      <name val="Calibri"/>
      <family val="2"/>
    </font>
    <font>
      <u/>
      <sz val="8"/>
      <color indexed="10"/>
      <name val="Calibri"/>
      <family val="2"/>
    </font>
    <font>
      <i/>
      <sz val="10"/>
      <name val="Arial"/>
      <family val="2"/>
    </font>
    <font>
      <u/>
      <sz val="8"/>
      <color indexed="30"/>
      <name val="Calibri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u/>
      <sz val="10"/>
      <color theme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4"/>
      <name val="Calibri"/>
      <family val="2"/>
      <scheme val="minor"/>
    </font>
    <font>
      <sz val="8"/>
      <name val="Calibri"/>
      <family val="2"/>
      <scheme val="minor"/>
    </font>
    <font>
      <u/>
      <sz val="10"/>
      <color rgb="FFFF0000"/>
      <name val="Calibri"/>
      <family val="2"/>
      <scheme val="minor"/>
    </font>
    <font>
      <b/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u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u/>
      <sz val="10"/>
      <color rgb="FF0070C0"/>
      <name val="Calibri"/>
      <family val="2"/>
      <scheme val="minor"/>
    </font>
    <font>
      <b/>
      <u/>
      <sz val="10"/>
      <color theme="10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rgb="FF0070C0"/>
      <name val="Arial"/>
      <family val="2"/>
    </font>
    <font>
      <sz val="8"/>
      <color rgb="FFFF0000"/>
      <name val="Arial"/>
      <family val="2"/>
    </font>
    <font>
      <sz val="9"/>
      <color rgb="FF0070C0"/>
      <name val="Arial"/>
      <family val="2"/>
    </font>
    <font>
      <sz val="10"/>
      <color rgb="FF0070C0"/>
      <name val="Calibri"/>
      <family val="2"/>
      <scheme val="minor"/>
    </font>
    <font>
      <sz val="10"/>
      <color rgb="FF0070C0"/>
      <name val="Arial"/>
      <family val="2"/>
    </font>
    <font>
      <sz val="10"/>
      <color theme="3"/>
      <name val="Arial"/>
      <family val="2"/>
    </font>
    <font>
      <b/>
      <sz val="10"/>
      <color rgb="FFFF0000"/>
      <name val="Calibri"/>
      <family val="2"/>
      <scheme val="minor"/>
    </font>
    <font>
      <sz val="10"/>
      <color rgb="FF000099"/>
      <name val="Calibri"/>
      <family val="2"/>
      <scheme val="minor"/>
    </font>
    <font>
      <u/>
      <sz val="8.5"/>
      <color theme="10"/>
      <name val="Arial"/>
      <family val="2"/>
    </font>
    <font>
      <sz val="10"/>
      <color theme="3" tint="0.59999389629810485"/>
      <name val="Arial"/>
      <family val="2"/>
    </font>
    <font>
      <sz val="10"/>
      <color theme="0" tint="-0.249977111117893"/>
      <name val="Arial"/>
      <family val="2"/>
    </font>
    <font>
      <sz val="10"/>
      <color theme="4"/>
      <name val="Arial"/>
      <family val="2"/>
    </font>
    <font>
      <sz val="10"/>
      <color theme="3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 tint="0.499984740745262"/>
      <name val="Arial"/>
      <family val="2"/>
    </font>
    <font>
      <sz val="10"/>
      <color theme="1" tint="0.499984740745262"/>
      <name val="Calibri"/>
      <family val="2"/>
      <scheme val="minor"/>
    </font>
    <font>
      <sz val="8"/>
      <color theme="1" tint="0.499984740745262"/>
      <name val="Calibri"/>
      <family val="2"/>
      <scheme val="minor"/>
    </font>
    <font>
      <b/>
      <sz val="10"/>
      <color theme="1" tint="0.499984740745262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indexed="64"/>
      </right>
      <top/>
      <bottom/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indexed="64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indexed="64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/>
      <right/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" fillId="0" borderId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1" fillId="0" borderId="0"/>
    <xf numFmtId="166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473">
    <xf numFmtId="0" fontId="0" fillId="0" borderId="0" xfId="0"/>
    <xf numFmtId="0" fontId="0" fillId="0" borderId="0" xfId="0" applyBorder="1"/>
    <xf numFmtId="0" fontId="3" fillId="0" borderId="0" xfId="0" applyNumberFormat="1" applyFont="1" applyFill="1" applyBorder="1" applyAlignment="1">
      <alignment horizontal="left"/>
    </xf>
    <xf numFmtId="0" fontId="3" fillId="0" borderId="0" xfId="0" applyFont="1"/>
    <xf numFmtId="0" fontId="0" fillId="0" borderId="0" xfId="0" applyFill="1" applyBorder="1"/>
    <xf numFmtId="0" fontId="3" fillId="0" borderId="0" xfId="0" quotePrefix="1" applyNumberFormat="1" applyFont="1" applyBorder="1" applyAlignment="1">
      <alignment horizontal="left"/>
    </xf>
    <xf numFmtId="0" fontId="0" fillId="0" borderId="0" xfId="0" applyFill="1"/>
    <xf numFmtId="0" fontId="5" fillId="0" borderId="0" xfId="0" quotePrefix="1" applyNumberFormat="1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9" fontId="0" fillId="0" borderId="0" xfId="4" applyFont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9" fontId="0" fillId="0" borderId="0" xfId="4" applyFont="1" applyFill="1" applyBorder="1"/>
    <xf numFmtId="0" fontId="9" fillId="0" borderId="0" xfId="0" applyFont="1" applyFill="1" applyBorder="1"/>
    <xf numFmtId="0" fontId="0" fillId="0" borderId="0" xfId="0" applyBorder="1" applyAlignment="1"/>
    <xf numFmtId="0" fontId="3" fillId="0" borderId="0" xfId="0" applyFont="1" applyAlignment="1">
      <alignment horizontal="right"/>
    </xf>
    <xf numFmtId="0" fontId="6" fillId="0" borderId="0" xfId="0" applyFont="1" applyFill="1" applyBorder="1"/>
    <xf numFmtId="0" fontId="12" fillId="0" borderId="0" xfId="0" applyFont="1" applyBorder="1"/>
    <xf numFmtId="0" fontId="2" fillId="2" borderId="0" xfId="0" applyFont="1" applyFill="1" applyBorder="1" applyAlignment="1">
      <alignment horizontal="center"/>
    </xf>
    <xf numFmtId="0" fontId="0" fillId="2" borderId="0" xfId="0" applyFill="1" applyBorder="1"/>
    <xf numFmtId="0" fontId="5" fillId="0" borderId="0" xfId="0" quotePrefix="1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0" xfId="0" applyNumberFormat="1" applyFont="1" applyFill="1" applyBorder="1" applyAlignment="1">
      <alignment horizontal="left"/>
    </xf>
    <xf numFmtId="0" fontId="3" fillId="0" borderId="0" xfId="0" quotePrefix="1" applyNumberFormat="1" applyFont="1" applyFill="1" applyBorder="1" applyAlignment="1">
      <alignment horizontal="left"/>
    </xf>
    <xf numFmtId="9" fontId="0" fillId="0" borderId="0" xfId="4" applyNumberFormat="1" applyFont="1" applyFill="1" applyBorder="1"/>
    <xf numFmtId="0" fontId="5" fillId="2" borderId="0" xfId="0" quotePrefix="1" applyNumberFormat="1" applyFont="1" applyFill="1" applyBorder="1" applyAlignment="1">
      <alignment horizontal="left"/>
    </xf>
    <xf numFmtId="0" fontId="3" fillId="2" borderId="0" xfId="0" quotePrefix="1" applyNumberFormat="1" applyFont="1" applyFill="1" applyBorder="1" applyAlignment="1">
      <alignment horizontal="left"/>
    </xf>
    <xf numFmtId="0" fontId="3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left"/>
    </xf>
    <xf numFmtId="0" fontId="3" fillId="0" borderId="0" xfId="0" applyFont="1" applyBorder="1"/>
    <xf numFmtId="0" fontId="3" fillId="2" borderId="0" xfId="0" applyNumberFormat="1" applyFont="1" applyFill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2" fontId="4" fillId="0" borderId="0" xfId="0" applyNumberFormat="1" applyFont="1" applyFill="1" applyBorder="1" applyAlignment="1">
      <alignment horizontal="center"/>
    </xf>
    <xf numFmtId="0" fontId="2" fillId="2" borderId="0" xfId="0" quotePrefix="1" applyFont="1" applyFill="1" applyBorder="1" applyAlignment="1">
      <alignment horizontal="left"/>
    </xf>
    <xf numFmtId="0" fontId="4" fillId="2" borderId="0" xfId="0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left"/>
    </xf>
    <xf numFmtId="0" fontId="11" fillId="0" borderId="0" xfId="0" applyFont="1" applyFill="1" applyBorder="1"/>
    <xf numFmtId="0" fontId="3" fillId="0" borderId="0" xfId="0" applyFont="1" applyFill="1" applyBorder="1"/>
    <xf numFmtId="0" fontId="9" fillId="2" borderId="0" xfId="0" applyFont="1" applyFill="1" applyBorder="1"/>
    <xf numFmtId="0" fontId="3" fillId="2" borderId="0" xfId="0" applyFont="1" applyFill="1" applyBorder="1"/>
    <xf numFmtId="0" fontId="9" fillId="0" borderId="0" xfId="0" quotePrefix="1" applyNumberFormat="1" applyFont="1" applyFill="1" applyBorder="1" applyAlignment="1">
      <alignment horizontal="left"/>
    </xf>
    <xf numFmtId="0" fontId="4" fillId="0" borderId="0" xfId="0" applyFont="1" applyBorder="1"/>
    <xf numFmtId="2" fontId="4" fillId="0" borderId="0" xfId="0" applyNumberFormat="1" applyFont="1" applyBorder="1" applyAlignment="1">
      <alignment horizontal="center"/>
    </xf>
    <xf numFmtId="0" fontId="3" fillId="0" borderId="0" xfId="0" applyFont="1" applyFill="1"/>
    <xf numFmtId="0" fontId="3" fillId="0" borderId="0" xfId="0" applyFont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8" fillId="0" borderId="0" xfId="0" applyFont="1" applyFill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10" fillId="0" borderId="0" xfId="0" applyFont="1" applyBorder="1"/>
    <xf numFmtId="0" fontId="13" fillId="0" borderId="0" xfId="0" applyFont="1" applyBorder="1"/>
    <xf numFmtId="0" fontId="14" fillId="0" borderId="0" xfId="0" applyFont="1" applyBorder="1" applyAlignment="1">
      <alignment horizontal="center"/>
    </xf>
    <xf numFmtId="0" fontId="13" fillId="0" borderId="0" xfId="0" applyFont="1" applyFill="1" applyBorder="1"/>
    <xf numFmtId="0" fontId="10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0" xfId="0" applyFont="1" applyBorder="1"/>
    <xf numFmtId="0" fontId="10" fillId="0" borderId="0" xfId="0" applyFont="1" applyBorder="1" applyAlignment="1">
      <alignment horizontal="right"/>
    </xf>
    <xf numFmtId="0" fontId="10" fillId="0" borderId="0" xfId="0" applyFont="1" applyFill="1" applyBorder="1" applyAlignment="1">
      <alignment horizontal="right"/>
    </xf>
    <xf numFmtId="0" fontId="10" fillId="0" borderId="0" xfId="0" applyFont="1" applyFill="1" applyBorder="1"/>
    <xf numFmtId="0" fontId="15" fillId="0" borderId="0" xfId="0" applyFont="1" applyFill="1" applyBorder="1"/>
    <xf numFmtId="0" fontId="7" fillId="0" borderId="0" xfId="0" applyFont="1" applyBorder="1" applyAlignment="1">
      <alignment horizontal="left"/>
    </xf>
    <xf numFmtId="0" fontId="7" fillId="0" borderId="0" xfId="0" applyFont="1" applyBorder="1"/>
    <xf numFmtId="0" fontId="7" fillId="0" borderId="0" xfId="0" applyFont="1" applyFill="1" applyBorder="1"/>
    <xf numFmtId="164" fontId="13" fillId="0" borderId="0" xfId="4" applyNumberFormat="1" applyFont="1" applyFill="1" applyBorder="1"/>
    <xf numFmtId="0" fontId="7" fillId="0" borderId="0" xfId="0" applyFont="1" applyFill="1" applyBorder="1" applyAlignment="1">
      <alignment horizontal="left"/>
    </xf>
    <xf numFmtId="0" fontId="9" fillId="0" borderId="0" xfId="0" applyFont="1" applyBorder="1"/>
    <xf numFmtId="0" fontId="16" fillId="0" borderId="0" xfId="0" applyFont="1"/>
    <xf numFmtId="0" fontId="25" fillId="0" borderId="0" xfId="0" applyFont="1" applyBorder="1" applyAlignment="1">
      <alignment horizontal="left"/>
    </xf>
    <xf numFmtId="0" fontId="26" fillId="2" borderId="0" xfId="0" quotePrefix="1" applyFont="1" applyFill="1" applyBorder="1" applyAlignment="1">
      <alignment horizontal="left"/>
    </xf>
    <xf numFmtId="0" fontId="27" fillId="2" borderId="0" xfId="0" applyFont="1" applyFill="1" applyBorder="1" applyAlignment="1">
      <alignment horizontal="center"/>
    </xf>
    <xf numFmtId="0" fontId="28" fillId="0" borderId="0" xfId="0" applyFont="1" applyBorder="1"/>
    <xf numFmtId="0" fontId="26" fillId="0" borderId="0" xfId="0" applyNumberFormat="1" applyFont="1" applyBorder="1" applyAlignment="1">
      <alignment horizontal="left"/>
    </xf>
    <xf numFmtId="2" fontId="26" fillId="0" borderId="0" xfId="0" applyNumberFormat="1" applyFont="1" applyFill="1" applyBorder="1" applyAlignment="1">
      <alignment horizontal="center"/>
    </xf>
    <xf numFmtId="0" fontId="26" fillId="0" borderId="0" xfId="0" applyNumberFormat="1" applyFont="1" applyBorder="1" applyAlignment="1">
      <alignment horizontal="center"/>
    </xf>
    <xf numFmtId="0" fontId="25" fillId="0" borderId="0" xfId="0" applyNumberFormat="1" applyFont="1" applyBorder="1" applyAlignment="1">
      <alignment horizontal="left"/>
    </xf>
    <xf numFmtId="0" fontId="25" fillId="0" borderId="0" xfId="0" applyNumberFormat="1" applyFont="1" applyBorder="1" applyAlignment="1">
      <alignment horizontal="center"/>
    </xf>
    <xf numFmtId="0" fontId="25" fillId="5" borderId="0" xfId="0" applyNumberFormat="1" applyFont="1" applyFill="1" applyBorder="1" applyAlignment="1">
      <alignment horizontal="left"/>
    </xf>
    <xf numFmtId="0" fontId="25" fillId="5" borderId="0" xfId="0" applyNumberFormat="1" applyFont="1" applyFill="1" applyBorder="1" applyAlignment="1">
      <alignment horizontal="center"/>
    </xf>
    <xf numFmtId="0" fontId="25" fillId="0" borderId="0" xfId="0" applyNumberFormat="1" applyFont="1" applyFill="1" applyBorder="1" applyAlignment="1">
      <alignment horizontal="left"/>
    </xf>
    <xf numFmtId="0" fontId="25" fillId="0" borderId="0" xfId="0" applyNumberFormat="1" applyFont="1" applyFill="1" applyBorder="1" applyAlignment="1">
      <alignment horizontal="centerContinuous"/>
    </xf>
    <xf numFmtId="0" fontId="29" fillId="0" borderId="0" xfId="0" applyFont="1" applyBorder="1"/>
    <xf numFmtId="0" fontId="25" fillId="0" borderId="0" xfId="0" applyFont="1" applyBorder="1"/>
    <xf numFmtId="9" fontId="25" fillId="0" borderId="0" xfId="4" applyNumberFormat="1" applyFont="1" applyBorder="1"/>
    <xf numFmtId="0" fontId="26" fillId="0" borderId="0" xfId="0" applyFont="1" applyBorder="1" applyAlignment="1">
      <alignment horizontal="left"/>
    </xf>
    <xf numFmtId="0" fontId="26" fillId="0" borderId="0" xfId="0" applyFont="1" applyBorder="1"/>
    <xf numFmtId="9" fontId="26" fillId="0" borderId="0" xfId="4" applyFont="1" applyBorder="1"/>
    <xf numFmtId="0" fontId="25" fillId="0" borderId="1" xfId="0" applyNumberFormat="1" applyFont="1" applyBorder="1" applyAlignment="1">
      <alignment horizontal="left"/>
    </xf>
    <xf numFmtId="0" fontId="25" fillId="0" borderId="1" xfId="0" applyNumberFormat="1" applyFont="1" applyFill="1" applyBorder="1" applyAlignment="1">
      <alignment horizontal="centerContinuous"/>
    </xf>
    <xf numFmtId="0" fontId="25" fillId="0" borderId="1" xfId="0" applyFont="1" applyBorder="1" applyAlignment="1">
      <alignment horizontal="left"/>
    </xf>
    <xf numFmtId="0" fontId="25" fillId="0" borderId="1" xfId="0" applyFont="1" applyBorder="1"/>
    <xf numFmtId="9" fontId="25" fillId="0" borderId="1" xfId="4" applyNumberFormat="1" applyFont="1" applyBorder="1"/>
    <xf numFmtId="0" fontId="25" fillId="0" borderId="1" xfId="0" applyFont="1" applyBorder="1" applyAlignment="1">
      <alignment horizontal="center"/>
    </xf>
    <xf numFmtId="0" fontId="25" fillId="0" borderId="0" xfId="0" applyFont="1"/>
    <xf numFmtId="9" fontId="25" fillId="0" borderId="0" xfId="4" applyFont="1"/>
    <xf numFmtId="0" fontId="25" fillId="0" borderId="0" xfId="0" applyFont="1" applyFill="1"/>
    <xf numFmtId="9" fontId="25" fillId="0" borderId="0" xfId="4" applyFont="1" applyFill="1"/>
    <xf numFmtId="9" fontId="25" fillId="0" borderId="0" xfId="4" applyFont="1" applyBorder="1" applyAlignment="1">
      <alignment horizontal="center"/>
    </xf>
    <xf numFmtId="9" fontId="25" fillId="5" borderId="0" xfId="4" applyFont="1" applyFill="1" applyBorder="1" applyAlignment="1">
      <alignment horizontal="center"/>
    </xf>
    <xf numFmtId="9" fontId="25" fillId="0" borderId="0" xfId="4" applyFont="1" applyFill="1" applyBorder="1" applyAlignment="1">
      <alignment horizontal="centerContinuous"/>
    </xf>
    <xf numFmtId="9" fontId="25" fillId="0" borderId="1" xfId="4" applyFont="1" applyFill="1" applyBorder="1" applyAlignment="1">
      <alignment horizontal="centerContinuous"/>
    </xf>
    <xf numFmtId="14" fontId="27" fillId="2" borderId="0" xfId="0" applyNumberFormat="1" applyFont="1" applyFill="1" applyBorder="1" applyAlignment="1">
      <alignment horizontal="center"/>
    </xf>
    <xf numFmtId="14" fontId="27" fillId="0" borderId="0" xfId="0" applyNumberFormat="1" applyFont="1" applyFill="1" applyBorder="1" applyAlignment="1">
      <alignment horizontal="center"/>
    </xf>
    <xf numFmtId="164" fontId="0" fillId="0" borderId="0" xfId="0" applyNumberFormat="1" applyBorder="1"/>
    <xf numFmtId="0" fontId="26" fillId="6" borderId="0" xfId="0" applyFont="1" applyFill="1" applyBorder="1" applyAlignment="1">
      <alignment horizontal="centerContinuous"/>
    </xf>
    <xf numFmtId="0" fontId="6" fillId="6" borderId="0" xfId="0" applyFont="1" applyFill="1" applyBorder="1" applyAlignment="1">
      <alignment horizontal="centerContinuous"/>
    </xf>
    <xf numFmtId="0" fontId="25" fillId="0" borderId="0" xfId="0" applyNumberFormat="1" applyFont="1" applyFill="1" applyBorder="1" applyAlignment="1">
      <alignment horizontal="center"/>
    </xf>
    <xf numFmtId="9" fontId="25" fillId="0" borderId="0" xfId="4" applyFont="1" applyFill="1" applyBorder="1" applyAlignment="1">
      <alignment horizontal="center"/>
    </xf>
    <xf numFmtId="0" fontId="25" fillId="0" borderId="1" xfId="0" applyNumberFormat="1" applyFont="1" applyFill="1" applyBorder="1" applyAlignment="1">
      <alignment horizontal="left"/>
    </xf>
    <xf numFmtId="0" fontId="25" fillId="0" borderId="0" xfId="0" applyFont="1" applyFill="1" applyBorder="1" applyAlignment="1">
      <alignment horizontal="left"/>
    </xf>
    <xf numFmtId="10" fontId="25" fillId="0" borderId="0" xfId="4" applyNumberFormat="1" applyFont="1" applyFill="1" applyBorder="1" applyAlignment="1">
      <alignment horizontal="center"/>
    </xf>
    <xf numFmtId="10" fontId="25" fillId="0" borderId="0" xfId="4" applyNumberFormat="1" applyFont="1" applyFill="1" applyBorder="1" applyAlignment="1">
      <alignment horizontal="centerContinuous"/>
    </xf>
    <xf numFmtId="10" fontId="25" fillId="0" borderId="1" xfId="4" applyNumberFormat="1" applyFont="1" applyFill="1" applyBorder="1" applyAlignment="1">
      <alignment horizontal="centerContinuous"/>
    </xf>
    <xf numFmtId="0" fontId="25" fillId="0" borderId="0" xfId="0" applyFont="1" applyFill="1" applyBorder="1"/>
    <xf numFmtId="0" fontId="25" fillId="0" borderId="0" xfId="0" applyFont="1" applyBorder="1" applyAlignment="1">
      <alignment horizontal="center"/>
    </xf>
    <xf numFmtId="0" fontId="30" fillId="0" borderId="0" xfId="0" applyNumberFormat="1" applyFont="1" applyFill="1" applyBorder="1" applyAlignment="1">
      <alignment horizontal="left"/>
    </xf>
    <xf numFmtId="9" fontId="0" fillId="0" borderId="0" xfId="0" applyNumberFormat="1" applyFill="1" applyBorder="1"/>
    <xf numFmtId="165" fontId="0" fillId="0" borderId="0" xfId="0" applyNumberFormat="1" applyFill="1" applyBorder="1"/>
    <xf numFmtId="0" fontId="31" fillId="4" borderId="0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/>
    </xf>
    <xf numFmtId="0" fontId="29" fillId="0" borderId="0" xfId="0" applyFont="1" applyFill="1" applyBorder="1"/>
    <xf numFmtId="0" fontId="31" fillId="0" borderId="0" xfId="0" applyFont="1" applyFill="1" applyBorder="1" applyAlignment="1">
      <alignment horizontal="center"/>
    </xf>
    <xf numFmtId="2" fontId="33" fillId="0" borderId="0" xfId="0" applyNumberFormat="1" applyFont="1" applyFill="1" applyBorder="1" applyAlignment="1">
      <alignment horizontal="center"/>
    </xf>
    <xf numFmtId="0" fontId="20" fillId="0" borderId="0" xfId="0" applyFont="1" applyBorder="1"/>
    <xf numFmtId="0" fontId="34" fillId="0" borderId="0" xfId="0" applyFont="1" applyBorder="1" applyAlignment="1">
      <alignment horizontal="center"/>
    </xf>
    <xf numFmtId="0" fontId="35" fillId="0" borderId="0" xfId="0" applyFont="1" applyBorder="1" applyAlignment="1">
      <alignment horizontal="center"/>
    </xf>
    <xf numFmtId="0" fontId="36" fillId="0" borderId="0" xfId="0" applyNumberFormat="1" applyFont="1" applyFill="1" applyBorder="1" applyAlignment="1">
      <alignment horizontal="left"/>
    </xf>
    <xf numFmtId="0" fontId="36" fillId="5" borderId="0" xfId="0" applyNumberFormat="1" applyFont="1" applyFill="1" applyBorder="1" applyAlignment="1">
      <alignment horizontal="left"/>
    </xf>
    <xf numFmtId="0" fontId="29" fillId="0" borderId="0" xfId="0" applyFont="1" applyBorder="1" applyAlignment="1">
      <alignment horizontal="left" indent="1"/>
    </xf>
    <xf numFmtId="0" fontId="0" fillId="0" borderId="0" xfId="0" applyBorder="1" applyAlignment="1">
      <alignment horizontal="left" indent="1"/>
    </xf>
    <xf numFmtId="0" fontId="0" fillId="0" borderId="0" xfId="0" applyFill="1" applyBorder="1" applyAlignment="1">
      <alignment horizontal="left" indent="1"/>
    </xf>
    <xf numFmtId="0" fontId="9" fillId="0" borderId="0" xfId="0" applyFont="1" applyFill="1" applyBorder="1" applyAlignment="1">
      <alignment horizontal="left" indent="1"/>
    </xf>
    <xf numFmtId="164" fontId="0" fillId="0" borderId="0" xfId="0" applyNumberFormat="1" applyBorder="1" applyAlignment="1">
      <alignment horizontal="left" indent="1"/>
    </xf>
    <xf numFmtId="0" fontId="25" fillId="0" borderId="2" xfId="0" applyNumberFormat="1" applyFont="1" applyBorder="1" applyAlignment="1">
      <alignment horizontal="left"/>
    </xf>
    <xf numFmtId="0" fontId="25" fillId="0" borderId="2" xfId="0" applyNumberFormat="1" applyFont="1" applyBorder="1" applyAlignment="1">
      <alignment horizontal="center"/>
    </xf>
    <xf numFmtId="9" fontId="25" fillId="0" borderId="2" xfId="4" applyFont="1" applyBorder="1" applyAlignment="1">
      <alignment horizontal="center"/>
    </xf>
    <xf numFmtId="0" fontId="37" fillId="0" borderId="0" xfId="1" applyFont="1" applyBorder="1" applyAlignment="1" applyProtection="1"/>
    <xf numFmtId="166" fontId="25" fillId="0" borderId="0" xfId="0" applyNumberFormat="1" applyFont="1" applyFill="1"/>
    <xf numFmtId="10" fontId="25" fillId="0" borderId="0" xfId="4" applyNumberFormat="1" applyFont="1"/>
    <xf numFmtId="166" fontId="25" fillId="0" borderId="0" xfId="0" applyNumberFormat="1" applyFont="1" applyFill="1" applyBorder="1"/>
    <xf numFmtId="0" fontId="25" fillId="8" borderId="0" xfId="0" applyNumberFormat="1" applyFont="1" applyFill="1" applyBorder="1" applyAlignment="1">
      <alignment horizontal="left"/>
    </xf>
    <xf numFmtId="0" fontId="25" fillId="8" borderId="0" xfId="0" applyNumberFormat="1" applyFont="1" applyFill="1" applyBorder="1" applyAlignment="1">
      <alignment horizontal="center"/>
    </xf>
    <xf numFmtId="9" fontId="25" fillId="8" borderId="0" xfId="4" applyFont="1" applyFill="1" applyBorder="1" applyAlignment="1">
      <alignment horizontal="center"/>
    </xf>
    <xf numFmtId="0" fontId="25" fillId="9" borderId="2" xfId="0" applyNumberFormat="1" applyFont="1" applyFill="1" applyBorder="1" applyAlignment="1">
      <alignment horizontal="left"/>
    </xf>
    <xf numFmtId="0" fontId="25" fillId="9" borderId="2" xfId="0" applyNumberFormat="1" applyFont="1" applyFill="1" applyBorder="1" applyAlignment="1">
      <alignment horizontal="center"/>
    </xf>
    <xf numFmtId="9" fontId="25" fillId="9" borderId="2" xfId="4" applyFont="1" applyFill="1" applyBorder="1" applyAlignment="1">
      <alignment horizontal="center"/>
    </xf>
    <xf numFmtId="0" fontId="26" fillId="0" borderId="9" xfId="0" quotePrefix="1" applyFont="1" applyFill="1" applyBorder="1" applyAlignment="1">
      <alignment horizontal="left"/>
    </xf>
    <xf numFmtId="0" fontId="27" fillId="0" borderId="10" xfId="0" applyFont="1" applyFill="1" applyBorder="1" applyAlignment="1">
      <alignment horizontal="center"/>
    </xf>
    <xf numFmtId="0" fontId="0" fillId="0" borderId="10" xfId="0" applyFill="1" applyBorder="1"/>
    <xf numFmtId="14" fontId="27" fillId="0" borderId="11" xfId="0" applyNumberFormat="1" applyFont="1" applyFill="1" applyBorder="1" applyAlignment="1">
      <alignment horizontal="center"/>
    </xf>
    <xf numFmtId="0" fontId="25" fillId="5" borderId="2" xfId="0" applyNumberFormat="1" applyFont="1" applyFill="1" applyBorder="1" applyAlignment="1">
      <alignment horizontal="left"/>
    </xf>
    <xf numFmtId="0" fontId="25" fillId="9" borderId="0" xfId="0" applyNumberFormat="1" applyFont="1" applyFill="1" applyBorder="1" applyAlignment="1">
      <alignment horizontal="left"/>
    </xf>
    <xf numFmtId="0" fontId="25" fillId="5" borderId="2" xfId="0" applyNumberFormat="1" applyFont="1" applyFill="1" applyBorder="1" applyAlignment="1">
      <alignment horizontal="center"/>
    </xf>
    <xf numFmtId="0" fontId="25" fillId="9" borderId="0" xfId="0" applyNumberFormat="1" applyFont="1" applyFill="1" applyBorder="1" applyAlignment="1">
      <alignment horizontal="center"/>
    </xf>
    <xf numFmtId="0" fontId="25" fillId="0" borderId="1" xfId="0" applyNumberFormat="1" applyFont="1" applyFill="1" applyBorder="1" applyAlignment="1">
      <alignment horizontal="center"/>
    </xf>
    <xf numFmtId="9" fontId="25" fillId="5" borderId="2" xfId="4" applyFont="1" applyFill="1" applyBorder="1" applyAlignment="1">
      <alignment horizontal="center"/>
    </xf>
    <xf numFmtId="9" fontId="25" fillId="9" borderId="0" xfId="4" applyFont="1" applyFill="1" applyBorder="1" applyAlignment="1">
      <alignment horizontal="center"/>
    </xf>
    <xf numFmtId="9" fontId="25" fillId="0" borderId="1" xfId="4" applyFont="1" applyFill="1" applyBorder="1" applyAlignment="1">
      <alignment horizontal="center"/>
    </xf>
    <xf numFmtId="0" fontId="25" fillId="0" borderId="2" xfId="0" applyNumberFormat="1" applyFont="1" applyFill="1" applyBorder="1" applyAlignment="1">
      <alignment horizontal="left"/>
    </xf>
    <xf numFmtId="0" fontId="25" fillId="0" borderId="2" xfId="0" applyNumberFormat="1" applyFont="1" applyFill="1" applyBorder="1" applyAlignment="1">
      <alignment horizontal="center"/>
    </xf>
    <xf numFmtId="9" fontId="25" fillId="0" borderId="2" xfId="4" applyFont="1" applyFill="1" applyBorder="1" applyAlignment="1">
      <alignment horizontal="center"/>
    </xf>
    <xf numFmtId="0" fontId="25" fillId="0" borderId="12" xfId="0" applyNumberFormat="1" applyFont="1" applyFill="1" applyBorder="1" applyAlignment="1">
      <alignment horizontal="left"/>
    </xf>
    <xf numFmtId="0" fontId="25" fillId="0" borderId="12" xfId="0" applyNumberFormat="1" applyFont="1" applyFill="1" applyBorder="1" applyAlignment="1">
      <alignment horizontal="center"/>
    </xf>
    <xf numFmtId="9" fontId="25" fillId="0" borderId="12" xfId="4" applyFont="1" applyFill="1" applyBorder="1" applyAlignment="1">
      <alignment horizontal="center"/>
    </xf>
    <xf numFmtId="0" fontId="38" fillId="10" borderId="0" xfId="0" applyNumberFormat="1" applyFont="1" applyFill="1" applyBorder="1" applyAlignment="1">
      <alignment horizontal="left"/>
    </xf>
    <xf numFmtId="0" fontId="38" fillId="10" borderId="0" xfId="0" applyNumberFormat="1" applyFont="1" applyFill="1" applyBorder="1" applyAlignment="1">
      <alignment horizontal="center"/>
    </xf>
    <xf numFmtId="9" fontId="38" fillId="10" borderId="0" xfId="4" applyFont="1" applyFill="1" applyBorder="1" applyAlignment="1">
      <alignment horizontal="center"/>
    </xf>
    <xf numFmtId="0" fontId="38" fillId="11" borderId="0" xfId="0" applyNumberFormat="1" applyFont="1" applyFill="1" applyBorder="1" applyAlignment="1">
      <alignment horizontal="left"/>
    </xf>
    <xf numFmtId="0" fontId="38" fillId="11" borderId="0" xfId="0" applyNumberFormat="1" applyFont="1" applyFill="1" applyBorder="1" applyAlignment="1">
      <alignment horizontal="center"/>
    </xf>
    <xf numFmtId="9" fontId="38" fillId="11" borderId="0" xfId="4" applyFont="1" applyFill="1" applyBorder="1" applyAlignment="1">
      <alignment horizontal="center"/>
    </xf>
    <xf numFmtId="0" fontId="1" fillId="0" borderId="0" xfId="0" applyFont="1"/>
    <xf numFmtId="0" fontId="6" fillId="0" borderId="0" xfId="0" applyFont="1" applyBorder="1"/>
    <xf numFmtId="0" fontId="1" fillId="0" borderId="0" xfId="0" applyFont="1" applyBorder="1" applyAlignment="1">
      <alignment horizontal="right"/>
    </xf>
    <xf numFmtId="0" fontId="6" fillId="0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1" fillId="0" borderId="0" xfId="0" applyFont="1" applyFill="1" applyBorder="1" applyAlignment="1">
      <alignment horizontal="right"/>
    </xf>
    <xf numFmtId="0" fontId="1" fillId="0" borderId="0" xfId="0" applyFont="1" applyAlignment="1">
      <alignment horizontal="right"/>
    </xf>
    <xf numFmtId="0" fontId="6" fillId="0" borderId="0" xfId="0" applyFont="1" applyFill="1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4" xfId="0" applyFont="1" applyBorder="1"/>
    <xf numFmtId="0" fontId="39" fillId="0" borderId="5" xfId="0" applyFont="1" applyBorder="1" applyAlignment="1">
      <alignment horizontal="right"/>
    </xf>
    <xf numFmtId="0" fontId="39" fillId="0" borderId="5" xfId="0" applyFont="1" applyFill="1" applyBorder="1" applyAlignment="1">
      <alignment horizontal="right"/>
    </xf>
    <xf numFmtId="0" fontId="39" fillId="0" borderId="5" xfId="0" applyFont="1" applyBorder="1"/>
    <xf numFmtId="0" fontId="0" fillId="0" borderId="5" xfId="0" applyBorder="1"/>
    <xf numFmtId="0" fontId="6" fillId="0" borderId="6" xfId="0" applyFont="1" applyBorder="1"/>
    <xf numFmtId="0" fontId="39" fillId="0" borderId="3" xfId="0" applyFont="1" applyBorder="1" applyAlignment="1">
      <alignment horizontal="right"/>
    </xf>
    <xf numFmtId="0" fontId="39" fillId="0" borderId="3" xfId="0" applyFont="1" applyFill="1" applyBorder="1" applyAlignment="1">
      <alignment horizontal="right"/>
    </xf>
    <xf numFmtId="0" fontId="39" fillId="0" borderId="3" xfId="0" applyFont="1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 applyAlignment="1">
      <alignment horizontal="right"/>
    </xf>
    <xf numFmtId="0" fontId="6" fillId="0" borderId="5" xfId="0" applyFont="1" applyFill="1" applyBorder="1" applyAlignment="1">
      <alignment horizontal="right"/>
    </xf>
    <xf numFmtId="0" fontId="1" fillId="0" borderId="5" xfId="0" applyFont="1" applyFill="1" applyBorder="1" applyAlignment="1">
      <alignment horizontal="right"/>
    </xf>
    <xf numFmtId="0" fontId="1" fillId="0" borderId="5" xfId="0" applyFont="1" applyBorder="1"/>
    <xf numFmtId="0" fontId="6" fillId="0" borderId="7" xfId="0" applyFont="1" applyBorder="1"/>
    <xf numFmtId="0" fontId="6" fillId="0" borderId="8" xfId="0" applyFont="1" applyFill="1" applyBorder="1" applyAlignment="1">
      <alignment horizontal="right"/>
    </xf>
    <xf numFmtId="0" fontId="6" fillId="0" borderId="8" xfId="0" applyFont="1" applyBorder="1"/>
    <xf numFmtId="0" fontId="1" fillId="12" borderId="7" xfId="0" applyFont="1" applyFill="1" applyBorder="1"/>
    <xf numFmtId="0" fontId="1" fillId="12" borderId="8" xfId="0" applyFont="1" applyFill="1" applyBorder="1" applyAlignment="1">
      <alignment horizontal="right"/>
    </xf>
    <xf numFmtId="0" fontId="6" fillId="12" borderId="8" xfId="0" applyFont="1" applyFill="1" applyBorder="1" applyAlignment="1">
      <alignment horizontal="right"/>
    </xf>
    <xf numFmtId="0" fontId="1" fillId="12" borderId="8" xfId="0" applyFont="1" applyFill="1" applyBorder="1"/>
    <xf numFmtId="0" fontId="32" fillId="4" borderId="0" xfId="0" applyFont="1" applyFill="1" applyBorder="1" applyAlignment="1">
      <alignment horizontal="center"/>
    </xf>
    <xf numFmtId="0" fontId="29" fillId="0" borderId="0" xfId="0" applyFont="1" applyFill="1" applyBorder="1" applyAlignment="1">
      <alignment horizontal="center"/>
    </xf>
    <xf numFmtId="0" fontId="40" fillId="0" borderId="0" xfId="0" applyFont="1"/>
    <xf numFmtId="9" fontId="13" fillId="0" borderId="0" xfId="0" applyNumberFormat="1" applyFont="1" applyFill="1" applyBorder="1"/>
    <xf numFmtId="9" fontId="41" fillId="0" borderId="0" xfId="0" applyNumberFormat="1" applyFont="1" applyFill="1" applyBorder="1"/>
    <xf numFmtId="0" fontId="44" fillId="0" borderId="0" xfId="0" quotePrefix="1" applyFont="1" applyBorder="1" applyAlignment="1">
      <alignment horizontal="left" vertical="center"/>
    </xf>
    <xf numFmtId="0" fontId="38" fillId="10" borderId="2" xfId="0" applyNumberFormat="1" applyFont="1" applyFill="1" applyBorder="1" applyAlignment="1">
      <alignment horizontal="left"/>
    </xf>
    <xf numFmtId="0" fontId="38" fillId="10" borderId="2" xfId="0" applyNumberFormat="1" applyFont="1" applyFill="1" applyBorder="1" applyAlignment="1">
      <alignment horizontal="center"/>
    </xf>
    <xf numFmtId="9" fontId="38" fillId="10" borderId="2" xfId="4" applyFont="1" applyFill="1" applyBorder="1" applyAlignment="1">
      <alignment horizontal="center"/>
    </xf>
    <xf numFmtId="0" fontId="25" fillId="0" borderId="0" xfId="6" applyFont="1" applyAlignment="1">
      <alignment vertical="center"/>
    </xf>
    <xf numFmtId="0" fontId="28" fillId="0" borderId="0" xfId="6" applyFont="1" applyBorder="1" applyAlignment="1">
      <alignment vertical="center"/>
    </xf>
    <xf numFmtId="0" fontId="25" fillId="0" borderId="0" xfId="6" applyFont="1" applyAlignment="1">
      <alignment horizontal="center" vertical="center"/>
    </xf>
    <xf numFmtId="0" fontId="25" fillId="0" borderId="0" xfId="6" applyFont="1" applyBorder="1" applyAlignment="1">
      <alignment horizontal="center" vertical="center"/>
    </xf>
    <xf numFmtId="0" fontId="25" fillId="0" borderId="0" xfId="6" applyFont="1" applyBorder="1" applyAlignment="1">
      <alignment vertical="center"/>
    </xf>
    <xf numFmtId="0" fontId="25" fillId="14" borderId="5" xfId="6" applyFont="1" applyFill="1" applyBorder="1" applyAlignment="1">
      <alignment vertical="center"/>
    </xf>
    <xf numFmtId="0" fontId="26" fillId="14" borderId="5" xfId="6" applyFont="1" applyFill="1" applyBorder="1" applyAlignment="1">
      <alignment vertical="center"/>
    </xf>
    <xf numFmtId="0" fontId="26" fillId="14" borderId="5" xfId="6" applyFont="1" applyFill="1" applyBorder="1" applyAlignment="1">
      <alignment horizontal="center" vertical="center"/>
    </xf>
    <xf numFmtId="0" fontId="26" fillId="14" borderId="14" xfId="6" applyFont="1" applyFill="1" applyBorder="1" applyAlignment="1">
      <alignment horizontal="center" vertical="center" wrapText="1"/>
    </xf>
    <xf numFmtId="0" fontId="25" fillId="0" borderId="0" xfId="6" applyFont="1" applyFill="1" applyBorder="1" applyAlignment="1">
      <alignment vertical="center"/>
    </xf>
    <xf numFmtId="0" fontId="25" fillId="0" borderId="0" xfId="6" applyFont="1" applyFill="1" applyBorder="1" applyAlignment="1">
      <alignment horizontal="center" vertical="center"/>
    </xf>
    <xf numFmtId="4" fontId="25" fillId="0" borderId="15" xfId="6" applyNumberFormat="1" applyFont="1" applyBorder="1" applyAlignment="1">
      <alignment horizontal="center" vertical="center"/>
    </xf>
    <xf numFmtId="0" fontId="25" fillId="0" borderId="13" xfId="6" applyFont="1" applyBorder="1" applyAlignment="1">
      <alignment vertical="center"/>
    </xf>
    <xf numFmtId="0" fontId="25" fillId="0" borderId="13" xfId="6" applyFont="1" applyBorder="1" applyAlignment="1">
      <alignment horizontal="center" vertical="center"/>
    </xf>
    <xf numFmtId="0" fontId="25" fillId="0" borderId="13" xfId="6" applyFont="1" applyFill="1" applyBorder="1" applyAlignment="1">
      <alignment vertical="center"/>
    </xf>
    <xf numFmtId="0" fontId="46" fillId="0" borderId="13" xfId="6" applyFont="1" applyFill="1" applyBorder="1" applyAlignment="1">
      <alignment horizontal="center" vertical="center"/>
    </xf>
    <xf numFmtId="4" fontId="25" fillId="0" borderId="16" xfId="6" applyNumberFormat="1" applyFont="1" applyBorder="1" applyAlignment="1">
      <alignment horizontal="center" vertical="center"/>
    </xf>
    <xf numFmtId="14" fontId="45" fillId="0" borderId="0" xfId="6" applyNumberFormat="1" applyFont="1" applyBorder="1" applyAlignment="1">
      <alignment horizontal="center" vertical="center"/>
    </xf>
    <xf numFmtId="0" fontId="44" fillId="0" borderId="0" xfId="0" quotePrefix="1" applyFont="1" applyBorder="1" applyAlignment="1">
      <alignment horizontal="right" vertical="center"/>
    </xf>
    <xf numFmtId="0" fontId="28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43" fillId="0" borderId="0" xfId="0" applyFont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43" fillId="0" borderId="0" xfId="0" applyFont="1" applyBorder="1" applyAlignment="1">
      <alignment horizontal="center" vertical="center"/>
    </xf>
    <xf numFmtId="14" fontId="27" fillId="0" borderId="0" xfId="0" applyNumberFormat="1" applyFont="1" applyFill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2" fontId="33" fillId="0" borderId="0" xfId="0" applyNumberFormat="1" applyFont="1" applyFill="1" applyBorder="1" applyAlignment="1">
      <alignment horizontal="center" vertical="center"/>
    </xf>
    <xf numFmtId="0" fontId="44" fillId="0" borderId="0" xfId="0" quotePrefix="1" applyFont="1" applyBorder="1" applyAlignment="1">
      <alignment horizontal="center" vertical="center"/>
    </xf>
    <xf numFmtId="0" fontId="51" fillId="0" borderId="0" xfId="0" applyNumberFormat="1" applyFont="1" applyFill="1" applyBorder="1" applyAlignment="1">
      <alignment horizontal="left" vertical="center"/>
    </xf>
    <xf numFmtId="0" fontId="51" fillId="0" borderId="0" xfId="0" applyNumberFormat="1" applyFont="1" applyFill="1" applyBorder="1" applyAlignment="1">
      <alignment horizontal="center" vertical="center"/>
    </xf>
    <xf numFmtId="9" fontId="25" fillId="0" borderId="0" xfId="4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26" fillId="12" borderId="8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5" fillId="0" borderId="0" xfId="0" applyFont="1" applyBorder="1" applyAlignment="1">
      <alignment horizontal="center" vertical="center"/>
    </xf>
    <xf numFmtId="0" fontId="48" fillId="0" borderId="0" xfId="0" quotePrefix="1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5" fillId="0" borderId="3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9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51" fillId="0" borderId="2" xfId="0" applyNumberFormat="1" applyFont="1" applyFill="1" applyBorder="1" applyAlignment="1">
      <alignment horizontal="left" vertical="center"/>
    </xf>
    <xf numFmtId="0" fontId="51" fillId="0" borderId="2" xfId="0" applyNumberFormat="1" applyFont="1" applyFill="1" applyBorder="1" applyAlignment="1">
      <alignment horizontal="center" vertical="center"/>
    </xf>
    <xf numFmtId="9" fontId="25" fillId="0" borderId="2" xfId="4" applyFont="1" applyFill="1" applyBorder="1" applyAlignment="1">
      <alignment horizontal="center" vertical="center"/>
    </xf>
    <xf numFmtId="0" fontId="25" fillId="0" borderId="0" xfId="0" applyNumberFormat="1" applyFont="1" applyFill="1" applyBorder="1" applyAlignment="1">
      <alignment horizontal="left" vertical="center"/>
    </xf>
    <xf numFmtId="0" fontId="25" fillId="0" borderId="0" xfId="0" applyNumberFormat="1" applyFont="1" applyFill="1" applyBorder="1" applyAlignment="1">
      <alignment horizontal="centerContinuous" vertical="center"/>
    </xf>
    <xf numFmtId="0" fontId="25" fillId="0" borderId="0" xfId="0" applyNumberFormat="1" applyFont="1" applyFill="1" applyBorder="1" applyAlignment="1">
      <alignment horizontal="center" vertical="center"/>
    </xf>
    <xf numFmtId="0" fontId="25" fillId="0" borderId="1" xfId="0" applyNumberFormat="1" applyFont="1" applyFill="1" applyBorder="1" applyAlignment="1">
      <alignment horizontal="left" vertical="center"/>
    </xf>
    <xf numFmtId="0" fontId="25" fillId="0" borderId="1" xfId="0" applyNumberFormat="1" applyFont="1" applyFill="1" applyBorder="1" applyAlignment="1">
      <alignment horizontal="centerContinuous" vertical="center"/>
    </xf>
    <xf numFmtId="9" fontId="25" fillId="0" borderId="1" xfId="4" applyFont="1" applyFill="1" applyBorder="1" applyAlignment="1">
      <alignment horizontal="centerContinuous" vertical="center"/>
    </xf>
    <xf numFmtId="0" fontId="26" fillId="0" borderId="0" xfId="0" applyNumberFormat="1" applyFont="1" applyBorder="1" applyAlignment="1">
      <alignment horizontal="left" vertical="center"/>
    </xf>
    <xf numFmtId="0" fontId="26" fillId="0" borderId="0" xfId="0" applyNumberFormat="1" applyFont="1" applyBorder="1" applyAlignment="1">
      <alignment horizontal="center" vertical="center"/>
    </xf>
    <xf numFmtId="2" fontId="26" fillId="0" borderId="0" xfId="0" applyNumberFormat="1" applyFont="1" applyFill="1" applyBorder="1" applyAlignment="1">
      <alignment horizontal="center" vertical="center"/>
    </xf>
    <xf numFmtId="0" fontId="5" fillId="0" borderId="0" xfId="0" quotePrefix="1" applyNumberFormat="1" applyFont="1" applyBorder="1" applyAlignment="1">
      <alignment horizontal="left" vertical="center"/>
    </xf>
    <xf numFmtId="0" fontId="3" fillId="0" borderId="0" xfId="0" quotePrefix="1" applyNumberFormat="1" applyFont="1" applyBorder="1" applyAlignment="1">
      <alignment horizontal="left" vertical="center"/>
    </xf>
    <xf numFmtId="0" fontId="29" fillId="0" borderId="0" xfId="0" applyFont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29" fillId="0" borderId="0" xfId="0" applyFont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9" fontId="0" fillId="0" borderId="0" xfId="0" applyNumberFormat="1" applyFill="1" applyBorder="1" applyAlignment="1">
      <alignment vertical="center"/>
    </xf>
    <xf numFmtId="0" fontId="25" fillId="0" borderId="0" xfId="0" applyNumberFormat="1" applyFont="1" applyBorder="1" applyAlignment="1">
      <alignment horizontal="left" vertical="center"/>
    </xf>
    <xf numFmtId="0" fontId="25" fillId="0" borderId="0" xfId="0" applyNumberFormat="1" applyFont="1" applyBorder="1" applyAlignment="1">
      <alignment horizontal="center" vertical="center"/>
    </xf>
    <xf numFmtId="0" fontId="50" fillId="0" borderId="0" xfId="0" applyFont="1" applyBorder="1" applyAlignment="1">
      <alignment horizontal="left" vertical="center"/>
    </xf>
    <xf numFmtId="167" fontId="0" fillId="0" borderId="0" xfId="0" applyNumberFormat="1" applyBorder="1" applyAlignment="1">
      <alignment vertical="center"/>
    </xf>
    <xf numFmtId="0" fontId="49" fillId="0" borderId="0" xfId="0" applyFont="1" applyBorder="1" applyAlignment="1">
      <alignment vertical="center"/>
    </xf>
    <xf numFmtId="0" fontId="50" fillId="0" borderId="0" xfId="0" applyFont="1" applyFill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9" fontId="26" fillId="0" borderId="8" xfId="4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9" fontId="25" fillId="0" borderId="17" xfId="4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9" fontId="25" fillId="0" borderId="13" xfId="4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9" fontId="25" fillId="0" borderId="18" xfId="4" applyFont="1" applyBorder="1" applyAlignment="1">
      <alignment horizontal="center" vertical="center"/>
    </xf>
    <xf numFmtId="0" fontId="26" fillId="0" borderId="19" xfId="0" quotePrefix="1" applyFont="1" applyFill="1" applyBorder="1" applyAlignment="1">
      <alignment horizontal="left" vertical="center"/>
    </xf>
    <xf numFmtId="0" fontId="27" fillId="0" borderId="12" xfId="0" applyFont="1" applyFill="1" applyBorder="1" applyAlignment="1">
      <alignment horizontal="center" vertical="center"/>
    </xf>
    <xf numFmtId="0" fontId="0" fillId="0" borderId="12" xfId="0" applyFill="1" applyBorder="1" applyAlignment="1">
      <alignment vertical="center"/>
    </xf>
    <xf numFmtId="14" fontId="27" fillId="0" borderId="20" xfId="0" applyNumberFormat="1" applyFont="1" applyFill="1" applyBorder="1" applyAlignment="1">
      <alignment horizontal="center" vertical="center"/>
    </xf>
    <xf numFmtId="0" fontId="51" fillId="0" borderId="13" xfId="0" applyNumberFormat="1" applyFont="1" applyFill="1" applyBorder="1" applyAlignment="1">
      <alignment horizontal="left" vertical="center"/>
    </xf>
    <xf numFmtId="0" fontId="51" fillId="0" borderId="13" xfId="0" applyNumberFormat="1" applyFont="1" applyFill="1" applyBorder="1" applyAlignment="1">
      <alignment horizontal="center" vertical="center"/>
    </xf>
    <xf numFmtId="9" fontId="25" fillId="0" borderId="13" xfId="4" applyFont="1" applyFill="1" applyBorder="1" applyAlignment="1">
      <alignment horizontal="center" vertical="center"/>
    </xf>
    <xf numFmtId="0" fontId="7" fillId="0" borderId="13" xfId="0" applyFont="1" applyBorder="1" applyAlignment="1">
      <alignment horizontal="left" vertical="center"/>
    </xf>
    <xf numFmtId="0" fontId="7" fillId="0" borderId="13" xfId="0" applyFont="1" applyFill="1" applyBorder="1" applyAlignment="1">
      <alignment horizontal="center" vertical="center"/>
    </xf>
    <xf numFmtId="0" fontId="51" fillId="0" borderId="21" xfId="0" applyNumberFormat="1" applyFont="1" applyFill="1" applyBorder="1" applyAlignment="1">
      <alignment horizontal="left" vertical="center"/>
    </xf>
    <xf numFmtId="0" fontId="51" fillId="0" borderId="21" xfId="0" applyNumberFormat="1" applyFont="1" applyFill="1" applyBorder="1" applyAlignment="1">
      <alignment horizontal="center" vertical="center"/>
    </xf>
    <xf numFmtId="9" fontId="25" fillId="0" borderId="21" xfId="4" applyFont="1" applyFill="1" applyBorder="1" applyAlignment="1">
      <alignment horizontal="center"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Fill="1" applyBorder="1" applyAlignment="1">
      <alignment horizontal="center" vertical="center"/>
    </xf>
    <xf numFmtId="0" fontId="51" fillId="0" borderId="13" xfId="0" applyNumberFormat="1" applyFont="1" applyFill="1" applyBorder="1" applyAlignment="1">
      <alignment horizontal="centerContinuous" vertical="center"/>
    </xf>
    <xf numFmtId="0" fontId="0" fillId="15" borderId="5" xfId="0" applyFill="1" applyBorder="1" applyAlignment="1">
      <alignment vertical="center"/>
    </xf>
    <xf numFmtId="0" fontId="0" fillId="15" borderId="3" xfId="0" applyFill="1" applyBorder="1" applyAlignment="1">
      <alignment vertical="center"/>
    </xf>
    <xf numFmtId="0" fontId="0" fillId="15" borderId="8" xfId="0" applyFill="1" applyBorder="1" applyAlignment="1">
      <alignment vertical="center"/>
    </xf>
    <xf numFmtId="0" fontId="25" fillId="15" borderId="17" xfId="0" applyFont="1" applyFill="1" applyBorder="1" applyAlignment="1">
      <alignment horizontal="center" vertical="center"/>
    </xf>
    <xf numFmtId="0" fontId="25" fillId="15" borderId="13" xfId="0" applyFont="1" applyFill="1" applyBorder="1" applyAlignment="1">
      <alignment horizontal="center" vertical="center"/>
    </xf>
    <xf numFmtId="0" fontId="25" fillId="15" borderId="18" xfId="0" applyFont="1" applyFill="1" applyBorder="1" applyAlignment="1">
      <alignment horizontal="center" vertical="center"/>
    </xf>
    <xf numFmtId="0" fontId="26" fillId="15" borderId="8" xfId="0" applyFont="1" applyFill="1" applyBorder="1" applyAlignment="1">
      <alignment horizontal="center" vertical="center"/>
    </xf>
    <xf numFmtId="0" fontId="0" fillId="15" borderId="0" xfId="0" applyFill="1" applyBorder="1" applyAlignment="1">
      <alignment vertical="center"/>
    </xf>
    <xf numFmtId="0" fontId="7" fillId="15" borderId="0" xfId="0" applyFont="1" applyFill="1" applyBorder="1" applyAlignment="1">
      <alignment vertical="center"/>
    </xf>
    <xf numFmtId="0" fontId="52" fillId="0" borderId="0" xfId="0" applyFont="1" applyBorder="1" applyAlignment="1">
      <alignment vertical="center"/>
    </xf>
    <xf numFmtId="0" fontId="1" fillId="0" borderId="0" xfId="6"/>
    <xf numFmtId="0" fontId="1" fillId="0" borderId="22" xfId="6" applyBorder="1" applyAlignment="1">
      <alignment horizontal="center"/>
    </xf>
    <xf numFmtId="0" fontId="1" fillId="0" borderId="0" xfId="6" applyAlignment="1">
      <alignment horizontal="center"/>
    </xf>
    <xf numFmtId="0" fontId="1" fillId="0" borderId="22" xfId="6" applyFont="1" applyBorder="1" applyAlignment="1">
      <alignment horizontal="center"/>
    </xf>
    <xf numFmtId="0" fontId="1" fillId="0" borderId="0" xfId="6" applyFont="1" applyAlignment="1">
      <alignment horizontal="left"/>
    </xf>
    <xf numFmtId="0" fontId="1" fillId="0" borderId="23" xfId="6" applyBorder="1" applyAlignment="1">
      <alignment horizontal="center"/>
    </xf>
    <xf numFmtId="0" fontId="1" fillId="0" borderId="23" xfId="6" applyFont="1" applyBorder="1" applyAlignment="1">
      <alignment horizontal="center"/>
    </xf>
    <xf numFmtId="0" fontId="1" fillId="0" borderId="0" xfId="6" applyFont="1" applyAlignment="1">
      <alignment horizontal="center"/>
    </xf>
    <xf numFmtId="0" fontId="1" fillId="0" borderId="24" xfId="6" applyBorder="1" applyAlignment="1">
      <alignment horizontal="center"/>
    </xf>
    <xf numFmtId="0" fontId="1" fillId="0" borderId="24" xfId="6" applyFont="1" applyBorder="1" applyAlignment="1">
      <alignment horizontal="center"/>
    </xf>
    <xf numFmtId="0" fontId="53" fillId="0" borderId="0" xfId="6" applyFont="1" applyAlignment="1">
      <alignment horizontal="left"/>
    </xf>
    <xf numFmtId="0" fontId="53" fillId="0" borderId="0" xfId="6" applyFont="1" applyAlignment="1">
      <alignment horizontal="center"/>
    </xf>
    <xf numFmtId="0" fontId="43" fillId="0" borderId="0" xfId="6" applyFont="1" applyAlignment="1">
      <alignment horizontal="left"/>
    </xf>
    <xf numFmtId="0" fontId="25" fillId="0" borderId="1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25" fillId="2" borderId="0" xfId="0" applyFont="1" applyFill="1" applyBorder="1" applyAlignment="1">
      <alignment vertical="center"/>
    </xf>
    <xf numFmtId="0" fontId="25" fillId="5" borderId="0" xfId="0" applyFont="1" applyFill="1" applyBorder="1" applyAlignment="1">
      <alignment vertical="center"/>
    </xf>
    <xf numFmtId="0" fontId="25" fillId="3" borderId="0" xfId="0" applyFont="1" applyFill="1" applyBorder="1" applyAlignment="1">
      <alignment vertical="center"/>
    </xf>
    <xf numFmtId="0" fontId="25" fillId="7" borderId="0" xfId="0" applyFont="1" applyFill="1" applyBorder="1" applyAlignment="1">
      <alignment vertical="center"/>
    </xf>
    <xf numFmtId="0" fontId="29" fillId="0" borderId="0" xfId="0" applyFont="1" applyBorder="1" applyAlignment="1">
      <alignment horizontal="center" vertical="center"/>
    </xf>
    <xf numFmtId="0" fontId="42" fillId="0" borderId="0" xfId="0" quotePrefix="1" applyFont="1" applyBorder="1" applyAlignment="1">
      <alignment vertical="center"/>
    </xf>
    <xf numFmtId="0" fontId="26" fillId="2" borderId="8" xfId="0" applyFont="1" applyFill="1" applyBorder="1" applyAlignment="1">
      <alignment vertical="center"/>
    </xf>
    <xf numFmtId="0" fontId="29" fillId="2" borderId="8" xfId="0" applyFont="1" applyFill="1" applyBorder="1" applyAlignment="1">
      <alignment vertical="center"/>
    </xf>
    <xf numFmtId="0" fontId="25" fillId="0" borderId="17" xfId="0" applyFont="1" applyBorder="1" applyAlignment="1">
      <alignment horizontal="left" vertical="center"/>
    </xf>
    <xf numFmtId="9" fontId="25" fillId="0" borderId="17" xfId="0" applyNumberFormat="1" applyFont="1" applyFill="1" applyBorder="1" applyAlignment="1">
      <alignment vertical="center"/>
    </xf>
    <xf numFmtId="0" fontId="42" fillId="0" borderId="0" xfId="0" applyFont="1" applyBorder="1" applyAlignment="1">
      <alignment vertical="center"/>
    </xf>
    <xf numFmtId="0" fontId="42" fillId="0" borderId="0" xfId="0" applyFont="1" applyBorder="1" applyAlignment="1">
      <alignment horizontal="center" vertical="center"/>
    </xf>
    <xf numFmtId="0" fontId="25" fillId="0" borderId="13" xfId="0" applyFont="1" applyBorder="1" applyAlignment="1">
      <alignment horizontal="left" vertical="center"/>
    </xf>
    <xf numFmtId="9" fontId="25" fillId="0" borderId="13" xfId="0" applyNumberFormat="1" applyFont="1" applyFill="1" applyBorder="1" applyAlignment="1">
      <alignment vertical="center"/>
    </xf>
    <xf numFmtId="0" fontId="25" fillId="0" borderId="18" xfId="0" applyFont="1" applyBorder="1" applyAlignment="1">
      <alignment horizontal="left" vertical="center"/>
    </xf>
    <xf numFmtId="9" fontId="25" fillId="0" borderId="18" xfId="0" applyNumberFormat="1" applyFont="1" applyBorder="1" applyAlignment="1">
      <alignment vertical="center"/>
    </xf>
    <xf numFmtId="9" fontId="25" fillId="0" borderId="18" xfId="4" applyFont="1" applyBorder="1" applyAlignment="1">
      <alignment vertical="center"/>
    </xf>
    <xf numFmtId="0" fontId="26" fillId="0" borderId="8" xfId="0" applyFont="1" applyBorder="1" applyAlignment="1">
      <alignment horizontal="left" vertical="center"/>
    </xf>
    <xf numFmtId="9" fontId="26" fillId="0" borderId="8" xfId="0" applyNumberFormat="1" applyFont="1" applyFill="1" applyBorder="1" applyAlignment="1">
      <alignment vertical="center"/>
    </xf>
    <xf numFmtId="0" fontId="25" fillId="0" borderId="0" xfId="0" applyFont="1" applyBorder="1" applyAlignment="1">
      <alignment horizontal="left" vertical="center"/>
    </xf>
    <xf numFmtId="9" fontId="25" fillId="0" borderId="0" xfId="0" applyNumberFormat="1" applyFont="1" applyFill="1" applyBorder="1" applyAlignment="1">
      <alignment vertical="center"/>
    </xf>
    <xf numFmtId="0" fontId="25" fillId="2" borderId="8" xfId="0" applyFont="1" applyFill="1" applyBorder="1" applyAlignment="1">
      <alignment vertical="center"/>
    </xf>
    <xf numFmtId="9" fontId="25" fillId="0" borderId="0" xfId="0" applyNumberFormat="1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9" fontId="26" fillId="0" borderId="8" xfId="0" applyNumberFormat="1" applyFont="1" applyBorder="1" applyAlignment="1">
      <alignment vertical="center"/>
    </xf>
    <xf numFmtId="0" fontId="54" fillId="0" borderId="0" xfId="0" applyFont="1" applyBorder="1" applyAlignment="1">
      <alignment horizontal="center" vertical="center"/>
    </xf>
    <xf numFmtId="0" fontId="55" fillId="2" borderId="8" xfId="0" applyFont="1" applyFill="1" applyBorder="1" applyAlignment="1">
      <alignment horizontal="center" vertical="center"/>
    </xf>
    <xf numFmtId="9" fontId="54" fillId="0" borderId="17" xfId="0" applyNumberFormat="1" applyFont="1" applyFill="1" applyBorder="1" applyAlignment="1">
      <alignment horizontal="center" vertical="center"/>
    </xf>
    <xf numFmtId="9" fontId="54" fillId="0" borderId="13" xfId="0" applyNumberFormat="1" applyFont="1" applyFill="1" applyBorder="1" applyAlignment="1">
      <alignment horizontal="center" vertical="center"/>
    </xf>
    <xf numFmtId="9" fontId="54" fillId="0" borderId="18" xfId="0" applyNumberFormat="1" applyFont="1" applyBorder="1" applyAlignment="1">
      <alignment horizontal="center" vertical="center"/>
    </xf>
    <xf numFmtId="9" fontId="56" fillId="0" borderId="8" xfId="0" applyNumberFormat="1" applyFont="1" applyFill="1" applyBorder="1" applyAlignment="1">
      <alignment horizontal="center" vertical="center"/>
    </xf>
    <xf numFmtId="9" fontId="54" fillId="0" borderId="0" xfId="0" applyNumberFormat="1" applyFont="1" applyFill="1" applyBorder="1" applyAlignment="1">
      <alignment horizontal="center" vertical="center"/>
    </xf>
    <xf numFmtId="0" fontId="54" fillId="2" borderId="8" xfId="0" applyFont="1" applyFill="1" applyBorder="1" applyAlignment="1">
      <alignment horizontal="center" vertical="center"/>
    </xf>
    <xf numFmtId="9" fontId="54" fillId="0" borderId="0" xfId="0" applyNumberFormat="1" applyFont="1" applyBorder="1" applyAlignment="1">
      <alignment horizontal="center" vertical="center"/>
    </xf>
    <xf numFmtId="9" fontId="56" fillId="0" borderId="8" xfId="0" applyNumberFormat="1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5" fillId="7" borderId="0" xfId="0" applyFont="1" applyFill="1" applyBorder="1" applyAlignment="1">
      <alignment horizontal="center" vertical="center"/>
    </xf>
    <xf numFmtId="0" fontId="29" fillId="7" borderId="0" xfId="0" applyFont="1" applyFill="1" applyBorder="1" applyAlignment="1">
      <alignment horizontal="center" vertical="center"/>
    </xf>
    <xf numFmtId="0" fontId="29" fillId="2" borderId="8" xfId="0" applyFont="1" applyFill="1" applyBorder="1" applyAlignment="1">
      <alignment horizontal="center" vertical="center"/>
    </xf>
    <xf numFmtId="0" fontId="25" fillId="2" borderId="8" xfId="0" applyFont="1" applyFill="1" applyBorder="1" applyAlignment="1">
      <alignment horizontal="center" vertical="center"/>
    </xf>
    <xf numFmtId="0" fontId="25" fillId="5" borderId="8" xfId="0" applyFont="1" applyFill="1" applyBorder="1" applyAlignment="1">
      <alignment horizontal="center" vertical="center"/>
    </xf>
    <xf numFmtId="0" fontId="25" fillId="3" borderId="8" xfId="0" applyFont="1" applyFill="1" applyBorder="1" applyAlignment="1">
      <alignment horizontal="center" vertical="center"/>
    </xf>
    <xf numFmtId="0" fontId="25" fillId="0" borderId="17" xfId="0" applyFont="1" applyFill="1" applyBorder="1" applyAlignment="1">
      <alignment horizontal="center" vertical="center"/>
    </xf>
    <xf numFmtId="0" fontId="25" fillId="7" borderId="17" xfId="0" applyFont="1" applyFill="1" applyBorder="1" applyAlignment="1">
      <alignment horizontal="center" vertical="center"/>
    </xf>
    <xf numFmtId="0" fontId="25" fillId="0" borderId="13" xfId="0" applyFont="1" applyFill="1" applyBorder="1" applyAlignment="1">
      <alignment horizontal="center" vertical="center"/>
    </xf>
    <xf numFmtId="0" fontId="25" fillId="7" borderId="13" xfId="0" applyFont="1" applyFill="1" applyBorder="1" applyAlignment="1">
      <alignment horizontal="center" vertical="center"/>
    </xf>
    <xf numFmtId="0" fontId="25" fillId="0" borderId="18" xfId="0" applyFont="1" applyFill="1" applyBorder="1" applyAlignment="1">
      <alignment horizontal="center" vertical="center"/>
    </xf>
    <xf numFmtId="0" fontId="25" fillId="7" borderId="18" xfId="0" applyFont="1" applyFill="1" applyBorder="1" applyAlignment="1">
      <alignment horizontal="center" vertical="center"/>
    </xf>
    <xf numFmtId="0" fontId="26" fillId="0" borderId="8" xfId="0" applyFont="1" applyFill="1" applyBorder="1" applyAlignment="1">
      <alignment horizontal="center" vertical="center"/>
    </xf>
    <xf numFmtId="0" fontId="26" fillId="7" borderId="8" xfId="0" applyFont="1" applyFill="1" applyBorder="1" applyAlignment="1">
      <alignment horizontal="center" vertical="center"/>
    </xf>
    <xf numFmtId="9" fontId="54" fillId="0" borderId="18" xfId="0" applyNumberFormat="1" applyFont="1" applyFill="1" applyBorder="1" applyAlignment="1">
      <alignment horizontal="center" vertical="center"/>
    </xf>
    <xf numFmtId="9" fontId="54" fillId="0" borderId="17" xfId="0" applyNumberFormat="1" applyFont="1" applyBorder="1" applyAlignment="1">
      <alignment horizontal="center" vertical="center"/>
    </xf>
    <xf numFmtId="9" fontId="54" fillId="0" borderId="13" xfId="0" applyNumberFormat="1" applyFont="1" applyBorder="1" applyAlignment="1">
      <alignment horizontal="center" vertical="center"/>
    </xf>
    <xf numFmtId="9" fontId="54" fillId="5" borderId="8" xfId="0" applyNumberFormat="1" applyFont="1" applyFill="1" applyBorder="1" applyAlignment="1">
      <alignment horizontal="center" vertical="center"/>
    </xf>
    <xf numFmtId="0" fontId="54" fillId="0" borderId="0" xfId="0" applyFont="1" applyBorder="1" applyAlignment="1">
      <alignment vertical="center"/>
    </xf>
    <xf numFmtId="9" fontId="54" fillId="7" borderId="17" xfId="0" applyNumberFormat="1" applyFont="1" applyFill="1" applyBorder="1" applyAlignment="1">
      <alignment horizontal="center" vertical="center"/>
    </xf>
    <xf numFmtId="9" fontId="54" fillId="7" borderId="13" xfId="0" applyNumberFormat="1" applyFont="1" applyFill="1" applyBorder="1" applyAlignment="1">
      <alignment horizontal="center" vertical="center"/>
    </xf>
    <xf numFmtId="9" fontId="54" fillId="7" borderId="18" xfId="0" applyNumberFormat="1" applyFont="1" applyFill="1" applyBorder="1" applyAlignment="1">
      <alignment horizontal="center" vertical="center"/>
    </xf>
    <xf numFmtId="9" fontId="56" fillId="7" borderId="8" xfId="0" applyNumberFormat="1" applyFont="1" applyFill="1" applyBorder="1" applyAlignment="1">
      <alignment horizontal="center" vertical="center"/>
    </xf>
    <xf numFmtId="9" fontId="54" fillId="7" borderId="0" xfId="0" applyNumberFormat="1" applyFont="1" applyFill="1" applyBorder="1" applyAlignment="1">
      <alignment horizontal="center" vertical="center"/>
    </xf>
    <xf numFmtId="9" fontId="54" fillId="3" borderId="8" xfId="0" applyNumberFormat="1" applyFont="1" applyFill="1" applyBorder="1" applyAlignment="1">
      <alignment horizontal="center" vertical="center"/>
    </xf>
    <xf numFmtId="14" fontId="26" fillId="0" borderId="0" xfId="0" applyNumberFormat="1" applyFont="1" applyBorder="1" applyAlignment="1">
      <alignment horizontal="center" vertical="center"/>
    </xf>
    <xf numFmtId="0" fontId="13" fillId="0" borderId="13" xfId="0" applyFont="1" applyBorder="1"/>
    <xf numFmtId="0" fontId="13" fillId="0" borderId="13" xfId="0" applyFont="1" applyFill="1" applyBorder="1"/>
    <xf numFmtId="0" fontId="10" fillId="0" borderId="8" xfId="0" applyFont="1" applyBorder="1"/>
    <xf numFmtId="0" fontId="10" fillId="0" borderId="8" xfId="0" applyFont="1" applyFill="1" applyBorder="1"/>
    <xf numFmtId="0" fontId="15" fillId="0" borderId="17" xfId="0" applyFont="1" applyBorder="1"/>
    <xf numFmtId="0" fontId="13" fillId="0" borderId="17" xfId="0" applyFont="1" applyFill="1" applyBorder="1" applyAlignment="1">
      <alignment horizontal="right"/>
    </xf>
    <xf numFmtId="0" fontId="13" fillId="0" borderId="17" xfId="0" applyFont="1" applyBorder="1" applyAlignment="1">
      <alignment horizontal="right"/>
    </xf>
    <xf numFmtId="0" fontId="13" fillId="0" borderId="17" xfId="0" applyFont="1" applyBorder="1"/>
    <xf numFmtId="0" fontId="13" fillId="0" borderId="17" xfId="0" applyFont="1" applyFill="1" applyBorder="1"/>
    <xf numFmtId="0" fontId="15" fillId="0" borderId="18" xfId="0" applyFont="1" applyBorder="1"/>
    <xf numFmtId="0" fontId="13" fillId="0" borderId="18" xfId="0" applyFont="1" applyFill="1" applyBorder="1" applyAlignment="1">
      <alignment horizontal="right"/>
    </xf>
    <xf numFmtId="0" fontId="13" fillId="0" borderId="18" xfId="0" applyFont="1" applyBorder="1" applyAlignment="1">
      <alignment horizontal="right"/>
    </xf>
    <xf numFmtId="0" fontId="13" fillId="0" borderId="18" xfId="0" applyFont="1" applyBorder="1"/>
    <xf numFmtId="0" fontId="13" fillId="0" borderId="18" xfId="0" applyFont="1" applyFill="1" applyBorder="1"/>
    <xf numFmtId="0" fontId="10" fillId="0" borderId="13" xfId="0" applyFont="1" applyBorder="1" applyAlignment="1">
      <alignment horizontal="left" indent="1"/>
    </xf>
    <xf numFmtId="0" fontId="10" fillId="0" borderId="17" xfId="0" applyFont="1" applyBorder="1" applyAlignment="1">
      <alignment horizontal="left" indent="1"/>
    </xf>
    <xf numFmtId="0" fontId="10" fillId="0" borderId="18" xfId="0" applyFont="1" applyBorder="1" applyAlignment="1">
      <alignment horizontal="left" indent="1"/>
    </xf>
    <xf numFmtId="0" fontId="1" fillId="0" borderId="25" xfId="0" applyFont="1" applyBorder="1"/>
    <xf numFmtId="0" fontId="1" fillId="0" borderId="17" xfId="0" applyFont="1" applyBorder="1"/>
    <xf numFmtId="0" fontId="1" fillId="0" borderId="26" xfId="0" applyFont="1" applyBorder="1"/>
    <xf numFmtId="0" fontId="1" fillId="0" borderId="13" xfId="0" applyFont="1" applyBorder="1"/>
    <xf numFmtId="0" fontId="1" fillId="0" borderId="27" xfId="0" applyFont="1" applyBorder="1"/>
    <xf numFmtId="0" fontId="1" fillId="0" borderId="18" xfId="0" applyFont="1" applyBorder="1"/>
    <xf numFmtId="0" fontId="1" fillId="0" borderId="28" xfId="0" applyFont="1" applyBorder="1"/>
    <xf numFmtId="0" fontId="1" fillId="0" borderId="21" xfId="0" applyFont="1" applyBorder="1"/>
    <xf numFmtId="0" fontId="26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44" fillId="0" borderId="29" xfId="0" quotePrefix="1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9" fontId="25" fillId="0" borderId="13" xfId="4" applyFont="1" applyBorder="1" applyAlignment="1">
      <alignment vertical="center"/>
    </xf>
    <xf numFmtId="0" fontId="26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9" fontId="25" fillId="0" borderId="13" xfId="0" applyNumberFormat="1" applyFont="1" applyBorder="1" applyAlignment="1">
      <alignment vertical="center"/>
    </xf>
    <xf numFmtId="9" fontId="25" fillId="0" borderId="17" xfId="0" applyNumberFormat="1" applyFont="1" applyBorder="1" applyAlignment="1">
      <alignment vertical="center"/>
    </xf>
    <xf numFmtId="9" fontId="25" fillId="0" borderId="17" xfId="4" applyFont="1" applyBorder="1" applyAlignment="1">
      <alignment vertical="center"/>
    </xf>
    <xf numFmtId="0" fontId="26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51" fillId="13" borderId="13" xfId="0" applyNumberFormat="1" applyFont="1" applyFill="1" applyBorder="1" applyAlignment="1">
      <alignment horizontal="center" vertical="center"/>
    </xf>
    <xf numFmtId="0" fontId="25" fillId="13" borderId="13" xfId="6" applyFont="1" applyFill="1" applyBorder="1" applyAlignment="1">
      <alignment vertical="center"/>
    </xf>
    <xf numFmtId="0" fontId="46" fillId="13" borderId="13" xfId="6" applyFont="1" applyFill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5" fillId="0" borderId="13" xfId="19" applyFont="1" applyBorder="1" applyAlignment="1">
      <alignment horizontal="center" vertical="center"/>
    </xf>
    <xf numFmtId="0" fontId="25" fillId="0" borderId="13" xfId="19" applyFont="1" applyFill="1" applyBorder="1" applyAlignment="1">
      <alignment vertical="center"/>
    </xf>
    <xf numFmtId="0" fontId="46" fillId="0" borderId="13" xfId="19" applyFont="1" applyFill="1" applyBorder="1" applyAlignment="1">
      <alignment horizontal="center" vertical="center"/>
    </xf>
    <xf numFmtId="4" fontId="25" fillId="0" borderId="16" xfId="19" applyNumberFormat="1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/>
    <xf numFmtId="14" fontId="26" fillId="0" borderId="0" xfId="0" applyNumberFormat="1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14" fontId="26" fillId="7" borderId="0" xfId="0" applyNumberFormat="1" applyFont="1" applyFill="1" applyBorder="1" applyAlignment="1">
      <alignment horizontal="center" vertical="center"/>
    </xf>
    <xf numFmtId="0" fontId="26" fillId="7" borderId="0" xfId="0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2" fontId="6" fillId="0" borderId="8" xfId="0" applyNumberFormat="1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26" fillId="14" borderId="5" xfId="0" applyFont="1" applyFill="1" applyBorder="1" applyAlignment="1">
      <alignment horizontal="center" vertical="center" wrapText="1"/>
    </xf>
    <xf numFmtId="0" fontId="0" fillId="14" borderId="3" xfId="0" applyFill="1" applyBorder="1" applyAlignment="1">
      <alignment horizontal="center" vertical="center" wrapText="1"/>
    </xf>
    <xf numFmtId="0" fontId="6" fillId="14" borderId="5" xfId="0" applyFont="1" applyFill="1" applyBorder="1" applyAlignment="1">
      <alignment horizontal="center" vertical="center" wrapText="1"/>
    </xf>
    <xf numFmtId="0" fontId="6" fillId="14" borderId="3" xfId="0" applyFont="1" applyFill="1" applyBorder="1" applyAlignment="1">
      <alignment horizontal="center" vertical="center" wrapText="1"/>
    </xf>
    <xf numFmtId="0" fontId="0" fillId="14" borderId="5" xfId="0" applyFill="1" applyBorder="1" applyAlignment="1">
      <alignment horizontal="center" vertical="center" wrapText="1"/>
    </xf>
    <xf numFmtId="0" fontId="6" fillId="13" borderId="0" xfId="6" applyFont="1" applyFill="1" applyAlignment="1">
      <alignment horizontal="center"/>
    </xf>
    <xf numFmtId="0" fontId="0" fillId="13" borderId="0" xfId="0" applyFill="1" applyAlignment="1">
      <alignment horizontal="center"/>
    </xf>
  </cellXfs>
  <cellStyles count="20">
    <cellStyle name="Comma 2" xfId="7"/>
    <cellStyle name="Comma 2 2" xfId="8"/>
    <cellStyle name="Currency 2" xfId="9"/>
    <cellStyle name="Currency 2 2" xfId="10"/>
    <cellStyle name="Currency 3" xfId="11"/>
    <cellStyle name="Hyperlink" xfId="1" builtinId="8"/>
    <cellStyle name="Hyperlink 2" xfId="12"/>
    <cellStyle name="Normal" xfId="0" builtinId="0"/>
    <cellStyle name="Normal 2" xfId="2"/>
    <cellStyle name="Normal 2 2" xfId="6"/>
    <cellStyle name="Normal 2 2 2" xfId="19"/>
    <cellStyle name="Normal 2 3" xfId="13"/>
    <cellStyle name="Normal 3" xfId="3"/>
    <cellStyle name="Normal 4" xfId="14"/>
    <cellStyle name="Normal 5" xfId="15"/>
    <cellStyle name="Normal 6" xfId="16"/>
    <cellStyle name="Percent" xfId="4" builtinId="5"/>
    <cellStyle name="Percent 2" xfId="5"/>
    <cellStyle name="Percent 2 2" xfId="17"/>
    <cellStyle name="Percent 3" xfId="18"/>
  </cellStyles>
  <dxfs count="807">
    <dxf>
      <font>
        <color theme="0" tint="-0.24994659260841701"/>
      </font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50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3.xml"/><Relationship Id="rId53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2.xml"/><Relationship Id="rId52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1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5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Credit Rating Agencies Upgrades &amp; Downgrades (2002 Q1 - 2006 Q1)</a:t>
            </a:r>
          </a:p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 sz="1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(Source: Fitch Ratings, Moody's, Standard &amp; Poor's)</a:t>
            </a:r>
            <a:endParaRPr lang="en-US"/>
          </a:p>
        </c:rich>
      </c:tx>
      <c:layout>
        <c:manualLayout>
          <c:xMode val="edge"/>
          <c:yMode val="edge"/>
          <c:x val="0.42798774259448508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2"/>
          <c:order val="2"/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3"/>
          <c:order val="3"/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4"/>
          <c:order val="4"/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5"/>
          <c:order val="5"/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71832848"/>
        <c:axId val="671819520"/>
      </c:barChart>
      <c:catAx>
        <c:axId val="671832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1819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71819520"/>
        <c:scaling>
          <c:orientation val="minMax"/>
          <c:min val="-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18328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006744839781584E-2"/>
          <c:y val="4.6009056560237668E-2"/>
          <c:w val="0.93959793125913071"/>
          <c:h val="0.802985780623576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'II. Upgrades &amp; Downgrades'!$A$29</c:f>
              <c:strCache>
                <c:ptCount val="1"/>
                <c:pt idx="0">
                  <c:v>Fitch (upgrade)</c:v>
                </c:pt>
              </c:strCache>
            </c:strRef>
          </c:tx>
          <c:spPr>
            <a:solidFill>
              <a:srgbClr val="000080"/>
            </a:solidFill>
            <a:ln w="25400">
              <a:noFill/>
            </a:ln>
          </c:spPr>
          <c:invertIfNegative val="0"/>
          <c:cat>
            <c:strRef>
              <c:f>'II. Upgrades &amp; Downgrades'!$B$28:$BM$28</c:f>
              <c:strCache>
                <c:ptCount val="64"/>
                <c:pt idx="0">
                  <c:v>2001 Q1</c:v>
                </c:pt>
                <c:pt idx="1">
                  <c:v>2001 Q2</c:v>
                </c:pt>
                <c:pt idx="2">
                  <c:v>2001 Q3</c:v>
                </c:pt>
                <c:pt idx="3">
                  <c:v>2001 Q4</c:v>
                </c:pt>
                <c:pt idx="4">
                  <c:v>2002 Q1</c:v>
                </c:pt>
                <c:pt idx="5">
                  <c:v>2002 Q2</c:v>
                </c:pt>
                <c:pt idx="6">
                  <c:v>2002 Q3</c:v>
                </c:pt>
                <c:pt idx="7">
                  <c:v>2002 Q4</c:v>
                </c:pt>
                <c:pt idx="8">
                  <c:v>2003 Q1</c:v>
                </c:pt>
                <c:pt idx="9">
                  <c:v>2003 Q2</c:v>
                </c:pt>
                <c:pt idx="10">
                  <c:v>2003 Q3</c:v>
                </c:pt>
                <c:pt idx="11">
                  <c:v>2003 Q4</c:v>
                </c:pt>
                <c:pt idx="12">
                  <c:v>2004 Q1</c:v>
                </c:pt>
                <c:pt idx="13">
                  <c:v>2004 Q2</c:v>
                </c:pt>
                <c:pt idx="14">
                  <c:v>2004 Q3</c:v>
                </c:pt>
                <c:pt idx="15">
                  <c:v>2004 Q4</c:v>
                </c:pt>
                <c:pt idx="16">
                  <c:v>2005 Q1</c:v>
                </c:pt>
                <c:pt idx="17">
                  <c:v>2005 Q2</c:v>
                </c:pt>
                <c:pt idx="18">
                  <c:v>2005 Q3</c:v>
                </c:pt>
                <c:pt idx="19">
                  <c:v>2005 Q4</c:v>
                </c:pt>
                <c:pt idx="20">
                  <c:v>2006 Q1</c:v>
                </c:pt>
                <c:pt idx="21">
                  <c:v>2006 Q2</c:v>
                </c:pt>
                <c:pt idx="22">
                  <c:v>2006 Q3</c:v>
                </c:pt>
                <c:pt idx="23">
                  <c:v>2006 Q4</c:v>
                </c:pt>
                <c:pt idx="24">
                  <c:v>2007Q1</c:v>
                </c:pt>
                <c:pt idx="25">
                  <c:v>2007 Q2</c:v>
                </c:pt>
                <c:pt idx="26">
                  <c:v>2007 Q3</c:v>
                </c:pt>
                <c:pt idx="27">
                  <c:v>2007 Q4</c:v>
                </c:pt>
                <c:pt idx="28">
                  <c:v>2008 Q1</c:v>
                </c:pt>
                <c:pt idx="29">
                  <c:v>2008 Q2</c:v>
                </c:pt>
                <c:pt idx="30">
                  <c:v>2008 Q3</c:v>
                </c:pt>
                <c:pt idx="31">
                  <c:v>2008 Q4</c:v>
                </c:pt>
                <c:pt idx="32">
                  <c:v>2009 Q1</c:v>
                </c:pt>
                <c:pt idx="33">
                  <c:v>2009 Q2</c:v>
                </c:pt>
                <c:pt idx="34">
                  <c:v>2009 Q3</c:v>
                </c:pt>
                <c:pt idx="35">
                  <c:v>2009 Q4</c:v>
                </c:pt>
                <c:pt idx="36">
                  <c:v>2010 Q1</c:v>
                </c:pt>
                <c:pt idx="37">
                  <c:v>2010 Q2</c:v>
                </c:pt>
                <c:pt idx="38">
                  <c:v>2010 Q3</c:v>
                </c:pt>
                <c:pt idx="39">
                  <c:v>2010 Q4</c:v>
                </c:pt>
                <c:pt idx="40">
                  <c:v>2011 Q1</c:v>
                </c:pt>
                <c:pt idx="41">
                  <c:v>2011 Q2</c:v>
                </c:pt>
                <c:pt idx="42">
                  <c:v>2011 Q3</c:v>
                </c:pt>
                <c:pt idx="43">
                  <c:v>2011 Q4</c:v>
                </c:pt>
                <c:pt idx="44">
                  <c:v>2012 Q1</c:v>
                </c:pt>
                <c:pt idx="45">
                  <c:v>2012 Q2</c:v>
                </c:pt>
                <c:pt idx="46">
                  <c:v>2012 Q3</c:v>
                </c:pt>
                <c:pt idx="47">
                  <c:v>2012 Q4</c:v>
                </c:pt>
                <c:pt idx="48">
                  <c:v>2013 Q1</c:v>
                </c:pt>
                <c:pt idx="49">
                  <c:v>2013 Q2</c:v>
                </c:pt>
                <c:pt idx="50">
                  <c:v>2013 Q3</c:v>
                </c:pt>
                <c:pt idx="51">
                  <c:v>2013 Q4</c:v>
                </c:pt>
                <c:pt idx="52">
                  <c:v>2014 Q1</c:v>
                </c:pt>
                <c:pt idx="53">
                  <c:v>2014 Q2</c:v>
                </c:pt>
                <c:pt idx="54">
                  <c:v>2014 Q3</c:v>
                </c:pt>
                <c:pt idx="55">
                  <c:v>2014 Q4</c:v>
                </c:pt>
                <c:pt idx="56">
                  <c:v>2015 Q1</c:v>
                </c:pt>
                <c:pt idx="57">
                  <c:v>2015 Q2</c:v>
                </c:pt>
                <c:pt idx="58">
                  <c:v>2015 Q3</c:v>
                </c:pt>
                <c:pt idx="59">
                  <c:v>2015 Q4</c:v>
                </c:pt>
                <c:pt idx="60">
                  <c:v>2016 Q1</c:v>
                </c:pt>
                <c:pt idx="61">
                  <c:v>2016 Q2</c:v>
                </c:pt>
                <c:pt idx="62">
                  <c:v>2016 Q3</c:v>
                </c:pt>
                <c:pt idx="63">
                  <c:v>2016 Q4</c:v>
                </c:pt>
              </c:strCache>
            </c:strRef>
          </c:cat>
          <c:val>
            <c:numRef>
              <c:f>'II. Upgrades &amp; Downgrades'!$B$29:$BM$29</c:f>
              <c:numCache>
                <c:formatCode>General</c:formatCode>
                <c:ptCount val="64"/>
                <c:pt idx="0">
                  <c:v>3</c:v>
                </c:pt>
                <c:pt idx="1">
                  <c:v>3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12</c:v>
                </c:pt>
                <c:pt idx="10">
                  <c:v>5</c:v>
                </c:pt>
                <c:pt idx="11">
                  <c:v>0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7</c:v>
                </c:pt>
                <c:pt idx="16">
                  <c:v>4</c:v>
                </c:pt>
                <c:pt idx="17">
                  <c:v>1</c:v>
                </c:pt>
                <c:pt idx="18">
                  <c:v>11</c:v>
                </c:pt>
                <c:pt idx="19">
                  <c:v>2</c:v>
                </c:pt>
                <c:pt idx="20">
                  <c:v>6</c:v>
                </c:pt>
                <c:pt idx="21">
                  <c:v>5</c:v>
                </c:pt>
                <c:pt idx="22">
                  <c:v>10</c:v>
                </c:pt>
                <c:pt idx="23">
                  <c:v>4</c:v>
                </c:pt>
                <c:pt idx="24">
                  <c:v>14</c:v>
                </c:pt>
                <c:pt idx="25">
                  <c:v>3</c:v>
                </c:pt>
                <c:pt idx="26">
                  <c:v>4</c:v>
                </c:pt>
                <c:pt idx="27">
                  <c:v>7</c:v>
                </c:pt>
                <c:pt idx="28">
                  <c:v>1</c:v>
                </c:pt>
                <c:pt idx="29">
                  <c:v>0</c:v>
                </c:pt>
                <c:pt idx="30">
                  <c:v>3</c:v>
                </c:pt>
                <c:pt idx="31">
                  <c:v>4</c:v>
                </c:pt>
                <c:pt idx="32">
                  <c:v>0</c:v>
                </c:pt>
                <c:pt idx="33">
                  <c:v>3</c:v>
                </c:pt>
                <c:pt idx="34">
                  <c:v>1</c:v>
                </c:pt>
                <c:pt idx="35">
                  <c:v>2</c:v>
                </c:pt>
                <c:pt idx="36">
                  <c:v>1</c:v>
                </c:pt>
                <c:pt idx="37">
                  <c:v>4</c:v>
                </c:pt>
                <c:pt idx="38">
                  <c:v>2</c:v>
                </c:pt>
                <c:pt idx="39">
                  <c:v>0</c:v>
                </c:pt>
                <c:pt idx="40">
                  <c:v>3</c:v>
                </c:pt>
                <c:pt idx="41">
                  <c:v>8</c:v>
                </c:pt>
                <c:pt idx="42">
                  <c:v>2</c:v>
                </c:pt>
                <c:pt idx="43">
                  <c:v>1</c:v>
                </c:pt>
                <c:pt idx="44">
                  <c:v>2</c:v>
                </c:pt>
                <c:pt idx="45">
                  <c:v>8</c:v>
                </c:pt>
                <c:pt idx="46">
                  <c:v>2</c:v>
                </c:pt>
                <c:pt idx="47">
                  <c:v>1</c:v>
                </c:pt>
                <c:pt idx="48">
                  <c:v>0</c:v>
                </c:pt>
                <c:pt idx="49">
                  <c:v>6</c:v>
                </c:pt>
                <c:pt idx="50">
                  <c:v>0</c:v>
                </c:pt>
                <c:pt idx="51">
                  <c:v>4</c:v>
                </c:pt>
                <c:pt idx="52">
                  <c:v>4</c:v>
                </c:pt>
                <c:pt idx="53">
                  <c:v>4</c:v>
                </c:pt>
                <c:pt idx="54">
                  <c:v>1</c:v>
                </c:pt>
                <c:pt idx="55">
                  <c:v>3</c:v>
                </c:pt>
                <c:pt idx="56">
                  <c:v>0</c:v>
                </c:pt>
                <c:pt idx="57">
                  <c:v>4</c:v>
                </c:pt>
                <c:pt idx="58">
                  <c:v>0</c:v>
                </c:pt>
                <c:pt idx="59">
                  <c:v>2</c:v>
                </c:pt>
                <c:pt idx="60">
                  <c:v>5</c:v>
                </c:pt>
                <c:pt idx="61">
                  <c:v>4</c:v>
                </c:pt>
                <c:pt idx="62">
                  <c:v>3</c:v>
                </c:pt>
                <c:pt idx="63">
                  <c:v>1</c:v>
                </c:pt>
              </c:numCache>
            </c:numRef>
          </c:val>
        </c:ser>
        <c:ser>
          <c:idx val="1"/>
          <c:order val="1"/>
          <c:tx>
            <c:strRef>
              <c:f>'II. Upgrades &amp; Downgrades'!$A$30</c:f>
              <c:strCache>
                <c:ptCount val="1"/>
                <c:pt idx="0">
                  <c:v>Fitch (downgrade)</c:v>
                </c:pt>
              </c:strCache>
            </c:strRef>
          </c:tx>
          <c:spPr>
            <a:solidFill>
              <a:srgbClr val="000080"/>
            </a:solidFill>
            <a:ln w="25400">
              <a:noFill/>
            </a:ln>
          </c:spPr>
          <c:invertIfNegative val="0"/>
          <c:cat>
            <c:strRef>
              <c:f>'II. Upgrades &amp; Downgrades'!$B$28:$BM$28</c:f>
              <c:strCache>
                <c:ptCount val="64"/>
                <c:pt idx="0">
                  <c:v>2001 Q1</c:v>
                </c:pt>
                <c:pt idx="1">
                  <c:v>2001 Q2</c:v>
                </c:pt>
                <c:pt idx="2">
                  <c:v>2001 Q3</c:v>
                </c:pt>
                <c:pt idx="3">
                  <c:v>2001 Q4</c:v>
                </c:pt>
                <c:pt idx="4">
                  <c:v>2002 Q1</c:v>
                </c:pt>
                <c:pt idx="5">
                  <c:v>2002 Q2</c:v>
                </c:pt>
                <c:pt idx="6">
                  <c:v>2002 Q3</c:v>
                </c:pt>
                <c:pt idx="7">
                  <c:v>2002 Q4</c:v>
                </c:pt>
                <c:pt idx="8">
                  <c:v>2003 Q1</c:v>
                </c:pt>
                <c:pt idx="9">
                  <c:v>2003 Q2</c:v>
                </c:pt>
                <c:pt idx="10">
                  <c:v>2003 Q3</c:v>
                </c:pt>
                <c:pt idx="11">
                  <c:v>2003 Q4</c:v>
                </c:pt>
                <c:pt idx="12">
                  <c:v>2004 Q1</c:v>
                </c:pt>
                <c:pt idx="13">
                  <c:v>2004 Q2</c:v>
                </c:pt>
                <c:pt idx="14">
                  <c:v>2004 Q3</c:v>
                </c:pt>
                <c:pt idx="15">
                  <c:v>2004 Q4</c:v>
                </c:pt>
                <c:pt idx="16">
                  <c:v>2005 Q1</c:v>
                </c:pt>
                <c:pt idx="17">
                  <c:v>2005 Q2</c:v>
                </c:pt>
                <c:pt idx="18">
                  <c:v>2005 Q3</c:v>
                </c:pt>
                <c:pt idx="19">
                  <c:v>2005 Q4</c:v>
                </c:pt>
                <c:pt idx="20">
                  <c:v>2006 Q1</c:v>
                </c:pt>
                <c:pt idx="21">
                  <c:v>2006 Q2</c:v>
                </c:pt>
                <c:pt idx="22">
                  <c:v>2006 Q3</c:v>
                </c:pt>
                <c:pt idx="23">
                  <c:v>2006 Q4</c:v>
                </c:pt>
                <c:pt idx="24">
                  <c:v>2007Q1</c:v>
                </c:pt>
                <c:pt idx="25">
                  <c:v>2007 Q2</c:v>
                </c:pt>
                <c:pt idx="26">
                  <c:v>2007 Q3</c:v>
                </c:pt>
                <c:pt idx="27">
                  <c:v>2007 Q4</c:v>
                </c:pt>
                <c:pt idx="28">
                  <c:v>2008 Q1</c:v>
                </c:pt>
                <c:pt idx="29">
                  <c:v>2008 Q2</c:v>
                </c:pt>
                <c:pt idx="30">
                  <c:v>2008 Q3</c:v>
                </c:pt>
                <c:pt idx="31">
                  <c:v>2008 Q4</c:v>
                </c:pt>
                <c:pt idx="32">
                  <c:v>2009 Q1</c:v>
                </c:pt>
                <c:pt idx="33">
                  <c:v>2009 Q2</c:v>
                </c:pt>
                <c:pt idx="34">
                  <c:v>2009 Q3</c:v>
                </c:pt>
                <c:pt idx="35">
                  <c:v>2009 Q4</c:v>
                </c:pt>
                <c:pt idx="36">
                  <c:v>2010 Q1</c:v>
                </c:pt>
                <c:pt idx="37">
                  <c:v>2010 Q2</c:v>
                </c:pt>
                <c:pt idx="38">
                  <c:v>2010 Q3</c:v>
                </c:pt>
                <c:pt idx="39">
                  <c:v>2010 Q4</c:v>
                </c:pt>
                <c:pt idx="40">
                  <c:v>2011 Q1</c:v>
                </c:pt>
                <c:pt idx="41">
                  <c:v>2011 Q2</c:v>
                </c:pt>
                <c:pt idx="42">
                  <c:v>2011 Q3</c:v>
                </c:pt>
                <c:pt idx="43">
                  <c:v>2011 Q4</c:v>
                </c:pt>
                <c:pt idx="44">
                  <c:v>2012 Q1</c:v>
                </c:pt>
                <c:pt idx="45">
                  <c:v>2012 Q2</c:v>
                </c:pt>
                <c:pt idx="46">
                  <c:v>2012 Q3</c:v>
                </c:pt>
                <c:pt idx="47">
                  <c:v>2012 Q4</c:v>
                </c:pt>
                <c:pt idx="48">
                  <c:v>2013 Q1</c:v>
                </c:pt>
                <c:pt idx="49">
                  <c:v>2013 Q2</c:v>
                </c:pt>
                <c:pt idx="50">
                  <c:v>2013 Q3</c:v>
                </c:pt>
                <c:pt idx="51">
                  <c:v>2013 Q4</c:v>
                </c:pt>
                <c:pt idx="52">
                  <c:v>2014 Q1</c:v>
                </c:pt>
                <c:pt idx="53">
                  <c:v>2014 Q2</c:v>
                </c:pt>
                <c:pt idx="54">
                  <c:v>2014 Q3</c:v>
                </c:pt>
                <c:pt idx="55">
                  <c:v>2014 Q4</c:v>
                </c:pt>
                <c:pt idx="56">
                  <c:v>2015 Q1</c:v>
                </c:pt>
                <c:pt idx="57">
                  <c:v>2015 Q2</c:v>
                </c:pt>
                <c:pt idx="58">
                  <c:v>2015 Q3</c:v>
                </c:pt>
                <c:pt idx="59">
                  <c:v>2015 Q4</c:v>
                </c:pt>
                <c:pt idx="60">
                  <c:v>2016 Q1</c:v>
                </c:pt>
                <c:pt idx="61">
                  <c:v>2016 Q2</c:v>
                </c:pt>
                <c:pt idx="62">
                  <c:v>2016 Q3</c:v>
                </c:pt>
                <c:pt idx="63">
                  <c:v>2016 Q4</c:v>
                </c:pt>
              </c:strCache>
            </c:strRef>
          </c:cat>
          <c:val>
            <c:numRef>
              <c:f>'II. Upgrades &amp; Downgrades'!$B$30:$BM$30</c:f>
              <c:numCache>
                <c:formatCode>General</c:formatCode>
                <c:ptCount val="64"/>
                <c:pt idx="0">
                  <c:v>-14</c:v>
                </c:pt>
                <c:pt idx="1">
                  <c:v>-6</c:v>
                </c:pt>
                <c:pt idx="2">
                  <c:v>-1</c:v>
                </c:pt>
                <c:pt idx="3">
                  <c:v>-7</c:v>
                </c:pt>
                <c:pt idx="4">
                  <c:v>-3</c:v>
                </c:pt>
                <c:pt idx="5">
                  <c:v>-14</c:v>
                </c:pt>
                <c:pt idx="6">
                  <c:v>-32</c:v>
                </c:pt>
                <c:pt idx="7">
                  <c:v>-6</c:v>
                </c:pt>
                <c:pt idx="8">
                  <c:v>-19</c:v>
                </c:pt>
                <c:pt idx="9">
                  <c:v>-10</c:v>
                </c:pt>
                <c:pt idx="10">
                  <c:v>-9</c:v>
                </c:pt>
                <c:pt idx="11">
                  <c:v>-6</c:v>
                </c:pt>
                <c:pt idx="12">
                  <c:v>-2</c:v>
                </c:pt>
                <c:pt idx="13">
                  <c:v>-9</c:v>
                </c:pt>
                <c:pt idx="14">
                  <c:v>-5</c:v>
                </c:pt>
                <c:pt idx="15">
                  <c:v>-2</c:v>
                </c:pt>
                <c:pt idx="16">
                  <c:v>-2</c:v>
                </c:pt>
                <c:pt idx="17">
                  <c:v>-1</c:v>
                </c:pt>
                <c:pt idx="18">
                  <c:v>-1</c:v>
                </c:pt>
                <c:pt idx="19">
                  <c:v>0</c:v>
                </c:pt>
                <c:pt idx="20">
                  <c:v>-3</c:v>
                </c:pt>
                <c:pt idx="21">
                  <c:v>-2</c:v>
                </c:pt>
                <c:pt idx="22">
                  <c:v>-1</c:v>
                </c:pt>
                <c:pt idx="23">
                  <c:v>0</c:v>
                </c:pt>
                <c:pt idx="24">
                  <c:v>-4</c:v>
                </c:pt>
                <c:pt idx="25">
                  <c:v>-6</c:v>
                </c:pt>
                <c:pt idx="26">
                  <c:v>-1</c:v>
                </c:pt>
                <c:pt idx="27">
                  <c:v>-2</c:v>
                </c:pt>
                <c:pt idx="28">
                  <c:v>-8</c:v>
                </c:pt>
                <c:pt idx="29">
                  <c:v>0</c:v>
                </c:pt>
                <c:pt idx="30">
                  <c:v>-1</c:v>
                </c:pt>
                <c:pt idx="31">
                  <c:v>0</c:v>
                </c:pt>
                <c:pt idx="32">
                  <c:v>-3</c:v>
                </c:pt>
                <c:pt idx="33">
                  <c:v>-2</c:v>
                </c:pt>
                <c:pt idx="34">
                  <c:v>-3</c:v>
                </c:pt>
                <c:pt idx="35">
                  <c:v>0</c:v>
                </c:pt>
                <c:pt idx="36">
                  <c:v>-2</c:v>
                </c:pt>
                <c:pt idx="37">
                  <c:v>-7</c:v>
                </c:pt>
                <c:pt idx="38">
                  <c:v>-5</c:v>
                </c:pt>
                <c:pt idx="39">
                  <c:v>-3</c:v>
                </c:pt>
                <c:pt idx="40">
                  <c:v>0</c:v>
                </c:pt>
                <c:pt idx="41">
                  <c:v>-6</c:v>
                </c:pt>
                <c:pt idx="42">
                  <c:v>-1</c:v>
                </c:pt>
                <c:pt idx="43">
                  <c:v>-4</c:v>
                </c:pt>
                <c:pt idx="44">
                  <c:v>-3</c:v>
                </c:pt>
                <c:pt idx="45">
                  <c:v>-5</c:v>
                </c:pt>
                <c:pt idx="46">
                  <c:v>-1</c:v>
                </c:pt>
                <c:pt idx="47">
                  <c:v>-4</c:v>
                </c:pt>
                <c:pt idx="48">
                  <c:v>-4</c:v>
                </c:pt>
                <c:pt idx="49">
                  <c:v>0</c:v>
                </c:pt>
                <c:pt idx="50">
                  <c:v>-8</c:v>
                </c:pt>
                <c:pt idx="51">
                  <c:v>-1</c:v>
                </c:pt>
                <c:pt idx="52">
                  <c:v>0</c:v>
                </c:pt>
                <c:pt idx="53">
                  <c:v>-2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-5</c:v>
                </c:pt>
                <c:pt idx="58">
                  <c:v>0</c:v>
                </c:pt>
                <c:pt idx="59">
                  <c:v>0</c:v>
                </c:pt>
                <c:pt idx="60">
                  <c:v>-1</c:v>
                </c:pt>
                <c:pt idx="61">
                  <c:v>-2</c:v>
                </c:pt>
                <c:pt idx="62">
                  <c:v>0</c:v>
                </c:pt>
                <c:pt idx="63">
                  <c:v>0</c:v>
                </c:pt>
              </c:numCache>
            </c:numRef>
          </c:val>
        </c:ser>
        <c:ser>
          <c:idx val="2"/>
          <c:order val="2"/>
          <c:tx>
            <c:strRef>
              <c:f>'II. Upgrades &amp; Downgrades'!$A$31</c:f>
              <c:strCache>
                <c:ptCount val="1"/>
                <c:pt idx="0">
                  <c:v>Moody's (upgrade)</c:v>
                </c:pt>
              </c:strCache>
            </c:strRef>
          </c:tx>
          <c:spPr>
            <a:solidFill>
              <a:srgbClr val="5F5F5F"/>
            </a:solidFill>
            <a:ln w="25400">
              <a:noFill/>
            </a:ln>
          </c:spPr>
          <c:invertIfNegative val="0"/>
          <c:cat>
            <c:strRef>
              <c:f>'II. Upgrades &amp; Downgrades'!$B$28:$BM$28</c:f>
              <c:strCache>
                <c:ptCount val="64"/>
                <c:pt idx="0">
                  <c:v>2001 Q1</c:v>
                </c:pt>
                <c:pt idx="1">
                  <c:v>2001 Q2</c:v>
                </c:pt>
                <c:pt idx="2">
                  <c:v>2001 Q3</c:v>
                </c:pt>
                <c:pt idx="3">
                  <c:v>2001 Q4</c:v>
                </c:pt>
                <c:pt idx="4">
                  <c:v>2002 Q1</c:v>
                </c:pt>
                <c:pt idx="5">
                  <c:v>2002 Q2</c:v>
                </c:pt>
                <c:pt idx="6">
                  <c:v>2002 Q3</c:v>
                </c:pt>
                <c:pt idx="7">
                  <c:v>2002 Q4</c:v>
                </c:pt>
                <c:pt idx="8">
                  <c:v>2003 Q1</c:v>
                </c:pt>
                <c:pt idx="9">
                  <c:v>2003 Q2</c:v>
                </c:pt>
                <c:pt idx="10">
                  <c:v>2003 Q3</c:v>
                </c:pt>
                <c:pt idx="11">
                  <c:v>2003 Q4</c:v>
                </c:pt>
                <c:pt idx="12">
                  <c:v>2004 Q1</c:v>
                </c:pt>
                <c:pt idx="13">
                  <c:v>2004 Q2</c:v>
                </c:pt>
                <c:pt idx="14">
                  <c:v>2004 Q3</c:v>
                </c:pt>
                <c:pt idx="15">
                  <c:v>2004 Q4</c:v>
                </c:pt>
                <c:pt idx="16">
                  <c:v>2005 Q1</c:v>
                </c:pt>
                <c:pt idx="17">
                  <c:v>2005 Q2</c:v>
                </c:pt>
                <c:pt idx="18">
                  <c:v>2005 Q3</c:v>
                </c:pt>
                <c:pt idx="19">
                  <c:v>2005 Q4</c:v>
                </c:pt>
                <c:pt idx="20">
                  <c:v>2006 Q1</c:v>
                </c:pt>
                <c:pt idx="21">
                  <c:v>2006 Q2</c:v>
                </c:pt>
                <c:pt idx="22">
                  <c:v>2006 Q3</c:v>
                </c:pt>
                <c:pt idx="23">
                  <c:v>2006 Q4</c:v>
                </c:pt>
                <c:pt idx="24">
                  <c:v>2007Q1</c:v>
                </c:pt>
                <c:pt idx="25">
                  <c:v>2007 Q2</c:v>
                </c:pt>
                <c:pt idx="26">
                  <c:v>2007 Q3</c:v>
                </c:pt>
                <c:pt idx="27">
                  <c:v>2007 Q4</c:v>
                </c:pt>
                <c:pt idx="28">
                  <c:v>2008 Q1</c:v>
                </c:pt>
                <c:pt idx="29">
                  <c:v>2008 Q2</c:v>
                </c:pt>
                <c:pt idx="30">
                  <c:v>2008 Q3</c:v>
                </c:pt>
                <c:pt idx="31">
                  <c:v>2008 Q4</c:v>
                </c:pt>
                <c:pt idx="32">
                  <c:v>2009 Q1</c:v>
                </c:pt>
                <c:pt idx="33">
                  <c:v>2009 Q2</c:v>
                </c:pt>
                <c:pt idx="34">
                  <c:v>2009 Q3</c:v>
                </c:pt>
                <c:pt idx="35">
                  <c:v>2009 Q4</c:v>
                </c:pt>
                <c:pt idx="36">
                  <c:v>2010 Q1</c:v>
                </c:pt>
                <c:pt idx="37">
                  <c:v>2010 Q2</c:v>
                </c:pt>
                <c:pt idx="38">
                  <c:v>2010 Q3</c:v>
                </c:pt>
                <c:pt idx="39">
                  <c:v>2010 Q4</c:v>
                </c:pt>
                <c:pt idx="40">
                  <c:v>2011 Q1</c:v>
                </c:pt>
                <c:pt idx="41">
                  <c:v>2011 Q2</c:v>
                </c:pt>
                <c:pt idx="42">
                  <c:v>2011 Q3</c:v>
                </c:pt>
                <c:pt idx="43">
                  <c:v>2011 Q4</c:v>
                </c:pt>
                <c:pt idx="44">
                  <c:v>2012 Q1</c:v>
                </c:pt>
                <c:pt idx="45">
                  <c:v>2012 Q2</c:v>
                </c:pt>
                <c:pt idx="46">
                  <c:v>2012 Q3</c:v>
                </c:pt>
                <c:pt idx="47">
                  <c:v>2012 Q4</c:v>
                </c:pt>
                <c:pt idx="48">
                  <c:v>2013 Q1</c:v>
                </c:pt>
                <c:pt idx="49">
                  <c:v>2013 Q2</c:v>
                </c:pt>
                <c:pt idx="50">
                  <c:v>2013 Q3</c:v>
                </c:pt>
                <c:pt idx="51">
                  <c:v>2013 Q4</c:v>
                </c:pt>
                <c:pt idx="52">
                  <c:v>2014 Q1</c:v>
                </c:pt>
                <c:pt idx="53">
                  <c:v>2014 Q2</c:v>
                </c:pt>
                <c:pt idx="54">
                  <c:v>2014 Q3</c:v>
                </c:pt>
                <c:pt idx="55">
                  <c:v>2014 Q4</c:v>
                </c:pt>
                <c:pt idx="56">
                  <c:v>2015 Q1</c:v>
                </c:pt>
                <c:pt idx="57">
                  <c:v>2015 Q2</c:v>
                </c:pt>
                <c:pt idx="58">
                  <c:v>2015 Q3</c:v>
                </c:pt>
                <c:pt idx="59">
                  <c:v>2015 Q4</c:v>
                </c:pt>
                <c:pt idx="60">
                  <c:v>2016 Q1</c:v>
                </c:pt>
                <c:pt idx="61">
                  <c:v>2016 Q2</c:v>
                </c:pt>
                <c:pt idx="62">
                  <c:v>2016 Q3</c:v>
                </c:pt>
                <c:pt idx="63">
                  <c:v>2016 Q4</c:v>
                </c:pt>
              </c:strCache>
            </c:strRef>
          </c:cat>
          <c:val>
            <c:numRef>
              <c:f>'II. Upgrades &amp; Downgrades'!$B$31:$BM$31</c:f>
              <c:numCache>
                <c:formatCode>General</c:formatCode>
                <c:ptCount val="64"/>
                <c:pt idx="0">
                  <c:v>14</c:v>
                </c:pt>
                <c:pt idx="1">
                  <c:v>4</c:v>
                </c:pt>
                <c:pt idx="2">
                  <c:v>0</c:v>
                </c:pt>
                <c:pt idx="3">
                  <c:v>9</c:v>
                </c:pt>
                <c:pt idx="4">
                  <c:v>3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8</c:v>
                </c:pt>
                <c:pt idx="12">
                  <c:v>3</c:v>
                </c:pt>
                <c:pt idx="13">
                  <c:v>4</c:v>
                </c:pt>
                <c:pt idx="14">
                  <c:v>9</c:v>
                </c:pt>
                <c:pt idx="15">
                  <c:v>4</c:v>
                </c:pt>
                <c:pt idx="16">
                  <c:v>12</c:v>
                </c:pt>
                <c:pt idx="17">
                  <c:v>11</c:v>
                </c:pt>
                <c:pt idx="18">
                  <c:v>8</c:v>
                </c:pt>
                <c:pt idx="19">
                  <c:v>0</c:v>
                </c:pt>
                <c:pt idx="20">
                  <c:v>5</c:v>
                </c:pt>
                <c:pt idx="21">
                  <c:v>12</c:v>
                </c:pt>
                <c:pt idx="22">
                  <c:v>3</c:v>
                </c:pt>
                <c:pt idx="23">
                  <c:v>2</c:v>
                </c:pt>
                <c:pt idx="24">
                  <c:v>1</c:v>
                </c:pt>
                <c:pt idx="25">
                  <c:v>4</c:v>
                </c:pt>
                <c:pt idx="26">
                  <c:v>4</c:v>
                </c:pt>
                <c:pt idx="27">
                  <c:v>10</c:v>
                </c:pt>
                <c:pt idx="28">
                  <c:v>1</c:v>
                </c:pt>
                <c:pt idx="29">
                  <c:v>1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2</c:v>
                </c:pt>
                <c:pt idx="34">
                  <c:v>3</c:v>
                </c:pt>
                <c:pt idx="35">
                  <c:v>0</c:v>
                </c:pt>
                <c:pt idx="36">
                  <c:v>0</c:v>
                </c:pt>
                <c:pt idx="37">
                  <c:v>2</c:v>
                </c:pt>
                <c:pt idx="38">
                  <c:v>4</c:v>
                </c:pt>
                <c:pt idx="39">
                  <c:v>1</c:v>
                </c:pt>
                <c:pt idx="40">
                  <c:v>3</c:v>
                </c:pt>
                <c:pt idx="41">
                  <c:v>4</c:v>
                </c:pt>
                <c:pt idx="42">
                  <c:v>0</c:v>
                </c:pt>
                <c:pt idx="43">
                  <c:v>0</c:v>
                </c:pt>
                <c:pt idx="44">
                  <c:v>5</c:v>
                </c:pt>
                <c:pt idx="45">
                  <c:v>9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4</c:v>
                </c:pt>
                <c:pt idx="50">
                  <c:v>8</c:v>
                </c:pt>
                <c:pt idx="51">
                  <c:v>0</c:v>
                </c:pt>
                <c:pt idx="52">
                  <c:v>78</c:v>
                </c:pt>
                <c:pt idx="53">
                  <c:v>2</c:v>
                </c:pt>
                <c:pt idx="54">
                  <c:v>5</c:v>
                </c:pt>
                <c:pt idx="55">
                  <c:v>0</c:v>
                </c:pt>
                <c:pt idx="56">
                  <c:v>2</c:v>
                </c:pt>
                <c:pt idx="57">
                  <c:v>4</c:v>
                </c:pt>
                <c:pt idx="58">
                  <c:v>1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1</c:v>
                </c:pt>
                <c:pt idx="63">
                  <c:v>0</c:v>
                </c:pt>
              </c:numCache>
            </c:numRef>
          </c:val>
        </c:ser>
        <c:ser>
          <c:idx val="3"/>
          <c:order val="3"/>
          <c:tx>
            <c:strRef>
              <c:f>'II. Upgrades &amp; Downgrades'!$A$32</c:f>
              <c:strCache>
                <c:ptCount val="1"/>
                <c:pt idx="0">
                  <c:v>Moody's (downgrade)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'II. Upgrades &amp; Downgrades'!$B$28:$BM$28</c:f>
              <c:strCache>
                <c:ptCount val="64"/>
                <c:pt idx="0">
                  <c:v>2001 Q1</c:v>
                </c:pt>
                <c:pt idx="1">
                  <c:v>2001 Q2</c:v>
                </c:pt>
                <c:pt idx="2">
                  <c:v>2001 Q3</c:v>
                </c:pt>
                <c:pt idx="3">
                  <c:v>2001 Q4</c:v>
                </c:pt>
                <c:pt idx="4">
                  <c:v>2002 Q1</c:v>
                </c:pt>
                <c:pt idx="5">
                  <c:v>2002 Q2</c:v>
                </c:pt>
                <c:pt idx="6">
                  <c:v>2002 Q3</c:v>
                </c:pt>
                <c:pt idx="7">
                  <c:v>2002 Q4</c:v>
                </c:pt>
                <c:pt idx="8">
                  <c:v>2003 Q1</c:v>
                </c:pt>
                <c:pt idx="9">
                  <c:v>2003 Q2</c:v>
                </c:pt>
                <c:pt idx="10">
                  <c:v>2003 Q3</c:v>
                </c:pt>
                <c:pt idx="11">
                  <c:v>2003 Q4</c:v>
                </c:pt>
                <c:pt idx="12">
                  <c:v>2004 Q1</c:v>
                </c:pt>
                <c:pt idx="13">
                  <c:v>2004 Q2</c:v>
                </c:pt>
                <c:pt idx="14">
                  <c:v>2004 Q3</c:v>
                </c:pt>
                <c:pt idx="15">
                  <c:v>2004 Q4</c:v>
                </c:pt>
                <c:pt idx="16">
                  <c:v>2005 Q1</c:v>
                </c:pt>
                <c:pt idx="17">
                  <c:v>2005 Q2</c:v>
                </c:pt>
                <c:pt idx="18">
                  <c:v>2005 Q3</c:v>
                </c:pt>
                <c:pt idx="19">
                  <c:v>2005 Q4</c:v>
                </c:pt>
                <c:pt idx="20">
                  <c:v>2006 Q1</c:v>
                </c:pt>
                <c:pt idx="21">
                  <c:v>2006 Q2</c:v>
                </c:pt>
                <c:pt idx="22">
                  <c:v>2006 Q3</c:v>
                </c:pt>
                <c:pt idx="23">
                  <c:v>2006 Q4</c:v>
                </c:pt>
                <c:pt idx="24">
                  <c:v>2007Q1</c:v>
                </c:pt>
                <c:pt idx="25">
                  <c:v>2007 Q2</c:v>
                </c:pt>
                <c:pt idx="26">
                  <c:v>2007 Q3</c:v>
                </c:pt>
                <c:pt idx="27">
                  <c:v>2007 Q4</c:v>
                </c:pt>
                <c:pt idx="28">
                  <c:v>2008 Q1</c:v>
                </c:pt>
                <c:pt idx="29">
                  <c:v>2008 Q2</c:v>
                </c:pt>
                <c:pt idx="30">
                  <c:v>2008 Q3</c:v>
                </c:pt>
                <c:pt idx="31">
                  <c:v>2008 Q4</c:v>
                </c:pt>
                <c:pt idx="32">
                  <c:v>2009 Q1</c:v>
                </c:pt>
                <c:pt idx="33">
                  <c:v>2009 Q2</c:v>
                </c:pt>
                <c:pt idx="34">
                  <c:v>2009 Q3</c:v>
                </c:pt>
                <c:pt idx="35">
                  <c:v>2009 Q4</c:v>
                </c:pt>
                <c:pt idx="36">
                  <c:v>2010 Q1</c:v>
                </c:pt>
                <c:pt idx="37">
                  <c:v>2010 Q2</c:v>
                </c:pt>
                <c:pt idx="38">
                  <c:v>2010 Q3</c:v>
                </c:pt>
                <c:pt idx="39">
                  <c:v>2010 Q4</c:v>
                </c:pt>
                <c:pt idx="40">
                  <c:v>2011 Q1</c:v>
                </c:pt>
                <c:pt idx="41">
                  <c:v>2011 Q2</c:v>
                </c:pt>
                <c:pt idx="42">
                  <c:v>2011 Q3</c:v>
                </c:pt>
                <c:pt idx="43">
                  <c:v>2011 Q4</c:v>
                </c:pt>
                <c:pt idx="44">
                  <c:v>2012 Q1</c:v>
                </c:pt>
                <c:pt idx="45">
                  <c:v>2012 Q2</c:v>
                </c:pt>
                <c:pt idx="46">
                  <c:v>2012 Q3</c:v>
                </c:pt>
                <c:pt idx="47">
                  <c:v>2012 Q4</c:v>
                </c:pt>
                <c:pt idx="48">
                  <c:v>2013 Q1</c:v>
                </c:pt>
                <c:pt idx="49">
                  <c:v>2013 Q2</c:v>
                </c:pt>
                <c:pt idx="50">
                  <c:v>2013 Q3</c:v>
                </c:pt>
                <c:pt idx="51">
                  <c:v>2013 Q4</c:v>
                </c:pt>
                <c:pt idx="52">
                  <c:v>2014 Q1</c:v>
                </c:pt>
                <c:pt idx="53">
                  <c:v>2014 Q2</c:v>
                </c:pt>
                <c:pt idx="54">
                  <c:v>2014 Q3</c:v>
                </c:pt>
                <c:pt idx="55">
                  <c:v>2014 Q4</c:v>
                </c:pt>
                <c:pt idx="56">
                  <c:v>2015 Q1</c:v>
                </c:pt>
                <c:pt idx="57">
                  <c:v>2015 Q2</c:v>
                </c:pt>
                <c:pt idx="58">
                  <c:v>2015 Q3</c:v>
                </c:pt>
                <c:pt idx="59">
                  <c:v>2015 Q4</c:v>
                </c:pt>
                <c:pt idx="60">
                  <c:v>2016 Q1</c:v>
                </c:pt>
                <c:pt idx="61">
                  <c:v>2016 Q2</c:v>
                </c:pt>
                <c:pt idx="62">
                  <c:v>2016 Q3</c:v>
                </c:pt>
                <c:pt idx="63">
                  <c:v>2016 Q4</c:v>
                </c:pt>
              </c:strCache>
            </c:strRef>
          </c:cat>
          <c:val>
            <c:numRef>
              <c:f>'II. Upgrades &amp; Downgrades'!$B$32:$BM$32</c:f>
              <c:numCache>
                <c:formatCode>General</c:formatCode>
                <c:ptCount val="64"/>
                <c:pt idx="0">
                  <c:v>-21</c:v>
                </c:pt>
                <c:pt idx="1">
                  <c:v>-8</c:v>
                </c:pt>
                <c:pt idx="2">
                  <c:v>0</c:v>
                </c:pt>
                <c:pt idx="3">
                  <c:v>-12</c:v>
                </c:pt>
                <c:pt idx="4">
                  <c:v>-7</c:v>
                </c:pt>
                <c:pt idx="5">
                  <c:v>-20</c:v>
                </c:pt>
                <c:pt idx="6">
                  <c:v>-27</c:v>
                </c:pt>
                <c:pt idx="7">
                  <c:v>-59</c:v>
                </c:pt>
                <c:pt idx="8">
                  <c:v>-25</c:v>
                </c:pt>
                <c:pt idx="9">
                  <c:v>-21</c:v>
                </c:pt>
                <c:pt idx="10">
                  <c:v>-11</c:v>
                </c:pt>
                <c:pt idx="11">
                  <c:v>-11</c:v>
                </c:pt>
                <c:pt idx="12">
                  <c:v>-11</c:v>
                </c:pt>
                <c:pt idx="13">
                  <c:v>-6</c:v>
                </c:pt>
                <c:pt idx="14">
                  <c:v>-3</c:v>
                </c:pt>
                <c:pt idx="15">
                  <c:v>-2</c:v>
                </c:pt>
                <c:pt idx="16">
                  <c:v>-6</c:v>
                </c:pt>
                <c:pt idx="17">
                  <c:v>0</c:v>
                </c:pt>
                <c:pt idx="18">
                  <c:v>-3</c:v>
                </c:pt>
                <c:pt idx="19">
                  <c:v>-6</c:v>
                </c:pt>
                <c:pt idx="20">
                  <c:v>-2</c:v>
                </c:pt>
                <c:pt idx="21">
                  <c:v>-4</c:v>
                </c:pt>
                <c:pt idx="22">
                  <c:v>-11</c:v>
                </c:pt>
                <c:pt idx="23">
                  <c:v>0</c:v>
                </c:pt>
                <c:pt idx="24">
                  <c:v>-9</c:v>
                </c:pt>
                <c:pt idx="25">
                  <c:v>-1</c:v>
                </c:pt>
                <c:pt idx="26">
                  <c:v>0</c:v>
                </c:pt>
                <c:pt idx="27">
                  <c:v>-3</c:v>
                </c:pt>
                <c:pt idx="28">
                  <c:v>0</c:v>
                </c:pt>
                <c:pt idx="29">
                  <c:v>-2</c:v>
                </c:pt>
                <c:pt idx="30">
                  <c:v>-1</c:v>
                </c:pt>
                <c:pt idx="31">
                  <c:v>0</c:v>
                </c:pt>
                <c:pt idx="32">
                  <c:v>-2</c:v>
                </c:pt>
                <c:pt idx="33">
                  <c:v>-9</c:v>
                </c:pt>
                <c:pt idx="34">
                  <c:v>-5</c:v>
                </c:pt>
                <c:pt idx="35">
                  <c:v>-2</c:v>
                </c:pt>
                <c:pt idx="36">
                  <c:v>-2</c:v>
                </c:pt>
                <c:pt idx="37">
                  <c:v>-5</c:v>
                </c:pt>
                <c:pt idx="38">
                  <c:v>-3</c:v>
                </c:pt>
                <c:pt idx="39">
                  <c:v>-3</c:v>
                </c:pt>
                <c:pt idx="40">
                  <c:v>0</c:v>
                </c:pt>
                <c:pt idx="41">
                  <c:v>0</c:v>
                </c:pt>
                <c:pt idx="42">
                  <c:v>-3</c:v>
                </c:pt>
                <c:pt idx="43">
                  <c:v>-1</c:v>
                </c:pt>
                <c:pt idx="44">
                  <c:v>-2</c:v>
                </c:pt>
                <c:pt idx="45">
                  <c:v>-2</c:v>
                </c:pt>
                <c:pt idx="46">
                  <c:v>-1</c:v>
                </c:pt>
                <c:pt idx="47">
                  <c:v>-1</c:v>
                </c:pt>
                <c:pt idx="48">
                  <c:v>-1</c:v>
                </c:pt>
                <c:pt idx="49">
                  <c:v>-1</c:v>
                </c:pt>
                <c:pt idx="50">
                  <c:v>-2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-1</c:v>
                </c:pt>
                <c:pt idx="58">
                  <c:v>-1</c:v>
                </c:pt>
                <c:pt idx="59">
                  <c:v>-1</c:v>
                </c:pt>
                <c:pt idx="60">
                  <c:v>-2</c:v>
                </c:pt>
                <c:pt idx="61">
                  <c:v>0</c:v>
                </c:pt>
                <c:pt idx="62">
                  <c:v>-6</c:v>
                </c:pt>
                <c:pt idx="63">
                  <c:v>-1</c:v>
                </c:pt>
              </c:numCache>
            </c:numRef>
          </c:val>
        </c:ser>
        <c:ser>
          <c:idx val="4"/>
          <c:order val="4"/>
          <c:tx>
            <c:strRef>
              <c:f>'II. Upgrades &amp; Downgrades'!$A$33</c:f>
              <c:strCache>
                <c:ptCount val="1"/>
                <c:pt idx="0">
                  <c:v>Standard &amp; Poor's (upgrade)</c:v>
                </c:pt>
              </c:strCache>
            </c:strRef>
          </c:tx>
          <c:spPr>
            <a:solidFill>
              <a:srgbClr val="B2B2B2"/>
            </a:solidFill>
            <a:ln w="25400">
              <a:noFill/>
            </a:ln>
          </c:spPr>
          <c:invertIfNegative val="0"/>
          <c:cat>
            <c:strRef>
              <c:f>'II. Upgrades &amp; Downgrades'!$B$28:$BM$28</c:f>
              <c:strCache>
                <c:ptCount val="64"/>
                <c:pt idx="0">
                  <c:v>2001 Q1</c:v>
                </c:pt>
                <c:pt idx="1">
                  <c:v>2001 Q2</c:v>
                </c:pt>
                <c:pt idx="2">
                  <c:v>2001 Q3</c:v>
                </c:pt>
                <c:pt idx="3">
                  <c:v>2001 Q4</c:v>
                </c:pt>
                <c:pt idx="4">
                  <c:v>2002 Q1</c:v>
                </c:pt>
                <c:pt idx="5">
                  <c:v>2002 Q2</c:v>
                </c:pt>
                <c:pt idx="6">
                  <c:v>2002 Q3</c:v>
                </c:pt>
                <c:pt idx="7">
                  <c:v>2002 Q4</c:v>
                </c:pt>
                <c:pt idx="8">
                  <c:v>2003 Q1</c:v>
                </c:pt>
                <c:pt idx="9">
                  <c:v>2003 Q2</c:v>
                </c:pt>
                <c:pt idx="10">
                  <c:v>2003 Q3</c:v>
                </c:pt>
                <c:pt idx="11">
                  <c:v>2003 Q4</c:v>
                </c:pt>
                <c:pt idx="12">
                  <c:v>2004 Q1</c:v>
                </c:pt>
                <c:pt idx="13">
                  <c:v>2004 Q2</c:v>
                </c:pt>
                <c:pt idx="14">
                  <c:v>2004 Q3</c:v>
                </c:pt>
                <c:pt idx="15">
                  <c:v>2004 Q4</c:v>
                </c:pt>
                <c:pt idx="16">
                  <c:v>2005 Q1</c:v>
                </c:pt>
                <c:pt idx="17">
                  <c:v>2005 Q2</c:v>
                </c:pt>
                <c:pt idx="18">
                  <c:v>2005 Q3</c:v>
                </c:pt>
                <c:pt idx="19">
                  <c:v>2005 Q4</c:v>
                </c:pt>
                <c:pt idx="20">
                  <c:v>2006 Q1</c:v>
                </c:pt>
                <c:pt idx="21">
                  <c:v>2006 Q2</c:v>
                </c:pt>
                <c:pt idx="22">
                  <c:v>2006 Q3</c:v>
                </c:pt>
                <c:pt idx="23">
                  <c:v>2006 Q4</c:v>
                </c:pt>
                <c:pt idx="24">
                  <c:v>2007Q1</c:v>
                </c:pt>
                <c:pt idx="25">
                  <c:v>2007 Q2</c:v>
                </c:pt>
                <c:pt idx="26">
                  <c:v>2007 Q3</c:v>
                </c:pt>
                <c:pt idx="27">
                  <c:v>2007 Q4</c:v>
                </c:pt>
                <c:pt idx="28">
                  <c:v>2008 Q1</c:v>
                </c:pt>
                <c:pt idx="29">
                  <c:v>2008 Q2</c:v>
                </c:pt>
                <c:pt idx="30">
                  <c:v>2008 Q3</c:v>
                </c:pt>
                <c:pt idx="31">
                  <c:v>2008 Q4</c:v>
                </c:pt>
                <c:pt idx="32">
                  <c:v>2009 Q1</c:v>
                </c:pt>
                <c:pt idx="33">
                  <c:v>2009 Q2</c:v>
                </c:pt>
                <c:pt idx="34">
                  <c:v>2009 Q3</c:v>
                </c:pt>
                <c:pt idx="35">
                  <c:v>2009 Q4</c:v>
                </c:pt>
                <c:pt idx="36">
                  <c:v>2010 Q1</c:v>
                </c:pt>
                <c:pt idx="37">
                  <c:v>2010 Q2</c:v>
                </c:pt>
                <c:pt idx="38">
                  <c:v>2010 Q3</c:v>
                </c:pt>
                <c:pt idx="39">
                  <c:v>2010 Q4</c:v>
                </c:pt>
                <c:pt idx="40">
                  <c:v>2011 Q1</c:v>
                </c:pt>
                <c:pt idx="41">
                  <c:v>2011 Q2</c:v>
                </c:pt>
                <c:pt idx="42">
                  <c:v>2011 Q3</c:v>
                </c:pt>
                <c:pt idx="43">
                  <c:v>2011 Q4</c:v>
                </c:pt>
                <c:pt idx="44">
                  <c:v>2012 Q1</c:v>
                </c:pt>
                <c:pt idx="45">
                  <c:v>2012 Q2</c:v>
                </c:pt>
                <c:pt idx="46">
                  <c:v>2012 Q3</c:v>
                </c:pt>
                <c:pt idx="47">
                  <c:v>2012 Q4</c:v>
                </c:pt>
                <c:pt idx="48">
                  <c:v>2013 Q1</c:v>
                </c:pt>
                <c:pt idx="49">
                  <c:v>2013 Q2</c:v>
                </c:pt>
                <c:pt idx="50">
                  <c:v>2013 Q3</c:v>
                </c:pt>
                <c:pt idx="51">
                  <c:v>2013 Q4</c:v>
                </c:pt>
                <c:pt idx="52">
                  <c:v>2014 Q1</c:v>
                </c:pt>
                <c:pt idx="53">
                  <c:v>2014 Q2</c:v>
                </c:pt>
                <c:pt idx="54">
                  <c:v>2014 Q3</c:v>
                </c:pt>
                <c:pt idx="55">
                  <c:v>2014 Q4</c:v>
                </c:pt>
                <c:pt idx="56">
                  <c:v>2015 Q1</c:v>
                </c:pt>
                <c:pt idx="57">
                  <c:v>2015 Q2</c:v>
                </c:pt>
                <c:pt idx="58">
                  <c:v>2015 Q3</c:v>
                </c:pt>
                <c:pt idx="59">
                  <c:v>2015 Q4</c:v>
                </c:pt>
                <c:pt idx="60">
                  <c:v>2016 Q1</c:v>
                </c:pt>
                <c:pt idx="61">
                  <c:v>2016 Q2</c:v>
                </c:pt>
                <c:pt idx="62">
                  <c:v>2016 Q3</c:v>
                </c:pt>
                <c:pt idx="63">
                  <c:v>2016 Q4</c:v>
                </c:pt>
              </c:strCache>
            </c:strRef>
          </c:cat>
          <c:val>
            <c:numRef>
              <c:f>'II. Upgrades &amp; Downgrades'!$B$33:$BM$33</c:f>
              <c:numCache>
                <c:formatCode>General</c:formatCode>
                <c:ptCount val="64"/>
                <c:pt idx="0">
                  <c:v>6</c:v>
                </c:pt>
                <c:pt idx="1">
                  <c:v>7</c:v>
                </c:pt>
                <c:pt idx="2">
                  <c:v>5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9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9</c:v>
                </c:pt>
                <c:pt idx="15">
                  <c:v>3</c:v>
                </c:pt>
                <c:pt idx="16">
                  <c:v>7</c:v>
                </c:pt>
                <c:pt idx="17">
                  <c:v>8</c:v>
                </c:pt>
                <c:pt idx="18">
                  <c:v>1</c:v>
                </c:pt>
                <c:pt idx="19">
                  <c:v>8</c:v>
                </c:pt>
                <c:pt idx="20">
                  <c:v>7</c:v>
                </c:pt>
                <c:pt idx="21">
                  <c:v>7</c:v>
                </c:pt>
                <c:pt idx="22">
                  <c:v>6</c:v>
                </c:pt>
                <c:pt idx="23">
                  <c:v>0</c:v>
                </c:pt>
                <c:pt idx="24">
                  <c:v>7</c:v>
                </c:pt>
                <c:pt idx="25">
                  <c:v>16</c:v>
                </c:pt>
                <c:pt idx="26">
                  <c:v>0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6</c:v>
                </c:pt>
                <c:pt idx="31">
                  <c:v>1</c:v>
                </c:pt>
                <c:pt idx="32">
                  <c:v>1</c:v>
                </c:pt>
                <c:pt idx="33">
                  <c:v>5</c:v>
                </c:pt>
                <c:pt idx="34">
                  <c:v>3</c:v>
                </c:pt>
                <c:pt idx="35">
                  <c:v>3</c:v>
                </c:pt>
                <c:pt idx="36">
                  <c:v>0</c:v>
                </c:pt>
                <c:pt idx="37">
                  <c:v>6</c:v>
                </c:pt>
                <c:pt idx="38">
                  <c:v>5</c:v>
                </c:pt>
                <c:pt idx="39">
                  <c:v>4</c:v>
                </c:pt>
                <c:pt idx="40">
                  <c:v>5</c:v>
                </c:pt>
                <c:pt idx="41">
                  <c:v>9</c:v>
                </c:pt>
                <c:pt idx="42">
                  <c:v>2</c:v>
                </c:pt>
                <c:pt idx="43">
                  <c:v>2</c:v>
                </c:pt>
                <c:pt idx="44">
                  <c:v>1</c:v>
                </c:pt>
                <c:pt idx="45">
                  <c:v>7</c:v>
                </c:pt>
                <c:pt idx="46">
                  <c:v>0</c:v>
                </c:pt>
                <c:pt idx="47">
                  <c:v>2</c:v>
                </c:pt>
                <c:pt idx="48">
                  <c:v>13</c:v>
                </c:pt>
                <c:pt idx="49">
                  <c:v>10</c:v>
                </c:pt>
                <c:pt idx="50">
                  <c:v>6</c:v>
                </c:pt>
                <c:pt idx="51">
                  <c:v>8</c:v>
                </c:pt>
                <c:pt idx="52">
                  <c:v>0</c:v>
                </c:pt>
                <c:pt idx="53">
                  <c:v>4</c:v>
                </c:pt>
                <c:pt idx="54">
                  <c:v>0</c:v>
                </c:pt>
                <c:pt idx="55">
                  <c:v>2</c:v>
                </c:pt>
                <c:pt idx="56">
                  <c:v>0</c:v>
                </c:pt>
                <c:pt idx="57">
                  <c:v>18</c:v>
                </c:pt>
                <c:pt idx="58">
                  <c:v>0</c:v>
                </c:pt>
                <c:pt idx="59">
                  <c:v>2</c:v>
                </c:pt>
                <c:pt idx="60">
                  <c:v>6</c:v>
                </c:pt>
                <c:pt idx="61">
                  <c:v>7</c:v>
                </c:pt>
                <c:pt idx="62">
                  <c:v>19</c:v>
                </c:pt>
                <c:pt idx="63">
                  <c:v>0</c:v>
                </c:pt>
              </c:numCache>
            </c:numRef>
          </c:val>
        </c:ser>
        <c:ser>
          <c:idx val="5"/>
          <c:order val="5"/>
          <c:tx>
            <c:strRef>
              <c:f>'II. Upgrades &amp; Downgrades'!$A$34</c:f>
              <c:strCache>
                <c:ptCount val="1"/>
                <c:pt idx="0">
                  <c:v>Standard &amp; Poor's (downgrade)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'II. Upgrades &amp; Downgrades'!$B$28:$BM$28</c:f>
              <c:strCache>
                <c:ptCount val="64"/>
                <c:pt idx="0">
                  <c:v>2001 Q1</c:v>
                </c:pt>
                <c:pt idx="1">
                  <c:v>2001 Q2</c:v>
                </c:pt>
                <c:pt idx="2">
                  <c:v>2001 Q3</c:v>
                </c:pt>
                <c:pt idx="3">
                  <c:v>2001 Q4</c:v>
                </c:pt>
                <c:pt idx="4">
                  <c:v>2002 Q1</c:v>
                </c:pt>
                <c:pt idx="5">
                  <c:v>2002 Q2</c:v>
                </c:pt>
                <c:pt idx="6">
                  <c:v>2002 Q3</c:v>
                </c:pt>
                <c:pt idx="7">
                  <c:v>2002 Q4</c:v>
                </c:pt>
                <c:pt idx="8">
                  <c:v>2003 Q1</c:v>
                </c:pt>
                <c:pt idx="9">
                  <c:v>2003 Q2</c:v>
                </c:pt>
                <c:pt idx="10">
                  <c:v>2003 Q3</c:v>
                </c:pt>
                <c:pt idx="11">
                  <c:v>2003 Q4</c:v>
                </c:pt>
                <c:pt idx="12">
                  <c:v>2004 Q1</c:v>
                </c:pt>
                <c:pt idx="13">
                  <c:v>2004 Q2</c:v>
                </c:pt>
                <c:pt idx="14">
                  <c:v>2004 Q3</c:v>
                </c:pt>
                <c:pt idx="15">
                  <c:v>2004 Q4</c:v>
                </c:pt>
                <c:pt idx="16">
                  <c:v>2005 Q1</c:v>
                </c:pt>
                <c:pt idx="17">
                  <c:v>2005 Q2</c:v>
                </c:pt>
                <c:pt idx="18">
                  <c:v>2005 Q3</c:v>
                </c:pt>
                <c:pt idx="19">
                  <c:v>2005 Q4</c:v>
                </c:pt>
                <c:pt idx="20">
                  <c:v>2006 Q1</c:v>
                </c:pt>
                <c:pt idx="21">
                  <c:v>2006 Q2</c:v>
                </c:pt>
                <c:pt idx="22">
                  <c:v>2006 Q3</c:v>
                </c:pt>
                <c:pt idx="23">
                  <c:v>2006 Q4</c:v>
                </c:pt>
                <c:pt idx="24">
                  <c:v>2007Q1</c:v>
                </c:pt>
                <c:pt idx="25">
                  <c:v>2007 Q2</c:v>
                </c:pt>
                <c:pt idx="26">
                  <c:v>2007 Q3</c:v>
                </c:pt>
                <c:pt idx="27">
                  <c:v>2007 Q4</c:v>
                </c:pt>
                <c:pt idx="28">
                  <c:v>2008 Q1</c:v>
                </c:pt>
                <c:pt idx="29">
                  <c:v>2008 Q2</c:v>
                </c:pt>
                <c:pt idx="30">
                  <c:v>2008 Q3</c:v>
                </c:pt>
                <c:pt idx="31">
                  <c:v>2008 Q4</c:v>
                </c:pt>
                <c:pt idx="32">
                  <c:v>2009 Q1</c:v>
                </c:pt>
                <c:pt idx="33">
                  <c:v>2009 Q2</c:v>
                </c:pt>
                <c:pt idx="34">
                  <c:v>2009 Q3</c:v>
                </c:pt>
                <c:pt idx="35">
                  <c:v>2009 Q4</c:v>
                </c:pt>
                <c:pt idx="36">
                  <c:v>2010 Q1</c:v>
                </c:pt>
                <c:pt idx="37">
                  <c:v>2010 Q2</c:v>
                </c:pt>
                <c:pt idx="38">
                  <c:v>2010 Q3</c:v>
                </c:pt>
                <c:pt idx="39">
                  <c:v>2010 Q4</c:v>
                </c:pt>
                <c:pt idx="40">
                  <c:v>2011 Q1</c:v>
                </c:pt>
                <c:pt idx="41">
                  <c:v>2011 Q2</c:v>
                </c:pt>
                <c:pt idx="42">
                  <c:v>2011 Q3</c:v>
                </c:pt>
                <c:pt idx="43">
                  <c:v>2011 Q4</c:v>
                </c:pt>
                <c:pt idx="44">
                  <c:v>2012 Q1</c:v>
                </c:pt>
                <c:pt idx="45">
                  <c:v>2012 Q2</c:v>
                </c:pt>
                <c:pt idx="46">
                  <c:v>2012 Q3</c:v>
                </c:pt>
                <c:pt idx="47">
                  <c:v>2012 Q4</c:v>
                </c:pt>
                <c:pt idx="48">
                  <c:v>2013 Q1</c:v>
                </c:pt>
                <c:pt idx="49">
                  <c:v>2013 Q2</c:v>
                </c:pt>
                <c:pt idx="50">
                  <c:v>2013 Q3</c:v>
                </c:pt>
                <c:pt idx="51">
                  <c:v>2013 Q4</c:v>
                </c:pt>
                <c:pt idx="52">
                  <c:v>2014 Q1</c:v>
                </c:pt>
                <c:pt idx="53">
                  <c:v>2014 Q2</c:v>
                </c:pt>
                <c:pt idx="54">
                  <c:v>2014 Q3</c:v>
                </c:pt>
                <c:pt idx="55">
                  <c:v>2014 Q4</c:v>
                </c:pt>
                <c:pt idx="56">
                  <c:v>2015 Q1</c:v>
                </c:pt>
                <c:pt idx="57">
                  <c:v>2015 Q2</c:v>
                </c:pt>
                <c:pt idx="58">
                  <c:v>2015 Q3</c:v>
                </c:pt>
                <c:pt idx="59">
                  <c:v>2015 Q4</c:v>
                </c:pt>
                <c:pt idx="60">
                  <c:v>2016 Q1</c:v>
                </c:pt>
                <c:pt idx="61">
                  <c:v>2016 Q2</c:v>
                </c:pt>
                <c:pt idx="62">
                  <c:v>2016 Q3</c:v>
                </c:pt>
                <c:pt idx="63">
                  <c:v>2016 Q4</c:v>
                </c:pt>
              </c:strCache>
            </c:strRef>
          </c:cat>
          <c:val>
            <c:numRef>
              <c:f>'II. Upgrades &amp; Downgrades'!$B$34:$BM$34</c:f>
              <c:numCache>
                <c:formatCode>General</c:formatCode>
                <c:ptCount val="64"/>
                <c:pt idx="0">
                  <c:v>-24</c:v>
                </c:pt>
                <c:pt idx="1">
                  <c:v>-7</c:v>
                </c:pt>
                <c:pt idx="2">
                  <c:v>-12</c:v>
                </c:pt>
                <c:pt idx="3">
                  <c:v>-38</c:v>
                </c:pt>
                <c:pt idx="4">
                  <c:v>-24</c:v>
                </c:pt>
                <c:pt idx="5">
                  <c:v>-33</c:v>
                </c:pt>
                <c:pt idx="6">
                  <c:v>-32</c:v>
                </c:pt>
                <c:pt idx="7">
                  <c:v>-22</c:v>
                </c:pt>
                <c:pt idx="8">
                  <c:v>-44</c:v>
                </c:pt>
                <c:pt idx="9">
                  <c:v>-24</c:v>
                </c:pt>
                <c:pt idx="10">
                  <c:v>-18</c:v>
                </c:pt>
                <c:pt idx="11">
                  <c:v>-20</c:v>
                </c:pt>
                <c:pt idx="12">
                  <c:v>-6</c:v>
                </c:pt>
                <c:pt idx="13">
                  <c:v>-4</c:v>
                </c:pt>
                <c:pt idx="14">
                  <c:v>-2</c:v>
                </c:pt>
                <c:pt idx="15">
                  <c:v>-7</c:v>
                </c:pt>
                <c:pt idx="16">
                  <c:v>-1</c:v>
                </c:pt>
                <c:pt idx="17">
                  <c:v>-9</c:v>
                </c:pt>
                <c:pt idx="18">
                  <c:v>-3</c:v>
                </c:pt>
                <c:pt idx="19">
                  <c:v>-16</c:v>
                </c:pt>
                <c:pt idx="20">
                  <c:v>-2</c:v>
                </c:pt>
                <c:pt idx="21">
                  <c:v>-4</c:v>
                </c:pt>
                <c:pt idx="22">
                  <c:v>-6</c:v>
                </c:pt>
                <c:pt idx="23">
                  <c:v>-8</c:v>
                </c:pt>
                <c:pt idx="24">
                  <c:v>-4</c:v>
                </c:pt>
                <c:pt idx="25">
                  <c:v>-11</c:v>
                </c:pt>
                <c:pt idx="26">
                  <c:v>-1</c:v>
                </c:pt>
                <c:pt idx="27">
                  <c:v>-6</c:v>
                </c:pt>
                <c:pt idx="28">
                  <c:v>-5</c:v>
                </c:pt>
                <c:pt idx="29">
                  <c:v>-3</c:v>
                </c:pt>
                <c:pt idx="30">
                  <c:v>-3</c:v>
                </c:pt>
                <c:pt idx="31">
                  <c:v>-3</c:v>
                </c:pt>
                <c:pt idx="32">
                  <c:v>-4</c:v>
                </c:pt>
                <c:pt idx="33">
                  <c:v>-3</c:v>
                </c:pt>
                <c:pt idx="34">
                  <c:v>0</c:v>
                </c:pt>
                <c:pt idx="35">
                  <c:v>-1</c:v>
                </c:pt>
                <c:pt idx="36">
                  <c:v>-13</c:v>
                </c:pt>
                <c:pt idx="37">
                  <c:v>-2</c:v>
                </c:pt>
                <c:pt idx="38">
                  <c:v>0</c:v>
                </c:pt>
                <c:pt idx="39">
                  <c:v>-6</c:v>
                </c:pt>
                <c:pt idx="40">
                  <c:v>0</c:v>
                </c:pt>
                <c:pt idx="41">
                  <c:v>-2</c:v>
                </c:pt>
                <c:pt idx="42">
                  <c:v>0</c:v>
                </c:pt>
                <c:pt idx="43">
                  <c:v>-4</c:v>
                </c:pt>
                <c:pt idx="44">
                  <c:v>-3</c:v>
                </c:pt>
                <c:pt idx="45">
                  <c:v>-4</c:v>
                </c:pt>
                <c:pt idx="46">
                  <c:v>-5</c:v>
                </c:pt>
                <c:pt idx="47">
                  <c:v>-8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-3</c:v>
                </c:pt>
                <c:pt idx="52">
                  <c:v>0</c:v>
                </c:pt>
                <c:pt idx="53">
                  <c:v>-1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-1</c:v>
                </c:pt>
                <c:pt idx="58">
                  <c:v>-5</c:v>
                </c:pt>
                <c:pt idx="59">
                  <c:v>-1</c:v>
                </c:pt>
                <c:pt idx="60">
                  <c:v>-2</c:v>
                </c:pt>
                <c:pt idx="61">
                  <c:v>-1</c:v>
                </c:pt>
                <c:pt idx="62">
                  <c:v>-3</c:v>
                </c:pt>
                <c:pt idx="63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71826968"/>
        <c:axId val="671828144"/>
      </c:barChart>
      <c:catAx>
        <c:axId val="671826968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chemeClr val="tx1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en-US"/>
          </a:p>
        </c:txPr>
        <c:crossAx val="67182814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671828144"/>
        <c:scaling>
          <c:orientation val="minMax"/>
          <c:min val="-6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en-US"/>
          </a:p>
        </c:txPr>
        <c:crossAx val="671826968"/>
        <c:crosses val="autoZero"/>
        <c:crossBetween val="between"/>
      </c:valAx>
      <c:spPr>
        <a:solidFill>
          <a:srgbClr val="FFFFFF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Franklin Gothic Book"/>
          <a:ea typeface="Franklin Gothic Book"/>
          <a:cs typeface="Franklin Gothic Book"/>
        </a:defRPr>
      </a:pPr>
      <a:endParaRPr lang="en-US"/>
    </a:p>
  </c:txPr>
  <c:printSettings>
    <c:headerFooter alignWithMargins="0"/>
    <c:pageMargins b="1" l="0.75000000000000178" r="0.75000000000000178" t="1" header="0.5" footer="0.5"/>
    <c:pageSetup orientation="landscape" horizontalDpi="1200" verticalDpi="12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595094615655159E-2"/>
          <c:y val="0.11219538918490186"/>
          <c:w val="0.84172980031071476"/>
          <c:h val="0.66341621431072384"/>
        </c:manualLayout>
      </c:layout>
      <c:lineChart>
        <c:grouping val="standard"/>
        <c:varyColors val="0"/>
        <c:ser>
          <c:idx val="1"/>
          <c:order val="0"/>
          <c:tx>
            <c:strRef>
              <c:f>'IV. Direction of Rating Action'!$C$13</c:f>
              <c:strCache>
                <c:ptCount val="1"/>
                <c:pt idx="0">
                  <c:v>% Upgrades</c:v>
                </c:pt>
              </c:strCache>
            </c:strRef>
          </c:tx>
          <c:spPr>
            <a:ln w="25400">
              <a:solidFill>
                <a:srgbClr val="80808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Franklin Gothic Book"/>
                    <a:ea typeface="Franklin Gothic Book"/>
                    <a:cs typeface="Franklin Gothic Book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'IV. Direction of Rating Action'!$E$9:$R$9</c:f>
              <c:numCache>
                <c:formatCode>General</c:formatCode>
                <c:ptCount val="14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</c:numCache>
            </c:numRef>
          </c:cat>
          <c:val>
            <c:numRef>
              <c:f>'IV. Direction of Rating Action'!$E$13:$R$13</c:f>
              <c:numCache>
                <c:formatCode>0.0%</c:formatCode>
                <c:ptCount val="14"/>
                <c:pt idx="0">
                  <c:v>0.13833992094861661</c:v>
                </c:pt>
                <c:pt idx="1">
                  <c:v>0.46363636363636362</c:v>
                </c:pt>
                <c:pt idx="2">
                  <c:v>0.60330578512396693</c:v>
                </c:pt>
                <c:pt idx="3">
                  <c:v>0.60909090909090913</c:v>
                </c:pt>
                <c:pt idx="4">
                  <c:v>0.60330578512396693</c:v>
                </c:pt>
                <c:pt idx="5">
                  <c:v>0.48</c:v>
                </c:pt>
                <c:pt idx="6">
                  <c:v>0.40350877192982454</c:v>
                </c:pt>
                <c:pt idx="7">
                  <c:v>0.36249999999999999</c:v>
                </c:pt>
                <c:pt idx="8">
                  <c:v>0.65</c:v>
                </c:pt>
                <c:pt idx="9">
                  <c:v>0.48684210526315791</c:v>
                </c:pt>
                <c:pt idx="10">
                  <c:v>0.75</c:v>
                </c:pt>
                <c:pt idx="11">
                  <c:v>0.97169811320754718</c:v>
                </c:pt>
                <c:pt idx="12">
                  <c:v>0.7</c:v>
                </c:pt>
                <c:pt idx="13">
                  <c:v>0.72463768115942029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'IV. Direction of Rating Action'!$C$16</c:f>
              <c:strCache>
                <c:ptCount val="1"/>
                <c:pt idx="0">
                  <c:v>Upgrades = Downgrades</c:v>
                </c:pt>
              </c:strCache>
            </c:strRef>
          </c:tx>
          <c:spPr>
            <a:ln>
              <a:solidFill>
                <a:srgbClr val="0070C0"/>
              </a:solidFill>
              <a:prstDash val="sysDash"/>
            </a:ln>
          </c:spPr>
          <c:marker>
            <c:symbol val="none"/>
          </c:marker>
          <c:val>
            <c:numRef>
              <c:f>'IV. Direction of Rating Action'!$E$16:$R$16</c:f>
              <c:numCache>
                <c:formatCode>0%</c:formatCode>
                <c:ptCount val="14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3">
                  <c:v>0.5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1830496"/>
        <c:axId val="671834024"/>
      </c:lineChart>
      <c:lineChart>
        <c:grouping val="standard"/>
        <c:varyColors val="0"/>
        <c:ser>
          <c:idx val="0"/>
          <c:order val="1"/>
          <c:tx>
            <c:strRef>
              <c:f>'IV. Direction of Rating Action'!$C$14</c:f>
              <c:strCache>
                <c:ptCount val="1"/>
                <c:pt idx="0">
                  <c:v>Total Rating Activity</c:v>
                </c:pt>
              </c:strCache>
            </c:strRef>
          </c:tx>
          <c:spPr>
            <a:ln w="38100">
              <a:solidFill>
                <a:srgbClr val="CCCC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CCCCFF"/>
              </a:solidFill>
              <a:ln>
                <a:solidFill>
                  <a:srgbClr val="CCCCFF"/>
                </a:solidFill>
                <a:prstDash val="solid"/>
              </a:ln>
            </c:spPr>
          </c:marker>
          <c:dLbls>
            <c:dLbl>
              <c:idx val="13"/>
              <c:layout>
                <c:manualLayout>
                  <c:x val="-1.7813468481875115E-2"/>
                  <c:y val="-4.8967859555853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Franklin Gothic Book"/>
                    <a:ea typeface="Franklin Gothic Book"/>
                    <a:cs typeface="Franklin Gothic Book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'IV. Direction of Rating Action'!$E$9:$R$9</c:f>
              <c:numCache>
                <c:formatCode>General</c:formatCode>
                <c:ptCount val="14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</c:numCache>
            </c:numRef>
          </c:cat>
          <c:val>
            <c:numRef>
              <c:f>'IV. Direction of Rating Action'!$E$14:$R$14</c:f>
              <c:numCache>
                <c:formatCode>General</c:formatCode>
                <c:ptCount val="14"/>
                <c:pt idx="0">
                  <c:v>253</c:v>
                </c:pt>
                <c:pt idx="1">
                  <c:v>110</c:v>
                </c:pt>
                <c:pt idx="2">
                  <c:v>121</c:v>
                </c:pt>
                <c:pt idx="3">
                  <c:v>110</c:v>
                </c:pt>
                <c:pt idx="4">
                  <c:v>121</c:v>
                </c:pt>
                <c:pt idx="5">
                  <c:v>50</c:v>
                </c:pt>
                <c:pt idx="6">
                  <c:v>57</c:v>
                </c:pt>
                <c:pt idx="7">
                  <c:v>80</c:v>
                </c:pt>
                <c:pt idx="8">
                  <c:v>60</c:v>
                </c:pt>
                <c:pt idx="9">
                  <c:v>76</c:v>
                </c:pt>
                <c:pt idx="10">
                  <c:v>80</c:v>
                </c:pt>
                <c:pt idx="11">
                  <c:v>106</c:v>
                </c:pt>
                <c:pt idx="12">
                  <c:v>50</c:v>
                </c:pt>
                <c:pt idx="13">
                  <c:v>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1820304"/>
        <c:axId val="671822264"/>
      </c:lineChart>
      <c:catAx>
        <c:axId val="671830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en-US"/>
          </a:p>
        </c:txPr>
        <c:crossAx val="6718340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71834024"/>
        <c:scaling>
          <c:orientation val="minMax"/>
          <c:max val="1"/>
          <c:min val="0"/>
        </c:scaling>
        <c:delete val="0"/>
        <c:axPos val="l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en-US"/>
          </a:p>
        </c:txPr>
        <c:crossAx val="671830496"/>
        <c:crosses val="autoZero"/>
        <c:crossBetween val="between"/>
        <c:majorUnit val="0.25"/>
      </c:valAx>
      <c:catAx>
        <c:axId val="6718203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71822264"/>
        <c:crosses val="autoZero"/>
        <c:auto val="0"/>
        <c:lblAlgn val="ctr"/>
        <c:lblOffset val="100"/>
        <c:noMultiLvlLbl val="0"/>
      </c:catAx>
      <c:valAx>
        <c:axId val="67182226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en-US"/>
          </a:p>
        </c:txPr>
        <c:crossAx val="671820304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Franklin Gothic Book"/>
          <a:ea typeface="Franklin Gothic Book"/>
          <a:cs typeface="Franklin Gothic Book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178" r="0.75000000000000178" t="1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3">
                  <a:lumMod val="50000"/>
                </a:schemeClr>
              </a:solidFill>
            </c:spPr>
          </c:dPt>
          <c:dPt>
            <c:idx val="1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50000"/>
                </a:schemeClr>
              </a:solidFill>
            </c:spPr>
          </c:dPt>
          <c:dPt>
            <c:idx val="3"/>
            <c:bubble3D val="0"/>
            <c:spPr>
              <a:solidFill>
                <a:schemeClr val="accent5">
                  <a:lumMod val="75000"/>
                </a:schemeClr>
              </a:solidFill>
            </c:spPr>
          </c:dPt>
          <c:dPt>
            <c:idx val="4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</c:dPt>
          <c:dPt>
            <c:idx val="5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ysClr val="windowText" lastClr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5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ysClr val="windowText" lastClr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Credit_2016Q4!$J$8:$J$13</c:f>
              <c:strCache>
                <c:ptCount val="6"/>
                <c:pt idx="0">
                  <c:v>A or higher</c:v>
                </c:pt>
                <c:pt idx="1">
                  <c:v>A-</c:v>
                </c:pt>
                <c:pt idx="2">
                  <c:v>BBB+</c:v>
                </c:pt>
                <c:pt idx="3">
                  <c:v>BBB</c:v>
                </c:pt>
                <c:pt idx="4">
                  <c:v>BBB-</c:v>
                </c:pt>
                <c:pt idx="5">
                  <c:v>Below BBB-</c:v>
                </c:pt>
              </c:strCache>
            </c:strRef>
          </c:cat>
          <c:val>
            <c:numRef>
              <c:f>Credit_2016Q4!$M$8:$M$13</c:f>
              <c:numCache>
                <c:formatCode>0%</c:formatCode>
                <c:ptCount val="6"/>
                <c:pt idx="0">
                  <c:v>0.06</c:v>
                </c:pt>
                <c:pt idx="1">
                  <c:v>0.24</c:v>
                </c:pt>
                <c:pt idx="2">
                  <c:v>0.4</c:v>
                </c:pt>
                <c:pt idx="3">
                  <c:v>0.18</c:v>
                </c:pt>
                <c:pt idx="4">
                  <c:v>0.1</c:v>
                </c:pt>
                <c:pt idx="5">
                  <c:v>0.02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4.0854248593277388E-2"/>
          <c:w val="1"/>
          <c:h val="0.7859199662194755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Credit_2016Q4!$J$8</c:f>
              <c:strCache>
                <c:ptCount val="1"/>
                <c:pt idx="0">
                  <c:v>A or higher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invertIfNegative val="0"/>
          <c:dLbls>
            <c:dLbl>
              <c:idx val="0"/>
              <c:tx>
                <c:strRef>
                  <c:f>Credit_2016Q4!$J$8</c:f>
                  <c:strCache>
                    <c:ptCount val="1"/>
                    <c:pt idx="0">
                      <c:v>A or higher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{D38375F7-2413-47DB-BC94-7D3921237BD5}</c15:txfldGUID>
                      <c15:f>Credit_2016Q4!$J$8</c15:f>
                      <c15:dlblFieldTableCache>
                        <c:ptCount val="1"/>
                        <c:pt idx="0">
                          <c:v>A or higher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Credit_2016Q4!$M$8</c:f>
                  <c:strCache>
                    <c:ptCount val="1"/>
                    <c:pt idx="0">
                      <c:v>6%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{05AF0563-EAB9-4152-B908-162BCA59623A}</c15:txfldGUID>
                      <c15:f>Credit_2016Q4!$M$8</c15:f>
                      <c15:dlblFieldTableCache>
                        <c:ptCount val="1"/>
                        <c:pt idx="0">
                          <c:v>6%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Credit_2016Q4!$P$8</c:f>
                  <c:strCache>
                    <c:ptCount val="1"/>
                    <c:pt idx="0">
                      <c:v>5%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{F9EA1760-832A-4263-A431-074E76C4672A}</c15:txfldGUID>
                      <c15:f>Credit_2016Q4!$P$8</c15:f>
                      <c15:dlblFieldTableCache>
                        <c:ptCount val="1"/>
                        <c:pt idx="0">
                          <c:v>5%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Credit_2016Q4!$S$8</c:f>
                  <c:strCache>
                    <c:ptCount val="1"/>
                    <c:pt idx="0">
                      <c:v>9%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{F6A49E59-216D-4832-A148-1D4EE189251A}</c15:txfldGUID>
                      <c15:f>Credit_2016Q4!$S$8</c15:f>
                      <c15:dlblFieldTableCache>
                        <c:ptCount val="1"/>
                        <c:pt idx="0">
                          <c:v>9%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Credit_2016Q4!$V$8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{4ADF91B0-4706-4C40-8317-1E709666D4B5}</c15:txfldGUID>
                      <c15:f>Credit_2016Q4!$V$8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(Credit_2016Q4!$J$5,Credit_2016Q4!$L$5,Credit_2016Q4!$O$5,Credit_2016Q4!$R$5,Credit_2016Q4!$U$5)</c:f>
              <c:strCache>
                <c:ptCount val="5"/>
                <c:pt idx="0">
                  <c:v>Rating</c:v>
                </c:pt>
                <c:pt idx="1">
                  <c:v>All Companies
(50)</c:v>
                </c:pt>
                <c:pt idx="2">
                  <c:v>Regulated
(37)</c:v>
                </c:pt>
                <c:pt idx="3">
                  <c:v>Mostly Regulated
(11)</c:v>
                </c:pt>
                <c:pt idx="4">
                  <c:v>Diversified
(2)</c:v>
                </c:pt>
              </c:strCache>
            </c:strRef>
          </c:cat>
          <c:val>
            <c:numRef>
              <c:f>(Credit_2016Q4!$Z$8,Credit_2016Q4!$L$8,Credit_2016Q4!$O$8,Credit_2016Q4!$R$8,Credit_2016Q4!$U$8)</c:f>
              <c:numCache>
                <c:formatCode>General</c:formatCode>
                <c:ptCount val="5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Credit_2016Q4!$J$9</c:f>
              <c:strCache>
                <c:ptCount val="1"/>
                <c:pt idx="0">
                  <c:v>A-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tx>
                <c:strRef>
                  <c:f>Credit_2016Q4!$J$9</c:f>
                  <c:strCache>
                    <c:ptCount val="1"/>
                    <c:pt idx="0">
                      <c:v>A-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{A03BC0A2-A34A-4089-9CFD-8FFA6DBFC03B}</c15:txfldGUID>
                      <c15:f>Credit_2016Q4!$J$9</c15:f>
                      <c15:dlblFieldTableCache>
                        <c:ptCount val="1"/>
                        <c:pt idx="0">
                          <c:v>A-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Credit_2016Q4!$M$9</c:f>
                  <c:strCache>
                    <c:ptCount val="1"/>
                    <c:pt idx="0">
                      <c:v>24%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{9085DAF9-B60E-49E1-9262-E7A20ADFCB70}</c15:txfldGUID>
                      <c15:f>Credit_2016Q4!$M$9</c15:f>
                      <c15:dlblFieldTableCache>
                        <c:ptCount val="1"/>
                        <c:pt idx="0">
                          <c:v>24%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Credit_2016Q4!$P$9</c:f>
                  <c:strCache>
                    <c:ptCount val="1"/>
                    <c:pt idx="0">
                      <c:v>27%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{8BAE2443-5610-4B4F-8B06-6754C771BC6A}</c15:txfldGUID>
                      <c15:f>Credit_2016Q4!$P$9</c15:f>
                      <c15:dlblFieldTableCache>
                        <c:ptCount val="1"/>
                        <c:pt idx="0">
                          <c:v>27%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Credit_2016Q4!$S$9</c:f>
                  <c:strCache>
                    <c:ptCount val="1"/>
                    <c:pt idx="0">
                      <c:v>18%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{D4D12DC8-5473-44EB-A163-EA6A2E010101}</c15:txfldGUID>
                      <c15:f>Credit_2016Q4!$S$9</c15:f>
                      <c15:dlblFieldTableCache>
                        <c:ptCount val="1"/>
                        <c:pt idx="0">
                          <c:v>18%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Credit_2016Q4!$V$9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{1CF8377D-6D97-481F-B90F-C5DD89BA151A}</c15:txfldGUID>
                      <c15:f>Credit_2016Q4!$V$9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(Credit_2016Q4!$J$5,Credit_2016Q4!$L$5,Credit_2016Q4!$O$5,Credit_2016Q4!$R$5,Credit_2016Q4!$U$5)</c:f>
              <c:strCache>
                <c:ptCount val="5"/>
                <c:pt idx="0">
                  <c:v>Rating</c:v>
                </c:pt>
                <c:pt idx="1">
                  <c:v>All Companies
(50)</c:v>
                </c:pt>
                <c:pt idx="2">
                  <c:v>Regulated
(37)</c:v>
                </c:pt>
                <c:pt idx="3">
                  <c:v>Mostly Regulated
(11)</c:v>
                </c:pt>
                <c:pt idx="4">
                  <c:v>Diversified
(2)</c:v>
                </c:pt>
              </c:strCache>
            </c:strRef>
          </c:cat>
          <c:val>
            <c:numRef>
              <c:f>(Credit_2016Q4!$Z$9,Credit_2016Q4!$L$9,Credit_2016Q4!$O$9,Credit_2016Q4!$R$9,Credit_2016Q4!$U$9)</c:f>
              <c:numCache>
                <c:formatCode>General</c:formatCode>
                <c:ptCount val="5"/>
                <c:pt idx="0">
                  <c:v>1</c:v>
                </c:pt>
                <c:pt idx="1">
                  <c:v>12</c:v>
                </c:pt>
                <c:pt idx="2">
                  <c:v>10</c:v>
                </c:pt>
                <c:pt idx="3">
                  <c:v>2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Credit_2016Q4!$J$10</c:f>
              <c:strCache>
                <c:ptCount val="1"/>
                <c:pt idx="0">
                  <c:v>BBB+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invertIfNegative val="0"/>
          <c:dLbls>
            <c:dLbl>
              <c:idx val="0"/>
              <c:tx>
                <c:strRef>
                  <c:f>Credit_2016Q4!$J$10</c:f>
                  <c:strCache>
                    <c:ptCount val="1"/>
                    <c:pt idx="0">
                      <c:v>BBB+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{B31B485F-9D07-4CD8-AD67-E18E532F5E4C}</c15:txfldGUID>
                      <c15:f>Credit_2016Q4!$J$10</c15:f>
                      <c15:dlblFieldTableCache>
                        <c:ptCount val="1"/>
                        <c:pt idx="0">
                          <c:v>BBB+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Credit_2016Q4!$M$10</c:f>
                  <c:strCache>
                    <c:ptCount val="1"/>
                    <c:pt idx="0">
                      <c:v>40%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{ED7BE17D-D649-44C2-A44D-64522D6C019B}</c15:txfldGUID>
                      <c15:f>Credit_2016Q4!$M$10</c15:f>
                      <c15:dlblFieldTableCache>
                        <c:ptCount val="1"/>
                        <c:pt idx="0">
                          <c:v>40%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Credit_2016Q4!$P$10</c:f>
                  <c:strCache>
                    <c:ptCount val="1"/>
                    <c:pt idx="0">
                      <c:v>35%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{721CEE1B-03DA-4AFF-B1AD-479E479EF989}</c15:txfldGUID>
                      <c15:f>Credit_2016Q4!$P$10</c15:f>
                      <c15:dlblFieldTableCache>
                        <c:ptCount val="1"/>
                        <c:pt idx="0">
                          <c:v>35%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Credit_2016Q4!$S$10</c:f>
                  <c:strCache>
                    <c:ptCount val="1"/>
                    <c:pt idx="0">
                      <c:v>64%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{04B4C4CC-9779-4911-98D9-0921D23D46CE}</c15:txfldGUID>
                      <c15:f>Credit_2016Q4!$S$10</c15:f>
                      <c15:dlblFieldTableCache>
                        <c:ptCount val="1"/>
                        <c:pt idx="0">
                          <c:v>64%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Credit_2016Q4!$V$10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{4C9BC70F-8304-4A88-A194-4F0CDC8AEDEA}</c15:txfldGUID>
                      <c15:f>Credit_2016Q4!$V$10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(Credit_2016Q4!$J$5,Credit_2016Q4!$L$5,Credit_2016Q4!$O$5,Credit_2016Q4!$R$5,Credit_2016Q4!$U$5)</c:f>
              <c:strCache>
                <c:ptCount val="5"/>
                <c:pt idx="0">
                  <c:v>Rating</c:v>
                </c:pt>
                <c:pt idx="1">
                  <c:v>All Companies
(50)</c:v>
                </c:pt>
                <c:pt idx="2">
                  <c:v>Regulated
(37)</c:v>
                </c:pt>
                <c:pt idx="3">
                  <c:v>Mostly Regulated
(11)</c:v>
                </c:pt>
                <c:pt idx="4">
                  <c:v>Diversified
(2)</c:v>
                </c:pt>
              </c:strCache>
            </c:strRef>
          </c:cat>
          <c:val>
            <c:numRef>
              <c:f>(Credit_2016Q4!$Z$10,Credit_2016Q4!$L$10,Credit_2016Q4!$O$10,Credit_2016Q4!$R$10,Credit_2016Q4!$U$10)</c:f>
              <c:numCache>
                <c:formatCode>General</c:formatCode>
                <c:ptCount val="5"/>
                <c:pt idx="0">
                  <c:v>1</c:v>
                </c:pt>
                <c:pt idx="1">
                  <c:v>20</c:v>
                </c:pt>
                <c:pt idx="2">
                  <c:v>13</c:v>
                </c:pt>
                <c:pt idx="3">
                  <c:v>7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Credit_2016Q4!$J$11</c:f>
              <c:strCache>
                <c:ptCount val="1"/>
                <c:pt idx="0">
                  <c:v>BBB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dLbl>
              <c:idx val="0"/>
              <c:tx>
                <c:strRef>
                  <c:f>Credit_2016Q4!$J$11</c:f>
                  <c:strCache>
                    <c:ptCount val="1"/>
                    <c:pt idx="0">
                      <c:v>BBB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{FEE98550-3B0F-4B50-9764-A820BA2A77FB}</c15:txfldGUID>
                      <c15:f>Credit_2016Q4!$J$11</c15:f>
                      <c15:dlblFieldTableCache>
                        <c:ptCount val="1"/>
                        <c:pt idx="0">
                          <c:v>BBB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Credit_2016Q4!$M$11</c:f>
                  <c:strCache>
                    <c:ptCount val="1"/>
                    <c:pt idx="0">
                      <c:v>18%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{868EA27F-B9B8-4B30-B1C3-499FB0FC1D35}</c15:txfldGUID>
                      <c15:f>Credit_2016Q4!$M$11</c15:f>
                      <c15:dlblFieldTableCache>
                        <c:ptCount val="1"/>
                        <c:pt idx="0">
                          <c:v>18%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Credit_2016Q4!$P$11</c:f>
                  <c:strCache>
                    <c:ptCount val="1"/>
                    <c:pt idx="0">
                      <c:v>22%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{37979679-D53A-4575-99A2-A9B30A807C58}</c15:txfldGUID>
                      <c15:f>Credit_2016Q4!$P$11</c15:f>
                      <c15:dlblFieldTableCache>
                        <c:ptCount val="1"/>
                        <c:pt idx="0">
                          <c:v>22%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Credit_2016Q4!$S$11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{3F51CFDF-92BF-4DFE-9DC5-08760042DC4C}</c15:txfldGUID>
                      <c15:f>Credit_2016Q4!$S$11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Credit_2016Q4!$V$11</c:f>
                  <c:strCache>
                    <c:ptCount val="1"/>
                    <c:pt idx="0">
                      <c:v>50%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{B2518C1D-AEB5-4375-939E-3846B6CC1494}</c15:txfldGUID>
                      <c15:f>Credit_2016Q4!$V$11</c15:f>
                      <c15:dlblFieldTableCache>
                        <c:ptCount val="1"/>
                        <c:pt idx="0">
                          <c:v>50%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(Credit_2016Q4!$J$5,Credit_2016Q4!$L$5,Credit_2016Q4!$O$5,Credit_2016Q4!$R$5,Credit_2016Q4!$U$5)</c:f>
              <c:strCache>
                <c:ptCount val="5"/>
                <c:pt idx="0">
                  <c:v>Rating</c:v>
                </c:pt>
                <c:pt idx="1">
                  <c:v>All Companies
(50)</c:v>
                </c:pt>
                <c:pt idx="2">
                  <c:v>Regulated
(37)</c:v>
                </c:pt>
                <c:pt idx="3">
                  <c:v>Mostly Regulated
(11)</c:v>
                </c:pt>
                <c:pt idx="4">
                  <c:v>Diversified
(2)</c:v>
                </c:pt>
              </c:strCache>
            </c:strRef>
          </c:cat>
          <c:val>
            <c:numRef>
              <c:f>(Credit_2016Q4!$Z$11,Credit_2016Q4!$L$11,Credit_2016Q4!$O$11,Credit_2016Q4!$R$11,Credit_2016Q4!$U$11)</c:f>
              <c:numCache>
                <c:formatCode>General</c:formatCode>
                <c:ptCount val="5"/>
                <c:pt idx="0">
                  <c:v>1</c:v>
                </c:pt>
                <c:pt idx="1">
                  <c:v>9</c:v>
                </c:pt>
                <c:pt idx="2">
                  <c:v>8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</c:ser>
        <c:ser>
          <c:idx val="4"/>
          <c:order val="4"/>
          <c:tx>
            <c:strRef>
              <c:f>Credit_2016Q4!$J$12</c:f>
              <c:strCache>
                <c:ptCount val="1"/>
                <c:pt idx="0">
                  <c:v>BBB-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dLbls>
            <c:dLbl>
              <c:idx val="0"/>
              <c:tx>
                <c:strRef>
                  <c:f>Credit_2016Q4!$J$12</c:f>
                  <c:strCache>
                    <c:ptCount val="1"/>
                    <c:pt idx="0">
                      <c:v>BBB-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{EFA28D2C-B21E-43D5-8BF0-83DA675BD98B}</c15:txfldGUID>
                      <c15:f>Credit_2016Q4!$J$12</c15:f>
                      <c15:dlblFieldTableCache>
                        <c:ptCount val="1"/>
                        <c:pt idx="0">
                          <c:v>BBB-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Credit_2016Q4!$M$12</c:f>
                  <c:strCache>
                    <c:ptCount val="1"/>
                    <c:pt idx="0">
                      <c:v>10%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{BCBF6A0B-511B-4632-9683-D730314E7D24}</c15:txfldGUID>
                      <c15:f>Credit_2016Q4!$M$12</c15:f>
                      <c15:dlblFieldTableCache>
                        <c:ptCount val="1"/>
                        <c:pt idx="0">
                          <c:v>10%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Credit_2016Q4!$P$12</c:f>
                  <c:strCache>
                    <c:ptCount val="1"/>
                    <c:pt idx="0">
                      <c:v>8%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{A1C8F731-101D-45EF-8E23-909C96B2E336}</c15:txfldGUID>
                      <c15:f>Credit_2016Q4!$P$12</c15:f>
                      <c15:dlblFieldTableCache>
                        <c:ptCount val="1"/>
                        <c:pt idx="0">
                          <c:v>8%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Credit_2016Q4!$S$12</c:f>
                  <c:strCache>
                    <c:ptCount val="1"/>
                    <c:pt idx="0">
                      <c:v>9%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{3EA0940E-6B48-4E93-9502-079959765DB8}</c15:txfldGUID>
                      <c15:f>Credit_2016Q4!$S$12</c15:f>
                      <c15:dlblFieldTableCache>
                        <c:ptCount val="1"/>
                        <c:pt idx="0">
                          <c:v>9%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Credit_2016Q4!$V$12</c:f>
                  <c:strCache>
                    <c:ptCount val="1"/>
                    <c:pt idx="0">
                      <c:v>50%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{FBEAED15-ACA8-4F0C-9FED-674817333057}</c15:txfldGUID>
                      <c15:f>Credit_2016Q4!$V$12</c15:f>
                      <c15:dlblFieldTableCache>
                        <c:ptCount val="1"/>
                        <c:pt idx="0">
                          <c:v>50%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(Credit_2016Q4!$J$5,Credit_2016Q4!$L$5,Credit_2016Q4!$O$5,Credit_2016Q4!$R$5,Credit_2016Q4!$U$5)</c:f>
              <c:strCache>
                <c:ptCount val="5"/>
                <c:pt idx="0">
                  <c:v>Rating</c:v>
                </c:pt>
                <c:pt idx="1">
                  <c:v>All Companies
(50)</c:v>
                </c:pt>
                <c:pt idx="2">
                  <c:v>Regulated
(37)</c:v>
                </c:pt>
                <c:pt idx="3">
                  <c:v>Mostly Regulated
(11)</c:v>
                </c:pt>
                <c:pt idx="4">
                  <c:v>Diversified
(2)</c:v>
                </c:pt>
              </c:strCache>
            </c:strRef>
          </c:cat>
          <c:val>
            <c:numRef>
              <c:f>(Credit_2016Q4!$Z$12,Credit_2016Q4!$L$12,Credit_2016Q4!$O$12,Credit_2016Q4!$R$12,Credit_2016Q4!$U$12)</c:f>
              <c:numCache>
                <c:formatCode>General</c:formatCode>
                <c:ptCount val="5"/>
                <c:pt idx="0">
                  <c:v>1</c:v>
                </c:pt>
                <c:pt idx="1">
                  <c:v>5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</c:ser>
        <c:ser>
          <c:idx val="5"/>
          <c:order val="5"/>
          <c:tx>
            <c:strRef>
              <c:f>Credit_2016Q4!$J$13</c:f>
              <c:strCache>
                <c:ptCount val="1"/>
                <c:pt idx="0">
                  <c:v>Below BBB-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invertIfNegative val="0"/>
          <c:dLbls>
            <c:dLbl>
              <c:idx val="0"/>
              <c:tx>
                <c:strRef>
                  <c:f>Credit_2016Q4!$J$13</c:f>
                  <c:strCache>
                    <c:ptCount val="1"/>
                    <c:pt idx="0">
                      <c:v>Below BBB-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{000EFD10-B5CD-43D4-BA38-D0432E8AA061}</c15:txfldGUID>
                      <c15:f>Credit_2016Q4!$J$13</c15:f>
                      <c15:dlblFieldTableCache>
                        <c:ptCount val="1"/>
                        <c:pt idx="0">
                          <c:v>Below BBB-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Credit_2016Q4!$M$13</c:f>
                  <c:strCache>
                    <c:ptCount val="1"/>
                    <c:pt idx="0">
                      <c:v>2%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{198BD66F-9918-4B71-9739-2C9F2400E084}</c15:txfldGUID>
                      <c15:f>Credit_2016Q4!$M$13</c15:f>
                      <c15:dlblFieldTableCache>
                        <c:ptCount val="1"/>
                        <c:pt idx="0">
                          <c:v>2%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Credit_2016Q4!$P$13</c:f>
                  <c:strCache>
                    <c:ptCount val="1"/>
                    <c:pt idx="0">
                      <c:v>3%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{AAE7FC03-D37E-4366-AE7B-A56AF12DC444}</c15:txfldGUID>
                      <c15:f>Credit_2016Q4!$P$13</c15:f>
                      <c15:dlblFieldTableCache>
                        <c:ptCount val="1"/>
                        <c:pt idx="0">
                          <c:v>3%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Credit_2016Q4!$S$13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{CAD2EAE4-BDE0-45FD-9E45-40516856EC67}</c15:txfldGUID>
                      <c15:f>Credit_2016Q4!$S$13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Credit_2016Q4!$V$13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{D3ED9718-2910-4D97-80E1-2B788F8EE21B}</c15:txfldGUID>
                      <c15:f>Credit_2016Q4!$V$13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(Credit_2016Q4!$J$5,Credit_2016Q4!$L$5,Credit_2016Q4!$O$5,Credit_2016Q4!$R$5,Credit_2016Q4!$U$5)</c:f>
              <c:strCache>
                <c:ptCount val="5"/>
                <c:pt idx="0">
                  <c:v>Rating</c:v>
                </c:pt>
                <c:pt idx="1">
                  <c:v>All Companies
(50)</c:v>
                </c:pt>
                <c:pt idx="2">
                  <c:v>Regulated
(37)</c:v>
                </c:pt>
                <c:pt idx="3">
                  <c:v>Mostly Regulated
(11)</c:v>
                </c:pt>
                <c:pt idx="4">
                  <c:v>Diversified
(2)</c:v>
                </c:pt>
              </c:strCache>
            </c:strRef>
          </c:cat>
          <c:val>
            <c:numRef>
              <c:f>(Credit_2016Q4!$Z$13,Credit_2016Q4!$L$13,Credit_2016Q4!$O$13,Credit_2016Q4!$R$13,Credit_2016Q4!$U$13)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671825792"/>
        <c:axId val="671831280"/>
      </c:barChart>
      <c:catAx>
        <c:axId val="6718257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high"/>
        <c:txPr>
          <a:bodyPr/>
          <a:lstStyle/>
          <a:p>
            <a:pPr>
              <a:defRPr sz="1300">
                <a:solidFill>
                  <a:sysClr val="windowText" lastClr="000000"/>
                </a:solidFill>
              </a:defRPr>
            </a:pPr>
            <a:endParaRPr lang="en-US"/>
          </a:p>
        </c:txPr>
        <c:crossAx val="671831280"/>
        <c:crosses val="max"/>
        <c:auto val="1"/>
        <c:lblAlgn val="ctr"/>
        <c:lblOffset val="100"/>
        <c:noMultiLvlLbl val="0"/>
      </c:catAx>
      <c:valAx>
        <c:axId val="671831280"/>
        <c:scaling>
          <c:orientation val="maxMin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0%" sourceLinked="1"/>
        <c:majorTickMark val="none"/>
        <c:minorTickMark val="none"/>
        <c:tickLblPos val="none"/>
        <c:spPr>
          <a:ln>
            <a:noFill/>
          </a:ln>
        </c:spPr>
        <c:crossAx val="67182579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1">
          <a:solidFill>
            <a:schemeClr val="bg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3">
                  <a:lumMod val="50000"/>
                </a:schemeClr>
              </a:solidFill>
            </c:spPr>
          </c:dPt>
          <c:dPt>
            <c:idx val="1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50000"/>
                </a:schemeClr>
              </a:solidFill>
            </c:spPr>
          </c:dPt>
          <c:dPt>
            <c:idx val="3"/>
            <c:bubble3D val="0"/>
            <c:spPr>
              <a:solidFill>
                <a:schemeClr val="accent5">
                  <a:lumMod val="75000"/>
                </a:schemeClr>
              </a:solidFill>
            </c:spPr>
          </c:dPt>
          <c:dPt>
            <c:idx val="4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</c:dPt>
          <c:dPt>
            <c:idx val="5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ysClr val="windowText" lastClr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5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ysClr val="windowText" lastClr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Credit_2016Q3!$J$8:$J$13</c:f>
              <c:strCache>
                <c:ptCount val="6"/>
                <c:pt idx="0">
                  <c:v>A or higher</c:v>
                </c:pt>
                <c:pt idx="1">
                  <c:v>A-</c:v>
                </c:pt>
                <c:pt idx="2">
                  <c:v>BBB+</c:v>
                </c:pt>
                <c:pt idx="3">
                  <c:v>BBB</c:v>
                </c:pt>
                <c:pt idx="4">
                  <c:v>BBB-</c:v>
                </c:pt>
                <c:pt idx="5">
                  <c:v>Below BBB-</c:v>
                </c:pt>
              </c:strCache>
            </c:strRef>
          </c:cat>
          <c:val>
            <c:numRef>
              <c:f>Credit_2016Q3!$M$8:$M$13</c:f>
              <c:numCache>
                <c:formatCode>0%</c:formatCode>
                <c:ptCount val="6"/>
                <c:pt idx="0">
                  <c:v>0.06</c:v>
                </c:pt>
                <c:pt idx="1">
                  <c:v>0.24</c:v>
                </c:pt>
                <c:pt idx="2">
                  <c:v>0.4</c:v>
                </c:pt>
                <c:pt idx="3">
                  <c:v>0.18</c:v>
                </c:pt>
                <c:pt idx="4">
                  <c:v>0.1</c:v>
                </c:pt>
                <c:pt idx="5">
                  <c:v>0.02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4.0854248593277388E-2"/>
          <c:w val="1"/>
          <c:h val="0.7859199662194755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Credit_2016Q3!$J$8</c:f>
              <c:strCache>
                <c:ptCount val="1"/>
                <c:pt idx="0">
                  <c:v>A or higher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invertIfNegative val="0"/>
          <c:dLbls>
            <c:dLbl>
              <c:idx val="0"/>
              <c:tx>
                <c:strRef>
                  <c:f>Credit_2016Q3!$J$8</c:f>
                  <c:strCache>
                    <c:ptCount val="1"/>
                    <c:pt idx="0">
                      <c:v>A or higher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{5E418503-FC46-4929-B1BA-A0A6C9A25BA3}</c15:txfldGUID>
                      <c15:f>Credit_2016Q3!$J$8</c15:f>
                      <c15:dlblFieldTableCache>
                        <c:ptCount val="1"/>
                        <c:pt idx="0">
                          <c:v>A or higher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Credit_2016Q3!$M$8</c:f>
                  <c:strCache>
                    <c:ptCount val="1"/>
                    <c:pt idx="0">
                      <c:v>6%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{D69B9E39-AAF3-40DA-B334-B67A3A140285}</c15:txfldGUID>
                      <c15:f>Credit_2016Q3!$M$8</c15:f>
                      <c15:dlblFieldTableCache>
                        <c:ptCount val="1"/>
                        <c:pt idx="0">
                          <c:v>6%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Credit_2016Q3!$P$8</c:f>
                  <c:strCache>
                    <c:ptCount val="1"/>
                    <c:pt idx="0">
                      <c:v>5%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{15A6B8D6-43C4-43C3-AE4E-E955661FAA73}</c15:txfldGUID>
                      <c15:f>Credit_2016Q3!$P$8</c15:f>
                      <c15:dlblFieldTableCache>
                        <c:ptCount val="1"/>
                        <c:pt idx="0">
                          <c:v>5%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Credit_2016Q3!$S$8</c:f>
                  <c:strCache>
                    <c:ptCount val="1"/>
                    <c:pt idx="0">
                      <c:v>9%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{CF5E989E-5935-43AA-8C4D-E7865DAC7D01}</c15:txfldGUID>
                      <c15:f>Credit_2016Q3!$S$8</c15:f>
                      <c15:dlblFieldTableCache>
                        <c:ptCount val="1"/>
                        <c:pt idx="0">
                          <c:v>9%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Credit_2016Q3!$V$8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{06E1D235-087E-444E-A7C4-075DCB2DB554}</c15:txfldGUID>
                      <c15:f>Credit_2016Q3!$V$8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(Credit_2016Q3!$J$5,Credit_2016Q3!$L$5,Credit_2016Q3!$O$5,Credit_2016Q3!$R$5,Credit_2016Q3!$U$5)</c:f>
              <c:strCache>
                <c:ptCount val="5"/>
                <c:pt idx="0">
                  <c:v>Rating</c:v>
                </c:pt>
                <c:pt idx="1">
                  <c:v>All Companies
(50)</c:v>
                </c:pt>
                <c:pt idx="2">
                  <c:v>Regulated
(37)</c:v>
                </c:pt>
                <c:pt idx="3">
                  <c:v>Mostly Regulated
(11)</c:v>
                </c:pt>
                <c:pt idx="4">
                  <c:v>Diversified
(2)</c:v>
                </c:pt>
              </c:strCache>
            </c:strRef>
          </c:cat>
          <c:val>
            <c:numRef>
              <c:f>(Credit_2016Q3!$Z$8,Credit_2016Q3!$L$8,Credit_2016Q3!$O$8,Credit_2016Q3!$R$8,Credit_2016Q3!$U$8)</c:f>
              <c:numCache>
                <c:formatCode>General</c:formatCode>
                <c:ptCount val="5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Credit_2016Q3!$J$9</c:f>
              <c:strCache>
                <c:ptCount val="1"/>
                <c:pt idx="0">
                  <c:v>A-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tx>
                <c:strRef>
                  <c:f>Credit_2016Q3!$J$9</c:f>
                  <c:strCache>
                    <c:ptCount val="1"/>
                    <c:pt idx="0">
                      <c:v>A-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{CEE109FB-9441-4CFB-A386-13F9DD6C620B}</c15:txfldGUID>
                      <c15:f>Credit_2016Q3!$J$9</c15:f>
                      <c15:dlblFieldTableCache>
                        <c:ptCount val="1"/>
                        <c:pt idx="0">
                          <c:v>A-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Credit_2016Q3!$M$9</c:f>
                  <c:strCache>
                    <c:ptCount val="1"/>
                    <c:pt idx="0">
                      <c:v>24%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{BFEA1D48-2D4E-4F6B-B7C6-DBC7F674C989}</c15:txfldGUID>
                      <c15:f>Credit_2016Q3!$M$9</c15:f>
                      <c15:dlblFieldTableCache>
                        <c:ptCount val="1"/>
                        <c:pt idx="0">
                          <c:v>24%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Credit_2016Q3!$P$9</c:f>
                  <c:strCache>
                    <c:ptCount val="1"/>
                    <c:pt idx="0">
                      <c:v>27%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{D9828E87-1C33-4A06-8672-E67400047674}</c15:txfldGUID>
                      <c15:f>Credit_2016Q3!$P$9</c15:f>
                      <c15:dlblFieldTableCache>
                        <c:ptCount val="1"/>
                        <c:pt idx="0">
                          <c:v>27%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Credit_2016Q3!$S$9</c:f>
                  <c:strCache>
                    <c:ptCount val="1"/>
                    <c:pt idx="0">
                      <c:v>18%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{C8AAD0D6-FAFD-4C87-8DF2-7CA762C77586}</c15:txfldGUID>
                      <c15:f>Credit_2016Q3!$S$9</c15:f>
                      <c15:dlblFieldTableCache>
                        <c:ptCount val="1"/>
                        <c:pt idx="0">
                          <c:v>18%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Credit_2016Q3!$V$9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{9325DE4A-6572-4106-8E35-5401D1134BD6}</c15:txfldGUID>
                      <c15:f>Credit_2016Q3!$V$9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(Credit_2016Q3!$J$5,Credit_2016Q3!$L$5,Credit_2016Q3!$O$5,Credit_2016Q3!$R$5,Credit_2016Q3!$U$5)</c:f>
              <c:strCache>
                <c:ptCount val="5"/>
                <c:pt idx="0">
                  <c:v>Rating</c:v>
                </c:pt>
                <c:pt idx="1">
                  <c:v>All Companies
(50)</c:v>
                </c:pt>
                <c:pt idx="2">
                  <c:v>Regulated
(37)</c:v>
                </c:pt>
                <c:pt idx="3">
                  <c:v>Mostly Regulated
(11)</c:v>
                </c:pt>
                <c:pt idx="4">
                  <c:v>Diversified
(2)</c:v>
                </c:pt>
              </c:strCache>
            </c:strRef>
          </c:cat>
          <c:val>
            <c:numRef>
              <c:f>(Credit_2016Q3!$Z$9,Credit_2016Q3!$L$9,Credit_2016Q3!$O$9,Credit_2016Q3!$R$9,Credit_2016Q3!$U$9)</c:f>
              <c:numCache>
                <c:formatCode>General</c:formatCode>
                <c:ptCount val="5"/>
                <c:pt idx="0">
                  <c:v>1</c:v>
                </c:pt>
                <c:pt idx="1">
                  <c:v>12</c:v>
                </c:pt>
                <c:pt idx="2">
                  <c:v>10</c:v>
                </c:pt>
                <c:pt idx="3">
                  <c:v>2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Credit_2016Q3!$J$10</c:f>
              <c:strCache>
                <c:ptCount val="1"/>
                <c:pt idx="0">
                  <c:v>BBB+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invertIfNegative val="0"/>
          <c:dLbls>
            <c:dLbl>
              <c:idx val="0"/>
              <c:tx>
                <c:strRef>
                  <c:f>Credit_2016Q3!$J$10</c:f>
                  <c:strCache>
                    <c:ptCount val="1"/>
                    <c:pt idx="0">
                      <c:v>BBB+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{9E4D3419-D68B-4E80-9CB3-00650AB33350}</c15:txfldGUID>
                      <c15:f>Credit_2016Q3!$J$10</c15:f>
                      <c15:dlblFieldTableCache>
                        <c:ptCount val="1"/>
                        <c:pt idx="0">
                          <c:v>BBB+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Credit_2016Q3!$M$10</c:f>
                  <c:strCache>
                    <c:ptCount val="1"/>
                    <c:pt idx="0">
                      <c:v>40%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{4CE06026-7790-4321-ACB7-4BFBC6E43C89}</c15:txfldGUID>
                      <c15:f>Credit_2016Q3!$M$10</c15:f>
                      <c15:dlblFieldTableCache>
                        <c:ptCount val="1"/>
                        <c:pt idx="0">
                          <c:v>40%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Credit_2016Q3!$P$10</c:f>
                  <c:strCache>
                    <c:ptCount val="1"/>
                    <c:pt idx="0">
                      <c:v>35%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{710A560C-D91E-45A4-97DB-ADF29A6BDF25}</c15:txfldGUID>
                      <c15:f>Credit_2016Q3!$P$10</c15:f>
                      <c15:dlblFieldTableCache>
                        <c:ptCount val="1"/>
                        <c:pt idx="0">
                          <c:v>35%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Credit_2016Q3!$S$10</c:f>
                  <c:strCache>
                    <c:ptCount val="1"/>
                    <c:pt idx="0">
                      <c:v>64%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{66CC433D-0747-4086-BA23-AB04DC64F151}</c15:txfldGUID>
                      <c15:f>Credit_2016Q3!$S$10</c15:f>
                      <c15:dlblFieldTableCache>
                        <c:ptCount val="1"/>
                        <c:pt idx="0">
                          <c:v>64%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Credit_2016Q3!$V$10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{C816F5A7-7B38-42C4-AD0E-A2361C72009B}</c15:txfldGUID>
                      <c15:f>Credit_2016Q3!$V$10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(Credit_2016Q3!$J$5,Credit_2016Q3!$L$5,Credit_2016Q3!$O$5,Credit_2016Q3!$R$5,Credit_2016Q3!$U$5)</c:f>
              <c:strCache>
                <c:ptCount val="5"/>
                <c:pt idx="0">
                  <c:v>Rating</c:v>
                </c:pt>
                <c:pt idx="1">
                  <c:v>All Companies
(50)</c:v>
                </c:pt>
                <c:pt idx="2">
                  <c:v>Regulated
(37)</c:v>
                </c:pt>
                <c:pt idx="3">
                  <c:v>Mostly Regulated
(11)</c:v>
                </c:pt>
                <c:pt idx="4">
                  <c:v>Diversified
(2)</c:v>
                </c:pt>
              </c:strCache>
            </c:strRef>
          </c:cat>
          <c:val>
            <c:numRef>
              <c:f>(Credit_2016Q3!$Z$10,Credit_2016Q3!$L$10,Credit_2016Q3!$O$10,Credit_2016Q3!$R$10,Credit_2016Q3!$U$10)</c:f>
              <c:numCache>
                <c:formatCode>General</c:formatCode>
                <c:ptCount val="5"/>
                <c:pt idx="0">
                  <c:v>1</c:v>
                </c:pt>
                <c:pt idx="1">
                  <c:v>20</c:v>
                </c:pt>
                <c:pt idx="2">
                  <c:v>13</c:v>
                </c:pt>
                <c:pt idx="3">
                  <c:v>7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Credit_2016Q3!$J$11</c:f>
              <c:strCache>
                <c:ptCount val="1"/>
                <c:pt idx="0">
                  <c:v>BBB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dLbl>
              <c:idx val="0"/>
              <c:tx>
                <c:strRef>
                  <c:f>Credit_2016Q3!$J$11</c:f>
                  <c:strCache>
                    <c:ptCount val="1"/>
                    <c:pt idx="0">
                      <c:v>BBB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{F7737342-2FD0-49A1-B6A5-FFF4238BA0D6}</c15:txfldGUID>
                      <c15:f>Credit_2016Q3!$J$11</c15:f>
                      <c15:dlblFieldTableCache>
                        <c:ptCount val="1"/>
                        <c:pt idx="0">
                          <c:v>BBB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Credit_2016Q3!$M$11</c:f>
                  <c:strCache>
                    <c:ptCount val="1"/>
                    <c:pt idx="0">
                      <c:v>18%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{DE15BAA5-CA70-4B44-96A0-5D1257F020D6}</c15:txfldGUID>
                      <c15:f>Credit_2016Q3!$M$11</c15:f>
                      <c15:dlblFieldTableCache>
                        <c:ptCount val="1"/>
                        <c:pt idx="0">
                          <c:v>18%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Credit_2016Q3!$P$11</c:f>
                  <c:strCache>
                    <c:ptCount val="1"/>
                    <c:pt idx="0">
                      <c:v>22%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{4592ED1D-7950-47DA-9369-96326558F159}</c15:txfldGUID>
                      <c15:f>Credit_2016Q3!$P$11</c15:f>
                      <c15:dlblFieldTableCache>
                        <c:ptCount val="1"/>
                        <c:pt idx="0">
                          <c:v>22%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Credit_2016Q3!$S$11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{30228E08-5AC7-481E-A499-81DAC2FFAF3F}</c15:txfldGUID>
                      <c15:f>Credit_2016Q3!$S$11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Credit_2016Q3!$V$11</c:f>
                  <c:strCache>
                    <c:ptCount val="1"/>
                    <c:pt idx="0">
                      <c:v>50%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{72B4B897-84F0-4EA2-84D9-C847E37F25FA}</c15:txfldGUID>
                      <c15:f>Credit_2016Q3!$V$11</c15:f>
                      <c15:dlblFieldTableCache>
                        <c:ptCount val="1"/>
                        <c:pt idx="0">
                          <c:v>50%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(Credit_2016Q3!$J$5,Credit_2016Q3!$L$5,Credit_2016Q3!$O$5,Credit_2016Q3!$R$5,Credit_2016Q3!$U$5)</c:f>
              <c:strCache>
                <c:ptCount val="5"/>
                <c:pt idx="0">
                  <c:v>Rating</c:v>
                </c:pt>
                <c:pt idx="1">
                  <c:v>All Companies
(50)</c:v>
                </c:pt>
                <c:pt idx="2">
                  <c:v>Regulated
(37)</c:v>
                </c:pt>
                <c:pt idx="3">
                  <c:v>Mostly Regulated
(11)</c:v>
                </c:pt>
                <c:pt idx="4">
                  <c:v>Diversified
(2)</c:v>
                </c:pt>
              </c:strCache>
            </c:strRef>
          </c:cat>
          <c:val>
            <c:numRef>
              <c:f>(Credit_2016Q3!$Z$11,Credit_2016Q3!$L$11,Credit_2016Q3!$O$11,Credit_2016Q3!$R$11,Credit_2016Q3!$U$11)</c:f>
              <c:numCache>
                <c:formatCode>General</c:formatCode>
                <c:ptCount val="5"/>
                <c:pt idx="0">
                  <c:v>1</c:v>
                </c:pt>
                <c:pt idx="1">
                  <c:v>9</c:v>
                </c:pt>
                <c:pt idx="2">
                  <c:v>8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</c:ser>
        <c:ser>
          <c:idx val="4"/>
          <c:order val="4"/>
          <c:tx>
            <c:strRef>
              <c:f>Credit_2016Q3!$J$12</c:f>
              <c:strCache>
                <c:ptCount val="1"/>
                <c:pt idx="0">
                  <c:v>BBB-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dLbls>
            <c:dLbl>
              <c:idx val="0"/>
              <c:tx>
                <c:strRef>
                  <c:f>Credit_2016Q3!$J$12</c:f>
                  <c:strCache>
                    <c:ptCount val="1"/>
                    <c:pt idx="0">
                      <c:v>BBB-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{7218838E-01A2-4CFA-A1D9-1C5DFF36999C}</c15:txfldGUID>
                      <c15:f>Credit_2016Q3!$J$12</c15:f>
                      <c15:dlblFieldTableCache>
                        <c:ptCount val="1"/>
                        <c:pt idx="0">
                          <c:v>BBB-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Credit_2016Q3!$M$12</c:f>
                  <c:strCache>
                    <c:ptCount val="1"/>
                    <c:pt idx="0">
                      <c:v>10%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{A79AE111-1B13-435C-B74B-C02FD129EDE4}</c15:txfldGUID>
                      <c15:f>Credit_2016Q3!$M$12</c15:f>
                      <c15:dlblFieldTableCache>
                        <c:ptCount val="1"/>
                        <c:pt idx="0">
                          <c:v>10%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Credit_2016Q3!$P$12</c:f>
                  <c:strCache>
                    <c:ptCount val="1"/>
                    <c:pt idx="0">
                      <c:v>8%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{9F2D916F-F414-4EF2-9AB6-4FEF04A9DAEF}</c15:txfldGUID>
                      <c15:f>Credit_2016Q3!$P$12</c15:f>
                      <c15:dlblFieldTableCache>
                        <c:ptCount val="1"/>
                        <c:pt idx="0">
                          <c:v>8%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Credit_2016Q3!$S$12</c:f>
                  <c:strCache>
                    <c:ptCount val="1"/>
                    <c:pt idx="0">
                      <c:v>9%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{8E8AF7D6-C987-4389-87B1-3A683C4A3EAF}</c15:txfldGUID>
                      <c15:f>Credit_2016Q3!$S$12</c15:f>
                      <c15:dlblFieldTableCache>
                        <c:ptCount val="1"/>
                        <c:pt idx="0">
                          <c:v>9%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Credit_2016Q3!$V$12</c:f>
                  <c:strCache>
                    <c:ptCount val="1"/>
                    <c:pt idx="0">
                      <c:v>50%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{EB4788C5-577A-4C49-A06C-9173A2571898}</c15:txfldGUID>
                      <c15:f>Credit_2016Q3!$V$12</c15:f>
                      <c15:dlblFieldTableCache>
                        <c:ptCount val="1"/>
                        <c:pt idx="0">
                          <c:v>50%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(Credit_2016Q3!$J$5,Credit_2016Q3!$L$5,Credit_2016Q3!$O$5,Credit_2016Q3!$R$5,Credit_2016Q3!$U$5)</c:f>
              <c:strCache>
                <c:ptCount val="5"/>
                <c:pt idx="0">
                  <c:v>Rating</c:v>
                </c:pt>
                <c:pt idx="1">
                  <c:v>All Companies
(50)</c:v>
                </c:pt>
                <c:pt idx="2">
                  <c:v>Regulated
(37)</c:v>
                </c:pt>
                <c:pt idx="3">
                  <c:v>Mostly Regulated
(11)</c:v>
                </c:pt>
                <c:pt idx="4">
                  <c:v>Diversified
(2)</c:v>
                </c:pt>
              </c:strCache>
            </c:strRef>
          </c:cat>
          <c:val>
            <c:numRef>
              <c:f>(Credit_2016Q3!$Z$12,Credit_2016Q3!$L$12,Credit_2016Q3!$O$12,Credit_2016Q3!$R$12,Credit_2016Q3!$U$12)</c:f>
              <c:numCache>
                <c:formatCode>General</c:formatCode>
                <c:ptCount val="5"/>
                <c:pt idx="0">
                  <c:v>1</c:v>
                </c:pt>
                <c:pt idx="1">
                  <c:v>5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</c:ser>
        <c:ser>
          <c:idx val="5"/>
          <c:order val="5"/>
          <c:tx>
            <c:strRef>
              <c:f>Credit_2016Q3!$J$13</c:f>
              <c:strCache>
                <c:ptCount val="1"/>
                <c:pt idx="0">
                  <c:v>Below BBB-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invertIfNegative val="0"/>
          <c:dLbls>
            <c:dLbl>
              <c:idx val="0"/>
              <c:tx>
                <c:strRef>
                  <c:f>Credit_2016Q3!$J$13</c:f>
                  <c:strCache>
                    <c:ptCount val="1"/>
                    <c:pt idx="0">
                      <c:v>Below BBB-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{CDE31156-1BEC-4DD6-9FEE-E8A26BB97755}</c15:txfldGUID>
                      <c15:f>Credit_2016Q3!$J$13</c15:f>
                      <c15:dlblFieldTableCache>
                        <c:ptCount val="1"/>
                        <c:pt idx="0">
                          <c:v>Below BBB-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Credit_2016Q3!$M$13</c:f>
                  <c:strCache>
                    <c:ptCount val="1"/>
                    <c:pt idx="0">
                      <c:v>2%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{009F5071-7962-4FD0-9E58-B74EF1B550DE}</c15:txfldGUID>
                      <c15:f>Credit_2016Q3!$M$13</c15:f>
                      <c15:dlblFieldTableCache>
                        <c:ptCount val="1"/>
                        <c:pt idx="0">
                          <c:v>2%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Credit_2016Q3!$P$13</c:f>
                  <c:strCache>
                    <c:ptCount val="1"/>
                    <c:pt idx="0">
                      <c:v>3%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{BEB487DC-A0FA-4F7D-A1ED-01936905B55B}</c15:txfldGUID>
                      <c15:f>Credit_2016Q3!$P$13</c15:f>
                      <c15:dlblFieldTableCache>
                        <c:ptCount val="1"/>
                        <c:pt idx="0">
                          <c:v>3%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Credit_2016Q3!$S$13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{53D19A6E-DC18-423C-BB8D-999FA13546C3}</c15:txfldGUID>
                      <c15:f>Credit_2016Q3!$S$13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Credit_2016Q3!$V$13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{50DEAE10-974D-432B-9125-3637E2CBBCC8}</c15:txfldGUID>
                      <c15:f>Credit_2016Q3!$V$13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(Credit_2016Q3!$J$5,Credit_2016Q3!$L$5,Credit_2016Q3!$O$5,Credit_2016Q3!$R$5,Credit_2016Q3!$U$5)</c:f>
              <c:strCache>
                <c:ptCount val="5"/>
                <c:pt idx="0">
                  <c:v>Rating</c:v>
                </c:pt>
                <c:pt idx="1">
                  <c:v>All Companies
(50)</c:v>
                </c:pt>
                <c:pt idx="2">
                  <c:v>Regulated
(37)</c:v>
                </c:pt>
                <c:pt idx="3">
                  <c:v>Mostly Regulated
(11)</c:v>
                </c:pt>
                <c:pt idx="4">
                  <c:v>Diversified
(2)</c:v>
                </c:pt>
              </c:strCache>
            </c:strRef>
          </c:cat>
          <c:val>
            <c:numRef>
              <c:f>(Credit_2016Q3!$Z$13,Credit_2016Q3!$L$13,Credit_2016Q3!$O$13,Credit_2016Q3!$R$13,Credit_2016Q3!$U$13)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671829712"/>
        <c:axId val="671828928"/>
      </c:barChart>
      <c:catAx>
        <c:axId val="6718297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high"/>
        <c:txPr>
          <a:bodyPr/>
          <a:lstStyle/>
          <a:p>
            <a:pPr>
              <a:defRPr sz="1300">
                <a:solidFill>
                  <a:sysClr val="windowText" lastClr="000000"/>
                </a:solidFill>
              </a:defRPr>
            </a:pPr>
            <a:endParaRPr lang="en-US"/>
          </a:p>
        </c:txPr>
        <c:crossAx val="671828928"/>
        <c:crosses val="max"/>
        <c:auto val="1"/>
        <c:lblAlgn val="ctr"/>
        <c:lblOffset val="100"/>
        <c:noMultiLvlLbl val="0"/>
      </c:catAx>
      <c:valAx>
        <c:axId val="671828928"/>
        <c:scaling>
          <c:orientation val="maxMin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0%" sourceLinked="1"/>
        <c:majorTickMark val="none"/>
        <c:minorTickMark val="none"/>
        <c:tickLblPos val="none"/>
        <c:spPr>
          <a:ln>
            <a:noFill/>
          </a:ln>
        </c:spPr>
        <c:crossAx val="67182971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1">
          <a:solidFill>
            <a:schemeClr val="bg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3">
                  <a:lumMod val="50000"/>
                </a:schemeClr>
              </a:solidFill>
            </c:spPr>
          </c:dPt>
          <c:dPt>
            <c:idx val="1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50000"/>
                </a:schemeClr>
              </a:solidFill>
            </c:spPr>
          </c:dPt>
          <c:dPt>
            <c:idx val="3"/>
            <c:bubble3D val="0"/>
            <c:spPr>
              <a:solidFill>
                <a:schemeClr val="accent5">
                  <a:lumMod val="75000"/>
                </a:schemeClr>
              </a:solidFill>
            </c:spPr>
          </c:dPt>
          <c:dPt>
            <c:idx val="4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</c:dPt>
          <c:dPt>
            <c:idx val="5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ysClr val="windowText" lastClr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5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ysClr val="windowText" lastClr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Credit_2016Q2!$J$8:$J$13</c:f>
              <c:strCache>
                <c:ptCount val="6"/>
                <c:pt idx="0">
                  <c:v>A or higher</c:v>
                </c:pt>
                <c:pt idx="1">
                  <c:v>A-</c:v>
                </c:pt>
                <c:pt idx="2">
                  <c:v>BBB+</c:v>
                </c:pt>
                <c:pt idx="3">
                  <c:v>BBB</c:v>
                </c:pt>
                <c:pt idx="4">
                  <c:v>BBB-</c:v>
                </c:pt>
                <c:pt idx="5">
                  <c:v>Below BBB-</c:v>
                </c:pt>
              </c:strCache>
            </c:strRef>
          </c:cat>
          <c:val>
            <c:numRef>
              <c:f>Credit_2016Q2!$M$8:$M$13</c:f>
              <c:numCache>
                <c:formatCode>0%</c:formatCode>
                <c:ptCount val="6"/>
                <c:pt idx="0">
                  <c:v>0.06</c:v>
                </c:pt>
                <c:pt idx="1">
                  <c:v>0.24</c:v>
                </c:pt>
                <c:pt idx="2">
                  <c:v>0.34</c:v>
                </c:pt>
                <c:pt idx="3">
                  <c:v>0.24</c:v>
                </c:pt>
                <c:pt idx="4">
                  <c:v>0.1</c:v>
                </c:pt>
                <c:pt idx="5">
                  <c:v>0.02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4.0854248593277388E-2"/>
          <c:w val="1"/>
          <c:h val="0.7859199662194755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Credit_2016Q2!$J$8</c:f>
              <c:strCache>
                <c:ptCount val="1"/>
                <c:pt idx="0">
                  <c:v>A or higher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invertIfNegative val="0"/>
          <c:dLbls>
            <c:dLbl>
              <c:idx val="0"/>
              <c:tx>
                <c:strRef>
                  <c:f>Credit_2016Q2!$J$8</c:f>
                  <c:strCache>
                    <c:ptCount val="1"/>
                    <c:pt idx="0">
                      <c:v>A or higher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{DD2BC70A-282A-457B-804E-09709933E11B}</c15:txfldGUID>
                      <c15:f>Credit_2016Q2!$J$8</c15:f>
                      <c15:dlblFieldTableCache>
                        <c:ptCount val="1"/>
                        <c:pt idx="0">
                          <c:v>A or higher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Credit_2016Q2!$M$8</c:f>
                  <c:strCache>
                    <c:ptCount val="1"/>
                    <c:pt idx="0">
                      <c:v>6%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{1467B2E9-C4BA-4561-BB4C-34707D086B95}</c15:txfldGUID>
                      <c15:f>Credit_2016Q2!$M$8</c15:f>
                      <c15:dlblFieldTableCache>
                        <c:ptCount val="1"/>
                        <c:pt idx="0">
                          <c:v>6%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Credit_2016Q2!$P$8</c:f>
                  <c:strCache>
                    <c:ptCount val="1"/>
                    <c:pt idx="0">
                      <c:v>5%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{A432C6FD-8F7F-4942-9849-98B674A4F00F}</c15:txfldGUID>
                      <c15:f>Credit_2016Q2!$P$8</c15:f>
                      <c15:dlblFieldTableCache>
                        <c:ptCount val="1"/>
                        <c:pt idx="0">
                          <c:v>5%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Credit_2016Q2!$S$8</c:f>
                  <c:strCache>
                    <c:ptCount val="1"/>
                    <c:pt idx="0">
                      <c:v>9%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{038D15EA-32AE-4BDB-B74E-816FF01CBDE1}</c15:txfldGUID>
                      <c15:f>Credit_2016Q2!$S$8</c15:f>
                      <c15:dlblFieldTableCache>
                        <c:ptCount val="1"/>
                        <c:pt idx="0">
                          <c:v>9%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Credit_2016Q2!$V$8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{1D923E51-E422-491A-B6BC-5F818F6490F3}</c15:txfldGUID>
                      <c15:f>Credit_2016Q2!$V$8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(Credit_2016Q2!$J$5,Credit_2016Q2!$L$5,Credit_2016Q2!$O$5,Credit_2016Q2!$R$5,Credit_2016Q2!$U$5)</c:f>
              <c:strCache>
                <c:ptCount val="5"/>
                <c:pt idx="0">
                  <c:v>Rating</c:v>
                </c:pt>
                <c:pt idx="1">
                  <c:v>All Companies
(50)</c:v>
                </c:pt>
                <c:pt idx="2">
                  <c:v>Regulated
(37)</c:v>
                </c:pt>
                <c:pt idx="3">
                  <c:v>Mostly Regulated
(11)</c:v>
                </c:pt>
                <c:pt idx="4">
                  <c:v>Diversified
(2)</c:v>
                </c:pt>
              </c:strCache>
            </c:strRef>
          </c:cat>
          <c:val>
            <c:numRef>
              <c:f>(Credit_2016Q2!$Z$8,Credit_2016Q2!$L$8,Credit_2016Q2!$O$8,Credit_2016Q2!$R$8,Credit_2016Q2!$U$8)</c:f>
              <c:numCache>
                <c:formatCode>General</c:formatCode>
                <c:ptCount val="5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Credit_2016Q2!$J$9</c:f>
              <c:strCache>
                <c:ptCount val="1"/>
                <c:pt idx="0">
                  <c:v>A-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tx>
                <c:strRef>
                  <c:f>Credit_2016Q2!$J$9</c:f>
                  <c:strCache>
                    <c:ptCount val="1"/>
                    <c:pt idx="0">
                      <c:v>A-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{B31E8FC1-26C8-4446-9FF0-2C2EBA18F464}</c15:txfldGUID>
                      <c15:f>Credit_2016Q2!$J$9</c15:f>
                      <c15:dlblFieldTableCache>
                        <c:ptCount val="1"/>
                        <c:pt idx="0">
                          <c:v>A-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Credit_2016Q2!$M$9</c:f>
                  <c:strCache>
                    <c:ptCount val="1"/>
                    <c:pt idx="0">
                      <c:v>24%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{5AB91E3D-47F3-4A49-8D96-7996FC1804DC}</c15:txfldGUID>
                      <c15:f>Credit_2016Q2!$M$9</c15:f>
                      <c15:dlblFieldTableCache>
                        <c:ptCount val="1"/>
                        <c:pt idx="0">
                          <c:v>24%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Credit_2016Q2!$P$9</c:f>
                  <c:strCache>
                    <c:ptCount val="1"/>
                    <c:pt idx="0">
                      <c:v>27%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{18C65BFC-300A-4F86-B6AD-DDA8CECA84C6}</c15:txfldGUID>
                      <c15:f>Credit_2016Q2!$P$9</c15:f>
                      <c15:dlblFieldTableCache>
                        <c:ptCount val="1"/>
                        <c:pt idx="0">
                          <c:v>27%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Credit_2016Q2!$S$9</c:f>
                  <c:strCache>
                    <c:ptCount val="1"/>
                    <c:pt idx="0">
                      <c:v>18%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{D0F56B32-FC46-4986-BDEE-7B3B3AB7BD04}</c15:txfldGUID>
                      <c15:f>Credit_2016Q2!$S$9</c15:f>
                      <c15:dlblFieldTableCache>
                        <c:ptCount val="1"/>
                        <c:pt idx="0">
                          <c:v>18%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Credit_2016Q2!$V$9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{C1C5D37D-5AB2-4633-A94E-2B010ED24BAF}</c15:txfldGUID>
                      <c15:f>Credit_2016Q2!$V$9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(Credit_2016Q2!$J$5,Credit_2016Q2!$L$5,Credit_2016Q2!$O$5,Credit_2016Q2!$R$5,Credit_2016Q2!$U$5)</c:f>
              <c:strCache>
                <c:ptCount val="5"/>
                <c:pt idx="0">
                  <c:v>Rating</c:v>
                </c:pt>
                <c:pt idx="1">
                  <c:v>All Companies
(50)</c:v>
                </c:pt>
                <c:pt idx="2">
                  <c:v>Regulated
(37)</c:v>
                </c:pt>
                <c:pt idx="3">
                  <c:v>Mostly Regulated
(11)</c:v>
                </c:pt>
                <c:pt idx="4">
                  <c:v>Diversified
(2)</c:v>
                </c:pt>
              </c:strCache>
            </c:strRef>
          </c:cat>
          <c:val>
            <c:numRef>
              <c:f>(Credit_2016Q2!$Z$9,Credit_2016Q2!$L$9,Credit_2016Q2!$O$9,Credit_2016Q2!$R$9,Credit_2016Q2!$U$9)</c:f>
              <c:numCache>
                <c:formatCode>General</c:formatCode>
                <c:ptCount val="5"/>
                <c:pt idx="0">
                  <c:v>1</c:v>
                </c:pt>
                <c:pt idx="1">
                  <c:v>12</c:v>
                </c:pt>
                <c:pt idx="2">
                  <c:v>10</c:v>
                </c:pt>
                <c:pt idx="3">
                  <c:v>2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Credit_2016Q2!$J$10</c:f>
              <c:strCache>
                <c:ptCount val="1"/>
                <c:pt idx="0">
                  <c:v>BBB+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invertIfNegative val="0"/>
          <c:dLbls>
            <c:dLbl>
              <c:idx val="0"/>
              <c:tx>
                <c:strRef>
                  <c:f>Credit_2016Q2!$J$10</c:f>
                  <c:strCache>
                    <c:ptCount val="1"/>
                    <c:pt idx="0">
                      <c:v>BBB+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{D9C30B71-4F2D-478C-8129-E6608202C2C6}</c15:txfldGUID>
                      <c15:f>Credit_2016Q2!$J$10</c15:f>
                      <c15:dlblFieldTableCache>
                        <c:ptCount val="1"/>
                        <c:pt idx="0">
                          <c:v>BBB+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Credit_2016Q2!$M$10</c:f>
                  <c:strCache>
                    <c:ptCount val="1"/>
                    <c:pt idx="0">
                      <c:v>34%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{996D7B75-D4AD-4A61-9DA3-A633E344F3EA}</c15:txfldGUID>
                      <c15:f>Credit_2016Q2!$M$10</c15:f>
                      <c15:dlblFieldTableCache>
                        <c:ptCount val="1"/>
                        <c:pt idx="0">
                          <c:v>34%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Credit_2016Q2!$P$10</c:f>
                  <c:strCache>
                    <c:ptCount val="1"/>
                    <c:pt idx="0">
                      <c:v>27%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{A6AFA8AD-8EAD-40A4-A31E-90882108F09F}</c15:txfldGUID>
                      <c15:f>Credit_2016Q2!$P$10</c15:f>
                      <c15:dlblFieldTableCache>
                        <c:ptCount val="1"/>
                        <c:pt idx="0">
                          <c:v>27%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Credit_2016Q2!$S$10</c:f>
                  <c:strCache>
                    <c:ptCount val="1"/>
                    <c:pt idx="0">
                      <c:v>64%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{5199BCCA-4F90-493E-9C83-CBDE2D816AB9}</c15:txfldGUID>
                      <c15:f>Credit_2016Q2!$S$10</c15:f>
                      <c15:dlblFieldTableCache>
                        <c:ptCount val="1"/>
                        <c:pt idx="0">
                          <c:v>64%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Credit_2016Q2!$V$10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{BDF7F795-46EE-4C20-B6F1-2FE7EBC436BE}</c15:txfldGUID>
                      <c15:f>Credit_2016Q2!$V$10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(Credit_2016Q2!$J$5,Credit_2016Q2!$L$5,Credit_2016Q2!$O$5,Credit_2016Q2!$R$5,Credit_2016Q2!$U$5)</c:f>
              <c:strCache>
                <c:ptCount val="5"/>
                <c:pt idx="0">
                  <c:v>Rating</c:v>
                </c:pt>
                <c:pt idx="1">
                  <c:v>All Companies
(50)</c:v>
                </c:pt>
                <c:pt idx="2">
                  <c:v>Regulated
(37)</c:v>
                </c:pt>
                <c:pt idx="3">
                  <c:v>Mostly Regulated
(11)</c:v>
                </c:pt>
                <c:pt idx="4">
                  <c:v>Diversified
(2)</c:v>
                </c:pt>
              </c:strCache>
            </c:strRef>
          </c:cat>
          <c:val>
            <c:numRef>
              <c:f>(Credit_2016Q2!$Z$10,Credit_2016Q2!$L$10,Credit_2016Q2!$O$10,Credit_2016Q2!$R$10,Credit_2016Q2!$U$10)</c:f>
              <c:numCache>
                <c:formatCode>General</c:formatCode>
                <c:ptCount val="5"/>
                <c:pt idx="0">
                  <c:v>1</c:v>
                </c:pt>
                <c:pt idx="1">
                  <c:v>17</c:v>
                </c:pt>
                <c:pt idx="2">
                  <c:v>10</c:v>
                </c:pt>
                <c:pt idx="3">
                  <c:v>7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Credit_2016Q2!$J$11</c:f>
              <c:strCache>
                <c:ptCount val="1"/>
                <c:pt idx="0">
                  <c:v>BBB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dLbl>
              <c:idx val="0"/>
              <c:tx>
                <c:strRef>
                  <c:f>Credit_2016Q2!$J$11</c:f>
                  <c:strCache>
                    <c:ptCount val="1"/>
                    <c:pt idx="0">
                      <c:v>BBB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{B90B395F-CCD9-4861-A207-8DF85AB081BC}</c15:txfldGUID>
                      <c15:f>Credit_2016Q2!$J$11</c15:f>
                      <c15:dlblFieldTableCache>
                        <c:ptCount val="1"/>
                        <c:pt idx="0">
                          <c:v>BBB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Credit_2016Q2!$M$11</c:f>
                  <c:strCache>
                    <c:ptCount val="1"/>
                    <c:pt idx="0">
                      <c:v>24%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{DEA0505C-7AAA-4477-B68E-D3DBE03EE90D}</c15:txfldGUID>
                      <c15:f>Credit_2016Q2!$M$11</c15:f>
                      <c15:dlblFieldTableCache>
                        <c:ptCount val="1"/>
                        <c:pt idx="0">
                          <c:v>24%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Credit_2016Q2!$P$11</c:f>
                  <c:strCache>
                    <c:ptCount val="1"/>
                    <c:pt idx="0">
                      <c:v>30%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{D0E63256-16A9-42AE-BC4C-FF32A11FA72F}</c15:txfldGUID>
                      <c15:f>Credit_2016Q2!$P$11</c15:f>
                      <c15:dlblFieldTableCache>
                        <c:ptCount val="1"/>
                        <c:pt idx="0">
                          <c:v>30%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Credit_2016Q2!$S$11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{07F50E60-4670-4693-AE3D-E17D86A151F7}</c15:txfldGUID>
                      <c15:f>Credit_2016Q2!$S$11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Credit_2016Q2!$V$11</c:f>
                  <c:strCache>
                    <c:ptCount val="1"/>
                    <c:pt idx="0">
                      <c:v>50%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{C0C5CFBF-E1D5-482E-AFD0-3A8C13CF452A}</c15:txfldGUID>
                      <c15:f>Credit_2016Q2!$V$11</c15:f>
                      <c15:dlblFieldTableCache>
                        <c:ptCount val="1"/>
                        <c:pt idx="0">
                          <c:v>50%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(Credit_2016Q2!$J$5,Credit_2016Q2!$L$5,Credit_2016Q2!$O$5,Credit_2016Q2!$R$5,Credit_2016Q2!$U$5)</c:f>
              <c:strCache>
                <c:ptCount val="5"/>
                <c:pt idx="0">
                  <c:v>Rating</c:v>
                </c:pt>
                <c:pt idx="1">
                  <c:v>All Companies
(50)</c:v>
                </c:pt>
                <c:pt idx="2">
                  <c:v>Regulated
(37)</c:v>
                </c:pt>
                <c:pt idx="3">
                  <c:v>Mostly Regulated
(11)</c:v>
                </c:pt>
                <c:pt idx="4">
                  <c:v>Diversified
(2)</c:v>
                </c:pt>
              </c:strCache>
            </c:strRef>
          </c:cat>
          <c:val>
            <c:numRef>
              <c:f>(Credit_2016Q2!$Z$11,Credit_2016Q2!$L$11,Credit_2016Q2!$O$11,Credit_2016Q2!$R$11,Credit_2016Q2!$U$11)</c:f>
              <c:numCache>
                <c:formatCode>General</c:formatCode>
                <c:ptCount val="5"/>
                <c:pt idx="0">
                  <c:v>1</c:v>
                </c:pt>
                <c:pt idx="1">
                  <c:v>12</c:v>
                </c:pt>
                <c:pt idx="2">
                  <c:v>11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</c:ser>
        <c:ser>
          <c:idx val="4"/>
          <c:order val="4"/>
          <c:tx>
            <c:strRef>
              <c:f>Credit_2016Q2!$J$12</c:f>
              <c:strCache>
                <c:ptCount val="1"/>
                <c:pt idx="0">
                  <c:v>BBB-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dLbls>
            <c:dLbl>
              <c:idx val="0"/>
              <c:tx>
                <c:strRef>
                  <c:f>Credit_2016Q2!$J$12</c:f>
                  <c:strCache>
                    <c:ptCount val="1"/>
                    <c:pt idx="0">
                      <c:v>BBB-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{C02BA231-A630-41E5-A01C-49DA5607C3F5}</c15:txfldGUID>
                      <c15:f>Credit_2016Q2!$J$12</c15:f>
                      <c15:dlblFieldTableCache>
                        <c:ptCount val="1"/>
                        <c:pt idx="0">
                          <c:v>BBB-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Credit_2016Q2!$M$12</c:f>
                  <c:strCache>
                    <c:ptCount val="1"/>
                    <c:pt idx="0">
                      <c:v>10%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{4778F7BC-DF0F-40CF-9BFC-BF7907D35D2C}</c15:txfldGUID>
                      <c15:f>Credit_2016Q2!$M$12</c15:f>
                      <c15:dlblFieldTableCache>
                        <c:ptCount val="1"/>
                        <c:pt idx="0">
                          <c:v>10%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Credit_2016Q2!$P$12</c:f>
                  <c:strCache>
                    <c:ptCount val="1"/>
                    <c:pt idx="0">
                      <c:v>8%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{109E4BFD-1442-459A-AA01-01ABA513C429}</c15:txfldGUID>
                      <c15:f>Credit_2016Q2!$P$12</c15:f>
                      <c15:dlblFieldTableCache>
                        <c:ptCount val="1"/>
                        <c:pt idx="0">
                          <c:v>8%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Credit_2016Q2!$S$12</c:f>
                  <c:strCache>
                    <c:ptCount val="1"/>
                    <c:pt idx="0">
                      <c:v>9%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{EEC31146-7685-4B72-8AD6-43F36A898165}</c15:txfldGUID>
                      <c15:f>Credit_2016Q2!$S$12</c15:f>
                      <c15:dlblFieldTableCache>
                        <c:ptCount val="1"/>
                        <c:pt idx="0">
                          <c:v>9%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Credit_2016Q2!$V$12</c:f>
                  <c:strCache>
                    <c:ptCount val="1"/>
                    <c:pt idx="0">
                      <c:v>50%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{F62335A0-A8A1-47E3-B9E0-483B57738290}</c15:txfldGUID>
                      <c15:f>Credit_2016Q2!$V$12</c15:f>
                      <c15:dlblFieldTableCache>
                        <c:ptCount val="1"/>
                        <c:pt idx="0">
                          <c:v>50%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(Credit_2016Q2!$J$5,Credit_2016Q2!$L$5,Credit_2016Q2!$O$5,Credit_2016Q2!$R$5,Credit_2016Q2!$U$5)</c:f>
              <c:strCache>
                <c:ptCount val="5"/>
                <c:pt idx="0">
                  <c:v>Rating</c:v>
                </c:pt>
                <c:pt idx="1">
                  <c:v>All Companies
(50)</c:v>
                </c:pt>
                <c:pt idx="2">
                  <c:v>Regulated
(37)</c:v>
                </c:pt>
                <c:pt idx="3">
                  <c:v>Mostly Regulated
(11)</c:v>
                </c:pt>
                <c:pt idx="4">
                  <c:v>Diversified
(2)</c:v>
                </c:pt>
              </c:strCache>
            </c:strRef>
          </c:cat>
          <c:val>
            <c:numRef>
              <c:f>(Credit_2016Q2!$Z$12,Credit_2016Q2!$L$12,Credit_2016Q2!$O$12,Credit_2016Q2!$R$12,Credit_2016Q2!$U$12)</c:f>
              <c:numCache>
                <c:formatCode>General</c:formatCode>
                <c:ptCount val="5"/>
                <c:pt idx="0">
                  <c:v>1</c:v>
                </c:pt>
                <c:pt idx="1">
                  <c:v>5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</c:ser>
        <c:ser>
          <c:idx val="5"/>
          <c:order val="5"/>
          <c:tx>
            <c:strRef>
              <c:f>Credit_2016Q2!$J$13</c:f>
              <c:strCache>
                <c:ptCount val="1"/>
                <c:pt idx="0">
                  <c:v>Below BBB-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invertIfNegative val="0"/>
          <c:dLbls>
            <c:dLbl>
              <c:idx val="0"/>
              <c:tx>
                <c:strRef>
                  <c:f>Credit_2016Q2!$J$13</c:f>
                  <c:strCache>
                    <c:ptCount val="1"/>
                    <c:pt idx="0">
                      <c:v>Below BBB-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{7F90E849-9147-40DE-96A7-25A2B0789609}</c15:txfldGUID>
                      <c15:f>Credit_2016Q2!$J$13</c15:f>
                      <c15:dlblFieldTableCache>
                        <c:ptCount val="1"/>
                        <c:pt idx="0">
                          <c:v>Below BBB-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Credit_2016Q2!$M$13</c:f>
                  <c:strCache>
                    <c:ptCount val="1"/>
                    <c:pt idx="0">
                      <c:v>2%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{93B8401E-4709-4E96-9A6F-E0BFCBBEC6B7}</c15:txfldGUID>
                      <c15:f>Credit_2016Q2!$M$13</c15:f>
                      <c15:dlblFieldTableCache>
                        <c:ptCount val="1"/>
                        <c:pt idx="0">
                          <c:v>2%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Credit_2016Q2!$P$13</c:f>
                  <c:strCache>
                    <c:ptCount val="1"/>
                    <c:pt idx="0">
                      <c:v>3%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{2BFD244C-7AF2-41D9-A000-29ECC63D275B}</c15:txfldGUID>
                      <c15:f>Credit_2016Q2!$P$13</c15:f>
                      <c15:dlblFieldTableCache>
                        <c:ptCount val="1"/>
                        <c:pt idx="0">
                          <c:v>3%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Credit_2016Q2!$S$13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{053654A4-6684-4EFF-B9F3-B383376E62BA}</c15:txfldGUID>
                      <c15:f>Credit_2016Q2!$S$13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Credit_2016Q2!$V$13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{DC756BF5-6C0A-4713-BA86-C5CD76EAC651}</c15:txfldGUID>
                      <c15:f>Credit_2016Q2!$V$13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(Credit_2016Q2!$J$5,Credit_2016Q2!$L$5,Credit_2016Q2!$O$5,Credit_2016Q2!$R$5,Credit_2016Q2!$U$5)</c:f>
              <c:strCache>
                <c:ptCount val="5"/>
                <c:pt idx="0">
                  <c:v>Rating</c:v>
                </c:pt>
                <c:pt idx="1">
                  <c:v>All Companies
(50)</c:v>
                </c:pt>
                <c:pt idx="2">
                  <c:v>Regulated
(37)</c:v>
                </c:pt>
                <c:pt idx="3">
                  <c:v>Mostly Regulated
(11)</c:v>
                </c:pt>
                <c:pt idx="4">
                  <c:v>Diversified
(2)</c:v>
                </c:pt>
              </c:strCache>
            </c:strRef>
          </c:cat>
          <c:val>
            <c:numRef>
              <c:f>(Credit_2016Q2!$Z$13,Credit_2016Q2!$L$13,Credit_2016Q2!$O$13,Credit_2016Q2!$R$13,Credit_2016Q2!$U$13)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671827360"/>
        <c:axId val="671826576"/>
      </c:barChart>
      <c:catAx>
        <c:axId val="6718273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high"/>
        <c:txPr>
          <a:bodyPr/>
          <a:lstStyle/>
          <a:p>
            <a:pPr>
              <a:defRPr sz="1300">
                <a:solidFill>
                  <a:sysClr val="windowText" lastClr="000000"/>
                </a:solidFill>
              </a:defRPr>
            </a:pPr>
            <a:endParaRPr lang="en-US"/>
          </a:p>
        </c:txPr>
        <c:crossAx val="671826576"/>
        <c:crosses val="max"/>
        <c:auto val="1"/>
        <c:lblAlgn val="ctr"/>
        <c:lblOffset val="100"/>
        <c:noMultiLvlLbl val="0"/>
      </c:catAx>
      <c:valAx>
        <c:axId val="671826576"/>
        <c:scaling>
          <c:orientation val="maxMin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0%" sourceLinked="1"/>
        <c:majorTickMark val="none"/>
        <c:minorTickMark val="none"/>
        <c:tickLblPos val="none"/>
        <c:spPr>
          <a:ln>
            <a:noFill/>
          </a:ln>
        </c:spPr>
        <c:crossAx val="671827360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1">
          <a:solidFill>
            <a:schemeClr val="bg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3">
                  <a:lumMod val="50000"/>
                </a:schemeClr>
              </a:solidFill>
            </c:spPr>
          </c:dPt>
          <c:dPt>
            <c:idx val="1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50000"/>
                </a:schemeClr>
              </a:solidFill>
            </c:spPr>
          </c:dPt>
          <c:dPt>
            <c:idx val="3"/>
            <c:bubble3D val="0"/>
            <c:spPr>
              <a:solidFill>
                <a:schemeClr val="accent5">
                  <a:lumMod val="75000"/>
                </a:schemeClr>
              </a:solidFill>
            </c:spPr>
          </c:dPt>
          <c:dPt>
            <c:idx val="4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</c:dPt>
          <c:dPt>
            <c:idx val="5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ysClr val="windowText" lastClr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5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ysClr val="windowText" lastClr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Credit_2016Q1!$J$8:$J$13</c:f>
              <c:strCache>
                <c:ptCount val="6"/>
                <c:pt idx="0">
                  <c:v>A or higher</c:v>
                </c:pt>
                <c:pt idx="1">
                  <c:v>A-</c:v>
                </c:pt>
                <c:pt idx="2">
                  <c:v>BBB+</c:v>
                </c:pt>
                <c:pt idx="3">
                  <c:v>BBB</c:v>
                </c:pt>
                <c:pt idx="4">
                  <c:v>BBB-</c:v>
                </c:pt>
                <c:pt idx="5">
                  <c:v>Below BBB-</c:v>
                </c:pt>
              </c:strCache>
            </c:strRef>
          </c:cat>
          <c:val>
            <c:numRef>
              <c:f>Credit_2016Q1!$M$8:$M$13</c:f>
              <c:numCache>
                <c:formatCode>0%</c:formatCode>
                <c:ptCount val="6"/>
                <c:pt idx="0">
                  <c:v>0.06</c:v>
                </c:pt>
                <c:pt idx="1">
                  <c:v>0.24</c:v>
                </c:pt>
                <c:pt idx="2">
                  <c:v>0.34</c:v>
                </c:pt>
                <c:pt idx="3">
                  <c:v>0.26</c:v>
                </c:pt>
                <c:pt idx="4">
                  <c:v>0.06</c:v>
                </c:pt>
                <c:pt idx="5">
                  <c:v>0.04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4.0854248593277388E-2"/>
          <c:w val="1"/>
          <c:h val="0.7859199662194755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Credit_2016Q1!$J$8</c:f>
              <c:strCache>
                <c:ptCount val="1"/>
                <c:pt idx="0">
                  <c:v>A or higher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invertIfNegative val="0"/>
          <c:dLbls>
            <c:dLbl>
              <c:idx val="0"/>
              <c:tx>
                <c:strRef>
                  <c:f>Credit_2016Q1!$J$8</c:f>
                  <c:strCache>
                    <c:ptCount val="1"/>
                    <c:pt idx="0">
                      <c:v>A or higher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{07BDE8B1-1FF3-448E-BE59-1CF598C20695}</c15:txfldGUID>
                      <c15:f>Credit_2016Q1!$J$8</c15:f>
                      <c15:dlblFieldTableCache>
                        <c:ptCount val="1"/>
                        <c:pt idx="0">
                          <c:v>A or higher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Credit_2016Q1!$M$8</c:f>
                  <c:strCache>
                    <c:ptCount val="1"/>
                    <c:pt idx="0">
                      <c:v>6%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{25CA9191-8A0C-4A33-ABBF-C703B1E20AA7}</c15:txfldGUID>
                      <c15:f>Credit_2016Q1!$M$8</c15:f>
                      <c15:dlblFieldTableCache>
                        <c:ptCount val="1"/>
                        <c:pt idx="0">
                          <c:v>6%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Credit_2016Q1!$P$8</c:f>
                  <c:strCache>
                    <c:ptCount val="1"/>
                    <c:pt idx="0">
                      <c:v>5%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{D3D87632-0D47-40D1-AB1D-34379A914A32}</c15:txfldGUID>
                      <c15:f>Credit_2016Q1!$P$8</c15:f>
                      <c15:dlblFieldTableCache>
                        <c:ptCount val="1"/>
                        <c:pt idx="0">
                          <c:v>5%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Credit_2016Q1!$S$8</c:f>
                  <c:strCache>
                    <c:ptCount val="1"/>
                    <c:pt idx="0">
                      <c:v>9%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{06EA1220-80CA-4E80-8E02-F3D91770F7C4}</c15:txfldGUID>
                      <c15:f>Credit_2016Q1!$S$8</c15:f>
                      <c15:dlblFieldTableCache>
                        <c:ptCount val="1"/>
                        <c:pt idx="0">
                          <c:v>9%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Credit_2016Q1!$V$8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{1F1EB6EC-D2AA-45BA-987F-409F3A2E0E0B}</c15:txfldGUID>
                      <c15:f>Credit_2016Q1!$V$8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(Credit_2016Q1!$J$5,Credit_2016Q1!$L$5,Credit_2016Q1!$O$5,Credit_2016Q1!$R$5,Credit_2016Q1!$U$5)</c:f>
              <c:strCache>
                <c:ptCount val="5"/>
                <c:pt idx="0">
                  <c:v>Rating</c:v>
                </c:pt>
                <c:pt idx="1">
                  <c:v>All Companies
(50)</c:v>
                </c:pt>
                <c:pt idx="2">
                  <c:v>Regulated
(37)</c:v>
                </c:pt>
                <c:pt idx="3">
                  <c:v>Mostly Regulated
(11)</c:v>
                </c:pt>
                <c:pt idx="4">
                  <c:v>Diversified
(2)</c:v>
                </c:pt>
              </c:strCache>
            </c:strRef>
          </c:cat>
          <c:val>
            <c:numRef>
              <c:f>(Credit_2016Q1!$Z$8,Credit_2016Q1!$L$8,Credit_2016Q1!$O$8,Credit_2016Q1!$R$8,Credit_2016Q1!$U$8)</c:f>
              <c:numCache>
                <c:formatCode>General</c:formatCode>
                <c:ptCount val="5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Credit_2016Q1!$J$9</c:f>
              <c:strCache>
                <c:ptCount val="1"/>
                <c:pt idx="0">
                  <c:v>A-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tx>
                <c:strRef>
                  <c:f>Credit_2016Q1!$J$9</c:f>
                  <c:strCache>
                    <c:ptCount val="1"/>
                    <c:pt idx="0">
                      <c:v>A-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{09AB3BE9-98A7-4696-AAF5-AC52304A5F13}</c15:txfldGUID>
                      <c15:f>Credit_2016Q1!$J$9</c15:f>
                      <c15:dlblFieldTableCache>
                        <c:ptCount val="1"/>
                        <c:pt idx="0">
                          <c:v>A-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Credit_2016Q1!$M$9</c:f>
                  <c:strCache>
                    <c:ptCount val="1"/>
                    <c:pt idx="0">
                      <c:v>24%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{9DE393DD-EE5E-436B-B7D8-59219F28E307}</c15:txfldGUID>
                      <c15:f>Credit_2016Q1!$M$9</c15:f>
                      <c15:dlblFieldTableCache>
                        <c:ptCount val="1"/>
                        <c:pt idx="0">
                          <c:v>24%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Credit_2016Q1!$P$9</c:f>
                  <c:strCache>
                    <c:ptCount val="1"/>
                    <c:pt idx="0">
                      <c:v>27%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{F71FFB05-57A2-44D5-ADA7-DAD30DB490F2}</c15:txfldGUID>
                      <c15:f>Credit_2016Q1!$P$9</c15:f>
                      <c15:dlblFieldTableCache>
                        <c:ptCount val="1"/>
                        <c:pt idx="0">
                          <c:v>27%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Credit_2016Q1!$S$9</c:f>
                  <c:strCache>
                    <c:ptCount val="1"/>
                    <c:pt idx="0">
                      <c:v>18%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{98A1DBC7-9D43-4BD1-8996-9F219A9BAE0F}</c15:txfldGUID>
                      <c15:f>Credit_2016Q1!$S$9</c15:f>
                      <c15:dlblFieldTableCache>
                        <c:ptCount val="1"/>
                        <c:pt idx="0">
                          <c:v>18%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Credit_2016Q1!$V$9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{44CD3E18-1600-45FA-95D8-8A21AC99ED27}</c15:txfldGUID>
                      <c15:f>Credit_2016Q1!$V$9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(Credit_2016Q1!$J$5,Credit_2016Q1!$L$5,Credit_2016Q1!$O$5,Credit_2016Q1!$R$5,Credit_2016Q1!$U$5)</c:f>
              <c:strCache>
                <c:ptCount val="5"/>
                <c:pt idx="0">
                  <c:v>Rating</c:v>
                </c:pt>
                <c:pt idx="1">
                  <c:v>All Companies
(50)</c:v>
                </c:pt>
                <c:pt idx="2">
                  <c:v>Regulated
(37)</c:v>
                </c:pt>
                <c:pt idx="3">
                  <c:v>Mostly Regulated
(11)</c:v>
                </c:pt>
                <c:pt idx="4">
                  <c:v>Diversified
(2)</c:v>
                </c:pt>
              </c:strCache>
            </c:strRef>
          </c:cat>
          <c:val>
            <c:numRef>
              <c:f>(Credit_2016Q1!$Z$9,Credit_2016Q1!$L$9,Credit_2016Q1!$O$9,Credit_2016Q1!$R$9,Credit_2016Q1!$U$9)</c:f>
              <c:numCache>
                <c:formatCode>General</c:formatCode>
                <c:ptCount val="5"/>
                <c:pt idx="0">
                  <c:v>1</c:v>
                </c:pt>
                <c:pt idx="1">
                  <c:v>12</c:v>
                </c:pt>
                <c:pt idx="2">
                  <c:v>10</c:v>
                </c:pt>
                <c:pt idx="3">
                  <c:v>2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Credit_2016Q1!$J$10</c:f>
              <c:strCache>
                <c:ptCount val="1"/>
                <c:pt idx="0">
                  <c:v>BBB+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invertIfNegative val="0"/>
          <c:dLbls>
            <c:dLbl>
              <c:idx val="0"/>
              <c:tx>
                <c:strRef>
                  <c:f>Credit_2016Q1!$J$10</c:f>
                  <c:strCache>
                    <c:ptCount val="1"/>
                    <c:pt idx="0">
                      <c:v>BBB+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{9B4B2BF5-B6E5-4A21-9805-99D9BAE1D964}</c15:txfldGUID>
                      <c15:f>Credit_2016Q1!$J$10</c15:f>
                      <c15:dlblFieldTableCache>
                        <c:ptCount val="1"/>
                        <c:pt idx="0">
                          <c:v>BBB+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Credit_2016Q1!$M$10</c:f>
                  <c:strCache>
                    <c:ptCount val="1"/>
                    <c:pt idx="0">
                      <c:v>34%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{FB0BB1A3-6FA3-4735-9C87-9DD55695E301}</c15:txfldGUID>
                      <c15:f>Credit_2016Q1!$M$10</c15:f>
                      <c15:dlblFieldTableCache>
                        <c:ptCount val="1"/>
                        <c:pt idx="0">
                          <c:v>34%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Credit_2016Q1!$P$10</c:f>
                  <c:strCache>
                    <c:ptCount val="1"/>
                    <c:pt idx="0">
                      <c:v>30%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{5B05F7A4-2E49-4828-9DE2-A27D499881A1}</c15:txfldGUID>
                      <c15:f>Credit_2016Q1!$P$10</c15:f>
                      <c15:dlblFieldTableCache>
                        <c:ptCount val="1"/>
                        <c:pt idx="0">
                          <c:v>30%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Credit_2016Q1!$S$10</c:f>
                  <c:strCache>
                    <c:ptCount val="1"/>
                    <c:pt idx="0">
                      <c:v>55%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{3951B208-3A17-4200-866F-354735D36A46}</c15:txfldGUID>
                      <c15:f>Credit_2016Q1!$S$10</c15:f>
                      <c15:dlblFieldTableCache>
                        <c:ptCount val="1"/>
                        <c:pt idx="0">
                          <c:v>55%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Credit_2016Q1!$V$10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{053FA0B2-F2AA-43C2-A0E3-43099CA5AF76}</c15:txfldGUID>
                      <c15:f>Credit_2016Q1!$V$10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(Credit_2016Q1!$J$5,Credit_2016Q1!$L$5,Credit_2016Q1!$O$5,Credit_2016Q1!$R$5,Credit_2016Q1!$U$5)</c:f>
              <c:strCache>
                <c:ptCount val="5"/>
                <c:pt idx="0">
                  <c:v>Rating</c:v>
                </c:pt>
                <c:pt idx="1">
                  <c:v>All Companies
(50)</c:v>
                </c:pt>
                <c:pt idx="2">
                  <c:v>Regulated
(37)</c:v>
                </c:pt>
                <c:pt idx="3">
                  <c:v>Mostly Regulated
(11)</c:v>
                </c:pt>
                <c:pt idx="4">
                  <c:v>Diversified
(2)</c:v>
                </c:pt>
              </c:strCache>
            </c:strRef>
          </c:cat>
          <c:val>
            <c:numRef>
              <c:f>(Credit_2016Q1!$Z$10,Credit_2016Q1!$L$10,Credit_2016Q1!$O$10,Credit_2016Q1!$R$10,Credit_2016Q1!$U$10)</c:f>
              <c:numCache>
                <c:formatCode>General</c:formatCode>
                <c:ptCount val="5"/>
                <c:pt idx="0">
                  <c:v>1</c:v>
                </c:pt>
                <c:pt idx="1">
                  <c:v>17</c:v>
                </c:pt>
                <c:pt idx="2">
                  <c:v>11</c:v>
                </c:pt>
                <c:pt idx="3">
                  <c:v>6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Credit_2016Q1!$J$11</c:f>
              <c:strCache>
                <c:ptCount val="1"/>
                <c:pt idx="0">
                  <c:v>BBB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dLbl>
              <c:idx val="0"/>
              <c:tx>
                <c:strRef>
                  <c:f>Credit_2016Q1!$J$11</c:f>
                  <c:strCache>
                    <c:ptCount val="1"/>
                    <c:pt idx="0">
                      <c:v>BBB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{0CF6906A-C0AC-4B3B-8BE8-B3871704346A}</c15:txfldGUID>
                      <c15:f>Credit_2016Q1!$J$11</c15:f>
                      <c15:dlblFieldTableCache>
                        <c:ptCount val="1"/>
                        <c:pt idx="0">
                          <c:v>BBB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Credit_2016Q1!$M$11</c:f>
                  <c:strCache>
                    <c:ptCount val="1"/>
                    <c:pt idx="0">
                      <c:v>26%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{F4FF39C3-511F-442B-B35C-0D7BC4F9E406}</c15:txfldGUID>
                      <c15:f>Credit_2016Q1!$M$11</c15:f>
                      <c15:dlblFieldTableCache>
                        <c:ptCount val="1"/>
                        <c:pt idx="0">
                          <c:v>26%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Credit_2016Q1!$P$11</c:f>
                  <c:strCache>
                    <c:ptCount val="1"/>
                    <c:pt idx="0">
                      <c:v>30%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{A75E57D2-387E-4123-89C9-4C1904279FF5}</c15:txfldGUID>
                      <c15:f>Credit_2016Q1!$P$11</c15:f>
                      <c15:dlblFieldTableCache>
                        <c:ptCount val="1"/>
                        <c:pt idx="0">
                          <c:v>30%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Credit_2016Q1!$S$11</c:f>
                  <c:strCache>
                    <c:ptCount val="1"/>
                    <c:pt idx="0">
                      <c:v>9%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{1089BF49-B6A0-4D52-93DA-E6F8EB0C1516}</c15:txfldGUID>
                      <c15:f>Credit_2016Q1!$S$11</c15:f>
                      <c15:dlblFieldTableCache>
                        <c:ptCount val="1"/>
                        <c:pt idx="0">
                          <c:v>9%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Credit_2016Q1!$V$11</c:f>
                  <c:strCache>
                    <c:ptCount val="1"/>
                    <c:pt idx="0">
                      <c:v>50%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{B1A3CD19-40D6-45B2-96B5-8B737F4A7CBA}</c15:txfldGUID>
                      <c15:f>Credit_2016Q1!$V$11</c15:f>
                      <c15:dlblFieldTableCache>
                        <c:ptCount val="1"/>
                        <c:pt idx="0">
                          <c:v>50%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(Credit_2016Q1!$J$5,Credit_2016Q1!$L$5,Credit_2016Q1!$O$5,Credit_2016Q1!$R$5,Credit_2016Q1!$U$5)</c:f>
              <c:strCache>
                <c:ptCount val="5"/>
                <c:pt idx="0">
                  <c:v>Rating</c:v>
                </c:pt>
                <c:pt idx="1">
                  <c:v>All Companies
(50)</c:v>
                </c:pt>
                <c:pt idx="2">
                  <c:v>Regulated
(37)</c:v>
                </c:pt>
                <c:pt idx="3">
                  <c:v>Mostly Regulated
(11)</c:v>
                </c:pt>
                <c:pt idx="4">
                  <c:v>Diversified
(2)</c:v>
                </c:pt>
              </c:strCache>
            </c:strRef>
          </c:cat>
          <c:val>
            <c:numRef>
              <c:f>(Credit_2016Q1!$Z$11,Credit_2016Q1!$L$11,Credit_2016Q1!$O$11,Credit_2016Q1!$R$11,Credit_2016Q1!$U$11)</c:f>
              <c:numCache>
                <c:formatCode>General</c:formatCode>
                <c:ptCount val="5"/>
                <c:pt idx="0">
                  <c:v>1</c:v>
                </c:pt>
                <c:pt idx="1">
                  <c:v>13</c:v>
                </c:pt>
                <c:pt idx="2">
                  <c:v>11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</c:ser>
        <c:ser>
          <c:idx val="4"/>
          <c:order val="4"/>
          <c:tx>
            <c:strRef>
              <c:f>Credit_2016Q1!$J$12</c:f>
              <c:strCache>
                <c:ptCount val="1"/>
                <c:pt idx="0">
                  <c:v>BBB-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dLbls>
            <c:dLbl>
              <c:idx val="0"/>
              <c:tx>
                <c:strRef>
                  <c:f>Credit_2016Q1!$J$12</c:f>
                  <c:strCache>
                    <c:ptCount val="1"/>
                    <c:pt idx="0">
                      <c:v>BBB-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{877C4E15-B67A-4E76-ADAC-8B013269B421}</c15:txfldGUID>
                      <c15:f>Credit_2016Q1!$J$12</c15:f>
                      <c15:dlblFieldTableCache>
                        <c:ptCount val="1"/>
                        <c:pt idx="0">
                          <c:v>BBB-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Credit_2016Q1!$M$12</c:f>
                  <c:strCache>
                    <c:ptCount val="1"/>
                    <c:pt idx="0">
                      <c:v>6%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{9146F0E4-299D-41FF-AA94-21D6C8275770}</c15:txfldGUID>
                      <c15:f>Credit_2016Q1!$M$12</c15:f>
                      <c15:dlblFieldTableCache>
                        <c:ptCount val="1"/>
                        <c:pt idx="0">
                          <c:v>6%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Credit_2016Q1!$P$12</c:f>
                  <c:strCache>
                    <c:ptCount val="1"/>
                    <c:pt idx="0">
                      <c:v>3%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{2DB2A0C8-DD0F-451F-BD99-C9CEC0BF37B6}</c15:txfldGUID>
                      <c15:f>Credit_2016Q1!$P$12</c15:f>
                      <c15:dlblFieldTableCache>
                        <c:ptCount val="1"/>
                        <c:pt idx="0">
                          <c:v>3%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Credit_2016Q1!$S$12</c:f>
                  <c:strCache>
                    <c:ptCount val="1"/>
                    <c:pt idx="0">
                      <c:v>9%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{E5687B79-9DFB-4C06-B883-7E323715B0EC}</c15:txfldGUID>
                      <c15:f>Credit_2016Q1!$S$12</c15:f>
                      <c15:dlblFieldTableCache>
                        <c:ptCount val="1"/>
                        <c:pt idx="0">
                          <c:v>9%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Credit_2016Q1!$V$12</c:f>
                  <c:strCache>
                    <c:ptCount val="1"/>
                    <c:pt idx="0">
                      <c:v>50%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{5333F759-0643-4FDF-B99C-9BF1B41B8546}</c15:txfldGUID>
                      <c15:f>Credit_2016Q1!$V$12</c15:f>
                      <c15:dlblFieldTableCache>
                        <c:ptCount val="1"/>
                        <c:pt idx="0">
                          <c:v>50%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(Credit_2016Q1!$J$5,Credit_2016Q1!$L$5,Credit_2016Q1!$O$5,Credit_2016Q1!$R$5,Credit_2016Q1!$U$5)</c:f>
              <c:strCache>
                <c:ptCount val="5"/>
                <c:pt idx="0">
                  <c:v>Rating</c:v>
                </c:pt>
                <c:pt idx="1">
                  <c:v>All Companies
(50)</c:v>
                </c:pt>
                <c:pt idx="2">
                  <c:v>Regulated
(37)</c:v>
                </c:pt>
                <c:pt idx="3">
                  <c:v>Mostly Regulated
(11)</c:v>
                </c:pt>
                <c:pt idx="4">
                  <c:v>Diversified
(2)</c:v>
                </c:pt>
              </c:strCache>
            </c:strRef>
          </c:cat>
          <c:val>
            <c:numRef>
              <c:f>(Credit_2016Q1!$Z$12,Credit_2016Q1!$L$12,Credit_2016Q1!$O$12,Credit_2016Q1!$R$12,Credit_2016Q1!$U$12)</c:f>
              <c:numCache>
                <c:formatCode>General</c:formatCode>
                <c:ptCount val="5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</c:ser>
        <c:ser>
          <c:idx val="5"/>
          <c:order val="5"/>
          <c:tx>
            <c:strRef>
              <c:f>Credit_2016Q1!$J$13</c:f>
              <c:strCache>
                <c:ptCount val="1"/>
                <c:pt idx="0">
                  <c:v>Below BBB-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invertIfNegative val="0"/>
          <c:dLbls>
            <c:dLbl>
              <c:idx val="0"/>
              <c:tx>
                <c:strRef>
                  <c:f>Credit_2016Q1!$J$13</c:f>
                  <c:strCache>
                    <c:ptCount val="1"/>
                    <c:pt idx="0">
                      <c:v>Below BBB-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{542C6C03-3B8D-4C85-AB8A-12CEE32DD124}</c15:txfldGUID>
                      <c15:f>Credit_2016Q1!$J$13</c15:f>
                      <c15:dlblFieldTableCache>
                        <c:ptCount val="1"/>
                        <c:pt idx="0">
                          <c:v>Below BBB-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Credit_2016Q1!$M$13</c:f>
                  <c:strCache>
                    <c:ptCount val="1"/>
                    <c:pt idx="0">
                      <c:v>4%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{D11A8C5A-3088-4C6F-B474-FE4FBF239280}</c15:txfldGUID>
                      <c15:f>Credit_2016Q1!$M$13</c15:f>
                      <c15:dlblFieldTableCache>
                        <c:ptCount val="1"/>
                        <c:pt idx="0">
                          <c:v>4%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Credit_2016Q1!$P$13</c:f>
                  <c:strCache>
                    <c:ptCount val="1"/>
                    <c:pt idx="0">
                      <c:v>5%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{1F5DC866-D1D2-4891-A8C4-777D85921BD0}</c15:txfldGUID>
                      <c15:f>Credit_2016Q1!$P$13</c15:f>
                      <c15:dlblFieldTableCache>
                        <c:ptCount val="1"/>
                        <c:pt idx="0">
                          <c:v>5%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Credit_2016Q1!$S$13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{2C996AB2-0E23-4FFC-97CE-6E3A5EC7C882}</c15:txfldGUID>
                      <c15:f>Credit_2016Q1!$S$13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Credit_2016Q1!$V$13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{B920E7AD-A5D7-4BED-8213-7B2D9A9BB0D7}</c15:txfldGUID>
                      <c15:f>Credit_2016Q1!$V$13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(Credit_2016Q1!$J$5,Credit_2016Q1!$L$5,Credit_2016Q1!$O$5,Credit_2016Q1!$R$5,Credit_2016Q1!$U$5)</c:f>
              <c:strCache>
                <c:ptCount val="5"/>
                <c:pt idx="0">
                  <c:v>Rating</c:v>
                </c:pt>
                <c:pt idx="1">
                  <c:v>All Companies
(50)</c:v>
                </c:pt>
                <c:pt idx="2">
                  <c:v>Regulated
(37)</c:v>
                </c:pt>
                <c:pt idx="3">
                  <c:v>Mostly Regulated
(11)</c:v>
                </c:pt>
                <c:pt idx="4">
                  <c:v>Diversified
(2)</c:v>
                </c:pt>
              </c:strCache>
            </c:strRef>
          </c:cat>
          <c:val>
            <c:numRef>
              <c:f>(Credit_2016Q1!$Z$13,Credit_2016Q1!$L$13,Credit_2016Q1!$O$13,Credit_2016Q1!$R$13,Credit_2016Q1!$U$13)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671825008"/>
        <c:axId val="671824224"/>
      </c:barChart>
      <c:catAx>
        <c:axId val="6718250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high"/>
        <c:txPr>
          <a:bodyPr/>
          <a:lstStyle/>
          <a:p>
            <a:pPr>
              <a:defRPr sz="1300">
                <a:solidFill>
                  <a:sysClr val="windowText" lastClr="000000"/>
                </a:solidFill>
              </a:defRPr>
            </a:pPr>
            <a:endParaRPr lang="en-US"/>
          </a:p>
        </c:txPr>
        <c:crossAx val="671824224"/>
        <c:crosses val="max"/>
        <c:auto val="1"/>
        <c:lblAlgn val="ctr"/>
        <c:lblOffset val="100"/>
        <c:noMultiLvlLbl val="0"/>
      </c:catAx>
      <c:valAx>
        <c:axId val="671824224"/>
        <c:scaling>
          <c:orientation val="maxMin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0%" sourceLinked="1"/>
        <c:majorTickMark val="none"/>
        <c:minorTickMark val="none"/>
        <c:tickLblPos val="none"/>
        <c:spPr>
          <a:ln>
            <a:noFill/>
          </a:ln>
        </c:spPr>
        <c:crossAx val="671825008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1">
          <a:solidFill>
            <a:schemeClr val="bg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3">
                  <a:lumMod val="50000"/>
                </a:schemeClr>
              </a:solidFill>
            </c:spPr>
          </c:dPt>
          <c:dPt>
            <c:idx val="1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50000"/>
                </a:schemeClr>
              </a:solidFill>
            </c:spPr>
          </c:dPt>
          <c:dPt>
            <c:idx val="3"/>
            <c:bubble3D val="0"/>
            <c:spPr>
              <a:solidFill>
                <a:schemeClr val="accent5">
                  <a:lumMod val="75000"/>
                </a:schemeClr>
              </a:solidFill>
            </c:spPr>
          </c:dPt>
          <c:dPt>
            <c:idx val="4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</c:dPt>
          <c:dPt>
            <c:idx val="5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ysClr val="windowText" lastClr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5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ysClr val="windowText" lastClr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Credit_2015Q4!$J$8:$J$13</c:f>
              <c:strCache>
                <c:ptCount val="6"/>
                <c:pt idx="0">
                  <c:v>A or higher</c:v>
                </c:pt>
                <c:pt idx="1">
                  <c:v>A-</c:v>
                </c:pt>
                <c:pt idx="2">
                  <c:v>BBB+</c:v>
                </c:pt>
                <c:pt idx="3">
                  <c:v>BBB</c:v>
                </c:pt>
                <c:pt idx="4">
                  <c:v>BBB-</c:v>
                </c:pt>
                <c:pt idx="5">
                  <c:v>Below BBB-</c:v>
                </c:pt>
              </c:strCache>
            </c:strRef>
          </c:cat>
          <c:val>
            <c:numRef>
              <c:f>Credit_2015Q4!$M$8:$M$13</c:f>
              <c:numCache>
                <c:formatCode>0%</c:formatCode>
                <c:ptCount val="6"/>
                <c:pt idx="0">
                  <c:v>3.9215686274509803E-2</c:v>
                </c:pt>
                <c:pt idx="1">
                  <c:v>0.25490196078431371</c:v>
                </c:pt>
                <c:pt idx="2">
                  <c:v>0.35294117647058826</c:v>
                </c:pt>
                <c:pt idx="3">
                  <c:v>0.25490196078431371</c:v>
                </c:pt>
                <c:pt idx="4">
                  <c:v>5.8823529411764705E-2</c:v>
                </c:pt>
                <c:pt idx="5">
                  <c:v>3.9215686274509803E-2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4.0854248593277388E-2"/>
          <c:w val="1"/>
          <c:h val="0.7859199662194755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Credit_2015Q4!$J$8</c:f>
              <c:strCache>
                <c:ptCount val="1"/>
                <c:pt idx="0">
                  <c:v>A or higher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invertIfNegative val="0"/>
          <c:dLbls>
            <c:dLbl>
              <c:idx val="0"/>
              <c:tx>
                <c:strRef>
                  <c:f>Credit_2015Q4!$J$8</c:f>
                  <c:strCache>
                    <c:ptCount val="1"/>
                    <c:pt idx="0">
                      <c:v>A or higher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{D3C4C43E-7B68-4B8F-9F0D-F2E7A4E8ECCB}</c15:txfldGUID>
                      <c15:f>Credit_2015Q4!$J$8</c15:f>
                      <c15:dlblFieldTableCache>
                        <c:ptCount val="1"/>
                        <c:pt idx="0">
                          <c:v>A or higher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Credit_2015Q4!$M$8</c:f>
                  <c:strCache>
                    <c:ptCount val="1"/>
                    <c:pt idx="0">
                      <c:v>4%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{45E16881-2669-4D43-A13D-795BBB65ADD1}</c15:txfldGUID>
                      <c15:f>Credit_2015Q4!$M$8</c15:f>
                      <c15:dlblFieldTableCache>
                        <c:ptCount val="1"/>
                        <c:pt idx="0">
                          <c:v>4%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Credit_2015Q4!$P$8</c:f>
                  <c:strCache>
                    <c:ptCount val="1"/>
                    <c:pt idx="0">
                      <c:v>3%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{83382599-6228-4F84-9448-C400719DBDCF}</c15:txfldGUID>
                      <c15:f>Credit_2015Q4!$P$8</c15:f>
                      <c15:dlblFieldTableCache>
                        <c:ptCount val="1"/>
                        <c:pt idx="0">
                          <c:v>3%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Credit_2015Q4!$S$8</c:f>
                  <c:strCache>
                    <c:ptCount val="1"/>
                    <c:pt idx="0">
                      <c:v>8%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{C956FCD2-C91A-463E-AB71-97474473AAEB}</c15:txfldGUID>
                      <c15:f>Credit_2015Q4!$S$8</c15:f>
                      <c15:dlblFieldTableCache>
                        <c:ptCount val="1"/>
                        <c:pt idx="0">
                          <c:v>8%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Credit_2015Q4!$V$8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{6979DF7E-1D18-4668-A99A-4E1BDB92FAFB}</c15:txfldGUID>
                      <c15:f>Credit_2015Q4!$V$8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(Credit_2015Q4!$J$5,Credit_2015Q4!$L$5,Credit_2015Q4!$O$5,Credit_2015Q4!$R$5,Credit_2015Q4!$U$5)</c:f>
              <c:strCache>
                <c:ptCount val="5"/>
                <c:pt idx="0">
                  <c:v>Rating</c:v>
                </c:pt>
                <c:pt idx="1">
                  <c:v>All Companies
(51)</c:v>
                </c:pt>
                <c:pt idx="2">
                  <c:v>Regulated
(36)</c:v>
                </c:pt>
                <c:pt idx="3">
                  <c:v>Mostly Regulated
(13)</c:v>
                </c:pt>
                <c:pt idx="4">
                  <c:v>Diversified
(2)</c:v>
                </c:pt>
              </c:strCache>
            </c:strRef>
          </c:cat>
          <c:val>
            <c:numRef>
              <c:f>(Credit_2015Q4!$Z$8,Credit_2015Q4!$L$8,Credit_2015Q4!$O$8,Credit_2015Q4!$R$8,Credit_2015Q4!$U$8)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Credit_2015Q4!$J$9</c:f>
              <c:strCache>
                <c:ptCount val="1"/>
                <c:pt idx="0">
                  <c:v>A-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tx>
                <c:strRef>
                  <c:f>Credit_2015Q4!$J$9</c:f>
                  <c:strCache>
                    <c:ptCount val="1"/>
                    <c:pt idx="0">
                      <c:v>A-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{A61A4670-3ABF-4238-8132-E0E57226B14B}</c15:txfldGUID>
                      <c15:f>Credit_2015Q4!$J$9</c15:f>
                      <c15:dlblFieldTableCache>
                        <c:ptCount val="1"/>
                        <c:pt idx="0">
                          <c:v>A-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Credit_2015Q4!$M$9</c:f>
                  <c:strCache>
                    <c:ptCount val="1"/>
                    <c:pt idx="0">
                      <c:v>25%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{D2856DCF-7D05-46C6-8BA7-9552A7C63A79}</c15:txfldGUID>
                      <c15:f>Credit_2015Q4!$M$9</c15:f>
                      <c15:dlblFieldTableCache>
                        <c:ptCount val="1"/>
                        <c:pt idx="0">
                          <c:v>25%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Credit_2015Q4!$P$9</c:f>
                  <c:strCache>
                    <c:ptCount val="1"/>
                    <c:pt idx="0">
                      <c:v>22%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{44736063-CA0B-415E-AD44-F3DAA4C7D8D4}</c15:txfldGUID>
                      <c15:f>Credit_2015Q4!$P$9</c15:f>
                      <c15:dlblFieldTableCache>
                        <c:ptCount val="1"/>
                        <c:pt idx="0">
                          <c:v>22%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Credit_2015Q4!$S$9</c:f>
                  <c:strCache>
                    <c:ptCount val="1"/>
                    <c:pt idx="0">
                      <c:v>38%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{07E245FF-5A72-486F-978F-7E779B4525F5}</c15:txfldGUID>
                      <c15:f>Credit_2015Q4!$S$9</c15:f>
                      <c15:dlblFieldTableCache>
                        <c:ptCount val="1"/>
                        <c:pt idx="0">
                          <c:v>38%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Credit_2015Q4!$V$9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{4205A824-6F50-4F5D-89B4-86EF5649EB73}</c15:txfldGUID>
                      <c15:f>Credit_2015Q4!$V$9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(Credit_2015Q4!$J$5,Credit_2015Q4!$L$5,Credit_2015Q4!$O$5,Credit_2015Q4!$R$5,Credit_2015Q4!$U$5)</c:f>
              <c:strCache>
                <c:ptCount val="5"/>
                <c:pt idx="0">
                  <c:v>Rating</c:v>
                </c:pt>
                <c:pt idx="1">
                  <c:v>All Companies
(51)</c:v>
                </c:pt>
                <c:pt idx="2">
                  <c:v>Regulated
(36)</c:v>
                </c:pt>
                <c:pt idx="3">
                  <c:v>Mostly Regulated
(13)</c:v>
                </c:pt>
                <c:pt idx="4">
                  <c:v>Diversified
(2)</c:v>
                </c:pt>
              </c:strCache>
            </c:strRef>
          </c:cat>
          <c:val>
            <c:numRef>
              <c:f>(Credit_2015Q4!$Z$9,Credit_2015Q4!$L$9,Credit_2015Q4!$O$9,Credit_2015Q4!$R$9,Credit_2015Q4!$U$9)</c:f>
              <c:numCache>
                <c:formatCode>General</c:formatCode>
                <c:ptCount val="5"/>
                <c:pt idx="0">
                  <c:v>1</c:v>
                </c:pt>
                <c:pt idx="1">
                  <c:v>13</c:v>
                </c:pt>
                <c:pt idx="2">
                  <c:v>8</c:v>
                </c:pt>
                <c:pt idx="3">
                  <c:v>5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Credit_2015Q4!$J$10</c:f>
              <c:strCache>
                <c:ptCount val="1"/>
                <c:pt idx="0">
                  <c:v>BBB+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invertIfNegative val="0"/>
          <c:dLbls>
            <c:dLbl>
              <c:idx val="0"/>
              <c:tx>
                <c:strRef>
                  <c:f>Credit_2015Q4!$J$10</c:f>
                  <c:strCache>
                    <c:ptCount val="1"/>
                    <c:pt idx="0">
                      <c:v>BBB+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{314905A9-7342-4F43-A26C-2C29ED75A6B7}</c15:txfldGUID>
                      <c15:f>Credit_2015Q4!$J$10</c15:f>
                      <c15:dlblFieldTableCache>
                        <c:ptCount val="1"/>
                        <c:pt idx="0">
                          <c:v>BBB+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Credit_2015Q4!$M$10</c:f>
                  <c:strCache>
                    <c:ptCount val="1"/>
                    <c:pt idx="0">
                      <c:v>35%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{2F9230B0-F260-4D2A-999A-12A9006E851D}</c15:txfldGUID>
                      <c15:f>Credit_2015Q4!$M$10</c15:f>
                      <c15:dlblFieldTableCache>
                        <c:ptCount val="1"/>
                        <c:pt idx="0">
                          <c:v>35%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Credit_2015Q4!$P$10</c:f>
                  <c:strCache>
                    <c:ptCount val="1"/>
                    <c:pt idx="0">
                      <c:v>33%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{2CAC21AA-2AA7-4D3A-8F71-13C6CADA5E73}</c15:txfldGUID>
                      <c15:f>Credit_2015Q4!$P$10</c15:f>
                      <c15:dlblFieldTableCache>
                        <c:ptCount val="1"/>
                        <c:pt idx="0">
                          <c:v>33%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Credit_2015Q4!$S$10</c:f>
                  <c:strCache>
                    <c:ptCount val="1"/>
                    <c:pt idx="0">
                      <c:v>38%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{1AA72445-49BA-4829-8B5C-64AA01E95DCC}</c15:txfldGUID>
                      <c15:f>Credit_2015Q4!$S$10</c15:f>
                      <c15:dlblFieldTableCache>
                        <c:ptCount val="1"/>
                        <c:pt idx="0">
                          <c:v>38%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Credit_2015Q4!$V$10</c:f>
                  <c:strCache>
                    <c:ptCount val="1"/>
                    <c:pt idx="0">
                      <c:v>50%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{FCB25F5D-8225-4ED4-8FB7-451A74ED042C}</c15:txfldGUID>
                      <c15:f>Credit_2015Q4!$V$10</c15:f>
                      <c15:dlblFieldTableCache>
                        <c:ptCount val="1"/>
                        <c:pt idx="0">
                          <c:v>50%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(Credit_2015Q4!$J$5,Credit_2015Q4!$L$5,Credit_2015Q4!$O$5,Credit_2015Q4!$R$5,Credit_2015Q4!$U$5)</c:f>
              <c:strCache>
                <c:ptCount val="5"/>
                <c:pt idx="0">
                  <c:v>Rating</c:v>
                </c:pt>
                <c:pt idx="1">
                  <c:v>All Companies
(51)</c:v>
                </c:pt>
                <c:pt idx="2">
                  <c:v>Regulated
(36)</c:v>
                </c:pt>
                <c:pt idx="3">
                  <c:v>Mostly Regulated
(13)</c:v>
                </c:pt>
                <c:pt idx="4">
                  <c:v>Diversified
(2)</c:v>
                </c:pt>
              </c:strCache>
            </c:strRef>
          </c:cat>
          <c:val>
            <c:numRef>
              <c:f>(Credit_2015Q4!$Z$10,Credit_2015Q4!$L$10,Credit_2015Q4!$O$10,Credit_2015Q4!$R$10,Credit_2015Q4!$U$10)</c:f>
              <c:numCache>
                <c:formatCode>General</c:formatCode>
                <c:ptCount val="5"/>
                <c:pt idx="0">
                  <c:v>1</c:v>
                </c:pt>
                <c:pt idx="1">
                  <c:v>18</c:v>
                </c:pt>
                <c:pt idx="2">
                  <c:v>12</c:v>
                </c:pt>
                <c:pt idx="3">
                  <c:v>5</c:v>
                </c:pt>
                <c:pt idx="4">
                  <c:v>1</c:v>
                </c:pt>
              </c:numCache>
            </c:numRef>
          </c:val>
        </c:ser>
        <c:ser>
          <c:idx val="3"/>
          <c:order val="3"/>
          <c:tx>
            <c:strRef>
              <c:f>Credit_2015Q4!$J$11</c:f>
              <c:strCache>
                <c:ptCount val="1"/>
                <c:pt idx="0">
                  <c:v>BBB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dLbl>
              <c:idx val="0"/>
              <c:tx>
                <c:strRef>
                  <c:f>Credit_2015Q4!$J$11</c:f>
                  <c:strCache>
                    <c:ptCount val="1"/>
                    <c:pt idx="0">
                      <c:v>BBB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{78A8760E-CA49-4A4E-8175-97EA50FC63F7}</c15:txfldGUID>
                      <c15:f>Credit_2015Q4!$J$11</c15:f>
                      <c15:dlblFieldTableCache>
                        <c:ptCount val="1"/>
                        <c:pt idx="0">
                          <c:v>BBB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Credit_2015Q4!$M$11</c:f>
                  <c:strCache>
                    <c:ptCount val="1"/>
                    <c:pt idx="0">
                      <c:v>25%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{9F9BBC9B-ADF8-4119-A8BE-7AF9AD6C3A14}</c15:txfldGUID>
                      <c15:f>Credit_2015Q4!$M$11</c15:f>
                      <c15:dlblFieldTableCache>
                        <c:ptCount val="1"/>
                        <c:pt idx="0">
                          <c:v>25%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Credit_2015Q4!$P$11</c:f>
                  <c:strCache>
                    <c:ptCount val="1"/>
                    <c:pt idx="0">
                      <c:v>33%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{620355AB-E89E-4FEE-9644-2A37141874A7}</c15:txfldGUID>
                      <c15:f>Credit_2015Q4!$P$11</c15:f>
                      <c15:dlblFieldTableCache>
                        <c:ptCount val="1"/>
                        <c:pt idx="0">
                          <c:v>33%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Credit_2015Q4!$S$11</c:f>
                  <c:strCache>
                    <c:ptCount val="1"/>
                    <c:pt idx="0">
                      <c:v>8%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{FAD571C9-AC57-4611-8064-9CE343FCEE84}</c15:txfldGUID>
                      <c15:f>Credit_2015Q4!$S$11</c15:f>
                      <c15:dlblFieldTableCache>
                        <c:ptCount val="1"/>
                        <c:pt idx="0">
                          <c:v>8%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Credit_2015Q4!$V$11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{D4BE2962-F294-4C94-B76C-F0E74AE8624C}</c15:txfldGUID>
                      <c15:f>Credit_2015Q4!$V$11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(Credit_2015Q4!$J$5,Credit_2015Q4!$L$5,Credit_2015Q4!$O$5,Credit_2015Q4!$R$5,Credit_2015Q4!$U$5)</c:f>
              <c:strCache>
                <c:ptCount val="5"/>
                <c:pt idx="0">
                  <c:v>Rating</c:v>
                </c:pt>
                <c:pt idx="1">
                  <c:v>All Companies
(51)</c:v>
                </c:pt>
                <c:pt idx="2">
                  <c:v>Regulated
(36)</c:v>
                </c:pt>
                <c:pt idx="3">
                  <c:v>Mostly Regulated
(13)</c:v>
                </c:pt>
                <c:pt idx="4">
                  <c:v>Diversified
(2)</c:v>
                </c:pt>
              </c:strCache>
            </c:strRef>
          </c:cat>
          <c:val>
            <c:numRef>
              <c:f>(Credit_2015Q4!$Z$11,Credit_2015Q4!$L$11,Credit_2015Q4!$O$11,Credit_2015Q4!$R$11,Credit_2015Q4!$U$11)</c:f>
              <c:numCache>
                <c:formatCode>General</c:formatCode>
                <c:ptCount val="5"/>
                <c:pt idx="0">
                  <c:v>1</c:v>
                </c:pt>
                <c:pt idx="1">
                  <c:v>13</c:v>
                </c:pt>
                <c:pt idx="2">
                  <c:v>12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</c:ser>
        <c:ser>
          <c:idx val="4"/>
          <c:order val="4"/>
          <c:tx>
            <c:strRef>
              <c:f>Credit_2015Q4!$J$12</c:f>
              <c:strCache>
                <c:ptCount val="1"/>
                <c:pt idx="0">
                  <c:v>BBB-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dLbls>
            <c:dLbl>
              <c:idx val="0"/>
              <c:tx>
                <c:strRef>
                  <c:f>Credit_2015Q4!$J$12</c:f>
                  <c:strCache>
                    <c:ptCount val="1"/>
                    <c:pt idx="0">
                      <c:v>BBB-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{18DF07F6-8724-475A-A1CF-67843EE0952C}</c15:txfldGUID>
                      <c15:f>Credit_2015Q4!$J$12</c15:f>
                      <c15:dlblFieldTableCache>
                        <c:ptCount val="1"/>
                        <c:pt idx="0">
                          <c:v>BBB-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Credit_2015Q4!$M$12</c:f>
                  <c:strCache>
                    <c:ptCount val="1"/>
                    <c:pt idx="0">
                      <c:v>6%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{12FCF97C-2D59-40D9-AB45-77EA269FABCE}</c15:txfldGUID>
                      <c15:f>Credit_2015Q4!$M$12</c15:f>
                      <c15:dlblFieldTableCache>
                        <c:ptCount val="1"/>
                        <c:pt idx="0">
                          <c:v>6%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Credit_2015Q4!$P$12</c:f>
                  <c:strCache>
                    <c:ptCount val="1"/>
                    <c:pt idx="0">
                      <c:v>3%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{8B38D6DF-CB95-455C-995A-61A9FD9CF0EF}</c15:txfldGUID>
                      <c15:f>Credit_2015Q4!$P$12</c15:f>
                      <c15:dlblFieldTableCache>
                        <c:ptCount val="1"/>
                        <c:pt idx="0">
                          <c:v>3%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Credit_2015Q4!$S$12</c:f>
                  <c:strCache>
                    <c:ptCount val="1"/>
                    <c:pt idx="0">
                      <c:v>8%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{680384AB-E94C-47A1-826E-5BF6766365C6}</c15:txfldGUID>
                      <c15:f>Credit_2015Q4!$S$12</c15:f>
                      <c15:dlblFieldTableCache>
                        <c:ptCount val="1"/>
                        <c:pt idx="0">
                          <c:v>8%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Credit_2015Q4!$V$12</c:f>
                  <c:strCache>
                    <c:ptCount val="1"/>
                    <c:pt idx="0">
                      <c:v>50%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{3EF93CAA-1DAE-48E4-A14C-61495036439B}</c15:txfldGUID>
                      <c15:f>Credit_2015Q4!$V$12</c15:f>
                      <c15:dlblFieldTableCache>
                        <c:ptCount val="1"/>
                        <c:pt idx="0">
                          <c:v>50%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(Credit_2015Q4!$J$5,Credit_2015Q4!$L$5,Credit_2015Q4!$O$5,Credit_2015Q4!$R$5,Credit_2015Q4!$U$5)</c:f>
              <c:strCache>
                <c:ptCount val="5"/>
                <c:pt idx="0">
                  <c:v>Rating</c:v>
                </c:pt>
                <c:pt idx="1">
                  <c:v>All Companies
(51)</c:v>
                </c:pt>
                <c:pt idx="2">
                  <c:v>Regulated
(36)</c:v>
                </c:pt>
                <c:pt idx="3">
                  <c:v>Mostly Regulated
(13)</c:v>
                </c:pt>
                <c:pt idx="4">
                  <c:v>Diversified
(2)</c:v>
                </c:pt>
              </c:strCache>
            </c:strRef>
          </c:cat>
          <c:val>
            <c:numRef>
              <c:f>(Credit_2015Q4!$Z$12,Credit_2015Q4!$L$12,Credit_2015Q4!$O$12,Credit_2015Q4!$R$12,Credit_2015Q4!$U$12)</c:f>
              <c:numCache>
                <c:formatCode>General</c:formatCode>
                <c:ptCount val="5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</c:ser>
        <c:ser>
          <c:idx val="5"/>
          <c:order val="5"/>
          <c:tx>
            <c:strRef>
              <c:f>Credit_2015Q4!$J$13</c:f>
              <c:strCache>
                <c:ptCount val="1"/>
                <c:pt idx="0">
                  <c:v>Below BBB-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invertIfNegative val="0"/>
          <c:dLbls>
            <c:dLbl>
              <c:idx val="0"/>
              <c:tx>
                <c:strRef>
                  <c:f>Credit_2015Q4!$J$13</c:f>
                  <c:strCache>
                    <c:ptCount val="1"/>
                    <c:pt idx="0">
                      <c:v>Below BBB-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{978EF016-0FE2-4831-889E-44EBCD5389A0}</c15:txfldGUID>
                      <c15:f>Credit_2015Q4!$J$13</c15:f>
                      <c15:dlblFieldTableCache>
                        <c:ptCount val="1"/>
                        <c:pt idx="0">
                          <c:v>Below BBB-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Credit_2015Q4!$M$13</c:f>
                  <c:strCache>
                    <c:ptCount val="1"/>
                    <c:pt idx="0">
                      <c:v>4%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{3C8F7A32-9243-4090-933D-487A154B69A5}</c15:txfldGUID>
                      <c15:f>Credit_2015Q4!$M$13</c15:f>
                      <c15:dlblFieldTableCache>
                        <c:ptCount val="1"/>
                        <c:pt idx="0">
                          <c:v>4%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Credit_2015Q4!$P$13</c:f>
                  <c:strCache>
                    <c:ptCount val="1"/>
                    <c:pt idx="0">
                      <c:v>6%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{A10C461D-9CAC-43E1-967B-01C3BAABF2D7}</c15:txfldGUID>
                      <c15:f>Credit_2015Q4!$P$13</c15:f>
                      <c15:dlblFieldTableCache>
                        <c:ptCount val="1"/>
                        <c:pt idx="0">
                          <c:v>6%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Credit_2015Q4!$S$13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{98C63D67-E077-4529-B925-CB8F20350D1B}</c15:txfldGUID>
                      <c15:f>Credit_2015Q4!$S$13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Credit_2015Q4!$V$13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{11EE6452-61DE-4583-8B67-9B7F0669603C}</c15:txfldGUID>
                      <c15:f>Credit_2015Q4!$V$13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(Credit_2015Q4!$J$5,Credit_2015Q4!$L$5,Credit_2015Q4!$O$5,Credit_2015Q4!$R$5,Credit_2015Q4!$U$5)</c:f>
              <c:strCache>
                <c:ptCount val="5"/>
                <c:pt idx="0">
                  <c:v>Rating</c:v>
                </c:pt>
                <c:pt idx="1">
                  <c:v>All Companies
(51)</c:v>
                </c:pt>
                <c:pt idx="2">
                  <c:v>Regulated
(36)</c:v>
                </c:pt>
                <c:pt idx="3">
                  <c:v>Mostly Regulated
(13)</c:v>
                </c:pt>
                <c:pt idx="4">
                  <c:v>Diversified
(2)</c:v>
                </c:pt>
              </c:strCache>
            </c:strRef>
          </c:cat>
          <c:val>
            <c:numRef>
              <c:f>(Credit_2015Q4!$Z$13,Credit_2015Q4!$L$13,Credit_2015Q4!$O$13,Credit_2015Q4!$R$13,Credit_2015Q4!$U$13)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671822656"/>
        <c:axId val="671820696"/>
      </c:barChart>
      <c:catAx>
        <c:axId val="6718226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high"/>
        <c:txPr>
          <a:bodyPr/>
          <a:lstStyle/>
          <a:p>
            <a:pPr>
              <a:defRPr sz="1300">
                <a:solidFill>
                  <a:sysClr val="windowText" lastClr="000000"/>
                </a:solidFill>
              </a:defRPr>
            </a:pPr>
            <a:endParaRPr lang="en-US"/>
          </a:p>
        </c:txPr>
        <c:crossAx val="671820696"/>
        <c:crosses val="max"/>
        <c:auto val="1"/>
        <c:lblAlgn val="ctr"/>
        <c:lblOffset val="100"/>
        <c:noMultiLvlLbl val="0"/>
      </c:catAx>
      <c:valAx>
        <c:axId val="671820696"/>
        <c:scaling>
          <c:orientation val="maxMin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0%" sourceLinked="1"/>
        <c:majorTickMark val="none"/>
        <c:minorTickMark val="none"/>
        <c:tickLblPos val="none"/>
        <c:spPr>
          <a:ln>
            <a:noFill/>
          </a:ln>
        </c:spPr>
        <c:crossAx val="67182265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1">
          <a:solidFill>
            <a:schemeClr val="bg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3">
                  <a:lumMod val="50000"/>
                </a:schemeClr>
              </a:solidFill>
            </c:spPr>
          </c:dPt>
          <c:dPt>
            <c:idx val="1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50000"/>
                </a:schemeClr>
              </a:solidFill>
            </c:spPr>
          </c:dPt>
          <c:dPt>
            <c:idx val="3"/>
            <c:bubble3D val="0"/>
            <c:spPr>
              <a:solidFill>
                <a:schemeClr val="accent5">
                  <a:lumMod val="75000"/>
                </a:schemeClr>
              </a:solidFill>
            </c:spPr>
          </c:dPt>
          <c:dPt>
            <c:idx val="4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</c:dPt>
          <c:dPt>
            <c:idx val="5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ysClr val="windowText" lastClr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4"/>
              <c:spPr/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5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ysClr val="windowText" lastClr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Credit_2015Q3!$J$8:$J$13</c:f>
              <c:strCache>
                <c:ptCount val="6"/>
                <c:pt idx="0">
                  <c:v>A or higher</c:v>
                </c:pt>
                <c:pt idx="1">
                  <c:v>A-</c:v>
                </c:pt>
                <c:pt idx="2">
                  <c:v>BBB+</c:v>
                </c:pt>
                <c:pt idx="3">
                  <c:v>BBB</c:v>
                </c:pt>
                <c:pt idx="4">
                  <c:v>BBB-</c:v>
                </c:pt>
                <c:pt idx="5">
                  <c:v>Below BBB-</c:v>
                </c:pt>
              </c:strCache>
            </c:strRef>
          </c:cat>
          <c:val>
            <c:numRef>
              <c:f>Credit_2015Q3!$M$8:$M$13</c:f>
              <c:numCache>
                <c:formatCode>0%</c:formatCode>
                <c:ptCount val="6"/>
                <c:pt idx="0">
                  <c:v>3.8461538461538464E-2</c:v>
                </c:pt>
                <c:pt idx="1">
                  <c:v>0.25</c:v>
                </c:pt>
                <c:pt idx="2">
                  <c:v>0.32692307692307693</c:v>
                </c:pt>
                <c:pt idx="3">
                  <c:v>0.28846153846153844</c:v>
                </c:pt>
                <c:pt idx="4">
                  <c:v>5.7692307692307696E-2</c:v>
                </c:pt>
                <c:pt idx="5">
                  <c:v>3.8461538461538464E-2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4.0854248593277388E-2"/>
          <c:w val="1"/>
          <c:h val="0.7859199662194755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Credit_2015Q3!$J$8</c:f>
              <c:strCache>
                <c:ptCount val="1"/>
                <c:pt idx="0">
                  <c:v>A or higher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invertIfNegative val="0"/>
          <c:dLbls>
            <c:dLbl>
              <c:idx val="0"/>
              <c:tx>
                <c:strRef>
                  <c:f>Credit_2015Q3!$J$8</c:f>
                  <c:strCache>
                    <c:ptCount val="1"/>
                    <c:pt idx="0">
                      <c:v>A or higher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{50E71ABB-A45F-4593-A34D-5567B294EC36}</c15:txfldGUID>
                      <c15:f>Credit_2015Q3!$J$8</c15:f>
                      <c15:dlblFieldTableCache>
                        <c:ptCount val="1"/>
                        <c:pt idx="0">
                          <c:v>A or higher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Credit_2015Q3!$M$8</c:f>
                  <c:strCache>
                    <c:ptCount val="1"/>
                    <c:pt idx="0">
                      <c:v>4%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{3508B308-77C1-451A-B4A7-6D5EE3DB538E}</c15:txfldGUID>
                      <c15:f>Credit_2015Q3!$M$8</c15:f>
                      <c15:dlblFieldTableCache>
                        <c:ptCount val="1"/>
                        <c:pt idx="0">
                          <c:v>4%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Credit_2015Q3!$P$8</c:f>
                  <c:strCache>
                    <c:ptCount val="1"/>
                    <c:pt idx="0">
                      <c:v>3%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{F2BD56B3-C478-4BC1-9F71-C99CE05FBD9D}</c15:txfldGUID>
                      <c15:f>Credit_2015Q3!$P$8</c15:f>
                      <c15:dlblFieldTableCache>
                        <c:ptCount val="1"/>
                        <c:pt idx="0">
                          <c:v>3%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Credit_2015Q3!$S$8</c:f>
                  <c:strCache>
                    <c:ptCount val="1"/>
                    <c:pt idx="0">
                      <c:v>8%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{5FABE130-BF29-476A-B0AF-839DEE592FAD}</c15:txfldGUID>
                      <c15:f>Credit_2015Q3!$S$8</c15:f>
                      <c15:dlblFieldTableCache>
                        <c:ptCount val="1"/>
                        <c:pt idx="0">
                          <c:v>8%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Credit_2015Q3!$V$8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{C32AC9B8-AC6D-4A17-BC52-5ECE4FF2FF82}</c15:txfldGUID>
                      <c15:f>Credit_2015Q3!$V$8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(Credit_2015Q3!$J$5,Credit_2015Q3!$L$5,Credit_2015Q3!$O$5,Credit_2015Q3!$R$5,Credit_2015Q3!$U$5)</c:f>
              <c:strCache>
                <c:ptCount val="5"/>
                <c:pt idx="0">
                  <c:v>Rating</c:v>
                </c:pt>
                <c:pt idx="1">
                  <c:v>All Companies
(52)</c:v>
                </c:pt>
                <c:pt idx="2">
                  <c:v>Regulated
(37)</c:v>
                </c:pt>
                <c:pt idx="3">
                  <c:v>Mostly Regulated
(13)</c:v>
                </c:pt>
                <c:pt idx="4">
                  <c:v>Diversified
(2)</c:v>
                </c:pt>
              </c:strCache>
            </c:strRef>
          </c:cat>
          <c:val>
            <c:numRef>
              <c:f>(Credit_2015Q3!$Z$8,Credit_2015Q3!$L$8,Credit_2015Q3!$O$8,Credit_2015Q3!$R$8,Credit_2015Q3!$U$8)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Credit_2015Q3!$J$9</c:f>
              <c:strCache>
                <c:ptCount val="1"/>
                <c:pt idx="0">
                  <c:v>A-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tx>
                <c:strRef>
                  <c:f>Credit_2015Q3!$J$9</c:f>
                  <c:strCache>
                    <c:ptCount val="1"/>
                    <c:pt idx="0">
                      <c:v>A-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{232EAC34-3B1D-415D-8E52-D436B1504F5C}</c15:txfldGUID>
                      <c15:f>Credit_2015Q3!$J$9</c15:f>
                      <c15:dlblFieldTableCache>
                        <c:ptCount val="1"/>
                        <c:pt idx="0">
                          <c:v>A-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Credit_2015Q3!$M$9</c:f>
                  <c:strCache>
                    <c:ptCount val="1"/>
                    <c:pt idx="0">
                      <c:v>25%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{11C380D8-20A9-4ECE-93E4-CF1A9B8A1235}</c15:txfldGUID>
                      <c15:f>Credit_2015Q3!$M$9</c15:f>
                      <c15:dlblFieldTableCache>
                        <c:ptCount val="1"/>
                        <c:pt idx="0">
                          <c:v>25%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Credit_2015Q3!$P$9</c:f>
                  <c:strCache>
                    <c:ptCount val="1"/>
                    <c:pt idx="0">
                      <c:v>22%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{04B931F0-4B6D-4CB6-99A6-56E5E77222B9}</c15:txfldGUID>
                      <c15:f>Credit_2015Q3!$P$9</c15:f>
                      <c15:dlblFieldTableCache>
                        <c:ptCount val="1"/>
                        <c:pt idx="0">
                          <c:v>22%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Credit_2015Q3!$S$9</c:f>
                  <c:strCache>
                    <c:ptCount val="1"/>
                    <c:pt idx="0">
                      <c:v>38%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{90E79AC1-0CA6-4ADE-9370-84C3F5353124}</c15:txfldGUID>
                      <c15:f>Credit_2015Q3!$S$9</c15:f>
                      <c15:dlblFieldTableCache>
                        <c:ptCount val="1"/>
                        <c:pt idx="0">
                          <c:v>38%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Credit_2015Q3!$V$9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{10CD5E3E-C74A-4C5C-A2D2-4F5557BA2C11}</c15:txfldGUID>
                      <c15:f>Credit_2015Q3!$V$9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(Credit_2015Q3!$J$5,Credit_2015Q3!$L$5,Credit_2015Q3!$O$5,Credit_2015Q3!$R$5,Credit_2015Q3!$U$5)</c:f>
              <c:strCache>
                <c:ptCount val="5"/>
                <c:pt idx="0">
                  <c:v>Rating</c:v>
                </c:pt>
                <c:pt idx="1">
                  <c:v>All Companies
(52)</c:v>
                </c:pt>
                <c:pt idx="2">
                  <c:v>Regulated
(37)</c:v>
                </c:pt>
                <c:pt idx="3">
                  <c:v>Mostly Regulated
(13)</c:v>
                </c:pt>
                <c:pt idx="4">
                  <c:v>Diversified
(2)</c:v>
                </c:pt>
              </c:strCache>
            </c:strRef>
          </c:cat>
          <c:val>
            <c:numRef>
              <c:f>(Credit_2015Q3!$Z$9,Credit_2015Q3!$L$9,Credit_2015Q3!$O$9,Credit_2015Q3!$R$9,Credit_2015Q3!$U$9)</c:f>
              <c:numCache>
                <c:formatCode>General</c:formatCode>
                <c:ptCount val="5"/>
                <c:pt idx="0">
                  <c:v>1</c:v>
                </c:pt>
                <c:pt idx="1">
                  <c:v>13</c:v>
                </c:pt>
                <c:pt idx="2">
                  <c:v>8</c:v>
                </c:pt>
                <c:pt idx="3">
                  <c:v>5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Credit_2015Q3!$J$10</c:f>
              <c:strCache>
                <c:ptCount val="1"/>
                <c:pt idx="0">
                  <c:v>BBB+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invertIfNegative val="0"/>
          <c:dLbls>
            <c:dLbl>
              <c:idx val="0"/>
              <c:tx>
                <c:strRef>
                  <c:f>Credit_2015Q3!$J$10</c:f>
                  <c:strCache>
                    <c:ptCount val="1"/>
                    <c:pt idx="0">
                      <c:v>BBB+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{8068CC1B-B76A-47CB-9884-3E32A5136B30}</c15:txfldGUID>
                      <c15:f>Credit_2015Q3!$J$10</c15:f>
                      <c15:dlblFieldTableCache>
                        <c:ptCount val="1"/>
                        <c:pt idx="0">
                          <c:v>BBB+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Credit_2015Q3!$M$10</c:f>
                  <c:strCache>
                    <c:ptCount val="1"/>
                    <c:pt idx="0">
                      <c:v>33%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{29575582-AD39-41D1-9059-F3D7C6FDC1E3}</c15:txfldGUID>
                      <c15:f>Credit_2015Q3!$M$10</c15:f>
                      <c15:dlblFieldTableCache>
                        <c:ptCount val="1"/>
                        <c:pt idx="0">
                          <c:v>33%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Credit_2015Q3!$P$10</c:f>
                  <c:strCache>
                    <c:ptCount val="1"/>
                    <c:pt idx="0">
                      <c:v>30%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{892D08FC-88D8-4382-8BEC-4BF21BB19E38}</c15:txfldGUID>
                      <c15:f>Credit_2015Q3!$P$10</c15:f>
                      <c15:dlblFieldTableCache>
                        <c:ptCount val="1"/>
                        <c:pt idx="0">
                          <c:v>30%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Credit_2015Q3!$S$10</c:f>
                  <c:strCache>
                    <c:ptCount val="1"/>
                    <c:pt idx="0">
                      <c:v>38%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{8AC1EF78-B6DC-42D7-A4C8-838668B7456A}</c15:txfldGUID>
                      <c15:f>Credit_2015Q3!$S$10</c15:f>
                      <c15:dlblFieldTableCache>
                        <c:ptCount val="1"/>
                        <c:pt idx="0">
                          <c:v>38%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Credit_2015Q3!$V$10</c:f>
                  <c:strCache>
                    <c:ptCount val="1"/>
                    <c:pt idx="0">
                      <c:v>50%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{689A9778-D9BE-4311-999B-CC2F7B9DDD6A}</c15:txfldGUID>
                      <c15:f>Credit_2015Q3!$V$10</c15:f>
                      <c15:dlblFieldTableCache>
                        <c:ptCount val="1"/>
                        <c:pt idx="0">
                          <c:v>50%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(Credit_2015Q3!$J$5,Credit_2015Q3!$L$5,Credit_2015Q3!$O$5,Credit_2015Q3!$R$5,Credit_2015Q3!$U$5)</c:f>
              <c:strCache>
                <c:ptCount val="5"/>
                <c:pt idx="0">
                  <c:v>Rating</c:v>
                </c:pt>
                <c:pt idx="1">
                  <c:v>All Companies
(52)</c:v>
                </c:pt>
                <c:pt idx="2">
                  <c:v>Regulated
(37)</c:v>
                </c:pt>
                <c:pt idx="3">
                  <c:v>Mostly Regulated
(13)</c:v>
                </c:pt>
                <c:pt idx="4">
                  <c:v>Diversified
(2)</c:v>
                </c:pt>
              </c:strCache>
            </c:strRef>
          </c:cat>
          <c:val>
            <c:numRef>
              <c:f>(Credit_2015Q3!$Z$10,Credit_2015Q3!$L$10,Credit_2015Q3!$O$10,Credit_2015Q3!$R$10,Credit_2015Q3!$U$10)</c:f>
              <c:numCache>
                <c:formatCode>General</c:formatCode>
                <c:ptCount val="5"/>
                <c:pt idx="0">
                  <c:v>1</c:v>
                </c:pt>
                <c:pt idx="1">
                  <c:v>17</c:v>
                </c:pt>
                <c:pt idx="2">
                  <c:v>11</c:v>
                </c:pt>
                <c:pt idx="3">
                  <c:v>5</c:v>
                </c:pt>
                <c:pt idx="4">
                  <c:v>1</c:v>
                </c:pt>
              </c:numCache>
            </c:numRef>
          </c:val>
        </c:ser>
        <c:ser>
          <c:idx val="3"/>
          <c:order val="3"/>
          <c:tx>
            <c:strRef>
              <c:f>Credit_2015Q3!$J$11</c:f>
              <c:strCache>
                <c:ptCount val="1"/>
                <c:pt idx="0">
                  <c:v>BBB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dLbl>
              <c:idx val="0"/>
              <c:tx>
                <c:strRef>
                  <c:f>Credit_2015Q3!$J$11</c:f>
                  <c:strCache>
                    <c:ptCount val="1"/>
                    <c:pt idx="0">
                      <c:v>BBB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{3CCAEE0F-3D4C-44BE-8782-4B91335A0D5C}</c15:txfldGUID>
                      <c15:f>Credit_2015Q3!$J$11</c15:f>
                      <c15:dlblFieldTableCache>
                        <c:ptCount val="1"/>
                        <c:pt idx="0">
                          <c:v>BBB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Credit_2015Q3!$M$11</c:f>
                  <c:strCache>
                    <c:ptCount val="1"/>
                    <c:pt idx="0">
                      <c:v>29%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{C5923214-0066-4B7D-9151-AB8D2FA88D4B}</c15:txfldGUID>
                      <c15:f>Credit_2015Q3!$M$11</c15:f>
                      <c15:dlblFieldTableCache>
                        <c:ptCount val="1"/>
                        <c:pt idx="0">
                          <c:v>29%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Credit_2015Q3!$P$11</c:f>
                  <c:strCache>
                    <c:ptCount val="1"/>
                    <c:pt idx="0">
                      <c:v>38%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{AB5078D9-64B7-408F-BCB5-08C37E4FD7D9}</c15:txfldGUID>
                      <c15:f>Credit_2015Q3!$P$11</c15:f>
                      <c15:dlblFieldTableCache>
                        <c:ptCount val="1"/>
                        <c:pt idx="0">
                          <c:v>38%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Credit_2015Q3!$S$11</c:f>
                  <c:strCache>
                    <c:ptCount val="1"/>
                    <c:pt idx="0">
                      <c:v>8%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{26B84522-E9CF-4506-BEBF-56D011B79418}</c15:txfldGUID>
                      <c15:f>Credit_2015Q3!$S$11</c15:f>
                      <c15:dlblFieldTableCache>
                        <c:ptCount val="1"/>
                        <c:pt idx="0">
                          <c:v>8%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Credit_2015Q3!$V$11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{93E24959-4814-4DE0-B07F-3029E54303FD}</c15:txfldGUID>
                      <c15:f>Credit_2015Q3!$V$11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(Credit_2015Q3!$J$5,Credit_2015Q3!$L$5,Credit_2015Q3!$O$5,Credit_2015Q3!$R$5,Credit_2015Q3!$U$5)</c:f>
              <c:strCache>
                <c:ptCount val="5"/>
                <c:pt idx="0">
                  <c:v>Rating</c:v>
                </c:pt>
                <c:pt idx="1">
                  <c:v>All Companies
(52)</c:v>
                </c:pt>
                <c:pt idx="2">
                  <c:v>Regulated
(37)</c:v>
                </c:pt>
                <c:pt idx="3">
                  <c:v>Mostly Regulated
(13)</c:v>
                </c:pt>
                <c:pt idx="4">
                  <c:v>Diversified
(2)</c:v>
                </c:pt>
              </c:strCache>
            </c:strRef>
          </c:cat>
          <c:val>
            <c:numRef>
              <c:f>(Credit_2015Q3!$Z$11,Credit_2015Q3!$L$11,Credit_2015Q3!$O$11,Credit_2015Q3!$R$11,Credit_2015Q3!$U$11)</c:f>
              <c:numCache>
                <c:formatCode>General</c:formatCode>
                <c:ptCount val="5"/>
                <c:pt idx="0">
                  <c:v>1</c:v>
                </c:pt>
                <c:pt idx="1">
                  <c:v>15</c:v>
                </c:pt>
                <c:pt idx="2">
                  <c:v>14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</c:ser>
        <c:ser>
          <c:idx val="4"/>
          <c:order val="4"/>
          <c:tx>
            <c:strRef>
              <c:f>Credit_2015Q3!$J$12</c:f>
              <c:strCache>
                <c:ptCount val="1"/>
                <c:pt idx="0">
                  <c:v>BBB-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dLbls>
            <c:dLbl>
              <c:idx val="0"/>
              <c:tx>
                <c:strRef>
                  <c:f>Credit_2015Q3!$J$12</c:f>
                  <c:strCache>
                    <c:ptCount val="1"/>
                    <c:pt idx="0">
                      <c:v>BBB-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{AB62F021-9141-4D54-B615-CFD1A7FE457B}</c15:txfldGUID>
                      <c15:f>Credit_2015Q3!$J$12</c15:f>
                      <c15:dlblFieldTableCache>
                        <c:ptCount val="1"/>
                        <c:pt idx="0">
                          <c:v>BBB-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Credit_2015Q3!$M$12</c:f>
                  <c:strCache>
                    <c:ptCount val="1"/>
                    <c:pt idx="0">
                      <c:v>6%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{EEE38857-B588-4C09-9C6D-F1D5A7FD2689}</c15:txfldGUID>
                      <c15:f>Credit_2015Q3!$M$12</c15:f>
                      <c15:dlblFieldTableCache>
                        <c:ptCount val="1"/>
                        <c:pt idx="0">
                          <c:v>6%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Credit_2015Q3!$P$12</c:f>
                  <c:strCache>
                    <c:ptCount val="1"/>
                    <c:pt idx="0">
                      <c:v>3%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{22380D55-9E6B-493E-BDDC-515121459E17}</c15:txfldGUID>
                      <c15:f>Credit_2015Q3!$P$12</c15:f>
                      <c15:dlblFieldTableCache>
                        <c:ptCount val="1"/>
                        <c:pt idx="0">
                          <c:v>3%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Credit_2015Q3!$S$12</c:f>
                  <c:strCache>
                    <c:ptCount val="1"/>
                    <c:pt idx="0">
                      <c:v>8%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{B2EF5C01-B549-499C-9733-24A0BEE1007E}</c15:txfldGUID>
                      <c15:f>Credit_2015Q3!$S$12</c15:f>
                      <c15:dlblFieldTableCache>
                        <c:ptCount val="1"/>
                        <c:pt idx="0">
                          <c:v>8%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Credit_2015Q3!$V$12</c:f>
                  <c:strCache>
                    <c:ptCount val="1"/>
                    <c:pt idx="0">
                      <c:v>50%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{DCC7CC74-2391-450F-A128-C7EC4E178F03}</c15:txfldGUID>
                      <c15:f>Credit_2015Q3!$V$12</c15:f>
                      <c15:dlblFieldTableCache>
                        <c:ptCount val="1"/>
                        <c:pt idx="0">
                          <c:v>50%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(Credit_2015Q3!$J$5,Credit_2015Q3!$L$5,Credit_2015Q3!$O$5,Credit_2015Q3!$R$5,Credit_2015Q3!$U$5)</c:f>
              <c:strCache>
                <c:ptCount val="5"/>
                <c:pt idx="0">
                  <c:v>Rating</c:v>
                </c:pt>
                <c:pt idx="1">
                  <c:v>All Companies
(52)</c:v>
                </c:pt>
                <c:pt idx="2">
                  <c:v>Regulated
(37)</c:v>
                </c:pt>
                <c:pt idx="3">
                  <c:v>Mostly Regulated
(13)</c:v>
                </c:pt>
                <c:pt idx="4">
                  <c:v>Diversified
(2)</c:v>
                </c:pt>
              </c:strCache>
            </c:strRef>
          </c:cat>
          <c:val>
            <c:numRef>
              <c:f>(Credit_2015Q3!$Z$12,Credit_2015Q3!$L$12,Credit_2015Q3!$O$12,Credit_2015Q3!$R$12,Credit_2015Q3!$U$12)</c:f>
              <c:numCache>
                <c:formatCode>General</c:formatCode>
                <c:ptCount val="5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</c:ser>
        <c:ser>
          <c:idx val="5"/>
          <c:order val="5"/>
          <c:tx>
            <c:strRef>
              <c:f>Credit_2015Q3!$J$13</c:f>
              <c:strCache>
                <c:ptCount val="1"/>
                <c:pt idx="0">
                  <c:v>Below BBB-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invertIfNegative val="0"/>
          <c:dLbls>
            <c:dLbl>
              <c:idx val="0"/>
              <c:tx>
                <c:strRef>
                  <c:f>Credit_2015Q3!$J$13</c:f>
                  <c:strCache>
                    <c:ptCount val="1"/>
                    <c:pt idx="0">
                      <c:v>Below BBB-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{88ECDE5F-D7B9-4932-87B7-27C53D25100D}</c15:txfldGUID>
                      <c15:f>Credit_2015Q3!$J$13</c15:f>
                      <c15:dlblFieldTableCache>
                        <c:ptCount val="1"/>
                        <c:pt idx="0">
                          <c:v>Below BBB-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Credit_2015Q3!$M$13</c:f>
                  <c:strCache>
                    <c:ptCount val="1"/>
                    <c:pt idx="0">
                      <c:v>4%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{7F9F3485-4B7C-4060-A638-F7BEE574EA61}</c15:txfldGUID>
                      <c15:f>Credit_2015Q3!$M$13</c15:f>
                      <c15:dlblFieldTableCache>
                        <c:ptCount val="1"/>
                        <c:pt idx="0">
                          <c:v>4%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Credit_2015Q3!$P$13</c:f>
                  <c:strCache>
                    <c:ptCount val="1"/>
                    <c:pt idx="0">
                      <c:v>5%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{FD45F296-A792-46EF-B04F-A76E279E8BD5}</c15:txfldGUID>
                      <c15:f>Credit_2015Q3!$P$13</c15:f>
                      <c15:dlblFieldTableCache>
                        <c:ptCount val="1"/>
                        <c:pt idx="0">
                          <c:v>5%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Credit_2015Q3!$S$13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{C926F821-7756-493A-8073-59EBA595418D}</c15:txfldGUID>
                      <c15:f>Credit_2015Q3!$S$13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Credit_2015Q3!$V$13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{638EEBC3-10C6-4FBA-ABFB-DE1A84D2CF57}</c15:txfldGUID>
                      <c15:f>Credit_2015Q3!$V$13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(Credit_2015Q3!$J$5,Credit_2015Q3!$L$5,Credit_2015Q3!$O$5,Credit_2015Q3!$R$5,Credit_2015Q3!$U$5)</c:f>
              <c:strCache>
                <c:ptCount val="5"/>
                <c:pt idx="0">
                  <c:v>Rating</c:v>
                </c:pt>
                <c:pt idx="1">
                  <c:v>All Companies
(52)</c:v>
                </c:pt>
                <c:pt idx="2">
                  <c:v>Regulated
(37)</c:v>
                </c:pt>
                <c:pt idx="3">
                  <c:v>Mostly Regulated
(13)</c:v>
                </c:pt>
                <c:pt idx="4">
                  <c:v>Diversified
(2)</c:v>
                </c:pt>
              </c:strCache>
            </c:strRef>
          </c:cat>
          <c:val>
            <c:numRef>
              <c:f>(Credit_2015Q3!$Z$13,Credit_2015Q3!$L$13,Credit_2015Q3!$O$13,Credit_2015Q3!$R$13,Credit_2015Q3!$U$13)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671834808"/>
        <c:axId val="671835200"/>
      </c:barChart>
      <c:catAx>
        <c:axId val="6718348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high"/>
        <c:txPr>
          <a:bodyPr/>
          <a:lstStyle/>
          <a:p>
            <a:pPr>
              <a:defRPr sz="1300">
                <a:solidFill>
                  <a:sysClr val="windowText" lastClr="000000"/>
                </a:solidFill>
              </a:defRPr>
            </a:pPr>
            <a:endParaRPr lang="en-US"/>
          </a:p>
        </c:txPr>
        <c:crossAx val="671835200"/>
        <c:crosses val="max"/>
        <c:auto val="1"/>
        <c:lblAlgn val="ctr"/>
        <c:lblOffset val="100"/>
        <c:noMultiLvlLbl val="0"/>
      </c:catAx>
      <c:valAx>
        <c:axId val="671835200"/>
        <c:scaling>
          <c:orientation val="maxMin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0%" sourceLinked="1"/>
        <c:majorTickMark val="none"/>
        <c:minorTickMark val="none"/>
        <c:tickLblPos val="none"/>
        <c:spPr>
          <a:ln>
            <a:noFill/>
          </a:ln>
        </c:spPr>
        <c:crossAx val="671834808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1">
          <a:solidFill>
            <a:schemeClr val="bg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3">
                  <a:lumMod val="50000"/>
                </a:schemeClr>
              </a:solidFill>
            </c:spPr>
          </c:dPt>
          <c:dPt>
            <c:idx val="1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50000"/>
                </a:schemeClr>
              </a:solidFill>
            </c:spPr>
          </c:dPt>
          <c:dPt>
            <c:idx val="3"/>
            <c:bubble3D val="0"/>
            <c:spPr>
              <a:solidFill>
                <a:schemeClr val="accent5">
                  <a:lumMod val="75000"/>
                </a:schemeClr>
              </a:solidFill>
            </c:spPr>
          </c:dPt>
          <c:dPt>
            <c:idx val="4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</c:dPt>
          <c:dPt>
            <c:idx val="5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ysClr val="windowText" lastClr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5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ysClr val="windowText" lastClr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Credit_2015Q2!$J$8:$J$13</c:f>
              <c:strCache>
                <c:ptCount val="6"/>
                <c:pt idx="0">
                  <c:v>A or higher</c:v>
                </c:pt>
                <c:pt idx="1">
                  <c:v>A-</c:v>
                </c:pt>
                <c:pt idx="2">
                  <c:v>BBB+</c:v>
                </c:pt>
                <c:pt idx="3">
                  <c:v>BBB</c:v>
                </c:pt>
                <c:pt idx="4">
                  <c:v>BBB-</c:v>
                </c:pt>
                <c:pt idx="5">
                  <c:v>Below BBB-</c:v>
                </c:pt>
              </c:strCache>
            </c:strRef>
          </c:cat>
          <c:val>
            <c:numRef>
              <c:f>Credit_2015Q2!$M$8:$M$13</c:f>
              <c:numCache>
                <c:formatCode>0%</c:formatCode>
                <c:ptCount val="6"/>
                <c:pt idx="0">
                  <c:v>5.7692307692307696E-2</c:v>
                </c:pt>
                <c:pt idx="1">
                  <c:v>0.23076923076923078</c:v>
                </c:pt>
                <c:pt idx="2">
                  <c:v>0.32692307692307693</c:v>
                </c:pt>
                <c:pt idx="3">
                  <c:v>0.28846153846153844</c:v>
                </c:pt>
                <c:pt idx="4">
                  <c:v>5.7692307692307696E-2</c:v>
                </c:pt>
                <c:pt idx="5">
                  <c:v>3.8461538461538464E-2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4.0854248593277388E-2"/>
          <c:w val="1"/>
          <c:h val="0.7859199662194755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Credit_2015Q2!$J$8</c:f>
              <c:strCache>
                <c:ptCount val="1"/>
                <c:pt idx="0">
                  <c:v>A or higher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invertIfNegative val="0"/>
          <c:dLbls>
            <c:dLbl>
              <c:idx val="0"/>
              <c:tx>
                <c:strRef>
                  <c:f>Credit_2015Q2!$J$8</c:f>
                  <c:strCache>
                    <c:ptCount val="1"/>
                    <c:pt idx="0">
                      <c:v>A or higher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{82343580-D25A-49C5-896A-BEF37F57BFBD}</c15:txfldGUID>
                      <c15:f>Credit_2015Q2!$J$8</c15:f>
                      <c15:dlblFieldTableCache>
                        <c:ptCount val="1"/>
                        <c:pt idx="0">
                          <c:v>A or higher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Credit_2015Q2!$M$8</c:f>
                  <c:strCache>
                    <c:ptCount val="1"/>
                    <c:pt idx="0">
                      <c:v>6%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{1BE841D8-BA0C-4AC1-8047-B9E97F2CC1C9}</c15:txfldGUID>
                      <c15:f>Credit_2015Q2!$M$8</c15:f>
                      <c15:dlblFieldTableCache>
                        <c:ptCount val="1"/>
                        <c:pt idx="0">
                          <c:v>6%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Credit_2015Q2!$P$8</c:f>
                  <c:strCache>
                    <c:ptCount val="1"/>
                    <c:pt idx="0">
                      <c:v>5%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{A9631FBF-1DB3-4F6D-8AAA-7E1DF56AC3F3}</c15:txfldGUID>
                      <c15:f>Credit_2015Q2!$P$8</c15:f>
                      <c15:dlblFieldTableCache>
                        <c:ptCount val="1"/>
                        <c:pt idx="0">
                          <c:v>5%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Credit_2015Q2!$S$8</c:f>
                  <c:strCache>
                    <c:ptCount val="1"/>
                    <c:pt idx="0">
                      <c:v>8%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{6F06EBD2-EA4A-4A74-9FA2-7054511AB633}</c15:txfldGUID>
                      <c15:f>Credit_2015Q2!$S$8</c15:f>
                      <c15:dlblFieldTableCache>
                        <c:ptCount val="1"/>
                        <c:pt idx="0">
                          <c:v>8%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Credit_2015Q2!$V$8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{EE33B9A8-8208-47ED-B553-4B9175E259B6}</c15:txfldGUID>
                      <c15:f>Credit_2015Q2!$V$8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(Credit_2015Q2!$J$5,Credit_2015Q2!$L$5,Credit_2015Q2!$O$5,Credit_2015Q2!$R$5,Credit_2015Q2!$U$5)</c:f>
              <c:strCache>
                <c:ptCount val="5"/>
                <c:pt idx="0">
                  <c:v>Rating</c:v>
                </c:pt>
                <c:pt idx="1">
                  <c:v>All Companies
(52)</c:v>
                </c:pt>
                <c:pt idx="2">
                  <c:v>Regulated
(37)</c:v>
                </c:pt>
                <c:pt idx="3">
                  <c:v>Mostly Regulated
(13)</c:v>
                </c:pt>
                <c:pt idx="4">
                  <c:v>Diversified
(2)</c:v>
                </c:pt>
              </c:strCache>
            </c:strRef>
          </c:cat>
          <c:val>
            <c:numRef>
              <c:f>(Credit_2015Q2!$Z$8,Credit_2015Q2!$L$8,Credit_2015Q2!$O$8,Credit_2015Q2!$R$8,Credit_2015Q2!$U$8)</c:f>
              <c:numCache>
                <c:formatCode>General</c:formatCode>
                <c:ptCount val="5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Credit_2015Q2!$J$9</c:f>
              <c:strCache>
                <c:ptCount val="1"/>
                <c:pt idx="0">
                  <c:v>A-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tx>
                <c:strRef>
                  <c:f>Credit_2015Q2!$J$9</c:f>
                  <c:strCache>
                    <c:ptCount val="1"/>
                    <c:pt idx="0">
                      <c:v>A-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{7A572685-B0B3-4F43-B554-E484AA39A1DB}</c15:txfldGUID>
                      <c15:f>Credit_2015Q2!$J$9</c15:f>
                      <c15:dlblFieldTableCache>
                        <c:ptCount val="1"/>
                        <c:pt idx="0">
                          <c:v>A-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Credit_2015Q2!$M$9</c:f>
                  <c:strCache>
                    <c:ptCount val="1"/>
                    <c:pt idx="0">
                      <c:v>23%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{F864BFF2-16E1-4CA0-9193-1863CE9BE2B3}</c15:txfldGUID>
                      <c15:f>Credit_2015Q2!$M$9</c15:f>
                      <c15:dlblFieldTableCache>
                        <c:ptCount val="1"/>
                        <c:pt idx="0">
                          <c:v>23%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Credit_2015Q2!$P$9</c:f>
                  <c:strCache>
                    <c:ptCount val="1"/>
                    <c:pt idx="0">
                      <c:v>19%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{4D4BB030-589C-4E88-B73B-D5C908329BAC}</c15:txfldGUID>
                      <c15:f>Credit_2015Q2!$P$9</c15:f>
                      <c15:dlblFieldTableCache>
                        <c:ptCount val="1"/>
                        <c:pt idx="0">
                          <c:v>19%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Credit_2015Q2!$S$9</c:f>
                  <c:strCache>
                    <c:ptCount val="1"/>
                    <c:pt idx="0">
                      <c:v>38%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{DF891079-79DA-4DB0-88FB-9669BC8828E9}</c15:txfldGUID>
                      <c15:f>Credit_2015Q2!$S$9</c15:f>
                      <c15:dlblFieldTableCache>
                        <c:ptCount val="1"/>
                        <c:pt idx="0">
                          <c:v>38%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Credit_2015Q2!$V$9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{603D90B3-2B83-480A-9BC7-614E30540B6D}</c15:txfldGUID>
                      <c15:f>Credit_2015Q2!$V$9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(Credit_2015Q2!$J$5,Credit_2015Q2!$L$5,Credit_2015Q2!$O$5,Credit_2015Q2!$R$5,Credit_2015Q2!$U$5)</c:f>
              <c:strCache>
                <c:ptCount val="5"/>
                <c:pt idx="0">
                  <c:v>Rating</c:v>
                </c:pt>
                <c:pt idx="1">
                  <c:v>All Companies
(52)</c:v>
                </c:pt>
                <c:pt idx="2">
                  <c:v>Regulated
(37)</c:v>
                </c:pt>
                <c:pt idx="3">
                  <c:v>Mostly Regulated
(13)</c:v>
                </c:pt>
                <c:pt idx="4">
                  <c:v>Diversified
(2)</c:v>
                </c:pt>
              </c:strCache>
            </c:strRef>
          </c:cat>
          <c:val>
            <c:numRef>
              <c:f>(Credit_2015Q2!$Z$9,Credit_2015Q2!$L$9,Credit_2015Q2!$O$9,Credit_2015Q2!$R$9,Credit_2015Q2!$U$9)</c:f>
              <c:numCache>
                <c:formatCode>General</c:formatCode>
                <c:ptCount val="5"/>
                <c:pt idx="0">
                  <c:v>1</c:v>
                </c:pt>
                <c:pt idx="1">
                  <c:v>12</c:v>
                </c:pt>
                <c:pt idx="2">
                  <c:v>7</c:v>
                </c:pt>
                <c:pt idx="3">
                  <c:v>5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Credit_2015Q2!$J$10</c:f>
              <c:strCache>
                <c:ptCount val="1"/>
                <c:pt idx="0">
                  <c:v>BBB+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invertIfNegative val="0"/>
          <c:dLbls>
            <c:dLbl>
              <c:idx val="0"/>
              <c:tx>
                <c:strRef>
                  <c:f>Credit_2015Q2!$J$10</c:f>
                  <c:strCache>
                    <c:ptCount val="1"/>
                    <c:pt idx="0">
                      <c:v>BBB+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{3503A4C4-F167-4C20-B47C-8DCEFACB7F83}</c15:txfldGUID>
                      <c15:f>Credit_2015Q2!$J$10</c15:f>
                      <c15:dlblFieldTableCache>
                        <c:ptCount val="1"/>
                        <c:pt idx="0">
                          <c:v>BBB+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Credit_2015Q2!$M$10</c:f>
                  <c:strCache>
                    <c:ptCount val="1"/>
                    <c:pt idx="0">
                      <c:v>33%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{6B110566-7DB2-4F27-BBFD-8D6F03335400}</c15:txfldGUID>
                      <c15:f>Credit_2015Q2!$M$10</c15:f>
                      <c15:dlblFieldTableCache>
                        <c:ptCount val="1"/>
                        <c:pt idx="0">
                          <c:v>33%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Credit_2015Q2!$P$10</c:f>
                  <c:strCache>
                    <c:ptCount val="1"/>
                    <c:pt idx="0">
                      <c:v>30%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{1E88D8ED-59C4-46C9-8202-FF1639F0C532}</c15:txfldGUID>
                      <c15:f>Credit_2015Q2!$P$10</c15:f>
                      <c15:dlblFieldTableCache>
                        <c:ptCount val="1"/>
                        <c:pt idx="0">
                          <c:v>30%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Credit_2015Q2!$S$10</c:f>
                  <c:strCache>
                    <c:ptCount val="1"/>
                    <c:pt idx="0">
                      <c:v>38%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{9FEF20CB-2AED-44FA-B4CF-88FE4ADD85A0}</c15:txfldGUID>
                      <c15:f>Credit_2015Q2!$S$10</c15:f>
                      <c15:dlblFieldTableCache>
                        <c:ptCount val="1"/>
                        <c:pt idx="0">
                          <c:v>38%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Credit_2015Q2!$V$10</c:f>
                  <c:strCache>
                    <c:ptCount val="1"/>
                    <c:pt idx="0">
                      <c:v>50%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{5420CDF5-AF9C-4286-B542-0DF3C94F21A2}</c15:txfldGUID>
                      <c15:f>Credit_2015Q2!$V$10</c15:f>
                      <c15:dlblFieldTableCache>
                        <c:ptCount val="1"/>
                        <c:pt idx="0">
                          <c:v>50%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(Credit_2015Q2!$J$5,Credit_2015Q2!$L$5,Credit_2015Q2!$O$5,Credit_2015Q2!$R$5,Credit_2015Q2!$U$5)</c:f>
              <c:strCache>
                <c:ptCount val="5"/>
                <c:pt idx="0">
                  <c:v>Rating</c:v>
                </c:pt>
                <c:pt idx="1">
                  <c:v>All Companies
(52)</c:v>
                </c:pt>
                <c:pt idx="2">
                  <c:v>Regulated
(37)</c:v>
                </c:pt>
                <c:pt idx="3">
                  <c:v>Mostly Regulated
(13)</c:v>
                </c:pt>
                <c:pt idx="4">
                  <c:v>Diversified
(2)</c:v>
                </c:pt>
              </c:strCache>
            </c:strRef>
          </c:cat>
          <c:val>
            <c:numRef>
              <c:f>(Credit_2015Q2!$Z$10,Credit_2015Q2!$L$10,Credit_2015Q2!$O$10,Credit_2015Q2!$R$10,Credit_2015Q2!$U$10)</c:f>
              <c:numCache>
                <c:formatCode>General</c:formatCode>
                <c:ptCount val="5"/>
                <c:pt idx="0">
                  <c:v>1</c:v>
                </c:pt>
                <c:pt idx="1">
                  <c:v>17</c:v>
                </c:pt>
                <c:pt idx="2">
                  <c:v>11</c:v>
                </c:pt>
                <c:pt idx="3">
                  <c:v>5</c:v>
                </c:pt>
                <c:pt idx="4">
                  <c:v>1</c:v>
                </c:pt>
              </c:numCache>
            </c:numRef>
          </c:val>
        </c:ser>
        <c:ser>
          <c:idx val="3"/>
          <c:order val="3"/>
          <c:tx>
            <c:strRef>
              <c:f>Credit_2015Q2!$J$11</c:f>
              <c:strCache>
                <c:ptCount val="1"/>
                <c:pt idx="0">
                  <c:v>BBB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dLbl>
              <c:idx val="0"/>
              <c:tx>
                <c:strRef>
                  <c:f>Credit_2015Q2!$J$11</c:f>
                  <c:strCache>
                    <c:ptCount val="1"/>
                    <c:pt idx="0">
                      <c:v>BBB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{DB50E411-AFB3-43A9-8D36-D05053B14EA9}</c15:txfldGUID>
                      <c15:f>Credit_2015Q2!$J$11</c15:f>
                      <c15:dlblFieldTableCache>
                        <c:ptCount val="1"/>
                        <c:pt idx="0">
                          <c:v>BBB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Credit_2015Q2!$M$11</c:f>
                  <c:strCache>
                    <c:ptCount val="1"/>
                    <c:pt idx="0">
                      <c:v>29%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{F08D1C1D-E0D4-464E-B3E5-B521B2783D5D}</c15:txfldGUID>
                      <c15:f>Credit_2015Q2!$M$11</c15:f>
                      <c15:dlblFieldTableCache>
                        <c:ptCount val="1"/>
                        <c:pt idx="0">
                          <c:v>29%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Credit_2015Q2!$P$11</c:f>
                  <c:strCache>
                    <c:ptCount val="1"/>
                    <c:pt idx="0">
                      <c:v>38%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{248F300F-B2B9-427E-97DF-808E7A946BAA}</c15:txfldGUID>
                      <c15:f>Credit_2015Q2!$P$11</c15:f>
                      <c15:dlblFieldTableCache>
                        <c:ptCount val="1"/>
                        <c:pt idx="0">
                          <c:v>38%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Credit_2015Q2!$S$11</c:f>
                  <c:strCache>
                    <c:ptCount val="1"/>
                    <c:pt idx="0">
                      <c:v>8%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{FB9EEF79-6B7F-4D23-8A19-0CA6044DA35E}</c15:txfldGUID>
                      <c15:f>Credit_2015Q2!$S$11</c15:f>
                      <c15:dlblFieldTableCache>
                        <c:ptCount val="1"/>
                        <c:pt idx="0">
                          <c:v>8%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Credit_2015Q2!$V$11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{AB639BEB-FD92-4349-BFC9-BE43F1780CBD}</c15:txfldGUID>
                      <c15:f>Credit_2015Q2!$V$11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(Credit_2015Q2!$J$5,Credit_2015Q2!$L$5,Credit_2015Q2!$O$5,Credit_2015Q2!$R$5,Credit_2015Q2!$U$5)</c:f>
              <c:strCache>
                <c:ptCount val="5"/>
                <c:pt idx="0">
                  <c:v>Rating</c:v>
                </c:pt>
                <c:pt idx="1">
                  <c:v>All Companies
(52)</c:v>
                </c:pt>
                <c:pt idx="2">
                  <c:v>Regulated
(37)</c:v>
                </c:pt>
                <c:pt idx="3">
                  <c:v>Mostly Regulated
(13)</c:v>
                </c:pt>
                <c:pt idx="4">
                  <c:v>Diversified
(2)</c:v>
                </c:pt>
              </c:strCache>
            </c:strRef>
          </c:cat>
          <c:val>
            <c:numRef>
              <c:f>(Credit_2015Q2!$Z$11,Credit_2015Q2!$L$11,Credit_2015Q2!$O$11,Credit_2015Q2!$R$11,Credit_2015Q2!$U$11)</c:f>
              <c:numCache>
                <c:formatCode>General</c:formatCode>
                <c:ptCount val="5"/>
                <c:pt idx="0">
                  <c:v>1</c:v>
                </c:pt>
                <c:pt idx="1">
                  <c:v>15</c:v>
                </c:pt>
                <c:pt idx="2">
                  <c:v>14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</c:ser>
        <c:ser>
          <c:idx val="4"/>
          <c:order val="4"/>
          <c:tx>
            <c:strRef>
              <c:f>Credit_2015Q2!$J$12</c:f>
              <c:strCache>
                <c:ptCount val="1"/>
                <c:pt idx="0">
                  <c:v>BBB-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dLbls>
            <c:dLbl>
              <c:idx val="0"/>
              <c:tx>
                <c:strRef>
                  <c:f>Credit_2015Q2!$J$12</c:f>
                  <c:strCache>
                    <c:ptCount val="1"/>
                    <c:pt idx="0">
                      <c:v>BBB-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{279F02E4-A43A-4A87-A052-EF0A9C18E2C7}</c15:txfldGUID>
                      <c15:f>Credit_2015Q2!$J$12</c15:f>
                      <c15:dlblFieldTableCache>
                        <c:ptCount val="1"/>
                        <c:pt idx="0">
                          <c:v>BBB-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Credit_2015Q2!$M$12</c:f>
                  <c:strCache>
                    <c:ptCount val="1"/>
                    <c:pt idx="0">
                      <c:v>6%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{47F10E97-7887-42DC-92B6-289E2B3A1625}</c15:txfldGUID>
                      <c15:f>Credit_2015Q2!$M$12</c15:f>
                      <c15:dlblFieldTableCache>
                        <c:ptCount val="1"/>
                        <c:pt idx="0">
                          <c:v>6%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Credit_2015Q2!$P$12</c:f>
                  <c:strCache>
                    <c:ptCount val="1"/>
                    <c:pt idx="0">
                      <c:v>3%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{F23F5701-4C13-4DAE-9CAE-1F137E19349A}</c15:txfldGUID>
                      <c15:f>Credit_2015Q2!$P$12</c15:f>
                      <c15:dlblFieldTableCache>
                        <c:ptCount val="1"/>
                        <c:pt idx="0">
                          <c:v>3%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Credit_2015Q2!$S$12</c:f>
                  <c:strCache>
                    <c:ptCount val="1"/>
                    <c:pt idx="0">
                      <c:v>8%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{E4BF1ED9-2F06-4A77-B322-C89AD83A240D}</c15:txfldGUID>
                      <c15:f>Credit_2015Q2!$S$12</c15:f>
                      <c15:dlblFieldTableCache>
                        <c:ptCount val="1"/>
                        <c:pt idx="0">
                          <c:v>8%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Credit_2015Q2!$V$12</c:f>
                  <c:strCache>
                    <c:ptCount val="1"/>
                    <c:pt idx="0">
                      <c:v>50%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{843E7D2F-906C-476B-B546-BC8BA05D0D7D}</c15:txfldGUID>
                      <c15:f>Credit_2015Q2!$V$12</c15:f>
                      <c15:dlblFieldTableCache>
                        <c:ptCount val="1"/>
                        <c:pt idx="0">
                          <c:v>50%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(Credit_2015Q2!$J$5,Credit_2015Q2!$L$5,Credit_2015Q2!$O$5,Credit_2015Q2!$R$5,Credit_2015Q2!$U$5)</c:f>
              <c:strCache>
                <c:ptCount val="5"/>
                <c:pt idx="0">
                  <c:v>Rating</c:v>
                </c:pt>
                <c:pt idx="1">
                  <c:v>All Companies
(52)</c:v>
                </c:pt>
                <c:pt idx="2">
                  <c:v>Regulated
(37)</c:v>
                </c:pt>
                <c:pt idx="3">
                  <c:v>Mostly Regulated
(13)</c:v>
                </c:pt>
                <c:pt idx="4">
                  <c:v>Diversified
(2)</c:v>
                </c:pt>
              </c:strCache>
            </c:strRef>
          </c:cat>
          <c:val>
            <c:numRef>
              <c:f>(Credit_2015Q2!$Z$12,Credit_2015Q2!$L$12,Credit_2015Q2!$O$12,Credit_2015Q2!$R$12,Credit_2015Q2!$U$12)</c:f>
              <c:numCache>
                <c:formatCode>General</c:formatCode>
                <c:ptCount val="5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</c:ser>
        <c:ser>
          <c:idx val="5"/>
          <c:order val="5"/>
          <c:tx>
            <c:strRef>
              <c:f>Credit_2015Q2!$J$13</c:f>
              <c:strCache>
                <c:ptCount val="1"/>
                <c:pt idx="0">
                  <c:v>Below BBB-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invertIfNegative val="0"/>
          <c:dLbls>
            <c:dLbl>
              <c:idx val="0"/>
              <c:tx>
                <c:strRef>
                  <c:f>Credit_2015Q2!$J$13</c:f>
                  <c:strCache>
                    <c:ptCount val="1"/>
                    <c:pt idx="0">
                      <c:v>Below BBB-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{67485734-B63D-4291-979D-EA873EE4440F}</c15:txfldGUID>
                      <c15:f>Credit_2015Q2!$J$13</c15:f>
                      <c15:dlblFieldTableCache>
                        <c:ptCount val="1"/>
                        <c:pt idx="0">
                          <c:v>Below BBB-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Credit_2015Q2!$M$13</c:f>
                  <c:strCache>
                    <c:ptCount val="1"/>
                    <c:pt idx="0">
                      <c:v>4%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{EBA72D64-F045-41B4-8302-337601BA2B8A}</c15:txfldGUID>
                      <c15:f>Credit_2015Q2!$M$13</c15:f>
                      <c15:dlblFieldTableCache>
                        <c:ptCount val="1"/>
                        <c:pt idx="0">
                          <c:v>4%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Credit_2015Q2!$P$13</c:f>
                  <c:strCache>
                    <c:ptCount val="1"/>
                    <c:pt idx="0">
                      <c:v>5%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{63A0CA2D-F05B-4FFD-8A47-8F8012BB6D5A}</c15:txfldGUID>
                      <c15:f>Credit_2015Q2!$P$13</c15:f>
                      <c15:dlblFieldTableCache>
                        <c:ptCount val="1"/>
                        <c:pt idx="0">
                          <c:v>5%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Credit_2015Q2!$S$13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{13AAA029-4A42-45C8-9A21-BE3808E23AA3}</c15:txfldGUID>
                      <c15:f>Credit_2015Q2!$S$13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Credit_2015Q2!$V$13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{729D6983-C072-4BF2-8963-D0095994DCB1}</c15:txfldGUID>
                      <c15:f>Credit_2015Q2!$V$13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(Credit_2015Q2!$J$5,Credit_2015Q2!$L$5,Credit_2015Q2!$O$5,Credit_2015Q2!$R$5,Credit_2015Q2!$U$5)</c:f>
              <c:strCache>
                <c:ptCount val="5"/>
                <c:pt idx="0">
                  <c:v>Rating</c:v>
                </c:pt>
                <c:pt idx="1">
                  <c:v>All Companies
(52)</c:v>
                </c:pt>
                <c:pt idx="2">
                  <c:v>Regulated
(37)</c:v>
                </c:pt>
                <c:pt idx="3">
                  <c:v>Mostly Regulated
(13)</c:v>
                </c:pt>
                <c:pt idx="4">
                  <c:v>Diversified
(2)</c:v>
                </c:pt>
              </c:strCache>
            </c:strRef>
          </c:cat>
          <c:val>
            <c:numRef>
              <c:f>(Credit_2015Q2!$Z$13,Credit_2015Q2!$L$13,Credit_2015Q2!$O$13,Credit_2015Q2!$R$13,Credit_2015Q2!$U$13)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671836376"/>
        <c:axId val="671836768"/>
      </c:barChart>
      <c:catAx>
        <c:axId val="6718363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high"/>
        <c:txPr>
          <a:bodyPr/>
          <a:lstStyle/>
          <a:p>
            <a:pPr>
              <a:defRPr sz="1300">
                <a:solidFill>
                  <a:sysClr val="windowText" lastClr="000000"/>
                </a:solidFill>
              </a:defRPr>
            </a:pPr>
            <a:endParaRPr lang="en-US"/>
          </a:p>
        </c:txPr>
        <c:crossAx val="671836768"/>
        <c:crosses val="max"/>
        <c:auto val="1"/>
        <c:lblAlgn val="ctr"/>
        <c:lblOffset val="100"/>
        <c:noMultiLvlLbl val="0"/>
      </c:catAx>
      <c:valAx>
        <c:axId val="671836768"/>
        <c:scaling>
          <c:orientation val="maxMin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0%" sourceLinked="1"/>
        <c:majorTickMark val="none"/>
        <c:minorTickMark val="none"/>
        <c:tickLblPos val="none"/>
        <c:spPr>
          <a:ln>
            <a:noFill/>
          </a:ln>
        </c:spPr>
        <c:crossAx val="67183637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1">
          <a:solidFill>
            <a:schemeClr val="bg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3">
                  <a:lumMod val="50000"/>
                </a:schemeClr>
              </a:solidFill>
            </c:spPr>
          </c:dPt>
          <c:dPt>
            <c:idx val="1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50000"/>
                </a:schemeClr>
              </a:solidFill>
            </c:spPr>
          </c:dPt>
          <c:dPt>
            <c:idx val="3"/>
            <c:bubble3D val="0"/>
            <c:spPr>
              <a:solidFill>
                <a:schemeClr val="accent5">
                  <a:lumMod val="75000"/>
                </a:schemeClr>
              </a:solidFill>
            </c:spPr>
          </c:dPt>
          <c:dPt>
            <c:idx val="4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</c:dPt>
          <c:dPt>
            <c:idx val="5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ysClr val="windowText" lastClr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5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ysClr val="windowText" lastClr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Credit_2015Q1!$J$8:$J$13</c:f>
              <c:strCache>
                <c:ptCount val="6"/>
                <c:pt idx="0">
                  <c:v>A or higher</c:v>
                </c:pt>
                <c:pt idx="1">
                  <c:v>A-</c:v>
                </c:pt>
                <c:pt idx="2">
                  <c:v>BBB+</c:v>
                </c:pt>
                <c:pt idx="3">
                  <c:v>BBB</c:v>
                </c:pt>
                <c:pt idx="4">
                  <c:v>BBB-</c:v>
                </c:pt>
                <c:pt idx="5">
                  <c:v>Below BBB-</c:v>
                </c:pt>
              </c:strCache>
            </c:strRef>
          </c:cat>
          <c:val>
            <c:numRef>
              <c:f>Credit_2015Q1!$M$8:$M$13</c:f>
              <c:numCache>
                <c:formatCode>0%</c:formatCode>
                <c:ptCount val="6"/>
                <c:pt idx="0">
                  <c:v>3.7735849056603772E-2</c:v>
                </c:pt>
                <c:pt idx="1">
                  <c:v>0.22641509433962265</c:v>
                </c:pt>
                <c:pt idx="2">
                  <c:v>0.32075471698113206</c:v>
                </c:pt>
                <c:pt idx="3">
                  <c:v>0.30188679245283018</c:v>
                </c:pt>
                <c:pt idx="4">
                  <c:v>7.5471698113207544E-2</c:v>
                </c:pt>
                <c:pt idx="5">
                  <c:v>3.7735849056603772E-2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4.0854248593277388E-2"/>
          <c:w val="1"/>
          <c:h val="0.7859199662194755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Credit_2015Q1!$J$8</c:f>
              <c:strCache>
                <c:ptCount val="1"/>
                <c:pt idx="0">
                  <c:v>A or higher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invertIfNegative val="0"/>
          <c:dLbls>
            <c:dLbl>
              <c:idx val="0"/>
              <c:tx>
                <c:strRef>
                  <c:f>Credit_2015Q1!$J$8</c:f>
                  <c:strCache>
                    <c:ptCount val="1"/>
                    <c:pt idx="0">
                      <c:v>A or higher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{C40A1CA4-C011-4BA7-B16E-52493972D59F}</c15:txfldGUID>
                      <c15:f>Credit_2015Q1!$J$8</c15:f>
                      <c15:dlblFieldTableCache>
                        <c:ptCount val="1"/>
                        <c:pt idx="0">
                          <c:v>A or higher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Credit_2015Q1!$M$8</c:f>
                  <c:strCache>
                    <c:ptCount val="1"/>
                    <c:pt idx="0">
                      <c:v>4%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{6D806497-8DC8-4B1D-9030-2011735ED0EC}</c15:txfldGUID>
                      <c15:f>Credit_2015Q1!$M$8</c15:f>
                      <c15:dlblFieldTableCache>
                        <c:ptCount val="1"/>
                        <c:pt idx="0">
                          <c:v>4%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Credit_2015Q1!$P$8</c:f>
                  <c:strCache>
                    <c:ptCount val="1"/>
                    <c:pt idx="0">
                      <c:v>3%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{93A89AF2-C71C-4339-B820-E7DA7FA1EBAE}</c15:txfldGUID>
                      <c15:f>Credit_2015Q1!$P$8</c15:f>
                      <c15:dlblFieldTableCache>
                        <c:ptCount val="1"/>
                        <c:pt idx="0">
                          <c:v>3%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Credit_2015Q1!$S$8</c:f>
                  <c:strCache>
                    <c:ptCount val="1"/>
                    <c:pt idx="0">
                      <c:v>8%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{B0D6BC32-E4C6-414F-A9AE-DC7FFBDA834E}</c15:txfldGUID>
                      <c15:f>Credit_2015Q1!$S$8</c15:f>
                      <c15:dlblFieldTableCache>
                        <c:ptCount val="1"/>
                        <c:pt idx="0">
                          <c:v>8%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Credit_2015Q1!$V$8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{88EF104B-AB95-4FE5-985E-687FBE7D77D6}</c15:txfldGUID>
                      <c15:f>Credit_2015Q1!$V$8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(Credit_2015Q1!$J$5,Credit_2015Q1!$L$5,Credit_2015Q1!$O$5,Credit_2015Q1!$R$5,Credit_2015Q1!$U$5)</c:f>
              <c:strCache>
                <c:ptCount val="5"/>
                <c:pt idx="0">
                  <c:v>Rating</c:v>
                </c:pt>
                <c:pt idx="1">
                  <c:v>All Companies
(53)</c:v>
                </c:pt>
                <c:pt idx="2">
                  <c:v>Regulated
(38)</c:v>
                </c:pt>
                <c:pt idx="3">
                  <c:v>Mostly Regulated
(13)</c:v>
                </c:pt>
                <c:pt idx="4">
                  <c:v>Diversified
(2)</c:v>
                </c:pt>
              </c:strCache>
            </c:strRef>
          </c:cat>
          <c:val>
            <c:numRef>
              <c:f>(Credit_2015Q1!$Z$8,Credit_2015Q1!$L$8,Credit_2015Q1!$O$8,Credit_2015Q1!$R$8,Credit_2015Q1!$U$8)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Credit_2015Q1!$J$9</c:f>
              <c:strCache>
                <c:ptCount val="1"/>
                <c:pt idx="0">
                  <c:v>A-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tx>
                <c:strRef>
                  <c:f>Credit_2015Q1!$J$9</c:f>
                  <c:strCache>
                    <c:ptCount val="1"/>
                    <c:pt idx="0">
                      <c:v>A-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{A250D699-58EA-4351-8F85-A849B0965701}</c15:txfldGUID>
                      <c15:f>Credit_2015Q1!$J$9</c15:f>
                      <c15:dlblFieldTableCache>
                        <c:ptCount val="1"/>
                        <c:pt idx="0">
                          <c:v>A-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Credit_2015Q1!$M$9</c:f>
                  <c:strCache>
                    <c:ptCount val="1"/>
                    <c:pt idx="0">
                      <c:v>23%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{D015D74D-E6E4-4DF9-99E2-B5D7C2690C77}</c15:txfldGUID>
                      <c15:f>Credit_2015Q1!$M$9</c15:f>
                      <c15:dlblFieldTableCache>
                        <c:ptCount val="1"/>
                        <c:pt idx="0">
                          <c:v>23%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Credit_2015Q1!$P$9</c:f>
                  <c:strCache>
                    <c:ptCount val="1"/>
                    <c:pt idx="0">
                      <c:v>21%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{AC188530-78F6-4291-AF0B-3E3D2D9C1382}</c15:txfldGUID>
                      <c15:f>Credit_2015Q1!$P$9</c15:f>
                      <c15:dlblFieldTableCache>
                        <c:ptCount val="1"/>
                        <c:pt idx="0">
                          <c:v>21%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Credit_2015Q1!$S$9</c:f>
                  <c:strCache>
                    <c:ptCount val="1"/>
                    <c:pt idx="0">
                      <c:v>31%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{5D17F0A2-DFC7-4F24-A4D3-7A3B4DA4B938}</c15:txfldGUID>
                      <c15:f>Credit_2015Q1!$S$9</c15:f>
                      <c15:dlblFieldTableCache>
                        <c:ptCount val="1"/>
                        <c:pt idx="0">
                          <c:v>31%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Credit_2015Q1!$V$9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{EB10DDF6-60C6-4CB5-9289-75868845A9B9}</c15:txfldGUID>
                      <c15:f>Credit_2015Q1!$V$9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(Credit_2015Q1!$J$5,Credit_2015Q1!$L$5,Credit_2015Q1!$O$5,Credit_2015Q1!$R$5,Credit_2015Q1!$U$5)</c:f>
              <c:strCache>
                <c:ptCount val="5"/>
                <c:pt idx="0">
                  <c:v>Rating</c:v>
                </c:pt>
                <c:pt idx="1">
                  <c:v>All Companies
(53)</c:v>
                </c:pt>
                <c:pt idx="2">
                  <c:v>Regulated
(38)</c:v>
                </c:pt>
                <c:pt idx="3">
                  <c:v>Mostly Regulated
(13)</c:v>
                </c:pt>
                <c:pt idx="4">
                  <c:v>Diversified
(2)</c:v>
                </c:pt>
              </c:strCache>
            </c:strRef>
          </c:cat>
          <c:val>
            <c:numRef>
              <c:f>(Credit_2015Q1!$Z$9,Credit_2015Q1!$L$9,Credit_2015Q1!$O$9,Credit_2015Q1!$R$9,Credit_2015Q1!$U$9)</c:f>
              <c:numCache>
                <c:formatCode>General</c:formatCode>
                <c:ptCount val="5"/>
                <c:pt idx="0">
                  <c:v>1</c:v>
                </c:pt>
                <c:pt idx="1">
                  <c:v>12</c:v>
                </c:pt>
                <c:pt idx="2">
                  <c:v>8</c:v>
                </c:pt>
                <c:pt idx="3">
                  <c:v>4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Credit_2015Q1!$J$10</c:f>
              <c:strCache>
                <c:ptCount val="1"/>
                <c:pt idx="0">
                  <c:v>BBB+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invertIfNegative val="0"/>
          <c:dLbls>
            <c:dLbl>
              <c:idx val="0"/>
              <c:tx>
                <c:strRef>
                  <c:f>Credit_2015Q1!$J$10</c:f>
                  <c:strCache>
                    <c:ptCount val="1"/>
                    <c:pt idx="0">
                      <c:v>BBB+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{E0354586-375A-4AA5-96BC-6568AD961D2E}</c15:txfldGUID>
                      <c15:f>Credit_2015Q1!$J$10</c15:f>
                      <c15:dlblFieldTableCache>
                        <c:ptCount val="1"/>
                        <c:pt idx="0">
                          <c:v>BBB+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Credit_2015Q1!$M$10</c:f>
                  <c:strCache>
                    <c:ptCount val="1"/>
                    <c:pt idx="0">
                      <c:v>32%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{BD513DD3-A4AC-4120-B4D5-7AEF05ED110E}</c15:txfldGUID>
                      <c15:f>Credit_2015Q1!$M$10</c15:f>
                      <c15:dlblFieldTableCache>
                        <c:ptCount val="1"/>
                        <c:pt idx="0">
                          <c:v>32%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Credit_2015Q1!$P$10</c:f>
                  <c:strCache>
                    <c:ptCount val="1"/>
                    <c:pt idx="0">
                      <c:v>32%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{2F7DBCC8-503B-4B95-AA59-F7F54748BD4E}</c15:txfldGUID>
                      <c15:f>Credit_2015Q1!$P$10</c15:f>
                      <c15:dlblFieldTableCache>
                        <c:ptCount val="1"/>
                        <c:pt idx="0">
                          <c:v>32%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Credit_2015Q1!$S$10</c:f>
                  <c:strCache>
                    <c:ptCount val="1"/>
                    <c:pt idx="0">
                      <c:v>31%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{A2576103-2C78-4B9F-BFA5-D7FC523B7C75}</c15:txfldGUID>
                      <c15:f>Credit_2015Q1!$S$10</c15:f>
                      <c15:dlblFieldTableCache>
                        <c:ptCount val="1"/>
                        <c:pt idx="0">
                          <c:v>31%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Credit_2015Q1!$V$10</c:f>
                  <c:strCache>
                    <c:ptCount val="1"/>
                    <c:pt idx="0">
                      <c:v>50%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{10B271CA-0EFA-4475-9F99-1F9D0153F012}</c15:txfldGUID>
                      <c15:f>Credit_2015Q1!$V$10</c15:f>
                      <c15:dlblFieldTableCache>
                        <c:ptCount val="1"/>
                        <c:pt idx="0">
                          <c:v>50%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(Credit_2015Q1!$J$5,Credit_2015Q1!$L$5,Credit_2015Q1!$O$5,Credit_2015Q1!$R$5,Credit_2015Q1!$U$5)</c:f>
              <c:strCache>
                <c:ptCount val="5"/>
                <c:pt idx="0">
                  <c:v>Rating</c:v>
                </c:pt>
                <c:pt idx="1">
                  <c:v>All Companies
(53)</c:v>
                </c:pt>
                <c:pt idx="2">
                  <c:v>Regulated
(38)</c:v>
                </c:pt>
                <c:pt idx="3">
                  <c:v>Mostly Regulated
(13)</c:v>
                </c:pt>
                <c:pt idx="4">
                  <c:v>Diversified
(2)</c:v>
                </c:pt>
              </c:strCache>
            </c:strRef>
          </c:cat>
          <c:val>
            <c:numRef>
              <c:f>(Credit_2015Q1!$Z$10,Credit_2015Q1!$L$10,Credit_2015Q1!$O$10,Credit_2015Q1!$R$10,Credit_2015Q1!$U$10)</c:f>
              <c:numCache>
                <c:formatCode>General</c:formatCode>
                <c:ptCount val="5"/>
                <c:pt idx="0">
                  <c:v>1</c:v>
                </c:pt>
                <c:pt idx="1">
                  <c:v>17</c:v>
                </c:pt>
                <c:pt idx="2">
                  <c:v>12</c:v>
                </c:pt>
                <c:pt idx="3">
                  <c:v>4</c:v>
                </c:pt>
                <c:pt idx="4">
                  <c:v>1</c:v>
                </c:pt>
              </c:numCache>
            </c:numRef>
          </c:val>
        </c:ser>
        <c:ser>
          <c:idx val="3"/>
          <c:order val="3"/>
          <c:tx>
            <c:strRef>
              <c:f>Credit_2015Q1!$J$11</c:f>
              <c:strCache>
                <c:ptCount val="1"/>
                <c:pt idx="0">
                  <c:v>BBB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dLbl>
              <c:idx val="0"/>
              <c:tx>
                <c:strRef>
                  <c:f>Credit_2015Q1!$J$11</c:f>
                  <c:strCache>
                    <c:ptCount val="1"/>
                    <c:pt idx="0">
                      <c:v>BBB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{0EFA856B-C28B-4106-BE85-2F0B7E90F832}</c15:txfldGUID>
                      <c15:f>Credit_2015Q1!$J$11</c15:f>
                      <c15:dlblFieldTableCache>
                        <c:ptCount val="1"/>
                        <c:pt idx="0">
                          <c:v>BBB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Credit_2015Q1!$M$11</c:f>
                  <c:strCache>
                    <c:ptCount val="1"/>
                    <c:pt idx="0">
                      <c:v>30%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{B2C00FD1-55A6-4169-9220-10D23A8BC250}</c15:txfldGUID>
                      <c15:f>Credit_2015Q1!$M$11</c15:f>
                      <c15:dlblFieldTableCache>
                        <c:ptCount val="1"/>
                        <c:pt idx="0">
                          <c:v>30%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Credit_2015Q1!$P$11</c:f>
                  <c:strCache>
                    <c:ptCount val="1"/>
                    <c:pt idx="0">
                      <c:v>37%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{5801109E-F1E0-452F-B115-FB8BAB54494B}</c15:txfldGUID>
                      <c15:f>Credit_2015Q1!$P$11</c15:f>
                      <c15:dlblFieldTableCache>
                        <c:ptCount val="1"/>
                        <c:pt idx="0">
                          <c:v>37%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Credit_2015Q1!$S$11</c:f>
                  <c:strCache>
                    <c:ptCount val="1"/>
                    <c:pt idx="0">
                      <c:v>15%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{FFDAFF82-72C9-47D4-AD8B-6120FCE9A4BD}</c15:txfldGUID>
                      <c15:f>Credit_2015Q1!$S$11</c15:f>
                      <c15:dlblFieldTableCache>
                        <c:ptCount val="1"/>
                        <c:pt idx="0">
                          <c:v>15%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Credit_2015Q1!$V$11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{76E5F9B8-B93C-4A3E-9732-4575DDCE660E}</c15:txfldGUID>
                      <c15:f>Credit_2015Q1!$V$11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(Credit_2015Q1!$J$5,Credit_2015Q1!$L$5,Credit_2015Q1!$O$5,Credit_2015Q1!$R$5,Credit_2015Q1!$U$5)</c:f>
              <c:strCache>
                <c:ptCount val="5"/>
                <c:pt idx="0">
                  <c:v>Rating</c:v>
                </c:pt>
                <c:pt idx="1">
                  <c:v>All Companies
(53)</c:v>
                </c:pt>
                <c:pt idx="2">
                  <c:v>Regulated
(38)</c:v>
                </c:pt>
                <c:pt idx="3">
                  <c:v>Mostly Regulated
(13)</c:v>
                </c:pt>
                <c:pt idx="4">
                  <c:v>Diversified
(2)</c:v>
                </c:pt>
              </c:strCache>
            </c:strRef>
          </c:cat>
          <c:val>
            <c:numRef>
              <c:f>(Credit_2015Q1!$Z$11,Credit_2015Q1!$L$11,Credit_2015Q1!$O$11,Credit_2015Q1!$R$11,Credit_2015Q1!$U$11)</c:f>
              <c:numCache>
                <c:formatCode>General</c:formatCode>
                <c:ptCount val="5"/>
                <c:pt idx="0">
                  <c:v>1</c:v>
                </c:pt>
                <c:pt idx="1">
                  <c:v>16</c:v>
                </c:pt>
                <c:pt idx="2">
                  <c:v>14</c:v>
                </c:pt>
                <c:pt idx="3">
                  <c:v>2</c:v>
                </c:pt>
                <c:pt idx="4">
                  <c:v>0</c:v>
                </c:pt>
              </c:numCache>
            </c:numRef>
          </c:val>
        </c:ser>
        <c:ser>
          <c:idx val="4"/>
          <c:order val="4"/>
          <c:tx>
            <c:strRef>
              <c:f>Credit_2015Q1!$J$12</c:f>
              <c:strCache>
                <c:ptCount val="1"/>
                <c:pt idx="0">
                  <c:v>BBB-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dLbls>
            <c:dLbl>
              <c:idx val="0"/>
              <c:tx>
                <c:strRef>
                  <c:f>Credit_2015Q1!$J$12</c:f>
                  <c:strCache>
                    <c:ptCount val="1"/>
                    <c:pt idx="0">
                      <c:v>BBB-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{EADAD6FD-8150-4F9C-AEDD-349878672D09}</c15:txfldGUID>
                      <c15:f>Credit_2015Q1!$J$12</c15:f>
                      <c15:dlblFieldTableCache>
                        <c:ptCount val="1"/>
                        <c:pt idx="0">
                          <c:v>BBB-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Credit_2015Q1!$M$12</c:f>
                  <c:strCache>
                    <c:ptCount val="1"/>
                    <c:pt idx="0">
                      <c:v>8%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{0E5CC6F0-8154-4B0D-80FE-BECE77907AF9}</c15:txfldGUID>
                      <c15:f>Credit_2015Q1!$M$12</c15:f>
                      <c15:dlblFieldTableCache>
                        <c:ptCount val="1"/>
                        <c:pt idx="0">
                          <c:v>8%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Credit_2015Q1!$P$12</c:f>
                  <c:strCache>
                    <c:ptCount val="1"/>
                    <c:pt idx="0">
                      <c:v>3%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{6A9B07C8-B738-4861-BE9F-BC311A5F6B80}</c15:txfldGUID>
                      <c15:f>Credit_2015Q1!$P$12</c15:f>
                      <c15:dlblFieldTableCache>
                        <c:ptCount val="1"/>
                        <c:pt idx="0">
                          <c:v>3%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Credit_2015Q1!$S$12</c:f>
                  <c:strCache>
                    <c:ptCount val="1"/>
                    <c:pt idx="0">
                      <c:v>15%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{262D7935-00D4-4B3C-80CD-0275AD8D1ECD}</c15:txfldGUID>
                      <c15:f>Credit_2015Q1!$S$12</c15:f>
                      <c15:dlblFieldTableCache>
                        <c:ptCount val="1"/>
                        <c:pt idx="0">
                          <c:v>15%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Credit_2015Q1!$V$12</c:f>
                  <c:strCache>
                    <c:ptCount val="1"/>
                    <c:pt idx="0">
                      <c:v>50%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{0609F9D4-B239-475C-A0F9-43CCF36A0356}</c15:txfldGUID>
                      <c15:f>Credit_2015Q1!$V$12</c15:f>
                      <c15:dlblFieldTableCache>
                        <c:ptCount val="1"/>
                        <c:pt idx="0">
                          <c:v>50%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(Credit_2015Q1!$J$5,Credit_2015Q1!$L$5,Credit_2015Q1!$O$5,Credit_2015Q1!$R$5,Credit_2015Q1!$U$5)</c:f>
              <c:strCache>
                <c:ptCount val="5"/>
                <c:pt idx="0">
                  <c:v>Rating</c:v>
                </c:pt>
                <c:pt idx="1">
                  <c:v>All Companies
(53)</c:v>
                </c:pt>
                <c:pt idx="2">
                  <c:v>Regulated
(38)</c:v>
                </c:pt>
                <c:pt idx="3">
                  <c:v>Mostly Regulated
(13)</c:v>
                </c:pt>
                <c:pt idx="4">
                  <c:v>Diversified
(2)</c:v>
                </c:pt>
              </c:strCache>
            </c:strRef>
          </c:cat>
          <c:val>
            <c:numRef>
              <c:f>(Credit_2015Q1!$Z$12,Credit_2015Q1!$L$12,Credit_2015Q1!$O$12,Credit_2015Q1!$R$12,Credit_2015Q1!$U$12)</c:f>
              <c:numCache>
                <c:formatCode>General</c:formatCode>
                <c:ptCount val="5"/>
                <c:pt idx="0">
                  <c:v>1</c:v>
                </c:pt>
                <c:pt idx="1">
                  <c:v>4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</c:numCache>
            </c:numRef>
          </c:val>
        </c:ser>
        <c:ser>
          <c:idx val="5"/>
          <c:order val="5"/>
          <c:tx>
            <c:strRef>
              <c:f>Credit_2015Q1!$J$13</c:f>
              <c:strCache>
                <c:ptCount val="1"/>
                <c:pt idx="0">
                  <c:v>Below BBB-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invertIfNegative val="0"/>
          <c:dLbls>
            <c:dLbl>
              <c:idx val="0"/>
              <c:tx>
                <c:strRef>
                  <c:f>Credit_2015Q1!$J$13</c:f>
                  <c:strCache>
                    <c:ptCount val="1"/>
                    <c:pt idx="0">
                      <c:v>Below BBB-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{12C83396-ACD8-4BEE-93EE-D49638058E01}</c15:txfldGUID>
                      <c15:f>Credit_2015Q1!$J$13</c15:f>
                      <c15:dlblFieldTableCache>
                        <c:ptCount val="1"/>
                        <c:pt idx="0">
                          <c:v>Below BBB-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Credit_2015Q1!$M$13</c:f>
                  <c:strCache>
                    <c:ptCount val="1"/>
                    <c:pt idx="0">
                      <c:v>4%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{98092C56-2DC2-4FCC-A746-D9A5A290641F}</c15:txfldGUID>
                      <c15:f>Credit_2015Q1!$M$13</c15:f>
                      <c15:dlblFieldTableCache>
                        <c:ptCount val="1"/>
                        <c:pt idx="0">
                          <c:v>4%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Credit_2015Q1!$P$13</c:f>
                  <c:strCache>
                    <c:ptCount val="1"/>
                    <c:pt idx="0">
                      <c:v>5%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{077854A6-ED21-4C13-8515-B084C1525E9E}</c15:txfldGUID>
                      <c15:f>Credit_2015Q1!$P$13</c15:f>
                      <c15:dlblFieldTableCache>
                        <c:ptCount val="1"/>
                        <c:pt idx="0">
                          <c:v>5%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Credit_2015Q1!$S$13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{47945E43-78A1-4B21-8679-B23521AD0959}</c15:txfldGUID>
                      <c15:f>Credit_2015Q1!$S$13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Credit_2015Q1!$V$13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{3D35AFAD-3AD9-4685-8E08-4AA35C129625}</c15:txfldGUID>
                      <c15:f>Credit_2015Q1!$V$13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(Credit_2015Q1!$J$5,Credit_2015Q1!$L$5,Credit_2015Q1!$O$5,Credit_2015Q1!$R$5,Credit_2015Q1!$U$5)</c:f>
              <c:strCache>
                <c:ptCount val="5"/>
                <c:pt idx="0">
                  <c:v>Rating</c:v>
                </c:pt>
                <c:pt idx="1">
                  <c:v>All Companies
(53)</c:v>
                </c:pt>
                <c:pt idx="2">
                  <c:v>Regulated
(38)</c:v>
                </c:pt>
                <c:pt idx="3">
                  <c:v>Mostly Regulated
(13)</c:v>
                </c:pt>
                <c:pt idx="4">
                  <c:v>Diversified
(2)</c:v>
                </c:pt>
              </c:strCache>
            </c:strRef>
          </c:cat>
          <c:val>
            <c:numRef>
              <c:f>(Credit_2015Q1!$Z$13,Credit_2015Q1!$L$13,Credit_2015Q1!$O$13,Credit_2015Q1!$R$13,Credit_2015Q1!$U$13)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669347272"/>
        <c:axId val="669317872"/>
      </c:barChart>
      <c:catAx>
        <c:axId val="6693472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high"/>
        <c:txPr>
          <a:bodyPr/>
          <a:lstStyle/>
          <a:p>
            <a:pPr>
              <a:defRPr sz="1300">
                <a:solidFill>
                  <a:sysClr val="windowText" lastClr="000000"/>
                </a:solidFill>
              </a:defRPr>
            </a:pPr>
            <a:endParaRPr lang="en-US"/>
          </a:p>
        </c:txPr>
        <c:crossAx val="669317872"/>
        <c:crosses val="max"/>
        <c:auto val="1"/>
        <c:lblAlgn val="ctr"/>
        <c:lblOffset val="100"/>
        <c:noMultiLvlLbl val="0"/>
      </c:catAx>
      <c:valAx>
        <c:axId val="669317872"/>
        <c:scaling>
          <c:orientation val="maxMin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0%" sourceLinked="1"/>
        <c:majorTickMark val="none"/>
        <c:minorTickMark val="none"/>
        <c:tickLblPos val="none"/>
        <c:spPr>
          <a:ln>
            <a:noFill/>
          </a:ln>
        </c:spPr>
        <c:crossAx val="66934727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1">
          <a:solidFill>
            <a:schemeClr val="bg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3">
                  <a:lumMod val="50000"/>
                </a:schemeClr>
              </a:solidFill>
            </c:spPr>
          </c:dPt>
          <c:dPt>
            <c:idx val="1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50000"/>
                </a:schemeClr>
              </a:solidFill>
            </c:spPr>
          </c:dPt>
          <c:dPt>
            <c:idx val="3"/>
            <c:bubble3D val="0"/>
            <c:spPr>
              <a:solidFill>
                <a:schemeClr val="accent5">
                  <a:lumMod val="75000"/>
                </a:schemeClr>
              </a:solidFill>
            </c:spPr>
          </c:dPt>
          <c:dPt>
            <c:idx val="4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</c:dPt>
          <c:dPt>
            <c:idx val="5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ysClr val="windowText" lastClr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5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ysClr val="windowText" lastClr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Credit_2014Q4!$J$8:$J$13</c:f>
              <c:strCache>
                <c:ptCount val="6"/>
                <c:pt idx="0">
                  <c:v>A or higher</c:v>
                </c:pt>
                <c:pt idx="1">
                  <c:v>A-</c:v>
                </c:pt>
                <c:pt idx="2">
                  <c:v>BBB+</c:v>
                </c:pt>
                <c:pt idx="3">
                  <c:v>BBB</c:v>
                </c:pt>
                <c:pt idx="4">
                  <c:v>BBB-</c:v>
                </c:pt>
                <c:pt idx="5">
                  <c:v>Below BBB-</c:v>
                </c:pt>
              </c:strCache>
            </c:strRef>
          </c:cat>
          <c:val>
            <c:numRef>
              <c:f>Credit_2014Q4!$M$8:$M$13</c:f>
              <c:numCache>
                <c:formatCode>0%</c:formatCode>
                <c:ptCount val="6"/>
                <c:pt idx="0">
                  <c:v>3.7735849056603772E-2</c:v>
                </c:pt>
                <c:pt idx="1">
                  <c:v>0.22641509433962265</c:v>
                </c:pt>
                <c:pt idx="2">
                  <c:v>0.32075471698113206</c:v>
                </c:pt>
                <c:pt idx="3">
                  <c:v>0.30188679245283018</c:v>
                </c:pt>
                <c:pt idx="4">
                  <c:v>7.5471698113207544E-2</c:v>
                </c:pt>
                <c:pt idx="5">
                  <c:v>3.7735849056603772E-2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4.0854248593277388E-2"/>
          <c:w val="1"/>
          <c:h val="0.7859199662194755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Credit_2014Q4!$J$8</c:f>
              <c:strCache>
                <c:ptCount val="1"/>
                <c:pt idx="0">
                  <c:v>A or higher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invertIfNegative val="0"/>
          <c:dLbls>
            <c:dLbl>
              <c:idx val="0"/>
              <c:tx>
                <c:strRef>
                  <c:f>Credit_2014Q4!$J$8</c:f>
                  <c:strCache>
                    <c:ptCount val="1"/>
                    <c:pt idx="0">
                      <c:v>A or higher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{45856B8F-4C4C-4875-8D29-DCB3E2280ACD}</c15:txfldGUID>
                      <c15:f>Credit_2014Q4!$J$8</c15:f>
                      <c15:dlblFieldTableCache>
                        <c:ptCount val="1"/>
                        <c:pt idx="0">
                          <c:v>A or higher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Credit_2014Q4!$M$8</c:f>
                  <c:strCache>
                    <c:ptCount val="1"/>
                    <c:pt idx="0">
                      <c:v>4%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{7E6FB79E-0CF1-4BCC-9C24-042DC9E0E62F}</c15:txfldGUID>
                      <c15:f>Credit_2014Q4!$M$8</c15:f>
                      <c15:dlblFieldTableCache>
                        <c:ptCount val="1"/>
                        <c:pt idx="0">
                          <c:v>4%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Credit_2014Q4!$P$8</c:f>
                  <c:strCache>
                    <c:ptCount val="1"/>
                    <c:pt idx="0">
                      <c:v>3%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{162DA990-8EE5-41D7-9A47-8E562BC1C7DA}</c15:txfldGUID>
                      <c15:f>Credit_2014Q4!$P$8</c15:f>
                      <c15:dlblFieldTableCache>
                        <c:ptCount val="1"/>
                        <c:pt idx="0">
                          <c:v>3%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Credit_2014Q4!$S$8</c:f>
                  <c:strCache>
                    <c:ptCount val="1"/>
                    <c:pt idx="0">
                      <c:v>8%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{5D177F18-D6BA-4EEC-BDDC-0933B61355A1}</c15:txfldGUID>
                      <c15:f>Credit_2014Q4!$S$8</c15:f>
                      <c15:dlblFieldTableCache>
                        <c:ptCount val="1"/>
                        <c:pt idx="0">
                          <c:v>8%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Credit_2014Q4!$V$8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{5364B557-7396-45CA-9250-267275A00BDF}</c15:txfldGUID>
                      <c15:f>Credit_2014Q4!$V$8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(Credit_2014Q4!$J$5,Credit_2014Q4!$L$5,Credit_2014Q4!$O$5,Credit_2014Q4!$R$5,Credit_2014Q4!$U$5)</c:f>
              <c:strCache>
                <c:ptCount val="5"/>
                <c:pt idx="0">
                  <c:v>Rating</c:v>
                </c:pt>
                <c:pt idx="1">
                  <c:v>All Companies
(53)</c:v>
                </c:pt>
                <c:pt idx="2">
                  <c:v>Regulated
(38)</c:v>
                </c:pt>
                <c:pt idx="3">
                  <c:v>Mostly Regulated
(13)</c:v>
                </c:pt>
                <c:pt idx="4">
                  <c:v>Diversified
(2)</c:v>
                </c:pt>
              </c:strCache>
            </c:strRef>
          </c:cat>
          <c:val>
            <c:numRef>
              <c:f>(Credit_2014Q4!$Z$8,Credit_2014Q4!$L$8,Credit_2014Q4!$O$8,Credit_2014Q4!$R$8,Credit_2014Q4!$U$8)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Credit_2014Q4!$J$9</c:f>
              <c:strCache>
                <c:ptCount val="1"/>
                <c:pt idx="0">
                  <c:v>A-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tx>
                <c:strRef>
                  <c:f>Credit_2014Q4!$J$9</c:f>
                  <c:strCache>
                    <c:ptCount val="1"/>
                    <c:pt idx="0">
                      <c:v>A-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{CB19B4C0-82AC-4259-9F10-A16C5375851F}</c15:txfldGUID>
                      <c15:f>Credit_2014Q4!$J$9</c15:f>
                      <c15:dlblFieldTableCache>
                        <c:ptCount val="1"/>
                        <c:pt idx="0">
                          <c:v>A-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Credit_2014Q4!$M$9</c:f>
                  <c:strCache>
                    <c:ptCount val="1"/>
                    <c:pt idx="0">
                      <c:v>23%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{4FD1297D-0DA4-40D9-A128-195DC31D69AB}</c15:txfldGUID>
                      <c15:f>Credit_2014Q4!$M$9</c15:f>
                      <c15:dlblFieldTableCache>
                        <c:ptCount val="1"/>
                        <c:pt idx="0">
                          <c:v>23%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Credit_2014Q4!$P$9</c:f>
                  <c:strCache>
                    <c:ptCount val="1"/>
                    <c:pt idx="0">
                      <c:v>21%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{182696E0-333F-4D9F-9225-9679B4340CB9}</c15:txfldGUID>
                      <c15:f>Credit_2014Q4!$P$9</c15:f>
                      <c15:dlblFieldTableCache>
                        <c:ptCount val="1"/>
                        <c:pt idx="0">
                          <c:v>21%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Credit_2014Q4!$S$9</c:f>
                  <c:strCache>
                    <c:ptCount val="1"/>
                    <c:pt idx="0">
                      <c:v>31%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{187F0F1D-7459-42A6-8651-CF525F59903B}</c15:txfldGUID>
                      <c15:f>Credit_2014Q4!$S$9</c15:f>
                      <c15:dlblFieldTableCache>
                        <c:ptCount val="1"/>
                        <c:pt idx="0">
                          <c:v>31%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Credit_2014Q4!$V$9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{AB37B6DE-6063-435F-9A9E-F640FCF55EB5}</c15:txfldGUID>
                      <c15:f>Credit_2014Q4!$V$9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(Credit_2014Q4!$J$5,Credit_2014Q4!$L$5,Credit_2014Q4!$O$5,Credit_2014Q4!$R$5,Credit_2014Q4!$U$5)</c:f>
              <c:strCache>
                <c:ptCount val="5"/>
                <c:pt idx="0">
                  <c:v>Rating</c:v>
                </c:pt>
                <c:pt idx="1">
                  <c:v>All Companies
(53)</c:v>
                </c:pt>
                <c:pt idx="2">
                  <c:v>Regulated
(38)</c:v>
                </c:pt>
                <c:pt idx="3">
                  <c:v>Mostly Regulated
(13)</c:v>
                </c:pt>
                <c:pt idx="4">
                  <c:v>Diversified
(2)</c:v>
                </c:pt>
              </c:strCache>
            </c:strRef>
          </c:cat>
          <c:val>
            <c:numRef>
              <c:f>(Credit_2014Q4!$Z$9,Credit_2014Q4!$L$9,Credit_2014Q4!$O$9,Credit_2014Q4!$R$9,Credit_2014Q4!$U$9)</c:f>
              <c:numCache>
                <c:formatCode>General</c:formatCode>
                <c:ptCount val="5"/>
                <c:pt idx="0">
                  <c:v>1</c:v>
                </c:pt>
                <c:pt idx="1">
                  <c:v>12</c:v>
                </c:pt>
                <c:pt idx="2">
                  <c:v>8</c:v>
                </c:pt>
                <c:pt idx="3">
                  <c:v>4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Credit_2014Q4!$J$10</c:f>
              <c:strCache>
                <c:ptCount val="1"/>
                <c:pt idx="0">
                  <c:v>BBB+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invertIfNegative val="0"/>
          <c:dLbls>
            <c:dLbl>
              <c:idx val="0"/>
              <c:tx>
                <c:strRef>
                  <c:f>Credit_2014Q4!$J$10</c:f>
                  <c:strCache>
                    <c:ptCount val="1"/>
                    <c:pt idx="0">
                      <c:v>BBB+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{5B2D8292-15B4-400E-9116-005E2B677D3F}</c15:txfldGUID>
                      <c15:f>Credit_2014Q4!$J$10</c15:f>
                      <c15:dlblFieldTableCache>
                        <c:ptCount val="1"/>
                        <c:pt idx="0">
                          <c:v>BBB+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Credit_2014Q4!$M$10</c:f>
                  <c:strCache>
                    <c:ptCount val="1"/>
                    <c:pt idx="0">
                      <c:v>32%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{8E11E37E-08D3-462E-8626-C98F221BC9BB}</c15:txfldGUID>
                      <c15:f>Credit_2014Q4!$M$10</c15:f>
                      <c15:dlblFieldTableCache>
                        <c:ptCount val="1"/>
                        <c:pt idx="0">
                          <c:v>32%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Credit_2014Q4!$P$10</c:f>
                  <c:strCache>
                    <c:ptCount val="1"/>
                    <c:pt idx="0">
                      <c:v>32%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{0066BF20-B62C-47DD-9C06-84260FC8E382}</c15:txfldGUID>
                      <c15:f>Credit_2014Q4!$P$10</c15:f>
                      <c15:dlblFieldTableCache>
                        <c:ptCount val="1"/>
                        <c:pt idx="0">
                          <c:v>32%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Credit_2014Q4!$S$10</c:f>
                  <c:strCache>
                    <c:ptCount val="1"/>
                    <c:pt idx="0">
                      <c:v>31%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{CBE2F369-D0F0-4A6E-8BDD-4B6053EF9815}</c15:txfldGUID>
                      <c15:f>Credit_2014Q4!$S$10</c15:f>
                      <c15:dlblFieldTableCache>
                        <c:ptCount val="1"/>
                        <c:pt idx="0">
                          <c:v>31%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Credit_2014Q4!$V$10</c:f>
                  <c:strCache>
                    <c:ptCount val="1"/>
                    <c:pt idx="0">
                      <c:v>50%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{149E972B-970D-4A87-9E9D-952684F7DED2}</c15:txfldGUID>
                      <c15:f>Credit_2014Q4!$V$10</c15:f>
                      <c15:dlblFieldTableCache>
                        <c:ptCount val="1"/>
                        <c:pt idx="0">
                          <c:v>50%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(Credit_2014Q4!$J$5,Credit_2014Q4!$L$5,Credit_2014Q4!$O$5,Credit_2014Q4!$R$5,Credit_2014Q4!$U$5)</c:f>
              <c:strCache>
                <c:ptCount val="5"/>
                <c:pt idx="0">
                  <c:v>Rating</c:v>
                </c:pt>
                <c:pt idx="1">
                  <c:v>All Companies
(53)</c:v>
                </c:pt>
                <c:pt idx="2">
                  <c:v>Regulated
(38)</c:v>
                </c:pt>
                <c:pt idx="3">
                  <c:v>Mostly Regulated
(13)</c:v>
                </c:pt>
                <c:pt idx="4">
                  <c:v>Diversified
(2)</c:v>
                </c:pt>
              </c:strCache>
            </c:strRef>
          </c:cat>
          <c:val>
            <c:numRef>
              <c:f>(Credit_2014Q4!$Z$10,Credit_2014Q4!$L$10,Credit_2014Q4!$O$10,Credit_2014Q4!$R$10,Credit_2014Q4!$U$10)</c:f>
              <c:numCache>
                <c:formatCode>General</c:formatCode>
                <c:ptCount val="5"/>
                <c:pt idx="0">
                  <c:v>1</c:v>
                </c:pt>
                <c:pt idx="1">
                  <c:v>17</c:v>
                </c:pt>
                <c:pt idx="2">
                  <c:v>12</c:v>
                </c:pt>
                <c:pt idx="3">
                  <c:v>4</c:v>
                </c:pt>
                <c:pt idx="4">
                  <c:v>1</c:v>
                </c:pt>
              </c:numCache>
            </c:numRef>
          </c:val>
        </c:ser>
        <c:ser>
          <c:idx val="3"/>
          <c:order val="3"/>
          <c:tx>
            <c:strRef>
              <c:f>Credit_2014Q4!$J$11</c:f>
              <c:strCache>
                <c:ptCount val="1"/>
                <c:pt idx="0">
                  <c:v>BBB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dLbl>
              <c:idx val="0"/>
              <c:tx>
                <c:strRef>
                  <c:f>Credit_2014Q4!$J$11</c:f>
                  <c:strCache>
                    <c:ptCount val="1"/>
                    <c:pt idx="0">
                      <c:v>BBB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{5C862868-C5E7-4C4A-B9E1-277C4AD38506}</c15:txfldGUID>
                      <c15:f>Credit_2014Q4!$J$11</c15:f>
                      <c15:dlblFieldTableCache>
                        <c:ptCount val="1"/>
                        <c:pt idx="0">
                          <c:v>BBB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Credit_2014Q4!$M$11</c:f>
                  <c:strCache>
                    <c:ptCount val="1"/>
                    <c:pt idx="0">
                      <c:v>30%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{377F86D0-39AD-4224-8617-491ECD5DA29E}</c15:txfldGUID>
                      <c15:f>Credit_2014Q4!$M$11</c15:f>
                      <c15:dlblFieldTableCache>
                        <c:ptCount val="1"/>
                        <c:pt idx="0">
                          <c:v>30%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Credit_2014Q4!$P$11</c:f>
                  <c:strCache>
                    <c:ptCount val="1"/>
                    <c:pt idx="0">
                      <c:v>37%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{8B95256C-FC09-4DF7-8272-771EDBF9F24D}</c15:txfldGUID>
                      <c15:f>Credit_2014Q4!$P$11</c15:f>
                      <c15:dlblFieldTableCache>
                        <c:ptCount val="1"/>
                        <c:pt idx="0">
                          <c:v>37%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Credit_2014Q4!$S$11</c:f>
                  <c:strCache>
                    <c:ptCount val="1"/>
                    <c:pt idx="0">
                      <c:v>15%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{8DFF8E2E-5BFC-4A08-B3DA-3288B09AEBD3}</c15:txfldGUID>
                      <c15:f>Credit_2014Q4!$S$11</c15:f>
                      <c15:dlblFieldTableCache>
                        <c:ptCount val="1"/>
                        <c:pt idx="0">
                          <c:v>15%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Credit_2014Q4!$V$11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{79E05007-6D9E-4592-A944-88D7F3B81E32}</c15:txfldGUID>
                      <c15:f>Credit_2014Q4!$V$11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(Credit_2014Q4!$J$5,Credit_2014Q4!$L$5,Credit_2014Q4!$O$5,Credit_2014Q4!$R$5,Credit_2014Q4!$U$5)</c:f>
              <c:strCache>
                <c:ptCount val="5"/>
                <c:pt idx="0">
                  <c:v>Rating</c:v>
                </c:pt>
                <c:pt idx="1">
                  <c:v>All Companies
(53)</c:v>
                </c:pt>
                <c:pt idx="2">
                  <c:v>Regulated
(38)</c:v>
                </c:pt>
                <c:pt idx="3">
                  <c:v>Mostly Regulated
(13)</c:v>
                </c:pt>
                <c:pt idx="4">
                  <c:v>Diversified
(2)</c:v>
                </c:pt>
              </c:strCache>
            </c:strRef>
          </c:cat>
          <c:val>
            <c:numRef>
              <c:f>(Credit_2014Q4!$Z$11,Credit_2014Q4!$L$11,Credit_2014Q4!$O$11,Credit_2014Q4!$R$11,Credit_2014Q4!$U$11)</c:f>
              <c:numCache>
                <c:formatCode>General</c:formatCode>
                <c:ptCount val="5"/>
                <c:pt idx="0">
                  <c:v>1</c:v>
                </c:pt>
                <c:pt idx="1">
                  <c:v>16</c:v>
                </c:pt>
                <c:pt idx="2">
                  <c:v>14</c:v>
                </c:pt>
                <c:pt idx="3">
                  <c:v>2</c:v>
                </c:pt>
                <c:pt idx="4">
                  <c:v>0</c:v>
                </c:pt>
              </c:numCache>
            </c:numRef>
          </c:val>
        </c:ser>
        <c:ser>
          <c:idx val="4"/>
          <c:order val="4"/>
          <c:tx>
            <c:strRef>
              <c:f>Credit_2014Q4!$J$12</c:f>
              <c:strCache>
                <c:ptCount val="1"/>
                <c:pt idx="0">
                  <c:v>BBB-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dLbls>
            <c:dLbl>
              <c:idx val="0"/>
              <c:tx>
                <c:strRef>
                  <c:f>Credit_2014Q4!$J$12</c:f>
                  <c:strCache>
                    <c:ptCount val="1"/>
                    <c:pt idx="0">
                      <c:v>BBB-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{6268B691-D775-4E69-BC24-4D8330E19CB6}</c15:txfldGUID>
                      <c15:f>Credit_2014Q4!$J$12</c15:f>
                      <c15:dlblFieldTableCache>
                        <c:ptCount val="1"/>
                        <c:pt idx="0">
                          <c:v>BBB-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Credit_2014Q4!$M$12</c:f>
                  <c:strCache>
                    <c:ptCount val="1"/>
                    <c:pt idx="0">
                      <c:v>8%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{24E1DD0F-1470-4CF3-A8E2-9DC4D2B26137}</c15:txfldGUID>
                      <c15:f>Credit_2014Q4!$M$12</c15:f>
                      <c15:dlblFieldTableCache>
                        <c:ptCount val="1"/>
                        <c:pt idx="0">
                          <c:v>8%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Credit_2014Q4!$P$12</c:f>
                  <c:strCache>
                    <c:ptCount val="1"/>
                    <c:pt idx="0">
                      <c:v>3%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{601C0FAA-50F9-4A97-BEFE-5E0BA84D4878}</c15:txfldGUID>
                      <c15:f>Credit_2014Q4!$P$12</c15:f>
                      <c15:dlblFieldTableCache>
                        <c:ptCount val="1"/>
                        <c:pt idx="0">
                          <c:v>3%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Credit_2014Q4!$S$12</c:f>
                  <c:strCache>
                    <c:ptCount val="1"/>
                    <c:pt idx="0">
                      <c:v>15%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{8582CC59-0219-4F1A-B332-094742D02409}</c15:txfldGUID>
                      <c15:f>Credit_2014Q4!$S$12</c15:f>
                      <c15:dlblFieldTableCache>
                        <c:ptCount val="1"/>
                        <c:pt idx="0">
                          <c:v>15%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Credit_2014Q4!$V$12</c:f>
                  <c:strCache>
                    <c:ptCount val="1"/>
                    <c:pt idx="0">
                      <c:v>50%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{4776575E-6FC2-4547-948F-F179585AC738}</c15:txfldGUID>
                      <c15:f>Credit_2014Q4!$V$12</c15:f>
                      <c15:dlblFieldTableCache>
                        <c:ptCount val="1"/>
                        <c:pt idx="0">
                          <c:v>50%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(Credit_2014Q4!$J$5,Credit_2014Q4!$L$5,Credit_2014Q4!$O$5,Credit_2014Q4!$R$5,Credit_2014Q4!$U$5)</c:f>
              <c:strCache>
                <c:ptCount val="5"/>
                <c:pt idx="0">
                  <c:v>Rating</c:v>
                </c:pt>
                <c:pt idx="1">
                  <c:v>All Companies
(53)</c:v>
                </c:pt>
                <c:pt idx="2">
                  <c:v>Regulated
(38)</c:v>
                </c:pt>
                <c:pt idx="3">
                  <c:v>Mostly Regulated
(13)</c:v>
                </c:pt>
                <c:pt idx="4">
                  <c:v>Diversified
(2)</c:v>
                </c:pt>
              </c:strCache>
            </c:strRef>
          </c:cat>
          <c:val>
            <c:numRef>
              <c:f>(Credit_2014Q4!$Z$12,Credit_2014Q4!$L$12,Credit_2014Q4!$O$12,Credit_2014Q4!$R$12,Credit_2014Q4!$U$12)</c:f>
              <c:numCache>
                <c:formatCode>General</c:formatCode>
                <c:ptCount val="5"/>
                <c:pt idx="0">
                  <c:v>1</c:v>
                </c:pt>
                <c:pt idx="1">
                  <c:v>4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</c:numCache>
            </c:numRef>
          </c:val>
        </c:ser>
        <c:ser>
          <c:idx val="5"/>
          <c:order val="5"/>
          <c:tx>
            <c:strRef>
              <c:f>Credit_2014Q4!$J$13</c:f>
              <c:strCache>
                <c:ptCount val="1"/>
                <c:pt idx="0">
                  <c:v>Below BBB-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invertIfNegative val="0"/>
          <c:dLbls>
            <c:dLbl>
              <c:idx val="0"/>
              <c:tx>
                <c:strRef>
                  <c:f>Credit_2014Q4!$J$13</c:f>
                  <c:strCache>
                    <c:ptCount val="1"/>
                    <c:pt idx="0">
                      <c:v>Below BBB-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{75CEFF49-E8A1-4C3B-B6AF-822DC8A12BCB}</c15:txfldGUID>
                      <c15:f>Credit_2014Q4!$J$13</c15:f>
                      <c15:dlblFieldTableCache>
                        <c:ptCount val="1"/>
                        <c:pt idx="0">
                          <c:v>Below BBB-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Credit_2014Q4!$M$13</c:f>
                  <c:strCache>
                    <c:ptCount val="1"/>
                    <c:pt idx="0">
                      <c:v>4%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{15F47A29-1934-4046-944E-FACFC98CF905}</c15:txfldGUID>
                      <c15:f>Credit_2014Q4!$M$13</c15:f>
                      <c15:dlblFieldTableCache>
                        <c:ptCount val="1"/>
                        <c:pt idx="0">
                          <c:v>4%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Credit_2014Q4!$P$13</c:f>
                  <c:strCache>
                    <c:ptCount val="1"/>
                    <c:pt idx="0">
                      <c:v>5%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{1D16106A-B328-49C1-8356-A9CBBA50B16A}</c15:txfldGUID>
                      <c15:f>Credit_2014Q4!$P$13</c15:f>
                      <c15:dlblFieldTableCache>
                        <c:ptCount val="1"/>
                        <c:pt idx="0">
                          <c:v>5%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Credit_2014Q4!$S$13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{AF02EE30-710C-4EDC-973F-DEBA7478191F}</c15:txfldGUID>
                      <c15:f>Credit_2014Q4!$S$13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Credit_2014Q4!$V$13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{F1F4271C-0A70-47E6-9510-E9C234FCFA6D}</c15:txfldGUID>
                      <c15:f>Credit_2014Q4!$V$13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(Credit_2014Q4!$J$5,Credit_2014Q4!$L$5,Credit_2014Q4!$O$5,Credit_2014Q4!$R$5,Credit_2014Q4!$U$5)</c:f>
              <c:strCache>
                <c:ptCount val="5"/>
                <c:pt idx="0">
                  <c:v>Rating</c:v>
                </c:pt>
                <c:pt idx="1">
                  <c:v>All Companies
(53)</c:v>
                </c:pt>
                <c:pt idx="2">
                  <c:v>Regulated
(38)</c:v>
                </c:pt>
                <c:pt idx="3">
                  <c:v>Mostly Regulated
(13)</c:v>
                </c:pt>
                <c:pt idx="4">
                  <c:v>Diversified
(2)</c:v>
                </c:pt>
              </c:strCache>
            </c:strRef>
          </c:cat>
          <c:val>
            <c:numRef>
              <c:f>(Credit_2014Q4!$Z$13,Credit_2014Q4!$L$13,Credit_2014Q4!$O$13,Credit_2014Q4!$R$13,Credit_2014Q4!$U$13)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669335512"/>
        <c:axId val="668279784"/>
      </c:barChart>
      <c:catAx>
        <c:axId val="6693355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high"/>
        <c:txPr>
          <a:bodyPr/>
          <a:lstStyle/>
          <a:p>
            <a:pPr>
              <a:defRPr sz="1300">
                <a:solidFill>
                  <a:sysClr val="windowText" lastClr="000000"/>
                </a:solidFill>
              </a:defRPr>
            </a:pPr>
            <a:endParaRPr lang="en-US"/>
          </a:p>
        </c:txPr>
        <c:crossAx val="668279784"/>
        <c:crosses val="max"/>
        <c:auto val="1"/>
        <c:lblAlgn val="ctr"/>
        <c:lblOffset val="100"/>
        <c:noMultiLvlLbl val="0"/>
      </c:catAx>
      <c:valAx>
        <c:axId val="668279784"/>
        <c:scaling>
          <c:orientation val="maxMin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0%" sourceLinked="1"/>
        <c:majorTickMark val="none"/>
        <c:minorTickMark val="none"/>
        <c:tickLblPos val="none"/>
        <c:spPr>
          <a:ln>
            <a:noFill/>
          </a:ln>
        </c:spPr>
        <c:crossAx val="66933551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1">
          <a:solidFill>
            <a:schemeClr val="bg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3">
                  <a:lumMod val="50000"/>
                </a:schemeClr>
              </a:solidFill>
            </c:spPr>
          </c:dPt>
          <c:dPt>
            <c:idx val="1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50000"/>
                </a:schemeClr>
              </a:solidFill>
            </c:spPr>
          </c:dPt>
          <c:dPt>
            <c:idx val="3"/>
            <c:bubble3D val="0"/>
            <c:spPr>
              <a:solidFill>
                <a:schemeClr val="accent5">
                  <a:lumMod val="75000"/>
                </a:schemeClr>
              </a:solidFill>
            </c:spPr>
          </c:dPt>
          <c:dPt>
            <c:idx val="4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</c:dPt>
          <c:dPt>
            <c:idx val="5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ysClr val="windowText" lastClr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5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ysClr val="windowText" lastClr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Credit_2014Q3!$J$8:$J$13</c:f>
              <c:strCache>
                <c:ptCount val="6"/>
                <c:pt idx="0">
                  <c:v>A or higher</c:v>
                </c:pt>
                <c:pt idx="1">
                  <c:v>A-</c:v>
                </c:pt>
                <c:pt idx="2">
                  <c:v>BBB+</c:v>
                </c:pt>
                <c:pt idx="3">
                  <c:v>BBB</c:v>
                </c:pt>
                <c:pt idx="4">
                  <c:v>BBB-</c:v>
                </c:pt>
                <c:pt idx="5">
                  <c:v>Below BBB-</c:v>
                </c:pt>
              </c:strCache>
            </c:strRef>
          </c:cat>
          <c:val>
            <c:numRef>
              <c:f>Credit_2014Q3!$M$8:$M$13</c:f>
              <c:numCache>
                <c:formatCode>0%</c:formatCode>
                <c:ptCount val="6"/>
                <c:pt idx="0">
                  <c:v>3.7735849056603772E-2</c:v>
                </c:pt>
                <c:pt idx="1">
                  <c:v>0.22641509433962265</c:v>
                </c:pt>
                <c:pt idx="2">
                  <c:v>0.28301886792452829</c:v>
                </c:pt>
                <c:pt idx="3">
                  <c:v>0.33962264150943394</c:v>
                </c:pt>
                <c:pt idx="4">
                  <c:v>7.5471698113207544E-2</c:v>
                </c:pt>
                <c:pt idx="5">
                  <c:v>3.7735849056603772E-2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4.0854248593277388E-2"/>
          <c:w val="1"/>
          <c:h val="0.7859199662194755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Credit_2014Q3!$J$8</c:f>
              <c:strCache>
                <c:ptCount val="1"/>
                <c:pt idx="0">
                  <c:v>A or higher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invertIfNegative val="0"/>
          <c:dLbls>
            <c:dLbl>
              <c:idx val="0"/>
              <c:tx>
                <c:strRef>
                  <c:f>Credit_2014Q3!$J$8</c:f>
                  <c:strCache>
                    <c:ptCount val="1"/>
                    <c:pt idx="0">
                      <c:v>A or higher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{A1FEF8FD-100F-4497-A202-D1769951F6FE}</c15:txfldGUID>
                      <c15:f>Credit_2014Q3!$J$8</c15:f>
                      <c15:dlblFieldTableCache>
                        <c:ptCount val="1"/>
                        <c:pt idx="0">
                          <c:v>A or higher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Credit_2014Q3!$M$8</c:f>
                  <c:strCache>
                    <c:ptCount val="1"/>
                    <c:pt idx="0">
                      <c:v>4%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{D2D34374-C5B3-4B37-83DD-2BF73EA0E1C6}</c15:txfldGUID>
                      <c15:f>Credit_2014Q3!$M$8</c15:f>
                      <c15:dlblFieldTableCache>
                        <c:ptCount val="1"/>
                        <c:pt idx="0">
                          <c:v>4%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Credit_2014Q3!$P$8</c:f>
                  <c:strCache>
                    <c:ptCount val="1"/>
                    <c:pt idx="0">
                      <c:v>3%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{2E51B7AF-61B3-47D1-B74F-94846F6D805F}</c15:txfldGUID>
                      <c15:f>Credit_2014Q3!$P$8</c15:f>
                      <c15:dlblFieldTableCache>
                        <c:ptCount val="1"/>
                        <c:pt idx="0">
                          <c:v>3%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Credit_2014Q3!$S$8</c:f>
                  <c:strCache>
                    <c:ptCount val="1"/>
                    <c:pt idx="0">
                      <c:v>8%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{A72434CE-F507-4604-8859-EE267097B74E}</c15:txfldGUID>
                      <c15:f>Credit_2014Q3!$S$8</c15:f>
                      <c15:dlblFieldTableCache>
                        <c:ptCount val="1"/>
                        <c:pt idx="0">
                          <c:v>8%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Credit_2014Q3!$V$8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{2CC531E5-F442-4CE4-9B52-83FED0B5F5FD}</c15:txfldGUID>
                      <c15:f>Credit_2014Q3!$V$8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(Credit_2014Q3!$J$5,Credit_2014Q3!$L$5,Credit_2014Q3!$O$5,Credit_2014Q3!$R$5,Credit_2014Q3!$U$5)</c:f>
              <c:strCache>
                <c:ptCount val="5"/>
                <c:pt idx="0">
                  <c:v>Rating</c:v>
                </c:pt>
                <c:pt idx="1">
                  <c:v>All Companies
(53)</c:v>
                </c:pt>
                <c:pt idx="2">
                  <c:v>Regulated
(38)</c:v>
                </c:pt>
                <c:pt idx="3">
                  <c:v>Mostly Regulated
(13)</c:v>
                </c:pt>
                <c:pt idx="4">
                  <c:v>Diversified
(2)</c:v>
                </c:pt>
              </c:strCache>
            </c:strRef>
          </c:cat>
          <c:val>
            <c:numRef>
              <c:f>(Credit_2014Q3!$Z$8,Credit_2014Q3!$L$8,Credit_2014Q3!$O$8,Credit_2014Q3!$R$8,Credit_2014Q3!$U$8)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Credit_2014Q3!$J$9</c:f>
              <c:strCache>
                <c:ptCount val="1"/>
                <c:pt idx="0">
                  <c:v>A-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tx>
                <c:strRef>
                  <c:f>Credit_2014Q3!$J$9</c:f>
                  <c:strCache>
                    <c:ptCount val="1"/>
                    <c:pt idx="0">
                      <c:v>A-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{482084E0-3C00-4D9E-9EB2-4A5F27982932}</c15:txfldGUID>
                      <c15:f>Credit_2014Q3!$J$9</c15:f>
                      <c15:dlblFieldTableCache>
                        <c:ptCount val="1"/>
                        <c:pt idx="0">
                          <c:v>A-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Credit_2014Q3!$M$9</c:f>
                  <c:strCache>
                    <c:ptCount val="1"/>
                    <c:pt idx="0">
                      <c:v>23%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{D2CCD0D5-8BC1-40EE-ABA5-959BC391170F}</c15:txfldGUID>
                      <c15:f>Credit_2014Q3!$M$9</c15:f>
                      <c15:dlblFieldTableCache>
                        <c:ptCount val="1"/>
                        <c:pt idx="0">
                          <c:v>23%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Credit_2014Q3!$P$9</c:f>
                  <c:strCache>
                    <c:ptCount val="1"/>
                    <c:pt idx="0">
                      <c:v>21%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{96F95D9E-7DB7-4F5A-B4BD-0496B5E99A3C}</c15:txfldGUID>
                      <c15:f>Credit_2014Q3!$P$9</c15:f>
                      <c15:dlblFieldTableCache>
                        <c:ptCount val="1"/>
                        <c:pt idx="0">
                          <c:v>21%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Credit_2014Q3!$S$9</c:f>
                  <c:strCache>
                    <c:ptCount val="1"/>
                    <c:pt idx="0">
                      <c:v>31%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{907DA178-4027-449E-A412-6F3F38BC56D1}</c15:txfldGUID>
                      <c15:f>Credit_2014Q3!$S$9</c15:f>
                      <c15:dlblFieldTableCache>
                        <c:ptCount val="1"/>
                        <c:pt idx="0">
                          <c:v>31%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Credit_2014Q3!$V$9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{FD046527-B4D3-4972-B420-DF3BE26EA655}</c15:txfldGUID>
                      <c15:f>Credit_2014Q3!$V$9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(Credit_2014Q3!$J$5,Credit_2014Q3!$L$5,Credit_2014Q3!$O$5,Credit_2014Q3!$R$5,Credit_2014Q3!$U$5)</c:f>
              <c:strCache>
                <c:ptCount val="5"/>
                <c:pt idx="0">
                  <c:v>Rating</c:v>
                </c:pt>
                <c:pt idx="1">
                  <c:v>All Companies
(53)</c:v>
                </c:pt>
                <c:pt idx="2">
                  <c:v>Regulated
(38)</c:v>
                </c:pt>
                <c:pt idx="3">
                  <c:v>Mostly Regulated
(13)</c:v>
                </c:pt>
                <c:pt idx="4">
                  <c:v>Diversified
(2)</c:v>
                </c:pt>
              </c:strCache>
            </c:strRef>
          </c:cat>
          <c:val>
            <c:numRef>
              <c:f>(Credit_2014Q3!$Z$9,Credit_2014Q3!$L$9,Credit_2014Q3!$O$9,Credit_2014Q3!$R$9,Credit_2014Q3!$U$9)</c:f>
              <c:numCache>
                <c:formatCode>General</c:formatCode>
                <c:ptCount val="5"/>
                <c:pt idx="0">
                  <c:v>1</c:v>
                </c:pt>
                <c:pt idx="1">
                  <c:v>12</c:v>
                </c:pt>
                <c:pt idx="2">
                  <c:v>8</c:v>
                </c:pt>
                <c:pt idx="3">
                  <c:v>4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Credit_2014Q3!$J$10</c:f>
              <c:strCache>
                <c:ptCount val="1"/>
                <c:pt idx="0">
                  <c:v>BBB+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invertIfNegative val="0"/>
          <c:dLbls>
            <c:dLbl>
              <c:idx val="0"/>
              <c:tx>
                <c:strRef>
                  <c:f>Credit_2014Q3!$J$10</c:f>
                  <c:strCache>
                    <c:ptCount val="1"/>
                    <c:pt idx="0">
                      <c:v>BBB+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{D8815AAA-93F0-475F-9FE3-864957E75EDE}</c15:txfldGUID>
                      <c15:f>Credit_2014Q3!$J$10</c15:f>
                      <c15:dlblFieldTableCache>
                        <c:ptCount val="1"/>
                        <c:pt idx="0">
                          <c:v>BBB+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Credit_2014Q3!$M$10</c:f>
                  <c:strCache>
                    <c:ptCount val="1"/>
                    <c:pt idx="0">
                      <c:v>28%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{DC9B58C2-DB41-4177-BDB0-EFBA158C98A9}</c15:txfldGUID>
                      <c15:f>Credit_2014Q3!$M$10</c15:f>
                      <c15:dlblFieldTableCache>
                        <c:ptCount val="1"/>
                        <c:pt idx="0">
                          <c:v>28%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Credit_2014Q3!$P$10</c:f>
                  <c:strCache>
                    <c:ptCount val="1"/>
                    <c:pt idx="0">
                      <c:v>26%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{B4357BDB-B30B-4812-8032-89191F56A951}</c15:txfldGUID>
                      <c15:f>Credit_2014Q3!$P$10</c15:f>
                      <c15:dlblFieldTableCache>
                        <c:ptCount val="1"/>
                        <c:pt idx="0">
                          <c:v>26%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Credit_2014Q3!$S$10</c:f>
                  <c:strCache>
                    <c:ptCount val="1"/>
                    <c:pt idx="0">
                      <c:v>31%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{DA4B01AA-1C6D-4E6A-AE58-2919C9C9039B}</c15:txfldGUID>
                      <c15:f>Credit_2014Q3!$S$10</c15:f>
                      <c15:dlblFieldTableCache>
                        <c:ptCount val="1"/>
                        <c:pt idx="0">
                          <c:v>31%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Credit_2014Q3!$V$10</c:f>
                  <c:strCache>
                    <c:ptCount val="1"/>
                    <c:pt idx="0">
                      <c:v>50%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{E9D0E506-324F-482E-B8DE-F97740FA22AA}</c15:txfldGUID>
                      <c15:f>Credit_2014Q3!$V$10</c15:f>
                      <c15:dlblFieldTableCache>
                        <c:ptCount val="1"/>
                        <c:pt idx="0">
                          <c:v>50%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(Credit_2014Q3!$J$5,Credit_2014Q3!$L$5,Credit_2014Q3!$O$5,Credit_2014Q3!$R$5,Credit_2014Q3!$U$5)</c:f>
              <c:strCache>
                <c:ptCount val="5"/>
                <c:pt idx="0">
                  <c:v>Rating</c:v>
                </c:pt>
                <c:pt idx="1">
                  <c:v>All Companies
(53)</c:v>
                </c:pt>
                <c:pt idx="2">
                  <c:v>Regulated
(38)</c:v>
                </c:pt>
                <c:pt idx="3">
                  <c:v>Mostly Regulated
(13)</c:v>
                </c:pt>
                <c:pt idx="4">
                  <c:v>Diversified
(2)</c:v>
                </c:pt>
              </c:strCache>
            </c:strRef>
          </c:cat>
          <c:val>
            <c:numRef>
              <c:f>(Credit_2014Q3!$Z$10,Credit_2014Q3!$L$10,Credit_2014Q3!$O$10,Credit_2014Q3!$R$10,Credit_2014Q3!$U$10)</c:f>
              <c:numCache>
                <c:formatCode>General</c:formatCode>
                <c:ptCount val="5"/>
                <c:pt idx="0">
                  <c:v>1</c:v>
                </c:pt>
                <c:pt idx="1">
                  <c:v>15</c:v>
                </c:pt>
                <c:pt idx="2">
                  <c:v>10</c:v>
                </c:pt>
                <c:pt idx="3">
                  <c:v>4</c:v>
                </c:pt>
                <c:pt idx="4">
                  <c:v>1</c:v>
                </c:pt>
              </c:numCache>
            </c:numRef>
          </c:val>
        </c:ser>
        <c:ser>
          <c:idx val="3"/>
          <c:order val="3"/>
          <c:tx>
            <c:strRef>
              <c:f>Credit_2014Q3!$J$11</c:f>
              <c:strCache>
                <c:ptCount val="1"/>
                <c:pt idx="0">
                  <c:v>BBB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dLbl>
              <c:idx val="0"/>
              <c:tx>
                <c:strRef>
                  <c:f>Credit_2014Q3!$J$11</c:f>
                  <c:strCache>
                    <c:ptCount val="1"/>
                    <c:pt idx="0">
                      <c:v>BBB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{FDBF0937-98D3-4BFB-A308-31A1D7B1EE1C}</c15:txfldGUID>
                      <c15:f>Credit_2014Q3!$J$11</c15:f>
                      <c15:dlblFieldTableCache>
                        <c:ptCount val="1"/>
                        <c:pt idx="0">
                          <c:v>BBB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Credit_2014Q3!$M$11</c:f>
                  <c:strCache>
                    <c:ptCount val="1"/>
                    <c:pt idx="0">
                      <c:v>34%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{E7E0525D-298B-4507-884F-4FA1576C1E26}</c15:txfldGUID>
                      <c15:f>Credit_2014Q3!$M$11</c15:f>
                      <c15:dlblFieldTableCache>
                        <c:ptCount val="1"/>
                        <c:pt idx="0">
                          <c:v>34%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Credit_2014Q3!$P$11</c:f>
                  <c:strCache>
                    <c:ptCount val="1"/>
                    <c:pt idx="0">
                      <c:v>42%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{B1E00E4E-6E84-46ED-895B-97A9F02DDE86}</c15:txfldGUID>
                      <c15:f>Credit_2014Q3!$P$11</c15:f>
                      <c15:dlblFieldTableCache>
                        <c:ptCount val="1"/>
                        <c:pt idx="0">
                          <c:v>42%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Credit_2014Q3!$S$11</c:f>
                  <c:strCache>
                    <c:ptCount val="1"/>
                    <c:pt idx="0">
                      <c:v>15%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{C186E701-8901-42F7-A603-AAAAD30DF9F0}</c15:txfldGUID>
                      <c15:f>Credit_2014Q3!$S$11</c15:f>
                      <c15:dlblFieldTableCache>
                        <c:ptCount val="1"/>
                        <c:pt idx="0">
                          <c:v>15%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Credit_2014Q3!$V$11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{42924276-7F90-473E-BA70-79B8405784A4}</c15:txfldGUID>
                      <c15:f>Credit_2014Q3!$V$11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(Credit_2014Q3!$J$5,Credit_2014Q3!$L$5,Credit_2014Q3!$O$5,Credit_2014Q3!$R$5,Credit_2014Q3!$U$5)</c:f>
              <c:strCache>
                <c:ptCount val="5"/>
                <c:pt idx="0">
                  <c:v>Rating</c:v>
                </c:pt>
                <c:pt idx="1">
                  <c:v>All Companies
(53)</c:v>
                </c:pt>
                <c:pt idx="2">
                  <c:v>Regulated
(38)</c:v>
                </c:pt>
                <c:pt idx="3">
                  <c:v>Mostly Regulated
(13)</c:v>
                </c:pt>
                <c:pt idx="4">
                  <c:v>Diversified
(2)</c:v>
                </c:pt>
              </c:strCache>
            </c:strRef>
          </c:cat>
          <c:val>
            <c:numRef>
              <c:f>(Credit_2014Q3!$Z$11,Credit_2014Q3!$L$11,Credit_2014Q3!$O$11,Credit_2014Q3!$R$11,Credit_2014Q3!$U$11)</c:f>
              <c:numCache>
                <c:formatCode>General</c:formatCode>
                <c:ptCount val="5"/>
                <c:pt idx="0">
                  <c:v>1</c:v>
                </c:pt>
                <c:pt idx="1">
                  <c:v>18</c:v>
                </c:pt>
                <c:pt idx="2">
                  <c:v>16</c:v>
                </c:pt>
                <c:pt idx="3">
                  <c:v>2</c:v>
                </c:pt>
                <c:pt idx="4">
                  <c:v>0</c:v>
                </c:pt>
              </c:numCache>
            </c:numRef>
          </c:val>
        </c:ser>
        <c:ser>
          <c:idx val="4"/>
          <c:order val="4"/>
          <c:tx>
            <c:strRef>
              <c:f>Credit_2014Q3!$J$12</c:f>
              <c:strCache>
                <c:ptCount val="1"/>
                <c:pt idx="0">
                  <c:v>BBB-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dLbls>
            <c:dLbl>
              <c:idx val="0"/>
              <c:tx>
                <c:strRef>
                  <c:f>Credit_2014Q3!$J$12</c:f>
                  <c:strCache>
                    <c:ptCount val="1"/>
                    <c:pt idx="0">
                      <c:v>BBB-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{8DA693E4-B070-4852-AC22-C30238EAB940}</c15:txfldGUID>
                      <c15:f>Credit_2014Q3!$J$12</c15:f>
                      <c15:dlblFieldTableCache>
                        <c:ptCount val="1"/>
                        <c:pt idx="0">
                          <c:v>BBB-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Credit_2014Q3!$M$12</c:f>
                  <c:strCache>
                    <c:ptCount val="1"/>
                    <c:pt idx="0">
                      <c:v>8%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{6F847E44-45CB-4F63-ADA0-4C7AF1BA8719}</c15:txfldGUID>
                      <c15:f>Credit_2014Q3!$M$12</c15:f>
                      <c15:dlblFieldTableCache>
                        <c:ptCount val="1"/>
                        <c:pt idx="0">
                          <c:v>8%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Credit_2014Q3!$P$12</c:f>
                  <c:strCache>
                    <c:ptCount val="1"/>
                    <c:pt idx="0">
                      <c:v>3%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{5FB53F3C-BEA8-45DB-8419-4B41E373A76A}</c15:txfldGUID>
                      <c15:f>Credit_2014Q3!$P$12</c15:f>
                      <c15:dlblFieldTableCache>
                        <c:ptCount val="1"/>
                        <c:pt idx="0">
                          <c:v>3%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Credit_2014Q3!$S$12</c:f>
                  <c:strCache>
                    <c:ptCount val="1"/>
                    <c:pt idx="0">
                      <c:v>15%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{8981BDD3-6D48-42CC-85C4-41482D37BAFA}</c15:txfldGUID>
                      <c15:f>Credit_2014Q3!$S$12</c15:f>
                      <c15:dlblFieldTableCache>
                        <c:ptCount val="1"/>
                        <c:pt idx="0">
                          <c:v>15%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Credit_2014Q3!$V$12</c:f>
                  <c:strCache>
                    <c:ptCount val="1"/>
                    <c:pt idx="0">
                      <c:v>50%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{FC90536B-25F6-4EFD-BC45-976C78135B48}</c15:txfldGUID>
                      <c15:f>Credit_2014Q3!$V$12</c15:f>
                      <c15:dlblFieldTableCache>
                        <c:ptCount val="1"/>
                        <c:pt idx="0">
                          <c:v>50%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(Credit_2014Q3!$J$5,Credit_2014Q3!$L$5,Credit_2014Q3!$O$5,Credit_2014Q3!$R$5,Credit_2014Q3!$U$5)</c:f>
              <c:strCache>
                <c:ptCount val="5"/>
                <c:pt idx="0">
                  <c:v>Rating</c:v>
                </c:pt>
                <c:pt idx="1">
                  <c:v>All Companies
(53)</c:v>
                </c:pt>
                <c:pt idx="2">
                  <c:v>Regulated
(38)</c:v>
                </c:pt>
                <c:pt idx="3">
                  <c:v>Mostly Regulated
(13)</c:v>
                </c:pt>
                <c:pt idx="4">
                  <c:v>Diversified
(2)</c:v>
                </c:pt>
              </c:strCache>
            </c:strRef>
          </c:cat>
          <c:val>
            <c:numRef>
              <c:f>(Credit_2014Q3!$Z$12,Credit_2014Q3!$L$12,Credit_2014Q3!$O$12,Credit_2014Q3!$R$12,Credit_2014Q3!$U$12)</c:f>
              <c:numCache>
                <c:formatCode>General</c:formatCode>
                <c:ptCount val="5"/>
                <c:pt idx="0">
                  <c:v>1</c:v>
                </c:pt>
                <c:pt idx="1">
                  <c:v>4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</c:numCache>
            </c:numRef>
          </c:val>
        </c:ser>
        <c:ser>
          <c:idx val="5"/>
          <c:order val="5"/>
          <c:tx>
            <c:strRef>
              <c:f>Credit_2014Q3!$J$13</c:f>
              <c:strCache>
                <c:ptCount val="1"/>
                <c:pt idx="0">
                  <c:v>Below BBB-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invertIfNegative val="0"/>
          <c:dLbls>
            <c:dLbl>
              <c:idx val="0"/>
              <c:tx>
                <c:strRef>
                  <c:f>Credit_2014Q3!$J$13</c:f>
                  <c:strCache>
                    <c:ptCount val="1"/>
                    <c:pt idx="0">
                      <c:v>Below BBB-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{F1CDEEBD-4E8C-404D-BF5C-A2B09F1AB2BB}</c15:txfldGUID>
                      <c15:f>Credit_2014Q3!$J$13</c15:f>
                      <c15:dlblFieldTableCache>
                        <c:ptCount val="1"/>
                        <c:pt idx="0">
                          <c:v>Below BBB-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Credit_2014Q3!$M$13</c:f>
                  <c:strCache>
                    <c:ptCount val="1"/>
                    <c:pt idx="0">
                      <c:v>4%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{970DE78C-53DF-41EF-9F00-D7477670BC87}</c15:txfldGUID>
                      <c15:f>Credit_2014Q3!$M$13</c15:f>
                      <c15:dlblFieldTableCache>
                        <c:ptCount val="1"/>
                        <c:pt idx="0">
                          <c:v>4%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Credit_2014Q3!$P$13</c:f>
                  <c:strCache>
                    <c:ptCount val="1"/>
                    <c:pt idx="0">
                      <c:v>5%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{B929811A-8E3C-4802-A9F9-96101FE1E929}</c15:txfldGUID>
                      <c15:f>Credit_2014Q3!$P$13</c15:f>
                      <c15:dlblFieldTableCache>
                        <c:ptCount val="1"/>
                        <c:pt idx="0">
                          <c:v>5%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Credit_2014Q3!$S$13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{38002D5C-82D1-4B7E-AD8C-3164199D1327}</c15:txfldGUID>
                      <c15:f>Credit_2014Q3!$S$13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Credit_2014Q3!$V$13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{07306873-19A5-4AA5-8071-638B1DF7397A}</c15:txfldGUID>
                      <c15:f>Credit_2014Q3!$V$13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(Credit_2014Q3!$J$5,Credit_2014Q3!$L$5,Credit_2014Q3!$O$5,Credit_2014Q3!$R$5,Credit_2014Q3!$U$5)</c:f>
              <c:strCache>
                <c:ptCount val="5"/>
                <c:pt idx="0">
                  <c:v>Rating</c:v>
                </c:pt>
                <c:pt idx="1">
                  <c:v>All Companies
(53)</c:v>
                </c:pt>
                <c:pt idx="2">
                  <c:v>Regulated
(38)</c:v>
                </c:pt>
                <c:pt idx="3">
                  <c:v>Mostly Regulated
(13)</c:v>
                </c:pt>
                <c:pt idx="4">
                  <c:v>Diversified
(2)</c:v>
                </c:pt>
              </c:strCache>
            </c:strRef>
          </c:cat>
          <c:val>
            <c:numRef>
              <c:f>(Credit_2014Q3!$Z$13,Credit_2014Q3!$L$13,Credit_2014Q3!$O$13,Credit_2014Q3!$R$13,Credit_2014Q3!$U$13)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712180584"/>
        <c:axId val="792409896"/>
      </c:barChart>
      <c:catAx>
        <c:axId val="7121805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high"/>
        <c:txPr>
          <a:bodyPr/>
          <a:lstStyle/>
          <a:p>
            <a:pPr>
              <a:defRPr sz="1300">
                <a:solidFill>
                  <a:sysClr val="windowText" lastClr="000000"/>
                </a:solidFill>
              </a:defRPr>
            </a:pPr>
            <a:endParaRPr lang="en-US"/>
          </a:p>
        </c:txPr>
        <c:crossAx val="792409896"/>
        <c:crosses val="max"/>
        <c:auto val="1"/>
        <c:lblAlgn val="ctr"/>
        <c:lblOffset val="100"/>
        <c:noMultiLvlLbl val="0"/>
      </c:catAx>
      <c:valAx>
        <c:axId val="792409896"/>
        <c:scaling>
          <c:orientation val="maxMin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0%" sourceLinked="1"/>
        <c:majorTickMark val="none"/>
        <c:minorTickMark val="none"/>
        <c:tickLblPos val="none"/>
        <c:spPr>
          <a:ln>
            <a:noFill/>
          </a:ln>
        </c:spPr>
        <c:crossAx val="712180584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1">
          <a:solidFill>
            <a:schemeClr val="bg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3">
                  <a:lumMod val="50000"/>
                </a:schemeClr>
              </a:solidFill>
            </c:spPr>
          </c:dPt>
          <c:dPt>
            <c:idx val="1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50000"/>
                </a:schemeClr>
              </a:solidFill>
            </c:spPr>
          </c:dPt>
          <c:dPt>
            <c:idx val="3"/>
            <c:bubble3D val="0"/>
            <c:spPr>
              <a:solidFill>
                <a:schemeClr val="accent5">
                  <a:lumMod val="75000"/>
                </a:schemeClr>
              </a:solidFill>
            </c:spPr>
          </c:dPt>
          <c:dPt>
            <c:idx val="4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</c:dPt>
          <c:dPt>
            <c:idx val="5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ysClr val="windowText" lastClr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5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ysClr val="windowText" lastClr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Credit_2014Q2!$J$8:$J$13</c:f>
              <c:strCache>
                <c:ptCount val="6"/>
                <c:pt idx="0">
                  <c:v>A or higher</c:v>
                </c:pt>
                <c:pt idx="1">
                  <c:v>A-</c:v>
                </c:pt>
                <c:pt idx="2">
                  <c:v>BBB+</c:v>
                </c:pt>
                <c:pt idx="3">
                  <c:v>BBB</c:v>
                </c:pt>
                <c:pt idx="4">
                  <c:v>BBB-</c:v>
                </c:pt>
                <c:pt idx="5">
                  <c:v>Below BBB-</c:v>
                </c:pt>
              </c:strCache>
            </c:strRef>
          </c:cat>
          <c:val>
            <c:numRef>
              <c:f>Credit_2014Q2!$M$8:$M$13</c:f>
              <c:numCache>
                <c:formatCode>0%</c:formatCode>
                <c:ptCount val="6"/>
                <c:pt idx="0">
                  <c:v>3.7735849056603772E-2</c:v>
                </c:pt>
                <c:pt idx="1">
                  <c:v>0.22641509433962265</c:v>
                </c:pt>
                <c:pt idx="2">
                  <c:v>0.28301886792452829</c:v>
                </c:pt>
                <c:pt idx="3">
                  <c:v>0.33962264150943394</c:v>
                </c:pt>
                <c:pt idx="4">
                  <c:v>7.5471698113207544E-2</c:v>
                </c:pt>
                <c:pt idx="5">
                  <c:v>3.7735849056603772E-2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4.0854248593277388E-2"/>
          <c:w val="1"/>
          <c:h val="0.7859199662194755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Credit_2014Q2!$J$8</c:f>
              <c:strCache>
                <c:ptCount val="1"/>
                <c:pt idx="0">
                  <c:v>A or higher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invertIfNegative val="0"/>
          <c:dLbls>
            <c:dLbl>
              <c:idx val="0"/>
              <c:tx>
                <c:strRef>
                  <c:f>Credit_2014Q2!$J$8</c:f>
                  <c:strCache>
                    <c:ptCount val="1"/>
                    <c:pt idx="0">
                      <c:v>A or higher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{05588CED-A679-41A4-8BD3-97F7202EDFEA}</c15:txfldGUID>
                      <c15:f>Credit_2014Q2!$J$8</c15:f>
                      <c15:dlblFieldTableCache>
                        <c:ptCount val="1"/>
                        <c:pt idx="0">
                          <c:v>A or higher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Credit_2014Q2!$M$8</c:f>
                  <c:strCache>
                    <c:ptCount val="1"/>
                    <c:pt idx="0">
                      <c:v>4%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{FEAAB8B2-BDE1-4384-BE64-2DA050AE18C6}</c15:txfldGUID>
                      <c15:f>Credit_2014Q2!$M$8</c15:f>
                      <c15:dlblFieldTableCache>
                        <c:ptCount val="1"/>
                        <c:pt idx="0">
                          <c:v>4%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Credit_2014Q2!$P$8</c:f>
                  <c:strCache>
                    <c:ptCount val="1"/>
                    <c:pt idx="0">
                      <c:v>3%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{A6834DCD-C797-4BA7-8E03-54FFCAEE57AB}</c15:txfldGUID>
                      <c15:f>Credit_2014Q2!$P$8</c15:f>
                      <c15:dlblFieldTableCache>
                        <c:ptCount val="1"/>
                        <c:pt idx="0">
                          <c:v>3%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Credit_2014Q2!$S$8</c:f>
                  <c:strCache>
                    <c:ptCount val="1"/>
                    <c:pt idx="0">
                      <c:v>8%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{DFCDB0DF-1D06-42EC-B696-B90A45C48C8C}</c15:txfldGUID>
                      <c15:f>Credit_2014Q2!$S$8</c15:f>
                      <c15:dlblFieldTableCache>
                        <c:ptCount val="1"/>
                        <c:pt idx="0">
                          <c:v>8%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Credit_2014Q2!$V$8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{319D498B-36AB-4CC4-A4C5-AC20D9678F61}</c15:txfldGUID>
                      <c15:f>Credit_2014Q2!$V$8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(Credit_2014Q2!$J$5,Credit_2014Q2!$L$5,Credit_2014Q2!$O$5,Credit_2014Q2!$R$5,Credit_2014Q2!$U$5)</c:f>
              <c:strCache>
                <c:ptCount val="5"/>
                <c:pt idx="0">
                  <c:v>Rating</c:v>
                </c:pt>
                <c:pt idx="1">
                  <c:v>All Companies
(53)</c:v>
                </c:pt>
                <c:pt idx="2">
                  <c:v>Regulated
(38)</c:v>
                </c:pt>
                <c:pt idx="3">
                  <c:v>Mostly Regulated
(13)</c:v>
                </c:pt>
                <c:pt idx="4">
                  <c:v>Diversified
(2)</c:v>
                </c:pt>
              </c:strCache>
            </c:strRef>
          </c:cat>
          <c:val>
            <c:numRef>
              <c:f>(Credit_2014Q2!$Z$8,Credit_2014Q2!$L$8,Credit_2014Q2!$O$8,Credit_2014Q2!$R$8,Credit_2014Q2!$U$8)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Credit_2014Q2!$J$9</c:f>
              <c:strCache>
                <c:ptCount val="1"/>
                <c:pt idx="0">
                  <c:v>A-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tx>
                <c:strRef>
                  <c:f>Credit_2014Q2!$J$9</c:f>
                  <c:strCache>
                    <c:ptCount val="1"/>
                    <c:pt idx="0">
                      <c:v>A-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{3FAEEC4C-9F95-404A-8950-7E80FDC877DE}</c15:txfldGUID>
                      <c15:f>Credit_2014Q2!$J$9</c15:f>
                      <c15:dlblFieldTableCache>
                        <c:ptCount val="1"/>
                        <c:pt idx="0">
                          <c:v>A-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Credit_2014Q2!$M$9</c:f>
                  <c:strCache>
                    <c:ptCount val="1"/>
                    <c:pt idx="0">
                      <c:v>23%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{48F98685-63D9-44E6-8DC1-EA55977778C4}</c15:txfldGUID>
                      <c15:f>Credit_2014Q2!$M$9</c15:f>
                      <c15:dlblFieldTableCache>
                        <c:ptCount val="1"/>
                        <c:pt idx="0">
                          <c:v>23%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Credit_2014Q2!$P$9</c:f>
                  <c:strCache>
                    <c:ptCount val="1"/>
                    <c:pt idx="0">
                      <c:v>21%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{8FFEC44C-C29A-4820-B4AC-EECA71D1615F}</c15:txfldGUID>
                      <c15:f>Credit_2014Q2!$P$9</c15:f>
                      <c15:dlblFieldTableCache>
                        <c:ptCount val="1"/>
                        <c:pt idx="0">
                          <c:v>21%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Credit_2014Q2!$S$9</c:f>
                  <c:strCache>
                    <c:ptCount val="1"/>
                    <c:pt idx="0">
                      <c:v>31%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{055E7623-714B-4010-9290-8CE86FF264B6}</c15:txfldGUID>
                      <c15:f>Credit_2014Q2!$S$9</c15:f>
                      <c15:dlblFieldTableCache>
                        <c:ptCount val="1"/>
                        <c:pt idx="0">
                          <c:v>31%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Credit_2014Q2!$V$9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{E25FF6FA-5C9D-43AA-863F-2DC1EE26EDA7}</c15:txfldGUID>
                      <c15:f>Credit_2014Q2!$V$9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(Credit_2014Q2!$J$5,Credit_2014Q2!$L$5,Credit_2014Q2!$O$5,Credit_2014Q2!$R$5,Credit_2014Q2!$U$5)</c:f>
              <c:strCache>
                <c:ptCount val="5"/>
                <c:pt idx="0">
                  <c:v>Rating</c:v>
                </c:pt>
                <c:pt idx="1">
                  <c:v>All Companies
(53)</c:v>
                </c:pt>
                <c:pt idx="2">
                  <c:v>Regulated
(38)</c:v>
                </c:pt>
                <c:pt idx="3">
                  <c:v>Mostly Regulated
(13)</c:v>
                </c:pt>
                <c:pt idx="4">
                  <c:v>Diversified
(2)</c:v>
                </c:pt>
              </c:strCache>
            </c:strRef>
          </c:cat>
          <c:val>
            <c:numRef>
              <c:f>(Credit_2014Q2!$Z$9,Credit_2014Q2!$L$9,Credit_2014Q2!$O$9,Credit_2014Q2!$R$9,Credit_2014Q2!$U$9)</c:f>
              <c:numCache>
                <c:formatCode>General</c:formatCode>
                <c:ptCount val="5"/>
                <c:pt idx="0">
                  <c:v>1</c:v>
                </c:pt>
                <c:pt idx="1">
                  <c:v>12</c:v>
                </c:pt>
                <c:pt idx="2">
                  <c:v>8</c:v>
                </c:pt>
                <c:pt idx="3">
                  <c:v>4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Credit_2014Q2!$J$10</c:f>
              <c:strCache>
                <c:ptCount val="1"/>
                <c:pt idx="0">
                  <c:v>BBB+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invertIfNegative val="0"/>
          <c:dLbls>
            <c:dLbl>
              <c:idx val="0"/>
              <c:tx>
                <c:strRef>
                  <c:f>Credit_2014Q2!$J$10</c:f>
                  <c:strCache>
                    <c:ptCount val="1"/>
                    <c:pt idx="0">
                      <c:v>BBB+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{C13D9C9E-4246-4E56-8585-0F0C6EB9C758}</c15:txfldGUID>
                      <c15:f>Credit_2014Q2!$J$10</c15:f>
                      <c15:dlblFieldTableCache>
                        <c:ptCount val="1"/>
                        <c:pt idx="0">
                          <c:v>BBB+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Credit_2014Q2!$M$10</c:f>
                  <c:strCache>
                    <c:ptCount val="1"/>
                    <c:pt idx="0">
                      <c:v>28%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{B99FE469-1C1E-49D7-9668-62DC14EB241A}</c15:txfldGUID>
                      <c15:f>Credit_2014Q2!$M$10</c15:f>
                      <c15:dlblFieldTableCache>
                        <c:ptCount val="1"/>
                        <c:pt idx="0">
                          <c:v>28%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Credit_2014Q2!$P$10</c:f>
                  <c:strCache>
                    <c:ptCount val="1"/>
                    <c:pt idx="0">
                      <c:v>26%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{F8A298DA-3D5D-48F1-84CB-F7D14ECE8914}</c15:txfldGUID>
                      <c15:f>Credit_2014Q2!$P$10</c15:f>
                      <c15:dlblFieldTableCache>
                        <c:ptCount val="1"/>
                        <c:pt idx="0">
                          <c:v>26%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Credit_2014Q2!$S$10</c:f>
                  <c:strCache>
                    <c:ptCount val="1"/>
                    <c:pt idx="0">
                      <c:v>31%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{8EF3338C-BFAB-435F-AB00-F16CA491242A}</c15:txfldGUID>
                      <c15:f>Credit_2014Q2!$S$10</c15:f>
                      <c15:dlblFieldTableCache>
                        <c:ptCount val="1"/>
                        <c:pt idx="0">
                          <c:v>31%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Credit_2014Q2!$V$10</c:f>
                  <c:strCache>
                    <c:ptCount val="1"/>
                    <c:pt idx="0">
                      <c:v>50%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{885F4BE8-6B5E-4EB7-B7E2-4BD9142FC8EC}</c15:txfldGUID>
                      <c15:f>Credit_2014Q2!$V$10</c15:f>
                      <c15:dlblFieldTableCache>
                        <c:ptCount val="1"/>
                        <c:pt idx="0">
                          <c:v>50%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(Credit_2014Q2!$J$5,Credit_2014Q2!$L$5,Credit_2014Q2!$O$5,Credit_2014Q2!$R$5,Credit_2014Q2!$U$5)</c:f>
              <c:strCache>
                <c:ptCount val="5"/>
                <c:pt idx="0">
                  <c:v>Rating</c:v>
                </c:pt>
                <c:pt idx="1">
                  <c:v>All Companies
(53)</c:v>
                </c:pt>
                <c:pt idx="2">
                  <c:v>Regulated
(38)</c:v>
                </c:pt>
                <c:pt idx="3">
                  <c:v>Mostly Regulated
(13)</c:v>
                </c:pt>
                <c:pt idx="4">
                  <c:v>Diversified
(2)</c:v>
                </c:pt>
              </c:strCache>
            </c:strRef>
          </c:cat>
          <c:val>
            <c:numRef>
              <c:f>(Credit_2014Q2!$Z$10,Credit_2014Q2!$L$10,Credit_2014Q2!$O$10,Credit_2014Q2!$R$10,Credit_2014Q2!$U$10)</c:f>
              <c:numCache>
                <c:formatCode>General</c:formatCode>
                <c:ptCount val="5"/>
                <c:pt idx="0">
                  <c:v>1</c:v>
                </c:pt>
                <c:pt idx="1">
                  <c:v>15</c:v>
                </c:pt>
                <c:pt idx="2">
                  <c:v>10</c:v>
                </c:pt>
                <c:pt idx="3">
                  <c:v>4</c:v>
                </c:pt>
                <c:pt idx="4">
                  <c:v>1</c:v>
                </c:pt>
              </c:numCache>
            </c:numRef>
          </c:val>
        </c:ser>
        <c:ser>
          <c:idx val="3"/>
          <c:order val="3"/>
          <c:tx>
            <c:strRef>
              <c:f>Credit_2014Q2!$J$11</c:f>
              <c:strCache>
                <c:ptCount val="1"/>
                <c:pt idx="0">
                  <c:v>BBB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dLbl>
              <c:idx val="0"/>
              <c:tx>
                <c:strRef>
                  <c:f>Credit_2014Q2!$J$11</c:f>
                  <c:strCache>
                    <c:ptCount val="1"/>
                    <c:pt idx="0">
                      <c:v>BBB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{90C7352A-6CEB-486C-A32A-F25BA288BA80}</c15:txfldGUID>
                      <c15:f>Credit_2014Q2!$J$11</c15:f>
                      <c15:dlblFieldTableCache>
                        <c:ptCount val="1"/>
                        <c:pt idx="0">
                          <c:v>BBB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Credit_2014Q2!$M$11</c:f>
                  <c:strCache>
                    <c:ptCount val="1"/>
                    <c:pt idx="0">
                      <c:v>34%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{880DB3FC-3EAC-49E9-ACD3-EEE5D5D8644A}</c15:txfldGUID>
                      <c15:f>Credit_2014Q2!$M$11</c15:f>
                      <c15:dlblFieldTableCache>
                        <c:ptCount val="1"/>
                        <c:pt idx="0">
                          <c:v>34%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Credit_2014Q2!$P$11</c:f>
                  <c:strCache>
                    <c:ptCount val="1"/>
                    <c:pt idx="0">
                      <c:v>42%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{10663152-B7DB-42CC-AF76-E204CD947D94}</c15:txfldGUID>
                      <c15:f>Credit_2014Q2!$P$11</c15:f>
                      <c15:dlblFieldTableCache>
                        <c:ptCount val="1"/>
                        <c:pt idx="0">
                          <c:v>42%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Credit_2014Q2!$S$11</c:f>
                  <c:strCache>
                    <c:ptCount val="1"/>
                    <c:pt idx="0">
                      <c:v>15%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{F9DB7C34-A74B-4FF9-955D-3272DDAC169C}</c15:txfldGUID>
                      <c15:f>Credit_2014Q2!$S$11</c15:f>
                      <c15:dlblFieldTableCache>
                        <c:ptCount val="1"/>
                        <c:pt idx="0">
                          <c:v>15%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Credit_2014Q2!$V$11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{4CDDA510-27DF-4B24-80A3-49F9A6D68728}</c15:txfldGUID>
                      <c15:f>Credit_2014Q2!$V$11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(Credit_2014Q2!$J$5,Credit_2014Q2!$L$5,Credit_2014Q2!$O$5,Credit_2014Q2!$R$5,Credit_2014Q2!$U$5)</c:f>
              <c:strCache>
                <c:ptCount val="5"/>
                <c:pt idx="0">
                  <c:v>Rating</c:v>
                </c:pt>
                <c:pt idx="1">
                  <c:v>All Companies
(53)</c:v>
                </c:pt>
                <c:pt idx="2">
                  <c:v>Regulated
(38)</c:v>
                </c:pt>
                <c:pt idx="3">
                  <c:v>Mostly Regulated
(13)</c:v>
                </c:pt>
                <c:pt idx="4">
                  <c:v>Diversified
(2)</c:v>
                </c:pt>
              </c:strCache>
            </c:strRef>
          </c:cat>
          <c:val>
            <c:numRef>
              <c:f>(Credit_2014Q2!$Z$11,Credit_2014Q2!$L$11,Credit_2014Q2!$O$11,Credit_2014Q2!$R$11,Credit_2014Q2!$U$11)</c:f>
              <c:numCache>
                <c:formatCode>General</c:formatCode>
                <c:ptCount val="5"/>
                <c:pt idx="0">
                  <c:v>1</c:v>
                </c:pt>
                <c:pt idx="1">
                  <c:v>18</c:v>
                </c:pt>
                <c:pt idx="2">
                  <c:v>16</c:v>
                </c:pt>
                <c:pt idx="3">
                  <c:v>2</c:v>
                </c:pt>
                <c:pt idx="4">
                  <c:v>0</c:v>
                </c:pt>
              </c:numCache>
            </c:numRef>
          </c:val>
        </c:ser>
        <c:ser>
          <c:idx val="4"/>
          <c:order val="4"/>
          <c:tx>
            <c:strRef>
              <c:f>Credit_2014Q2!$J$12</c:f>
              <c:strCache>
                <c:ptCount val="1"/>
                <c:pt idx="0">
                  <c:v>BBB-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dLbls>
            <c:dLbl>
              <c:idx val="0"/>
              <c:tx>
                <c:strRef>
                  <c:f>Credit_2014Q2!$J$12</c:f>
                  <c:strCache>
                    <c:ptCount val="1"/>
                    <c:pt idx="0">
                      <c:v>BBB-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{FEDDBBEC-AA53-4816-9795-13A739374E9E}</c15:txfldGUID>
                      <c15:f>Credit_2014Q2!$J$12</c15:f>
                      <c15:dlblFieldTableCache>
                        <c:ptCount val="1"/>
                        <c:pt idx="0">
                          <c:v>BBB-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Credit_2014Q2!$M$12</c:f>
                  <c:strCache>
                    <c:ptCount val="1"/>
                    <c:pt idx="0">
                      <c:v>8%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{6C72C38B-CF2F-4EF7-B157-A8364A1E5D69}</c15:txfldGUID>
                      <c15:f>Credit_2014Q2!$M$12</c15:f>
                      <c15:dlblFieldTableCache>
                        <c:ptCount val="1"/>
                        <c:pt idx="0">
                          <c:v>8%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Credit_2014Q2!$P$12</c:f>
                  <c:strCache>
                    <c:ptCount val="1"/>
                    <c:pt idx="0">
                      <c:v>3%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{1269EB84-CA6C-4D5B-94D4-2E8B9D827BD2}</c15:txfldGUID>
                      <c15:f>Credit_2014Q2!$P$12</c15:f>
                      <c15:dlblFieldTableCache>
                        <c:ptCount val="1"/>
                        <c:pt idx="0">
                          <c:v>3%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Credit_2014Q2!$S$12</c:f>
                  <c:strCache>
                    <c:ptCount val="1"/>
                    <c:pt idx="0">
                      <c:v>15%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{23BE3249-7CB3-4AF8-B8DB-B3751A36C43C}</c15:txfldGUID>
                      <c15:f>Credit_2014Q2!$S$12</c15:f>
                      <c15:dlblFieldTableCache>
                        <c:ptCount val="1"/>
                        <c:pt idx="0">
                          <c:v>15%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Credit_2014Q2!$V$12</c:f>
                  <c:strCache>
                    <c:ptCount val="1"/>
                    <c:pt idx="0">
                      <c:v>50%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{AECECCF1-2209-4314-8217-18273AD91392}</c15:txfldGUID>
                      <c15:f>Credit_2014Q2!$V$12</c15:f>
                      <c15:dlblFieldTableCache>
                        <c:ptCount val="1"/>
                        <c:pt idx="0">
                          <c:v>50%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(Credit_2014Q2!$J$5,Credit_2014Q2!$L$5,Credit_2014Q2!$O$5,Credit_2014Q2!$R$5,Credit_2014Q2!$U$5)</c:f>
              <c:strCache>
                <c:ptCount val="5"/>
                <c:pt idx="0">
                  <c:v>Rating</c:v>
                </c:pt>
                <c:pt idx="1">
                  <c:v>All Companies
(53)</c:v>
                </c:pt>
                <c:pt idx="2">
                  <c:v>Regulated
(38)</c:v>
                </c:pt>
                <c:pt idx="3">
                  <c:v>Mostly Regulated
(13)</c:v>
                </c:pt>
                <c:pt idx="4">
                  <c:v>Diversified
(2)</c:v>
                </c:pt>
              </c:strCache>
            </c:strRef>
          </c:cat>
          <c:val>
            <c:numRef>
              <c:f>(Credit_2014Q2!$Z$12,Credit_2014Q2!$L$12,Credit_2014Q2!$O$12,Credit_2014Q2!$R$12,Credit_2014Q2!$U$12)</c:f>
              <c:numCache>
                <c:formatCode>General</c:formatCode>
                <c:ptCount val="5"/>
                <c:pt idx="0">
                  <c:v>1</c:v>
                </c:pt>
                <c:pt idx="1">
                  <c:v>4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</c:numCache>
            </c:numRef>
          </c:val>
        </c:ser>
        <c:ser>
          <c:idx val="5"/>
          <c:order val="5"/>
          <c:tx>
            <c:strRef>
              <c:f>Credit_2014Q2!$J$13</c:f>
              <c:strCache>
                <c:ptCount val="1"/>
                <c:pt idx="0">
                  <c:v>Below BBB-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invertIfNegative val="0"/>
          <c:dLbls>
            <c:dLbl>
              <c:idx val="0"/>
              <c:tx>
                <c:strRef>
                  <c:f>Credit_2014Q2!$J$13</c:f>
                  <c:strCache>
                    <c:ptCount val="1"/>
                    <c:pt idx="0">
                      <c:v>Below BBB-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{5BFE1FA1-A019-4497-A09D-2F0A0A1A9F7C}</c15:txfldGUID>
                      <c15:f>Credit_2014Q2!$J$13</c15:f>
                      <c15:dlblFieldTableCache>
                        <c:ptCount val="1"/>
                        <c:pt idx="0">
                          <c:v>Below BBB-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Credit_2014Q2!$M$13</c:f>
                  <c:strCache>
                    <c:ptCount val="1"/>
                    <c:pt idx="0">
                      <c:v>4%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{F11333AA-9AF1-4B48-9CE4-2E1900092577}</c15:txfldGUID>
                      <c15:f>Credit_2014Q2!$M$13</c15:f>
                      <c15:dlblFieldTableCache>
                        <c:ptCount val="1"/>
                        <c:pt idx="0">
                          <c:v>4%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Credit_2014Q2!$P$13</c:f>
                  <c:strCache>
                    <c:ptCount val="1"/>
                    <c:pt idx="0">
                      <c:v>5%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{FBF7F7CE-1EFC-4D18-B9E1-3B2E0BB483C8}</c15:txfldGUID>
                      <c15:f>Credit_2014Q2!$P$13</c15:f>
                      <c15:dlblFieldTableCache>
                        <c:ptCount val="1"/>
                        <c:pt idx="0">
                          <c:v>5%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Credit_2014Q2!$S$13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{0032C28D-8D18-4A1E-9253-0C3BF5BBB5FB}</c15:txfldGUID>
                      <c15:f>Credit_2014Q2!$S$13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Credit_2014Q2!$V$13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{BF742B77-F40C-4997-980C-AA105FE6AF00}</c15:txfldGUID>
                      <c15:f>Credit_2014Q2!$V$13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(Credit_2014Q2!$J$5,Credit_2014Q2!$L$5,Credit_2014Q2!$O$5,Credit_2014Q2!$R$5,Credit_2014Q2!$U$5)</c:f>
              <c:strCache>
                <c:ptCount val="5"/>
                <c:pt idx="0">
                  <c:v>Rating</c:v>
                </c:pt>
                <c:pt idx="1">
                  <c:v>All Companies
(53)</c:v>
                </c:pt>
                <c:pt idx="2">
                  <c:v>Regulated
(38)</c:v>
                </c:pt>
                <c:pt idx="3">
                  <c:v>Mostly Regulated
(13)</c:v>
                </c:pt>
                <c:pt idx="4">
                  <c:v>Diversified
(2)</c:v>
                </c:pt>
              </c:strCache>
            </c:strRef>
          </c:cat>
          <c:val>
            <c:numRef>
              <c:f>(Credit_2014Q2!$Z$13,Credit_2014Q2!$L$13,Credit_2014Q2!$O$13,Credit_2014Q2!$R$13,Credit_2014Q2!$U$13)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792411072"/>
        <c:axId val="792411464"/>
      </c:barChart>
      <c:catAx>
        <c:axId val="7924110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high"/>
        <c:txPr>
          <a:bodyPr/>
          <a:lstStyle/>
          <a:p>
            <a:pPr>
              <a:defRPr sz="1300">
                <a:solidFill>
                  <a:sysClr val="windowText" lastClr="000000"/>
                </a:solidFill>
              </a:defRPr>
            </a:pPr>
            <a:endParaRPr lang="en-US"/>
          </a:p>
        </c:txPr>
        <c:crossAx val="792411464"/>
        <c:crosses val="max"/>
        <c:auto val="1"/>
        <c:lblAlgn val="ctr"/>
        <c:lblOffset val="100"/>
        <c:noMultiLvlLbl val="0"/>
      </c:catAx>
      <c:valAx>
        <c:axId val="792411464"/>
        <c:scaling>
          <c:orientation val="maxMin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0%" sourceLinked="1"/>
        <c:majorTickMark val="none"/>
        <c:minorTickMark val="none"/>
        <c:tickLblPos val="none"/>
        <c:spPr>
          <a:ln>
            <a:noFill/>
          </a:ln>
        </c:spPr>
        <c:crossAx val="79241107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1">
          <a:solidFill>
            <a:schemeClr val="bg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3">
                  <a:lumMod val="50000"/>
                </a:schemeClr>
              </a:solidFill>
            </c:spPr>
          </c:dPt>
          <c:dPt>
            <c:idx val="1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50000"/>
                </a:schemeClr>
              </a:solidFill>
            </c:spPr>
          </c:dPt>
          <c:dPt>
            <c:idx val="3"/>
            <c:bubble3D val="0"/>
            <c:spPr>
              <a:solidFill>
                <a:schemeClr val="accent5">
                  <a:lumMod val="75000"/>
                </a:schemeClr>
              </a:solidFill>
            </c:spPr>
          </c:dPt>
          <c:dPt>
            <c:idx val="4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</c:dPt>
          <c:dPt>
            <c:idx val="5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ysClr val="windowText" lastClr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5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ysClr val="windowText" lastClr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Credit_2014Q1!$J$8:$J$13</c:f>
              <c:strCache>
                <c:ptCount val="6"/>
                <c:pt idx="0">
                  <c:v>A or higher</c:v>
                </c:pt>
                <c:pt idx="1">
                  <c:v>A-</c:v>
                </c:pt>
                <c:pt idx="2">
                  <c:v>BBB+</c:v>
                </c:pt>
                <c:pt idx="3">
                  <c:v>BBB</c:v>
                </c:pt>
                <c:pt idx="4">
                  <c:v>BBB-</c:v>
                </c:pt>
                <c:pt idx="5">
                  <c:v>Below BBB-</c:v>
                </c:pt>
              </c:strCache>
            </c:strRef>
          </c:cat>
          <c:val>
            <c:numRef>
              <c:f>Credit_2014Q1!$M$8:$M$13</c:f>
              <c:numCache>
                <c:formatCode>0%</c:formatCode>
                <c:ptCount val="6"/>
                <c:pt idx="0">
                  <c:v>3.7037037037037035E-2</c:v>
                </c:pt>
                <c:pt idx="1">
                  <c:v>0.22222222222222221</c:v>
                </c:pt>
                <c:pt idx="2">
                  <c:v>0.22222222222222221</c:v>
                </c:pt>
                <c:pt idx="3">
                  <c:v>0.37037037037037035</c:v>
                </c:pt>
                <c:pt idx="4">
                  <c:v>9.2592592592592587E-2</c:v>
                </c:pt>
                <c:pt idx="5">
                  <c:v>5.5555555555555552E-2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4.0854248593277388E-2"/>
          <c:w val="1"/>
          <c:h val="0.7859199662194755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Credit_2014Q1!$J$8</c:f>
              <c:strCache>
                <c:ptCount val="1"/>
                <c:pt idx="0">
                  <c:v>A or higher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invertIfNegative val="0"/>
          <c:dLbls>
            <c:dLbl>
              <c:idx val="0"/>
              <c:tx>
                <c:strRef>
                  <c:f>Credit_2014Q1!$J$8</c:f>
                  <c:strCache>
                    <c:ptCount val="1"/>
                    <c:pt idx="0">
                      <c:v>A or higher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{ADCFF784-7B47-461B-BDE1-F22717FF84F9}</c15:txfldGUID>
                      <c15:f>Credit_2014Q1!$J$8</c15:f>
                      <c15:dlblFieldTableCache>
                        <c:ptCount val="1"/>
                        <c:pt idx="0">
                          <c:v>A or higher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Credit_2014Q1!$M$8</c:f>
                  <c:strCache>
                    <c:ptCount val="1"/>
                    <c:pt idx="0">
                      <c:v>4%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{4086617E-F9D9-4413-8448-81BF320D1FDB}</c15:txfldGUID>
                      <c15:f>Credit_2014Q1!$M$8</c15:f>
                      <c15:dlblFieldTableCache>
                        <c:ptCount val="1"/>
                        <c:pt idx="0">
                          <c:v>4%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Credit_2014Q1!$P$8</c:f>
                  <c:strCache>
                    <c:ptCount val="1"/>
                    <c:pt idx="0">
                      <c:v>3%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{DFCA05E8-2BDD-402B-8670-9AE8CB3CD5AC}</c15:txfldGUID>
                      <c15:f>Credit_2014Q1!$P$8</c15:f>
                      <c15:dlblFieldTableCache>
                        <c:ptCount val="1"/>
                        <c:pt idx="0">
                          <c:v>3%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Credit_2014Q1!$S$8</c:f>
                  <c:strCache>
                    <c:ptCount val="1"/>
                    <c:pt idx="0">
                      <c:v>6%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{6975F41C-E661-4463-B7AE-4CC92E5B59E5}</c15:txfldGUID>
                      <c15:f>Credit_2014Q1!$S$8</c15:f>
                      <c15:dlblFieldTableCache>
                        <c:ptCount val="1"/>
                        <c:pt idx="0">
                          <c:v>6%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Credit_2014Q1!$V$8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{0AE8CC99-F0E4-4084-9672-D259293B3D79}</c15:txfldGUID>
                      <c15:f>Credit_2014Q1!$V$8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(Credit_2014Q1!$J$5,Credit_2014Q1!$L$5,Credit_2014Q1!$O$5,Credit_2014Q1!$R$5,Credit_2014Q1!$U$5)</c:f>
              <c:strCache>
                <c:ptCount val="5"/>
                <c:pt idx="0">
                  <c:v>Rating</c:v>
                </c:pt>
                <c:pt idx="1">
                  <c:v>All Companies
(54)</c:v>
                </c:pt>
                <c:pt idx="2">
                  <c:v>Regulated
(35)</c:v>
                </c:pt>
                <c:pt idx="3">
                  <c:v>Mostly Regulated
(17)</c:v>
                </c:pt>
                <c:pt idx="4">
                  <c:v>Diversified
(2)</c:v>
                </c:pt>
              </c:strCache>
            </c:strRef>
          </c:cat>
          <c:val>
            <c:numRef>
              <c:f>(Credit_2014Q1!$Z$8,Credit_2014Q1!$L$8,Credit_2014Q1!$O$8,Credit_2014Q1!$R$8,Credit_2014Q1!$U$8)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Credit_2014Q1!$J$9</c:f>
              <c:strCache>
                <c:ptCount val="1"/>
                <c:pt idx="0">
                  <c:v>A-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tx>
                <c:strRef>
                  <c:f>Credit_2014Q1!$J$9</c:f>
                  <c:strCache>
                    <c:ptCount val="1"/>
                    <c:pt idx="0">
                      <c:v>A-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{36A8B120-6ED7-4566-A970-4144284E9B9A}</c15:txfldGUID>
                      <c15:f>Credit_2014Q1!$J$9</c15:f>
                      <c15:dlblFieldTableCache>
                        <c:ptCount val="1"/>
                        <c:pt idx="0">
                          <c:v>A-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Credit_2014Q1!$M$9</c:f>
                  <c:strCache>
                    <c:ptCount val="1"/>
                    <c:pt idx="0">
                      <c:v>22%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{2C45FD8E-C0EC-4057-B67D-CF4076CA605D}</c15:txfldGUID>
                      <c15:f>Credit_2014Q1!$M$9</c15:f>
                      <c15:dlblFieldTableCache>
                        <c:ptCount val="1"/>
                        <c:pt idx="0">
                          <c:v>22%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Credit_2014Q1!$P$9</c:f>
                  <c:strCache>
                    <c:ptCount val="1"/>
                    <c:pt idx="0">
                      <c:v>20%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{035B24E6-BC1D-40E9-8DCD-7328CEA7A3A8}</c15:txfldGUID>
                      <c15:f>Credit_2014Q1!$P$9</c15:f>
                      <c15:dlblFieldTableCache>
                        <c:ptCount val="1"/>
                        <c:pt idx="0">
                          <c:v>20%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Credit_2014Q1!$S$9</c:f>
                  <c:strCache>
                    <c:ptCount val="1"/>
                    <c:pt idx="0">
                      <c:v>29%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{72144DA5-AD39-469D-87B1-21E9377E3923}</c15:txfldGUID>
                      <c15:f>Credit_2014Q1!$S$9</c15:f>
                      <c15:dlblFieldTableCache>
                        <c:ptCount val="1"/>
                        <c:pt idx="0">
                          <c:v>29%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Credit_2014Q1!$V$9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{CDD85418-0AA4-4097-87F0-31F07E2396AF}</c15:txfldGUID>
                      <c15:f>Credit_2014Q1!$V$9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(Credit_2014Q1!$J$5,Credit_2014Q1!$L$5,Credit_2014Q1!$O$5,Credit_2014Q1!$R$5,Credit_2014Q1!$U$5)</c:f>
              <c:strCache>
                <c:ptCount val="5"/>
                <c:pt idx="0">
                  <c:v>Rating</c:v>
                </c:pt>
                <c:pt idx="1">
                  <c:v>All Companies
(54)</c:v>
                </c:pt>
                <c:pt idx="2">
                  <c:v>Regulated
(35)</c:v>
                </c:pt>
                <c:pt idx="3">
                  <c:v>Mostly Regulated
(17)</c:v>
                </c:pt>
                <c:pt idx="4">
                  <c:v>Diversified
(2)</c:v>
                </c:pt>
              </c:strCache>
            </c:strRef>
          </c:cat>
          <c:val>
            <c:numRef>
              <c:f>(Credit_2014Q1!$Z$9,Credit_2014Q1!$L$9,Credit_2014Q1!$O$9,Credit_2014Q1!$R$9,Credit_2014Q1!$U$9)</c:f>
              <c:numCache>
                <c:formatCode>General</c:formatCode>
                <c:ptCount val="5"/>
                <c:pt idx="0">
                  <c:v>1</c:v>
                </c:pt>
                <c:pt idx="1">
                  <c:v>12</c:v>
                </c:pt>
                <c:pt idx="2">
                  <c:v>7</c:v>
                </c:pt>
                <c:pt idx="3">
                  <c:v>5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Credit_2014Q1!$J$10</c:f>
              <c:strCache>
                <c:ptCount val="1"/>
                <c:pt idx="0">
                  <c:v>BBB+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invertIfNegative val="0"/>
          <c:dLbls>
            <c:dLbl>
              <c:idx val="0"/>
              <c:tx>
                <c:strRef>
                  <c:f>Credit_2014Q1!$J$10</c:f>
                  <c:strCache>
                    <c:ptCount val="1"/>
                    <c:pt idx="0">
                      <c:v>BBB+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{07E9310E-B0C1-43D6-B368-6E45B6898699}</c15:txfldGUID>
                      <c15:f>Credit_2014Q1!$J$10</c15:f>
                      <c15:dlblFieldTableCache>
                        <c:ptCount val="1"/>
                        <c:pt idx="0">
                          <c:v>BBB+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Credit_2014Q1!$M$10</c:f>
                  <c:strCache>
                    <c:ptCount val="1"/>
                    <c:pt idx="0">
                      <c:v>22%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{EE58BB70-99B5-49CD-830C-4DA22314ED58}</c15:txfldGUID>
                      <c15:f>Credit_2014Q1!$M$10</c15:f>
                      <c15:dlblFieldTableCache>
                        <c:ptCount val="1"/>
                        <c:pt idx="0">
                          <c:v>22%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Credit_2014Q1!$P$10</c:f>
                  <c:strCache>
                    <c:ptCount val="1"/>
                    <c:pt idx="0">
                      <c:v>17%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{A5F70C28-8A3B-4E60-A70E-B06AB2E87D79}</c15:txfldGUID>
                      <c15:f>Credit_2014Q1!$P$10</c15:f>
                      <c15:dlblFieldTableCache>
                        <c:ptCount val="1"/>
                        <c:pt idx="0">
                          <c:v>17%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Credit_2014Q1!$S$10</c:f>
                  <c:strCache>
                    <c:ptCount val="1"/>
                    <c:pt idx="0">
                      <c:v>29%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{DBD23FEE-1BD9-4D5D-BD12-9FDA8CCE5BDB}</c15:txfldGUID>
                      <c15:f>Credit_2014Q1!$S$10</c15:f>
                      <c15:dlblFieldTableCache>
                        <c:ptCount val="1"/>
                        <c:pt idx="0">
                          <c:v>29%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Credit_2014Q1!$V$10</c:f>
                  <c:strCache>
                    <c:ptCount val="1"/>
                    <c:pt idx="0">
                      <c:v>50%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{B63749C4-64E5-472A-9E00-CA111C154C1E}</c15:txfldGUID>
                      <c15:f>Credit_2014Q1!$V$10</c15:f>
                      <c15:dlblFieldTableCache>
                        <c:ptCount val="1"/>
                        <c:pt idx="0">
                          <c:v>50%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(Credit_2014Q1!$J$5,Credit_2014Q1!$L$5,Credit_2014Q1!$O$5,Credit_2014Q1!$R$5,Credit_2014Q1!$U$5)</c:f>
              <c:strCache>
                <c:ptCount val="5"/>
                <c:pt idx="0">
                  <c:v>Rating</c:v>
                </c:pt>
                <c:pt idx="1">
                  <c:v>All Companies
(54)</c:v>
                </c:pt>
                <c:pt idx="2">
                  <c:v>Regulated
(35)</c:v>
                </c:pt>
                <c:pt idx="3">
                  <c:v>Mostly Regulated
(17)</c:v>
                </c:pt>
                <c:pt idx="4">
                  <c:v>Diversified
(2)</c:v>
                </c:pt>
              </c:strCache>
            </c:strRef>
          </c:cat>
          <c:val>
            <c:numRef>
              <c:f>(Credit_2014Q1!$Z$10,Credit_2014Q1!$L$10,Credit_2014Q1!$O$10,Credit_2014Q1!$R$10,Credit_2014Q1!$U$10)</c:f>
              <c:numCache>
                <c:formatCode>General</c:formatCode>
                <c:ptCount val="5"/>
                <c:pt idx="0">
                  <c:v>1</c:v>
                </c:pt>
                <c:pt idx="1">
                  <c:v>12</c:v>
                </c:pt>
                <c:pt idx="2">
                  <c:v>6</c:v>
                </c:pt>
                <c:pt idx="3">
                  <c:v>5</c:v>
                </c:pt>
                <c:pt idx="4">
                  <c:v>1</c:v>
                </c:pt>
              </c:numCache>
            </c:numRef>
          </c:val>
        </c:ser>
        <c:ser>
          <c:idx val="3"/>
          <c:order val="3"/>
          <c:tx>
            <c:strRef>
              <c:f>Credit_2014Q1!$J$11</c:f>
              <c:strCache>
                <c:ptCount val="1"/>
                <c:pt idx="0">
                  <c:v>BBB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dLbl>
              <c:idx val="0"/>
              <c:tx>
                <c:strRef>
                  <c:f>Credit_2014Q1!$J$11</c:f>
                  <c:strCache>
                    <c:ptCount val="1"/>
                    <c:pt idx="0">
                      <c:v>BBB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{E502FB03-76CD-4A8B-97C9-1961614E4F54}</c15:txfldGUID>
                      <c15:f>Credit_2014Q1!$J$11</c15:f>
                      <c15:dlblFieldTableCache>
                        <c:ptCount val="1"/>
                        <c:pt idx="0">
                          <c:v>BBB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Credit_2014Q1!$M$11</c:f>
                  <c:strCache>
                    <c:ptCount val="1"/>
                    <c:pt idx="0">
                      <c:v>37%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{759F3957-6928-4AAD-9530-5DFC3D636E43}</c15:txfldGUID>
                      <c15:f>Credit_2014Q1!$M$11</c15:f>
                      <c15:dlblFieldTableCache>
                        <c:ptCount val="1"/>
                        <c:pt idx="0">
                          <c:v>37%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Credit_2014Q1!$P$11</c:f>
                  <c:strCache>
                    <c:ptCount val="1"/>
                    <c:pt idx="0">
                      <c:v>49%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{716E48B4-A815-4F3A-AA3F-50E7F1F1F48F}</c15:txfldGUID>
                      <c15:f>Credit_2014Q1!$P$11</c15:f>
                      <c15:dlblFieldTableCache>
                        <c:ptCount val="1"/>
                        <c:pt idx="0">
                          <c:v>49%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Credit_2014Q1!$S$11</c:f>
                  <c:strCache>
                    <c:ptCount val="1"/>
                    <c:pt idx="0">
                      <c:v>18%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{6C5F3224-CEBF-4F9F-9B39-BEC1D1819147}</c15:txfldGUID>
                      <c15:f>Credit_2014Q1!$S$11</c15:f>
                      <c15:dlblFieldTableCache>
                        <c:ptCount val="1"/>
                        <c:pt idx="0">
                          <c:v>18%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Credit_2014Q1!$V$11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{D194586E-A80F-42CA-B2BC-2A0EE9701681}</c15:txfldGUID>
                      <c15:f>Credit_2014Q1!$V$11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(Credit_2014Q1!$J$5,Credit_2014Q1!$L$5,Credit_2014Q1!$O$5,Credit_2014Q1!$R$5,Credit_2014Q1!$U$5)</c:f>
              <c:strCache>
                <c:ptCount val="5"/>
                <c:pt idx="0">
                  <c:v>Rating</c:v>
                </c:pt>
                <c:pt idx="1">
                  <c:v>All Companies
(54)</c:v>
                </c:pt>
                <c:pt idx="2">
                  <c:v>Regulated
(35)</c:v>
                </c:pt>
                <c:pt idx="3">
                  <c:v>Mostly Regulated
(17)</c:v>
                </c:pt>
                <c:pt idx="4">
                  <c:v>Diversified
(2)</c:v>
                </c:pt>
              </c:strCache>
            </c:strRef>
          </c:cat>
          <c:val>
            <c:numRef>
              <c:f>(Credit_2014Q1!$Z$11,Credit_2014Q1!$L$11,Credit_2014Q1!$O$11,Credit_2014Q1!$R$11,Credit_2014Q1!$U$11)</c:f>
              <c:numCache>
                <c:formatCode>General</c:formatCode>
                <c:ptCount val="5"/>
                <c:pt idx="0">
                  <c:v>1</c:v>
                </c:pt>
                <c:pt idx="1">
                  <c:v>20</c:v>
                </c:pt>
                <c:pt idx="2">
                  <c:v>17</c:v>
                </c:pt>
                <c:pt idx="3">
                  <c:v>3</c:v>
                </c:pt>
                <c:pt idx="4">
                  <c:v>0</c:v>
                </c:pt>
              </c:numCache>
            </c:numRef>
          </c:val>
        </c:ser>
        <c:ser>
          <c:idx val="4"/>
          <c:order val="4"/>
          <c:tx>
            <c:strRef>
              <c:f>Credit_2014Q1!$J$12</c:f>
              <c:strCache>
                <c:ptCount val="1"/>
                <c:pt idx="0">
                  <c:v>BBB-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dLbls>
            <c:dLbl>
              <c:idx val="0"/>
              <c:tx>
                <c:strRef>
                  <c:f>Credit_2014Q1!$J$12</c:f>
                  <c:strCache>
                    <c:ptCount val="1"/>
                    <c:pt idx="0">
                      <c:v>BBB-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{74C9DB1E-3745-4F5E-8B6E-213C0369768A}</c15:txfldGUID>
                      <c15:f>Credit_2014Q1!$J$12</c15:f>
                      <c15:dlblFieldTableCache>
                        <c:ptCount val="1"/>
                        <c:pt idx="0">
                          <c:v>BBB-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Credit_2014Q1!$M$12</c:f>
                  <c:strCache>
                    <c:ptCount val="1"/>
                    <c:pt idx="0">
                      <c:v>9%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{34D21F80-B388-4F31-AF23-8A8F05C47A94}</c15:txfldGUID>
                      <c15:f>Credit_2014Q1!$M$12</c15:f>
                      <c15:dlblFieldTableCache>
                        <c:ptCount val="1"/>
                        <c:pt idx="0">
                          <c:v>9%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Credit_2014Q1!$P$12</c:f>
                  <c:strCache>
                    <c:ptCount val="1"/>
                    <c:pt idx="0">
                      <c:v>6%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{B6DA8959-B383-47AC-BF62-AE72D9480D7E}</c15:txfldGUID>
                      <c15:f>Credit_2014Q1!$P$12</c15:f>
                      <c15:dlblFieldTableCache>
                        <c:ptCount val="1"/>
                        <c:pt idx="0">
                          <c:v>6%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Credit_2014Q1!$S$12</c:f>
                  <c:strCache>
                    <c:ptCount val="1"/>
                    <c:pt idx="0">
                      <c:v>18%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{240DF1FF-7252-434E-8D2A-CC89EE9D2A30}</c15:txfldGUID>
                      <c15:f>Credit_2014Q1!$S$12</c15:f>
                      <c15:dlblFieldTableCache>
                        <c:ptCount val="1"/>
                        <c:pt idx="0">
                          <c:v>18%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Credit_2014Q1!$V$12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{9C5CBCB9-62B3-4C4E-939E-3C4F73214D61}</c15:txfldGUID>
                      <c15:f>Credit_2014Q1!$V$12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(Credit_2014Q1!$J$5,Credit_2014Q1!$L$5,Credit_2014Q1!$O$5,Credit_2014Q1!$R$5,Credit_2014Q1!$U$5)</c:f>
              <c:strCache>
                <c:ptCount val="5"/>
                <c:pt idx="0">
                  <c:v>Rating</c:v>
                </c:pt>
                <c:pt idx="1">
                  <c:v>All Companies
(54)</c:v>
                </c:pt>
                <c:pt idx="2">
                  <c:v>Regulated
(35)</c:v>
                </c:pt>
                <c:pt idx="3">
                  <c:v>Mostly Regulated
(17)</c:v>
                </c:pt>
                <c:pt idx="4">
                  <c:v>Diversified
(2)</c:v>
                </c:pt>
              </c:strCache>
            </c:strRef>
          </c:cat>
          <c:val>
            <c:numRef>
              <c:f>(Credit_2014Q1!$Z$12,Credit_2014Q1!$L$12,Credit_2014Q1!$O$12,Credit_2014Q1!$R$12,Credit_2014Q1!$U$12)</c:f>
              <c:numCache>
                <c:formatCode>General</c:formatCode>
                <c:ptCount val="5"/>
                <c:pt idx="0">
                  <c:v>1</c:v>
                </c:pt>
                <c:pt idx="1">
                  <c:v>5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</c:numCache>
            </c:numRef>
          </c:val>
        </c:ser>
        <c:ser>
          <c:idx val="5"/>
          <c:order val="5"/>
          <c:tx>
            <c:strRef>
              <c:f>Credit_2014Q1!$J$13</c:f>
              <c:strCache>
                <c:ptCount val="1"/>
                <c:pt idx="0">
                  <c:v>Below BBB-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invertIfNegative val="0"/>
          <c:dLbls>
            <c:dLbl>
              <c:idx val="0"/>
              <c:tx>
                <c:strRef>
                  <c:f>Credit_2014Q1!$J$13</c:f>
                  <c:strCache>
                    <c:ptCount val="1"/>
                    <c:pt idx="0">
                      <c:v>Below BBB-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{346F090A-F2B8-435E-9F8B-AEC3A2EC9C87}</c15:txfldGUID>
                      <c15:f>Credit_2014Q1!$J$13</c15:f>
                      <c15:dlblFieldTableCache>
                        <c:ptCount val="1"/>
                        <c:pt idx="0">
                          <c:v>Below BBB-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Credit_2014Q1!$M$13</c:f>
                  <c:strCache>
                    <c:ptCount val="1"/>
                    <c:pt idx="0">
                      <c:v>6%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{1814D26E-DCB4-4DA7-8762-9028367D9750}</c15:txfldGUID>
                      <c15:f>Credit_2014Q1!$M$13</c15:f>
                      <c15:dlblFieldTableCache>
                        <c:ptCount val="1"/>
                        <c:pt idx="0">
                          <c:v>6%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Credit_2014Q1!$P$13</c:f>
                  <c:strCache>
                    <c:ptCount val="1"/>
                    <c:pt idx="0">
                      <c:v>6%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{841DE405-70C2-44D4-9A11-6BD84FB03FDA}</c15:txfldGUID>
                      <c15:f>Credit_2014Q1!$P$13</c15:f>
                      <c15:dlblFieldTableCache>
                        <c:ptCount val="1"/>
                        <c:pt idx="0">
                          <c:v>6%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Credit_2014Q1!$S$13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{20E4E309-B952-4A03-A969-9908F394498B}</c15:txfldGUID>
                      <c15:f>Credit_2014Q1!$S$13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Credit_2014Q1!$V$13</c:f>
                  <c:strCache>
                    <c:ptCount val="1"/>
                    <c:pt idx="0">
                      <c:v>50%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{CC9EE318-8DC1-4DA0-AC0D-FC03329EE626}</c15:txfldGUID>
                      <c15:f>Credit_2014Q1!$V$13</c15:f>
                      <c15:dlblFieldTableCache>
                        <c:ptCount val="1"/>
                        <c:pt idx="0">
                          <c:v>50%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(Credit_2014Q1!$J$5,Credit_2014Q1!$L$5,Credit_2014Q1!$O$5,Credit_2014Q1!$R$5,Credit_2014Q1!$U$5)</c:f>
              <c:strCache>
                <c:ptCount val="5"/>
                <c:pt idx="0">
                  <c:v>Rating</c:v>
                </c:pt>
                <c:pt idx="1">
                  <c:v>All Companies
(54)</c:v>
                </c:pt>
                <c:pt idx="2">
                  <c:v>Regulated
(35)</c:v>
                </c:pt>
                <c:pt idx="3">
                  <c:v>Mostly Regulated
(17)</c:v>
                </c:pt>
                <c:pt idx="4">
                  <c:v>Diversified
(2)</c:v>
                </c:pt>
              </c:strCache>
            </c:strRef>
          </c:cat>
          <c:val>
            <c:numRef>
              <c:f>(Credit_2014Q1!$Z$13,Credit_2014Q1!$L$13,Credit_2014Q1!$O$13,Credit_2014Q1!$R$13,Credit_2014Q1!$U$13)</c:f>
              <c:numCache>
                <c:formatCode>General</c:formatCode>
                <c:ptCount val="5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792412640"/>
        <c:axId val="792413032"/>
      </c:barChart>
      <c:catAx>
        <c:axId val="7924126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high"/>
        <c:txPr>
          <a:bodyPr/>
          <a:lstStyle/>
          <a:p>
            <a:pPr>
              <a:defRPr sz="1300">
                <a:solidFill>
                  <a:sysClr val="windowText" lastClr="000000"/>
                </a:solidFill>
              </a:defRPr>
            </a:pPr>
            <a:endParaRPr lang="en-US"/>
          </a:p>
        </c:txPr>
        <c:crossAx val="792413032"/>
        <c:crosses val="max"/>
        <c:auto val="1"/>
        <c:lblAlgn val="ctr"/>
        <c:lblOffset val="100"/>
        <c:noMultiLvlLbl val="0"/>
      </c:catAx>
      <c:valAx>
        <c:axId val="792413032"/>
        <c:scaling>
          <c:orientation val="maxMin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0%" sourceLinked="1"/>
        <c:majorTickMark val="none"/>
        <c:minorTickMark val="none"/>
        <c:tickLblPos val="none"/>
        <c:spPr>
          <a:ln>
            <a:noFill/>
          </a:ln>
        </c:spPr>
        <c:crossAx val="792412640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1">
          <a:solidFill>
            <a:schemeClr val="bg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3">
                  <a:lumMod val="50000"/>
                </a:schemeClr>
              </a:solidFill>
            </c:spPr>
          </c:dPt>
          <c:dPt>
            <c:idx val="1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50000"/>
                </a:schemeClr>
              </a:solidFill>
            </c:spPr>
          </c:dPt>
          <c:dPt>
            <c:idx val="3"/>
            <c:bubble3D val="0"/>
            <c:spPr>
              <a:solidFill>
                <a:schemeClr val="accent5">
                  <a:lumMod val="75000"/>
                </a:schemeClr>
              </a:solidFill>
            </c:spPr>
          </c:dPt>
          <c:dPt>
            <c:idx val="4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</c:dPt>
          <c:dPt>
            <c:idx val="5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ysClr val="windowText" lastClr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5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ysClr val="windowText" lastClr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Credit_2013Q4!$J$8:$J$13</c:f>
              <c:strCache>
                <c:ptCount val="6"/>
                <c:pt idx="0">
                  <c:v>A or higher</c:v>
                </c:pt>
                <c:pt idx="1">
                  <c:v>A-</c:v>
                </c:pt>
                <c:pt idx="2">
                  <c:v>BBB+</c:v>
                </c:pt>
                <c:pt idx="3">
                  <c:v>BBB</c:v>
                </c:pt>
                <c:pt idx="4">
                  <c:v>BBB-</c:v>
                </c:pt>
                <c:pt idx="5">
                  <c:v>Below BBB-</c:v>
                </c:pt>
              </c:strCache>
            </c:strRef>
          </c:cat>
          <c:val>
            <c:numRef>
              <c:f>Credit_2013Q4!$M$8:$M$13</c:f>
              <c:numCache>
                <c:formatCode>0%</c:formatCode>
                <c:ptCount val="6"/>
                <c:pt idx="0">
                  <c:v>3.7037037037037035E-2</c:v>
                </c:pt>
                <c:pt idx="1">
                  <c:v>0.22222222222222221</c:v>
                </c:pt>
                <c:pt idx="2">
                  <c:v>0.22222222222222221</c:v>
                </c:pt>
                <c:pt idx="3">
                  <c:v>0.37037037037037035</c:v>
                </c:pt>
                <c:pt idx="4">
                  <c:v>9.2592592592592587E-2</c:v>
                </c:pt>
                <c:pt idx="5">
                  <c:v>5.5555555555555552E-2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4.0854248593277388E-2"/>
          <c:w val="1"/>
          <c:h val="0.7859199662194755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Credit_2013Q4!$J$8</c:f>
              <c:strCache>
                <c:ptCount val="1"/>
                <c:pt idx="0">
                  <c:v>A or higher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invertIfNegative val="0"/>
          <c:dLbls>
            <c:dLbl>
              <c:idx val="0"/>
              <c:tx>
                <c:strRef>
                  <c:f>Credit_2013Q4!$J$8</c:f>
                  <c:strCache>
                    <c:ptCount val="1"/>
                    <c:pt idx="0">
                      <c:v>A or higher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{2F5CE626-E74B-4269-BBE7-1B323210AF20}</c15:txfldGUID>
                      <c15:f>Credit_2013Q4!$J$8</c15:f>
                      <c15:dlblFieldTableCache>
                        <c:ptCount val="1"/>
                        <c:pt idx="0">
                          <c:v>A or higher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Credit_2013Q4!$M$8</c:f>
                  <c:strCache>
                    <c:ptCount val="1"/>
                    <c:pt idx="0">
                      <c:v>4%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{F6B188BA-7425-4D08-9676-42E18E3A3426}</c15:txfldGUID>
                      <c15:f>Credit_2013Q4!$M$8</c15:f>
                      <c15:dlblFieldTableCache>
                        <c:ptCount val="1"/>
                        <c:pt idx="0">
                          <c:v>4%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Credit_2013Q4!$P$8</c:f>
                  <c:strCache>
                    <c:ptCount val="1"/>
                    <c:pt idx="0">
                      <c:v>3%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{417FC825-EDAC-41C6-965A-AB7794B194F0}</c15:txfldGUID>
                      <c15:f>Credit_2013Q4!$P$8</c15:f>
                      <c15:dlblFieldTableCache>
                        <c:ptCount val="1"/>
                        <c:pt idx="0">
                          <c:v>3%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Credit_2013Q4!$S$8</c:f>
                  <c:strCache>
                    <c:ptCount val="1"/>
                    <c:pt idx="0">
                      <c:v>6%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{B899A0A5-0201-45A4-8D1C-D5FA78304F85}</c15:txfldGUID>
                      <c15:f>Credit_2013Q4!$S$8</c15:f>
                      <c15:dlblFieldTableCache>
                        <c:ptCount val="1"/>
                        <c:pt idx="0">
                          <c:v>6%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Credit_2013Q4!$V$8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{1EA01149-33B5-4D3F-806B-1D2D624E94AD}</c15:txfldGUID>
                      <c15:f>Credit_2013Q4!$V$8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(Credit_2013Q4!$J$5,Credit_2013Q4!$L$5,Credit_2013Q4!$O$5,Credit_2013Q4!$R$5,Credit_2013Q4!$U$5)</c:f>
              <c:strCache>
                <c:ptCount val="5"/>
                <c:pt idx="0">
                  <c:v>Rating</c:v>
                </c:pt>
                <c:pt idx="1">
                  <c:v>All Companies
(54)</c:v>
                </c:pt>
                <c:pt idx="2">
                  <c:v>Regulated
(35)</c:v>
                </c:pt>
                <c:pt idx="3">
                  <c:v>Mostly Regulated
(17)</c:v>
                </c:pt>
                <c:pt idx="4">
                  <c:v>Diversified
(2)</c:v>
                </c:pt>
              </c:strCache>
            </c:strRef>
          </c:cat>
          <c:val>
            <c:numRef>
              <c:f>(Credit_2013Q4!$Z$8,Credit_2013Q4!$L$8,Credit_2013Q4!$O$8,Credit_2013Q4!$R$8,Credit_2013Q4!$U$8)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Credit_2013Q4!$J$9</c:f>
              <c:strCache>
                <c:ptCount val="1"/>
                <c:pt idx="0">
                  <c:v>A-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tx>
                <c:strRef>
                  <c:f>Credit_2013Q4!$J$9</c:f>
                  <c:strCache>
                    <c:ptCount val="1"/>
                    <c:pt idx="0">
                      <c:v>A-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{15776585-A478-4880-A3D0-5B3F36C1D8D2}</c15:txfldGUID>
                      <c15:f>Credit_2013Q4!$J$9</c15:f>
                      <c15:dlblFieldTableCache>
                        <c:ptCount val="1"/>
                        <c:pt idx="0">
                          <c:v>A-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Credit_2013Q4!$M$9</c:f>
                  <c:strCache>
                    <c:ptCount val="1"/>
                    <c:pt idx="0">
                      <c:v>22%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{03F53DB4-B802-477D-99EA-26D14A9E683F}</c15:txfldGUID>
                      <c15:f>Credit_2013Q4!$M$9</c15:f>
                      <c15:dlblFieldTableCache>
                        <c:ptCount val="1"/>
                        <c:pt idx="0">
                          <c:v>22%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Credit_2013Q4!$P$9</c:f>
                  <c:strCache>
                    <c:ptCount val="1"/>
                    <c:pt idx="0">
                      <c:v>20%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{D6D33017-316B-4DEE-ACCC-D0033E63D8AC}</c15:txfldGUID>
                      <c15:f>Credit_2013Q4!$P$9</c15:f>
                      <c15:dlblFieldTableCache>
                        <c:ptCount val="1"/>
                        <c:pt idx="0">
                          <c:v>20%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Credit_2013Q4!$S$9</c:f>
                  <c:strCache>
                    <c:ptCount val="1"/>
                    <c:pt idx="0">
                      <c:v>29%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{CEF52C86-7C6A-4400-9CBC-7C4A4DDA663F}</c15:txfldGUID>
                      <c15:f>Credit_2013Q4!$S$9</c15:f>
                      <c15:dlblFieldTableCache>
                        <c:ptCount val="1"/>
                        <c:pt idx="0">
                          <c:v>29%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Credit_2013Q4!$V$9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{7B15C2F7-6DDF-43A3-A6F7-CFE829B2D7BE}</c15:txfldGUID>
                      <c15:f>Credit_2013Q4!$V$9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(Credit_2013Q4!$J$5,Credit_2013Q4!$L$5,Credit_2013Q4!$O$5,Credit_2013Q4!$R$5,Credit_2013Q4!$U$5)</c:f>
              <c:strCache>
                <c:ptCount val="5"/>
                <c:pt idx="0">
                  <c:v>Rating</c:v>
                </c:pt>
                <c:pt idx="1">
                  <c:v>All Companies
(54)</c:v>
                </c:pt>
                <c:pt idx="2">
                  <c:v>Regulated
(35)</c:v>
                </c:pt>
                <c:pt idx="3">
                  <c:v>Mostly Regulated
(17)</c:v>
                </c:pt>
                <c:pt idx="4">
                  <c:v>Diversified
(2)</c:v>
                </c:pt>
              </c:strCache>
            </c:strRef>
          </c:cat>
          <c:val>
            <c:numRef>
              <c:f>(Credit_2013Q4!$Z$9,Credit_2013Q4!$L$9,Credit_2013Q4!$O$9,Credit_2013Q4!$R$9,Credit_2013Q4!$U$9)</c:f>
              <c:numCache>
                <c:formatCode>General</c:formatCode>
                <c:ptCount val="5"/>
                <c:pt idx="0">
                  <c:v>1</c:v>
                </c:pt>
                <c:pt idx="1">
                  <c:v>12</c:v>
                </c:pt>
                <c:pt idx="2">
                  <c:v>7</c:v>
                </c:pt>
                <c:pt idx="3">
                  <c:v>5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Credit_2013Q4!$J$10</c:f>
              <c:strCache>
                <c:ptCount val="1"/>
                <c:pt idx="0">
                  <c:v>BBB+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invertIfNegative val="0"/>
          <c:dLbls>
            <c:dLbl>
              <c:idx val="0"/>
              <c:tx>
                <c:strRef>
                  <c:f>Credit_2013Q4!$J$10</c:f>
                  <c:strCache>
                    <c:ptCount val="1"/>
                    <c:pt idx="0">
                      <c:v>BBB+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{B7C346A3-8A0B-4ECF-8743-196BFE443171}</c15:txfldGUID>
                      <c15:f>Credit_2013Q4!$J$10</c15:f>
                      <c15:dlblFieldTableCache>
                        <c:ptCount val="1"/>
                        <c:pt idx="0">
                          <c:v>BBB+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Credit_2013Q4!$M$10</c:f>
                  <c:strCache>
                    <c:ptCount val="1"/>
                    <c:pt idx="0">
                      <c:v>22%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{A9C627BB-F198-4B46-831F-78FBA00F532C}</c15:txfldGUID>
                      <c15:f>Credit_2013Q4!$M$10</c15:f>
                      <c15:dlblFieldTableCache>
                        <c:ptCount val="1"/>
                        <c:pt idx="0">
                          <c:v>22%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Credit_2013Q4!$P$10</c:f>
                  <c:strCache>
                    <c:ptCount val="1"/>
                    <c:pt idx="0">
                      <c:v>17%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{FBA273D4-E6DC-46ED-939B-85706FBF5305}</c15:txfldGUID>
                      <c15:f>Credit_2013Q4!$P$10</c15:f>
                      <c15:dlblFieldTableCache>
                        <c:ptCount val="1"/>
                        <c:pt idx="0">
                          <c:v>17%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Credit_2013Q4!$S$10</c:f>
                  <c:strCache>
                    <c:ptCount val="1"/>
                    <c:pt idx="0">
                      <c:v>29%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{268C69A6-75F9-471A-878A-17C044FCAB9D}</c15:txfldGUID>
                      <c15:f>Credit_2013Q4!$S$10</c15:f>
                      <c15:dlblFieldTableCache>
                        <c:ptCount val="1"/>
                        <c:pt idx="0">
                          <c:v>29%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Credit_2013Q4!$V$10</c:f>
                  <c:strCache>
                    <c:ptCount val="1"/>
                    <c:pt idx="0">
                      <c:v>50%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{EFA7822A-B899-40FA-923A-05565467AFA4}</c15:txfldGUID>
                      <c15:f>Credit_2013Q4!$V$10</c15:f>
                      <c15:dlblFieldTableCache>
                        <c:ptCount val="1"/>
                        <c:pt idx="0">
                          <c:v>50%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(Credit_2013Q4!$J$5,Credit_2013Q4!$L$5,Credit_2013Q4!$O$5,Credit_2013Q4!$R$5,Credit_2013Q4!$U$5)</c:f>
              <c:strCache>
                <c:ptCount val="5"/>
                <c:pt idx="0">
                  <c:v>Rating</c:v>
                </c:pt>
                <c:pt idx="1">
                  <c:v>All Companies
(54)</c:v>
                </c:pt>
                <c:pt idx="2">
                  <c:v>Regulated
(35)</c:v>
                </c:pt>
                <c:pt idx="3">
                  <c:v>Mostly Regulated
(17)</c:v>
                </c:pt>
                <c:pt idx="4">
                  <c:v>Diversified
(2)</c:v>
                </c:pt>
              </c:strCache>
            </c:strRef>
          </c:cat>
          <c:val>
            <c:numRef>
              <c:f>(Credit_2013Q4!$Z$10,Credit_2013Q4!$L$10,Credit_2013Q4!$O$10,Credit_2013Q4!$R$10,Credit_2013Q4!$U$10)</c:f>
              <c:numCache>
                <c:formatCode>General</c:formatCode>
                <c:ptCount val="5"/>
                <c:pt idx="0">
                  <c:v>1</c:v>
                </c:pt>
                <c:pt idx="1">
                  <c:v>12</c:v>
                </c:pt>
                <c:pt idx="2">
                  <c:v>6</c:v>
                </c:pt>
                <c:pt idx="3">
                  <c:v>5</c:v>
                </c:pt>
                <c:pt idx="4">
                  <c:v>1</c:v>
                </c:pt>
              </c:numCache>
            </c:numRef>
          </c:val>
        </c:ser>
        <c:ser>
          <c:idx val="3"/>
          <c:order val="3"/>
          <c:tx>
            <c:strRef>
              <c:f>Credit_2013Q4!$J$11</c:f>
              <c:strCache>
                <c:ptCount val="1"/>
                <c:pt idx="0">
                  <c:v>BBB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dLbl>
              <c:idx val="0"/>
              <c:tx>
                <c:strRef>
                  <c:f>Credit_2013Q4!$J$11</c:f>
                  <c:strCache>
                    <c:ptCount val="1"/>
                    <c:pt idx="0">
                      <c:v>BBB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{13498B91-D3A1-412F-A447-C73AFD35145D}</c15:txfldGUID>
                      <c15:f>Credit_2013Q4!$J$11</c15:f>
                      <c15:dlblFieldTableCache>
                        <c:ptCount val="1"/>
                        <c:pt idx="0">
                          <c:v>BBB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Credit_2013Q4!$M$11</c:f>
                  <c:strCache>
                    <c:ptCount val="1"/>
                    <c:pt idx="0">
                      <c:v>37%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{6355EE52-B44F-4A06-A789-3CF32655DD16}</c15:txfldGUID>
                      <c15:f>Credit_2013Q4!$M$11</c15:f>
                      <c15:dlblFieldTableCache>
                        <c:ptCount val="1"/>
                        <c:pt idx="0">
                          <c:v>37%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Credit_2013Q4!$P$11</c:f>
                  <c:strCache>
                    <c:ptCount val="1"/>
                    <c:pt idx="0">
                      <c:v>49%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{549085B5-255D-4EFE-A5A7-828355D9E54F}</c15:txfldGUID>
                      <c15:f>Credit_2013Q4!$P$11</c15:f>
                      <c15:dlblFieldTableCache>
                        <c:ptCount val="1"/>
                        <c:pt idx="0">
                          <c:v>49%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Credit_2013Q4!$S$11</c:f>
                  <c:strCache>
                    <c:ptCount val="1"/>
                    <c:pt idx="0">
                      <c:v>18%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{FC52B2B8-06A5-479B-979C-FDFF1568280C}</c15:txfldGUID>
                      <c15:f>Credit_2013Q4!$S$11</c15:f>
                      <c15:dlblFieldTableCache>
                        <c:ptCount val="1"/>
                        <c:pt idx="0">
                          <c:v>18%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Credit_2013Q4!$V$11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{0D48926F-39DC-4878-9E36-3B82F4AC7C66}</c15:txfldGUID>
                      <c15:f>Credit_2013Q4!$V$11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(Credit_2013Q4!$J$5,Credit_2013Q4!$L$5,Credit_2013Q4!$O$5,Credit_2013Q4!$R$5,Credit_2013Q4!$U$5)</c:f>
              <c:strCache>
                <c:ptCount val="5"/>
                <c:pt idx="0">
                  <c:v>Rating</c:v>
                </c:pt>
                <c:pt idx="1">
                  <c:v>All Companies
(54)</c:v>
                </c:pt>
                <c:pt idx="2">
                  <c:v>Regulated
(35)</c:v>
                </c:pt>
                <c:pt idx="3">
                  <c:v>Mostly Regulated
(17)</c:v>
                </c:pt>
                <c:pt idx="4">
                  <c:v>Diversified
(2)</c:v>
                </c:pt>
              </c:strCache>
            </c:strRef>
          </c:cat>
          <c:val>
            <c:numRef>
              <c:f>(Credit_2013Q4!$Z$11,Credit_2013Q4!$L$11,Credit_2013Q4!$O$11,Credit_2013Q4!$R$11,Credit_2013Q4!$U$11)</c:f>
              <c:numCache>
                <c:formatCode>General</c:formatCode>
                <c:ptCount val="5"/>
                <c:pt idx="0">
                  <c:v>1</c:v>
                </c:pt>
                <c:pt idx="1">
                  <c:v>20</c:v>
                </c:pt>
                <c:pt idx="2">
                  <c:v>17</c:v>
                </c:pt>
                <c:pt idx="3">
                  <c:v>3</c:v>
                </c:pt>
                <c:pt idx="4">
                  <c:v>0</c:v>
                </c:pt>
              </c:numCache>
            </c:numRef>
          </c:val>
        </c:ser>
        <c:ser>
          <c:idx val="4"/>
          <c:order val="4"/>
          <c:tx>
            <c:strRef>
              <c:f>Credit_2013Q4!$J$12</c:f>
              <c:strCache>
                <c:ptCount val="1"/>
                <c:pt idx="0">
                  <c:v>BBB-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dLbls>
            <c:dLbl>
              <c:idx val="0"/>
              <c:tx>
                <c:strRef>
                  <c:f>Credit_2013Q4!$J$12</c:f>
                  <c:strCache>
                    <c:ptCount val="1"/>
                    <c:pt idx="0">
                      <c:v>BBB-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{03975A17-219B-4B58-83B3-BFB75051EE31}</c15:txfldGUID>
                      <c15:f>Credit_2013Q4!$J$12</c15:f>
                      <c15:dlblFieldTableCache>
                        <c:ptCount val="1"/>
                        <c:pt idx="0">
                          <c:v>BBB-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Credit_2013Q4!$M$12</c:f>
                  <c:strCache>
                    <c:ptCount val="1"/>
                    <c:pt idx="0">
                      <c:v>9%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{F7DB84D5-C1D7-48DB-AE52-CEE207713E80}</c15:txfldGUID>
                      <c15:f>Credit_2013Q4!$M$12</c15:f>
                      <c15:dlblFieldTableCache>
                        <c:ptCount val="1"/>
                        <c:pt idx="0">
                          <c:v>9%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Credit_2013Q4!$P$12</c:f>
                  <c:strCache>
                    <c:ptCount val="1"/>
                    <c:pt idx="0">
                      <c:v>6%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{A4759951-4BCD-4292-8EC6-4D4A3B104443}</c15:txfldGUID>
                      <c15:f>Credit_2013Q4!$P$12</c15:f>
                      <c15:dlblFieldTableCache>
                        <c:ptCount val="1"/>
                        <c:pt idx="0">
                          <c:v>6%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Credit_2013Q4!$S$12</c:f>
                  <c:strCache>
                    <c:ptCount val="1"/>
                    <c:pt idx="0">
                      <c:v>18%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{482D97ED-6BE1-40B9-A07F-EBB115CEBA54}</c15:txfldGUID>
                      <c15:f>Credit_2013Q4!$S$12</c15:f>
                      <c15:dlblFieldTableCache>
                        <c:ptCount val="1"/>
                        <c:pt idx="0">
                          <c:v>18%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Credit_2013Q4!$V$12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{281BA03C-8FD8-48D3-ACC3-0AA5C48006C2}</c15:txfldGUID>
                      <c15:f>Credit_2013Q4!$V$12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(Credit_2013Q4!$J$5,Credit_2013Q4!$L$5,Credit_2013Q4!$O$5,Credit_2013Q4!$R$5,Credit_2013Q4!$U$5)</c:f>
              <c:strCache>
                <c:ptCount val="5"/>
                <c:pt idx="0">
                  <c:v>Rating</c:v>
                </c:pt>
                <c:pt idx="1">
                  <c:v>All Companies
(54)</c:v>
                </c:pt>
                <c:pt idx="2">
                  <c:v>Regulated
(35)</c:v>
                </c:pt>
                <c:pt idx="3">
                  <c:v>Mostly Regulated
(17)</c:v>
                </c:pt>
                <c:pt idx="4">
                  <c:v>Diversified
(2)</c:v>
                </c:pt>
              </c:strCache>
            </c:strRef>
          </c:cat>
          <c:val>
            <c:numRef>
              <c:f>(Credit_2013Q4!$Z$12,Credit_2013Q4!$L$12,Credit_2013Q4!$O$12,Credit_2013Q4!$R$12,Credit_2013Q4!$U$12)</c:f>
              <c:numCache>
                <c:formatCode>General</c:formatCode>
                <c:ptCount val="5"/>
                <c:pt idx="0">
                  <c:v>1</c:v>
                </c:pt>
                <c:pt idx="1">
                  <c:v>5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</c:numCache>
            </c:numRef>
          </c:val>
        </c:ser>
        <c:ser>
          <c:idx val="5"/>
          <c:order val="5"/>
          <c:tx>
            <c:strRef>
              <c:f>Credit_2013Q4!$J$13</c:f>
              <c:strCache>
                <c:ptCount val="1"/>
                <c:pt idx="0">
                  <c:v>Below BBB-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invertIfNegative val="0"/>
          <c:dLbls>
            <c:dLbl>
              <c:idx val="0"/>
              <c:tx>
                <c:strRef>
                  <c:f>Credit_2013Q4!$J$13</c:f>
                  <c:strCache>
                    <c:ptCount val="1"/>
                    <c:pt idx="0">
                      <c:v>Below BBB-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{C7854B05-A508-4311-9FCC-DD2BF93F3D26}</c15:txfldGUID>
                      <c15:f>Credit_2013Q4!$J$13</c15:f>
                      <c15:dlblFieldTableCache>
                        <c:ptCount val="1"/>
                        <c:pt idx="0">
                          <c:v>Below BBB-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Credit_2013Q4!$M$13</c:f>
                  <c:strCache>
                    <c:ptCount val="1"/>
                    <c:pt idx="0">
                      <c:v>6%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{F47DA9E7-C0DC-4E64-A0B6-9F6B4C6DEC4A}</c15:txfldGUID>
                      <c15:f>Credit_2013Q4!$M$13</c15:f>
                      <c15:dlblFieldTableCache>
                        <c:ptCount val="1"/>
                        <c:pt idx="0">
                          <c:v>6%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Credit_2013Q4!$P$13</c:f>
                  <c:strCache>
                    <c:ptCount val="1"/>
                    <c:pt idx="0">
                      <c:v>6%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{DD39E09B-011F-4FDD-A833-3358E6E01FDE}</c15:txfldGUID>
                      <c15:f>Credit_2013Q4!$P$13</c15:f>
                      <c15:dlblFieldTableCache>
                        <c:ptCount val="1"/>
                        <c:pt idx="0">
                          <c:v>6%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Credit_2013Q4!$S$13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{3366EC93-B88B-4A4A-943D-A15E656F7560}</c15:txfldGUID>
                      <c15:f>Credit_2013Q4!$S$13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Credit_2013Q4!$V$13</c:f>
                  <c:strCache>
                    <c:ptCount val="1"/>
                    <c:pt idx="0">
                      <c:v>50%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{4B755508-7199-4EDA-B410-48C8506FBA46}</c15:txfldGUID>
                      <c15:f>Credit_2013Q4!$V$13</c15:f>
                      <c15:dlblFieldTableCache>
                        <c:ptCount val="1"/>
                        <c:pt idx="0">
                          <c:v>50%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(Credit_2013Q4!$J$5,Credit_2013Q4!$L$5,Credit_2013Q4!$O$5,Credit_2013Q4!$R$5,Credit_2013Q4!$U$5)</c:f>
              <c:strCache>
                <c:ptCount val="5"/>
                <c:pt idx="0">
                  <c:v>Rating</c:v>
                </c:pt>
                <c:pt idx="1">
                  <c:v>All Companies
(54)</c:v>
                </c:pt>
                <c:pt idx="2">
                  <c:v>Regulated
(35)</c:v>
                </c:pt>
                <c:pt idx="3">
                  <c:v>Mostly Regulated
(17)</c:v>
                </c:pt>
                <c:pt idx="4">
                  <c:v>Diversified
(2)</c:v>
                </c:pt>
              </c:strCache>
            </c:strRef>
          </c:cat>
          <c:val>
            <c:numRef>
              <c:f>(Credit_2013Q4!$Z$13,Credit_2013Q4!$L$13,Credit_2013Q4!$O$13,Credit_2013Q4!$R$13,Credit_2013Q4!$U$13)</c:f>
              <c:numCache>
                <c:formatCode>General</c:formatCode>
                <c:ptCount val="5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792414208"/>
        <c:axId val="792414600"/>
      </c:barChart>
      <c:catAx>
        <c:axId val="7924142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high"/>
        <c:txPr>
          <a:bodyPr/>
          <a:lstStyle/>
          <a:p>
            <a:pPr>
              <a:defRPr sz="1300">
                <a:solidFill>
                  <a:sysClr val="windowText" lastClr="000000"/>
                </a:solidFill>
              </a:defRPr>
            </a:pPr>
            <a:endParaRPr lang="en-US"/>
          </a:p>
        </c:txPr>
        <c:crossAx val="792414600"/>
        <c:crosses val="max"/>
        <c:auto val="1"/>
        <c:lblAlgn val="ctr"/>
        <c:lblOffset val="100"/>
        <c:noMultiLvlLbl val="0"/>
      </c:catAx>
      <c:valAx>
        <c:axId val="792414600"/>
        <c:scaling>
          <c:orientation val="maxMin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0%" sourceLinked="1"/>
        <c:majorTickMark val="none"/>
        <c:minorTickMark val="none"/>
        <c:tickLblPos val="none"/>
        <c:spPr>
          <a:ln>
            <a:noFill/>
          </a:ln>
        </c:spPr>
        <c:crossAx val="792414208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1">
          <a:solidFill>
            <a:schemeClr val="bg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3">
                  <a:lumMod val="50000"/>
                </a:schemeClr>
              </a:solidFill>
            </c:spPr>
          </c:dPt>
          <c:dPt>
            <c:idx val="1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50000"/>
                </a:schemeClr>
              </a:solidFill>
            </c:spPr>
          </c:dPt>
          <c:dPt>
            <c:idx val="3"/>
            <c:bubble3D val="0"/>
            <c:spPr>
              <a:solidFill>
                <a:schemeClr val="accent5">
                  <a:lumMod val="75000"/>
                </a:schemeClr>
              </a:solidFill>
            </c:spPr>
          </c:dPt>
          <c:dPt>
            <c:idx val="4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</c:dPt>
          <c:dPt>
            <c:idx val="5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ysClr val="windowText" lastClr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5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ysClr val="windowText" lastClr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Credit_2013Q3!$J$8:$J$13</c:f>
              <c:strCache>
                <c:ptCount val="6"/>
                <c:pt idx="0">
                  <c:v>A or higher</c:v>
                </c:pt>
                <c:pt idx="1">
                  <c:v>A-</c:v>
                </c:pt>
                <c:pt idx="2">
                  <c:v>BBB+</c:v>
                </c:pt>
                <c:pt idx="3">
                  <c:v>BBB</c:v>
                </c:pt>
                <c:pt idx="4">
                  <c:v>BBB-</c:v>
                </c:pt>
                <c:pt idx="5">
                  <c:v>Below BBB-</c:v>
                </c:pt>
              </c:strCache>
            </c:strRef>
          </c:cat>
          <c:val>
            <c:numRef>
              <c:f>Credit_2013Q3!$M$8:$M$13</c:f>
              <c:numCache>
                <c:formatCode>0%</c:formatCode>
                <c:ptCount val="6"/>
                <c:pt idx="0">
                  <c:v>3.6363636363636362E-2</c:v>
                </c:pt>
                <c:pt idx="1">
                  <c:v>0.2</c:v>
                </c:pt>
                <c:pt idx="2">
                  <c:v>0.21818181818181817</c:v>
                </c:pt>
                <c:pt idx="3">
                  <c:v>0.38181818181818183</c:v>
                </c:pt>
                <c:pt idx="4">
                  <c:v>0.10909090909090909</c:v>
                </c:pt>
                <c:pt idx="5">
                  <c:v>5.4545454545454543E-2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4.0854248593277388E-2"/>
          <c:w val="1"/>
          <c:h val="0.7859199662194755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Credit_2013Q3!$J$8</c:f>
              <c:strCache>
                <c:ptCount val="1"/>
                <c:pt idx="0">
                  <c:v>A or higher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invertIfNegative val="0"/>
          <c:dLbls>
            <c:dLbl>
              <c:idx val="0"/>
              <c:tx>
                <c:strRef>
                  <c:f>Credit_2013Q3!$J$8</c:f>
                  <c:strCache>
                    <c:ptCount val="1"/>
                    <c:pt idx="0">
                      <c:v>A or higher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{31717E9C-7BA5-4B52-BE27-840794F2D194}</c15:txfldGUID>
                      <c15:f>Credit_2013Q3!$J$8</c15:f>
                      <c15:dlblFieldTableCache>
                        <c:ptCount val="1"/>
                        <c:pt idx="0">
                          <c:v>A or higher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Credit_2013Q3!$M$8</c:f>
                  <c:strCache>
                    <c:ptCount val="1"/>
                    <c:pt idx="0">
                      <c:v>4%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{64419489-A0FC-4DFB-B663-B403731FC8C3}</c15:txfldGUID>
                      <c15:f>Credit_2013Q3!$M$8</c15:f>
                      <c15:dlblFieldTableCache>
                        <c:ptCount val="1"/>
                        <c:pt idx="0">
                          <c:v>4%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Credit_2013Q3!$P$8</c:f>
                  <c:strCache>
                    <c:ptCount val="1"/>
                    <c:pt idx="0">
                      <c:v>3%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{8CE90904-B413-4008-9798-4ED96D721366}</c15:txfldGUID>
                      <c15:f>Credit_2013Q3!$P$8</c15:f>
                      <c15:dlblFieldTableCache>
                        <c:ptCount val="1"/>
                        <c:pt idx="0">
                          <c:v>3%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Credit_2013Q3!$S$8</c:f>
                  <c:strCache>
                    <c:ptCount val="1"/>
                    <c:pt idx="0">
                      <c:v>6%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{203701DD-6F10-402F-883D-F9DFCEF6571C}</c15:txfldGUID>
                      <c15:f>Credit_2013Q3!$S$8</c15:f>
                      <c15:dlblFieldTableCache>
                        <c:ptCount val="1"/>
                        <c:pt idx="0">
                          <c:v>6%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Credit_2013Q3!$V$8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{93EFC074-A7E4-401B-8FA3-C6EB34E519E3}</c15:txfldGUID>
                      <c15:f>Credit_2013Q3!$V$8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(Credit_2013Q3!$J$5,Credit_2013Q3!$L$5,Credit_2013Q3!$O$5,Credit_2013Q3!$R$5,Credit_2013Q3!$U$5)</c:f>
              <c:strCache>
                <c:ptCount val="5"/>
                <c:pt idx="0">
                  <c:v>Rating</c:v>
                </c:pt>
                <c:pt idx="1">
                  <c:v>All Companies
(55)</c:v>
                </c:pt>
                <c:pt idx="2">
                  <c:v>Regulated
(36)</c:v>
                </c:pt>
                <c:pt idx="3">
                  <c:v>Mostly Regulated
(17)</c:v>
                </c:pt>
                <c:pt idx="4">
                  <c:v>Diversified
(2)</c:v>
                </c:pt>
              </c:strCache>
            </c:strRef>
          </c:cat>
          <c:val>
            <c:numRef>
              <c:f>(Credit_2013Q3!$Z$8,Credit_2013Q3!$L$8,Credit_2013Q3!$O$8,Credit_2013Q3!$R$8,Credit_2013Q3!$U$8)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Credit_2013Q3!$J$9</c:f>
              <c:strCache>
                <c:ptCount val="1"/>
                <c:pt idx="0">
                  <c:v>A-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tx>
                <c:strRef>
                  <c:f>Credit_2013Q3!$J$9</c:f>
                  <c:strCache>
                    <c:ptCount val="1"/>
                    <c:pt idx="0">
                      <c:v>A-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{82798610-FF69-430F-BEA3-A88CC226FD7D}</c15:txfldGUID>
                      <c15:f>Credit_2013Q3!$J$9</c15:f>
                      <c15:dlblFieldTableCache>
                        <c:ptCount val="1"/>
                        <c:pt idx="0">
                          <c:v>A-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Credit_2013Q3!$M$9</c:f>
                  <c:strCache>
                    <c:ptCount val="1"/>
                    <c:pt idx="0">
                      <c:v>20%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{12645B2C-24B5-4217-9D11-3646A2FF692C}</c15:txfldGUID>
                      <c15:f>Credit_2013Q3!$M$9</c15:f>
                      <c15:dlblFieldTableCache>
                        <c:ptCount val="1"/>
                        <c:pt idx="0">
                          <c:v>20%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Credit_2013Q3!$P$9</c:f>
                  <c:strCache>
                    <c:ptCount val="1"/>
                    <c:pt idx="0">
                      <c:v>17%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{3D97B5D0-2A1D-43ED-887B-1245DE717A37}</c15:txfldGUID>
                      <c15:f>Credit_2013Q3!$P$9</c15:f>
                      <c15:dlblFieldTableCache>
                        <c:ptCount val="1"/>
                        <c:pt idx="0">
                          <c:v>17%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Credit_2013Q3!$S$9</c:f>
                  <c:strCache>
                    <c:ptCount val="1"/>
                    <c:pt idx="0">
                      <c:v>29%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{F08A6A05-6F40-4847-8B87-1AB8067D5D02}</c15:txfldGUID>
                      <c15:f>Credit_2013Q3!$S$9</c15:f>
                      <c15:dlblFieldTableCache>
                        <c:ptCount val="1"/>
                        <c:pt idx="0">
                          <c:v>29%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Credit_2013Q3!$V$9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{574EECB2-C7A8-4248-B2A8-79DD825441E1}</c15:txfldGUID>
                      <c15:f>Credit_2013Q3!$V$9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(Credit_2013Q3!$J$5,Credit_2013Q3!$L$5,Credit_2013Q3!$O$5,Credit_2013Q3!$R$5,Credit_2013Q3!$U$5)</c:f>
              <c:strCache>
                <c:ptCount val="5"/>
                <c:pt idx="0">
                  <c:v>Rating</c:v>
                </c:pt>
                <c:pt idx="1">
                  <c:v>All Companies
(55)</c:v>
                </c:pt>
                <c:pt idx="2">
                  <c:v>Regulated
(36)</c:v>
                </c:pt>
                <c:pt idx="3">
                  <c:v>Mostly Regulated
(17)</c:v>
                </c:pt>
                <c:pt idx="4">
                  <c:v>Diversified
(2)</c:v>
                </c:pt>
              </c:strCache>
            </c:strRef>
          </c:cat>
          <c:val>
            <c:numRef>
              <c:f>(Credit_2013Q3!$Z$9,Credit_2013Q3!$L$9,Credit_2013Q3!$O$9,Credit_2013Q3!$R$9,Credit_2013Q3!$U$9)</c:f>
              <c:numCache>
                <c:formatCode>General</c:formatCode>
                <c:ptCount val="5"/>
                <c:pt idx="0">
                  <c:v>1</c:v>
                </c:pt>
                <c:pt idx="1">
                  <c:v>11</c:v>
                </c:pt>
                <c:pt idx="2">
                  <c:v>6</c:v>
                </c:pt>
                <c:pt idx="3">
                  <c:v>5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Credit_2013Q3!$J$10</c:f>
              <c:strCache>
                <c:ptCount val="1"/>
                <c:pt idx="0">
                  <c:v>BBB+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invertIfNegative val="0"/>
          <c:dLbls>
            <c:dLbl>
              <c:idx val="0"/>
              <c:tx>
                <c:strRef>
                  <c:f>Credit_2013Q3!$J$10</c:f>
                  <c:strCache>
                    <c:ptCount val="1"/>
                    <c:pt idx="0">
                      <c:v>BBB+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{B833D8FA-4A86-4935-A5D1-B57E2655F847}</c15:txfldGUID>
                      <c15:f>Credit_2013Q3!$J$10</c15:f>
                      <c15:dlblFieldTableCache>
                        <c:ptCount val="1"/>
                        <c:pt idx="0">
                          <c:v>BBB+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Credit_2013Q3!$M$10</c:f>
                  <c:strCache>
                    <c:ptCount val="1"/>
                    <c:pt idx="0">
                      <c:v>22%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{EDFDA874-DD68-45DB-B7E9-BC18561D8C6A}</c15:txfldGUID>
                      <c15:f>Credit_2013Q3!$M$10</c15:f>
                      <c15:dlblFieldTableCache>
                        <c:ptCount val="1"/>
                        <c:pt idx="0">
                          <c:v>22%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Credit_2013Q3!$P$10</c:f>
                  <c:strCache>
                    <c:ptCount val="1"/>
                    <c:pt idx="0">
                      <c:v>17%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{2DBDAD1F-F7D2-4637-96C4-FBE413D8E2DB}</c15:txfldGUID>
                      <c15:f>Credit_2013Q3!$P$10</c15:f>
                      <c15:dlblFieldTableCache>
                        <c:ptCount val="1"/>
                        <c:pt idx="0">
                          <c:v>17%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Credit_2013Q3!$S$10</c:f>
                  <c:strCache>
                    <c:ptCount val="1"/>
                    <c:pt idx="0">
                      <c:v>29%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{80FF12FE-DB75-4894-BE6E-80CC07089784}</c15:txfldGUID>
                      <c15:f>Credit_2013Q3!$S$10</c15:f>
                      <c15:dlblFieldTableCache>
                        <c:ptCount val="1"/>
                        <c:pt idx="0">
                          <c:v>29%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Credit_2013Q3!$V$10</c:f>
                  <c:strCache>
                    <c:ptCount val="1"/>
                    <c:pt idx="0">
                      <c:v>50%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{85138BEB-F515-46C4-A082-BE95271B3B19}</c15:txfldGUID>
                      <c15:f>Credit_2013Q3!$V$10</c15:f>
                      <c15:dlblFieldTableCache>
                        <c:ptCount val="1"/>
                        <c:pt idx="0">
                          <c:v>50%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(Credit_2013Q3!$J$5,Credit_2013Q3!$L$5,Credit_2013Q3!$O$5,Credit_2013Q3!$R$5,Credit_2013Q3!$U$5)</c:f>
              <c:strCache>
                <c:ptCount val="5"/>
                <c:pt idx="0">
                  <c:v>Rating</c:v>
                </c:pt>
                <c:pt idx="1">
                  <c:v>All Companies
(55)</c:v>
                </c:pt>
                <c:pt idx="2">
                  <c:v>Regulated
(36)</c:v>
                </c:pt>
                <c:pt idx="3">
                  <c:v>Mostly Regulated
(17)</c:v>
                </c:pt>
                <c:pt idx="4">
                  <c:v>Diversified
(2)</c:v>
                </c:pt>
              </c:strCache>
            </c:strRef>
          </c:cat>
          <c:val>
            <c:numRef>
              <c:f>(Credit_2013Q3!$Z$10,Credit_2013Q3!$L$10,Credit_2013Q3!$O$10,Credit_2013Q3!$R$10,Credit_2013Q3!$U$10)</c:f>
              <c:numCache>
                <c:formatCode>General</c:formatCode>
                <c:ptCount val="5"/>
                <c:pt idx="0">
                  <c:v>1</c:v>
                </c:pt>
                <c:pt idx="1">
                  <c:v>12</c:v>
                </c:pt>
                <c:pt idx="2">
                  <c:v>6</c:v>
                </c:pt>
                <c:pt idx="3">
                  <c:v>5</c:v>
                </c:pt>
                <c:pt idx="4">
                  <c:v>1</c:v>
                </c:pt>
              </c:numCache>
            </c:numRef>
          </c:val>
        </c:ser>
        <c:ser>
          <c:idx val="3"/>
          <c:order val="3"/>
          <c:tx>
            <c:strRef>
              <c:f>Credit_2013Q3!$J$11</c:f>
              <c:strCache>
                <c:ptCount val="1"/>
                <c:pt idx="0">
                  <c:v>BBB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dLbl>
              <c:idx val="0"/>
              <c:tx>
                <c:strRef>
                  <c:f>Credit_2013Q3!$J$11</c:f>
                  <c:strCache>
                    <c:ptCount val="1"/>
                    <c:pt idx="0">
                      <c:v>BBB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{FFDDA19D-2BD8-4CB8-8215-3CA010CB477B}</c15:txfldGUID>
                      <c15:f>Credit_2013Q3!$J$11</c15:f>
                      <c15:dlblFieldTableCache>
                        <c:ptCount val="1"/>
                        <c:pt idx="0">
                          <c:v>BBB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Credit_2013Q3!$M$11</c:f>
                  <c:strCache>
                    <c:ptCount val="1"/>
                    <c:pt idx="0">
                      <c:v>38%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{12BA96D5-48D1-4EC2-B68C-5F6187CE77D3}</c15:txfldGUID>
                      <c15:f>Credit_2013Q3!$M$11</c15:f>
                      <c15:dlblFieldTableCache>
                        <c:ptCount val="1"/>
                        <c:pt idx="0">
                          <c:v>38%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Credit_2013Q3!$P$11</c:f>
                  <c:strCache>
                    <c:ptCount val="1"/>
                    <c:pt idx="0">
                      <c:v>50%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{0CDD4BA4-A741-4C2A-806C-9F52D5165707}</c15:txfldGUID>
                      <c15:f>Credit_2013Q3!$P$11</c15:f>
                      <c15:dlblFieldTableCache>
                        <c:ptCount val="1"/>
                        <c:pt idx="0">
                          <c:v>50%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Credit_2013Q3!$S$11</c:f>
                  <c:strCache>
                    <c:ptCount val="1"/>
                    <c:pt idx="0">
                      <c:v>18%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{BC372268-CDFC-4384-8F70-58E5D8F053C5}</c15:txfldGUID>
                      <c15:f>Credit_2013Q3!$S$11</c15:f>
                      <c15:dlblFieldTableCache>
                        <c:ptCount val="1"/>
                        <c:pt idx="0">
                          <c:v>18%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Credit_2013Q3!$V$11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{78D95D4A-9A6B-4B7C-97E2-92B2CBFA30C5}</c15:txfldGUID>
                      <c15:f>Credit_2013Q3!$V$11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(Credit_2013Q3!$J$5,Credit_2013Q3!$L$5,Credit_2013Q3!$O$5,Credit_2013Q3!$R$5,Credit_2013Q3!$U$5)</c:f>
              <c:strCache>
                <c:ptCount val="5"/>
                <c:pt idx="0">
                  <c:v>Rating</c:v>
                </c:pt>
                <c:pt idx="1">
                  <c:v>All Companies
(55)</c:v>
                </c:pt>
                <c:pt idx="2">
                  <c:v>Regulated
(36)</c:v>
                </c:pt>
                <c:pt idx="3">
                  <c:v>Mostly Regulated
(17)</c:v>
                </c:pt>
                <c:pt idx="4">
                  <c:v>Diversified
(2)</c:v>
                </c:pt>
              </c:strCache>
            </c:strRef>
          </c:cat>
          <c:val>
            <c:numRef>
              <c:f>(Credit_2013Q3!$Z$11,Credit_2013Q3!$L$11,Credit_2013Q3!$O$11,Credit_2013Q3!$R$11,Credit_2013Q3!$U$11)</c:f>
              <c:numCache>
                <c:formatCode>General</c:formatCode>
                <c:ptCount val="5"/>
                <c:pt idx="0">
                  <c:v>1</c:v>
                </c:pt>
                <c:pt idx="1">
                  <c:v>21</c:v>
                </c:pt>
                <c:pt idx="2">
                  <c:v>18</c:v>
                </c:pt>
                <c:pt idx="3">
                  <c:v>3</c:v>
                </c:pt>
                <c:pt idx="4">
                  <c:v>0</c:v>
                </c:pt>
              </c:numCache>
            </c:numRef>
          </c:val>
        </c:ser>
        <c:ser>
          <c:idx val="4"/>
          <c:order val="4"/>
          <c:tx>
            <c:strRef>
              <c:f>Credit_2013Q3!$J$12</c:f>
              <c:strCache>
                <c:ptCount val="1"/>
                <c:pt idx="0">
                  <c:v>BBB-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dLbls>
            <c:dLbl>
              <c:idx val="0"/>
              <c:tx>
                <c:strRef>
                  <c:f>Credit_2013Q3!$J$12</c:f>
                  <c:strCache>
                    <c:ptCount val="1"/>
                    <c:pt idx="0">
                      <c:v>BBB-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{001B5DD7-5BCF-4E44-9555-A9E215EBEA6B}</c15:txfldGUID>
                      <c15:f>Credit_2013Q3!$J$12</c15:f>
                      <c15:dlblFieldTableCache>
                        <c:ptCount val="1"/>
                        <c:pt idx="0">
                          <c:v>BBB-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Credit_2013Q3!$M$12</c:f>
                  <c:strCache>
                    <c:ptCount val="1"/>
                    <c:pt idx="0">
                      <c:v>11%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{8ADE1113-95BC-46AB-B9E9-24FC55EC01B1}</c15:txfldGUID>
                      <c15:f>Credit_2013Q3!$M$12</c15:f>
                      <c15:dlblFieldTableCache>
                        <c:ptCount val="1"/>
                        <c:pt idx="0">
                          <c:v>11%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Credit_2013Q3!$P$12</c:f>
                  <c:strCache>
                    <c:ptCount val="1"/>
                    <c:pt idx="0">
                      <c:v>8%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{B9652C89-2657-49EC-B615-9E89D9F0D04C}</c15:txfldGUID>
                      <c15:f>Credit_2013Q3!$P$12</c15:f>
                      <c15:dlblFieldTableCache>
                        <c:ptCount val="1"/>
                        <c:pt idx="0">
                          <c:v>8%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Credit_2013Q3!$S$12</c:f>
                  <c:strCache>
                    <c:ptCount val="1"/>
                    <c:pt idx="0">
                      <c:v>18%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{29E5256A-E8F3-4A44-BE83-E1A4F317FBE6}</c15:txfldGUID>
                      <c15:f>Credit_2013Q3!$S$12</c15:f>
                      <c15:dlblFieldTableCache>
                        <c:ptCount val="1"/>
                        <c:pt idx="0">
                          <c:v>18%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Credit_2013Q3!$V$12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{810D155E-14DA-4AA9-B6C5-540321A34101}</c15:txfldGUID>
                      <c15:f>Credit_2013Q3!$V$12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(Credit_2013Q3!$J$5,Credit_2013Q3!$L$5,Credit_2013Q3!$O$5,Credit_2013Q3!$R$5,Credit_2013Q3!$U$5)</c:f>
              <c:strCache>
                <c:ptCount val="5"/>
                <c:pt idx="0">
                  <c:v>Rating</c:v>
                </c:pt>
                <c:pt idx="1">
                  <c:v>All Companies
(55)</c:v>
                </c:pt>
                <c:pt idx="2">
                  <c:v>Regulated
(36)</c:v>
                </c:pt>
                <c:pt idx="3">
                  <c:v>Mostly Regulated
(17)</c:v>
                </c:pt>
                <c:pt idx="4">
                  <c:v>Diversified
(2)</c:v>
                </c:pt>
              </c:strCache>
            </c:strRef>
          </c:cat>
          <c:val>
            <c:numRef>
              <c:f>(Credit_2013Q3!$Z$12,Credit_2013Q3!$L$12,Credit_2013Q3!$O$12,Credit_2013Q3!$R$12,Credit_2013Q3!$U$12)</c:f>
              <c:numCache>
                <c:formatCode>General</c:formatCode>
                <c:ptCount val="5"/>
                <c:pt idx="0">
                  <c:v>1</c:v>
                </c:pt>
                <c:pt idx="1">
                  <c:v>6</c:v>
                </c:pt>
                <c:pt idx="2">
                  <c:v>3</c:v>
                </c:pt>
                <c:pt idx="3">
                  <c:v>3</c:v>
                </c:pt>
                <c:pt idx="4">
                  <c:v>0</c:v>
                </c:pt>
              </c:numCache>
            </c:numRef>
          </c:val>
        </c:ser>
        <c:ser>
          <c:idx val="5"/>
          <c:order val="5"/>
          <c:tx>
            <c:strRef>
              <c:f>Credit_2013Q3!$J$13</c:f>
              <c:strCache>
                <c:ptCount val="1"/>
                <c:pt idx="0">
                  <c:v>Below BBB-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invertIfNegative val="0"/>
          <c:dLbls>
            <c:dLbl>
              <c:idx val="0"/>
              <c:tx>
                <c:strRef>
                  <c:f>Credit_2013Q3!$J$13</c:f>
                  <c:strCache>
                    <c:ptCount val="1"/>
                    <c:pt idx="0">
                      <c:v>Below BBB-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{B82D540B-DDAE-434D-B43E-723CD186A8F6}</c15:txfldGUID>
                      <c15:f>Credit_2013Q3!$J$13</c15:f>
                      <c15:dlblFieldTableCache>
                        <c:ptCount val="1"/>
                        <c:pt idx="0">
                          <c:v>Below BBB-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Credit_2013Q3!$M$13</c:f>
                  <c:strCache>
                    <c:ptCount val="1"/>
                    <c:pt idx="0">
                      <c:v>5%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{FDADE92B-3D4E-4AE0-B893-FC1204DAD8E7}</c15:txfldGUID>
                      <c15:f>Credit_2013Q3!$M$13</c15:f>
                      <c15:dlblFieldTableCache>
                        <c:ptCount val="1"/>
                        <c:pt idx="0">
                          <c:v>5%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Credit_2013Q3!$P$13</c:f>
                  <c:strCache>
                    <c:ptCount val="1"/>
                    <c:pt idx="0">
                      <c:v>6%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{D122469A-8AEC-45C3-9BD7-6BCB3309AFD9}</c15:txfldGUID>
                      <c15:f>Credit_2013Q3!$P$13</c15:f>
                      <c15:dlblFieldTableCache>
                        <c:ptCount val="1"/>
                        <c:pt idx="0">
                          <c:v>6%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Credit_2013Q3!$S$13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{6F1D33BE-614E-4837-82D2-367BCC11D92D}</c15:txfldGUID>
                      <c15:f>Credit_2013Q3!$S$13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Credit_2013Q3!$V$13</c:f>
                  <c:strCache>
                    <c:ptCount val="1"/>
                    <c:pt idx="0">
                      <c:v>50%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{21AD429B-A61E-4322-B067-6B9BF938262F}</c15:txfldGUID>
                      <c15:f>Credit_2013Q3!$V$13</c15:f>
                      <c15:dlblFieldTableCache>
                        <c:ptCount val="1"/>
                        <c:pt idx="0">
                          <c:v>50%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(Credit_2013Q3!$J$5,Credit_2013Q3!$L$5,Credit_2013Q3!$O$5,Credit_2013Q3!$R$5,Credit_2013Q3!$U$5)</c:f>
              <c:strCache>
                <c:ptCount val="5"/>
                <c:pt idx="0">
                  <c:v>Rating</c:v>
                </c:pt>
                <c:pt idx="1">
                  <c:v>All Companies
(55)</c:v>
                </c:pt>
                <c:pt idx="2">
                  <c:v>Regulated
(36)</c:v>
                </c:pt>
                <c:pt idx="3">
                  <c:v>Mostly Regulated
(17)</c:v>
                </c:pt>
                <c:pt idx="4">
                  <c:v>Diversified
(2)</c:v>
                </c:pt>
              </c:strCache>
            </c:strRef>
          </c:cat>
          <c:val>
            <c:numRef>
              <c:f>(Credit_2013Q3!$Z$13,Credit_2013Q3!$L$13,Credit_2013Q3!$O$13,Credit_2013Q3!$R$13,Credit_2013Q3!$U$13)</c:f>
              <c:numCache>
                <c:formatCode>General</c:formatCode>
                <c:ptCount val="5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792415776"/>
        <c:axId val="792416168"/>
      </c:barChart>
      <c:catAx>
        <c:axId val="7924157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high"/>
        <c:txPr>
          <a:bodyPr/>
          <a:lstStyle/>
          <a:p>
            <a:pPr>
              <a:defRPr sz="1300">
                <a:solidFill>
                  <a:sysClr val="windowText" lastClr="000000"/>
                </a:solidFill>
              </a:defRPr>
            </a:pPr>
            <a:endParaRPr lang="en-US"/>
          </a:p>
        </c:txPr>
        <c:crossAx val="792416168"/>
        <c:crosses val="max"/>
        <c:auto val="1"/>
        <c:lblAlgn val="ctr"/>
        <c:lblOffset val="100"/>
        <c:noMultiLvlLbl val="0"/>
      </c:catAx>
      <c:valAx>
        <c:axId val="792416168"/>
        <c:scaling>
          <c:orientation val="maxMin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0%" sourceLinked="1"/>
        <c:majorTickMark val="none"/>
        <c:minorTickMark val="none"/>
        <c:tickLblPos val="none"/>
        <c:spPr>
          <a:ln>
            <a:noFill/>
          </a:ln>
        </c:spPr>
        <c:crossAx val="79241577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1">
          <a:solidFill>
            <a:schemeClr val="bg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3">
                  <a:lumMod val="50000"/>
                </a:schemeClr>
              </a:solidFill>
            </c:spPr>
          </c:dPt>
          <c:dPt>
            <c:idx val="1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50000"/>
                </a:schemeClr>
              </a:solidFill>
            </c:spPr>
          </c:dPt>
          <c:dPt>
            <c:idx val="3"/>
            <c:bubble3D val="0"/>
            <c:spPr>
              <a:solidFill>
                <a:schemeClr val="accent5">
                  <a:lumMod val="75000"/>
                </a:schemeClr>
              </a:solidFill>
            </c:spPr>
          </c:dPt>
          <c:dPt>
            <c:idx val="4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</c:dPt>
          <c:dPt>
            <c:idx val="5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ysClr val="windowText" lastClr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5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ysClr val="windowText" lastClr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Credit_2013Q2!$J$8:$J$13</c:f>
              <c:strCache>
                <c:ptCount val="6"/>
                <c:pt idx="0">
                  <c:v>A or higher</c:v>
                </c:pt>
                <c:pt idx="1">
                  <c:v>A-</c:v>
                </c:pt>
                <c:pt idx="2">
                  <c:v>BBB+</c:v>
                </c:pt>
                <c:pt idx="3">
                  <c:v>BBB</c:v>
                </c:pt>
                <c:pt idx="4">
                  <c:v>BBB-</c:v>
                </c:pt>
                <c:pt idx="5">
                  <c:v>Below BBB-</c:v>
                </c:pt>
              </c:strCache>
            </c:strRef>
          </c:cat>
          <c:val>
            <c:numRef>
              <c:f>Credit_2013Q2!$M$8:$M$13</c:f>
              <c:numCache>
                <c:formatCode>0%</c:formatCode>
                <c:ptCount val="6"/>
                <c:pt idx="0">
                  <c:v>3.6363636363636362E-2</c:v>
                </c:pt>
                <c:pt idx="1">
                  <c:v>0.2</c:v>
                </c:pt>
                <c:pt idx="2">
                  <c:v>0.2</c:v>
                </c:pt>
                <c:pt idx="3">
                  <c:v>0.36363636363636365</c:v>
                </c:pt>
                <c:pt idx="4">
                  <c:v>0.12727272727272726</c:v>
                </c:pt>
                <c:pt idx="5">
                  <c:v>7.2727272727272724E-2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4.0854248593277388E-2"/>
          <c:w val="1"/>
          <c:h val="0.7859199662194755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Credit_2013Q2!$J$8</c:f>
              <c:strCache>
                <c:ptCount val="1"/>
                <c:pt idx="0">
                  <c:v>A or higher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invertIfNegative val="0"/>
          <c:dLbls>
            <c:dLbl>
              <c:idx val="0"/>
              <c:tx>
                <c:strRef>
                  <c:f>Credit_2013Q2!$J$8</c:f>
                  <c:strCache>
                    <c:ptCount val="1"/>
                    <c:pt idx="0">
                      <c:v>A or higher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{022AF4F1-A324-4070-8A2A-689B1A1B6B5A}</c15:txfldGUID>
                      <c15:f>Credit_2013Q2!$J$8</c15:f>
                      <c15:dlblFieldTableCache>
                        <c:ptCount val="1"/>
                        <c:pt idx="0">
                          <c:v>A or higher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Credit_2013Q2!$M$8</c:f>
                  <c:strCache>
                    <c:ptCount val="1"/>
                    <c:pt idx="0">
                      <c:v>4%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{6F056AE0-0FA0-4BFA-B50F-581E91587BA0}</c15:txfldGUID>
                      <c15:f>Credit_2013Q2!$M$8</c15:f>
                      <c15:dlblFieldTableCache>
                        <c:ptCount val="1"/>
                        <c:pt idx="0">
                          <c:v>4%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Credit_2013Q2!$P$8</c:f>
                  <c:strCache>
                    <c:ptCount val="1"/>
                    <c:pt idx="0">
                      <c:v>3%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{3042E078-583B-4086-AF4A-F94C6CD75425}</c15:txfldGUID>
                      <c15:f>Credit_2013Q2!$P$8</c15:f>
                      <c15:dlblFieldTableCache>
                        <c:ptCount val="1"/>
                        <c:pt idx="0">
                          <c:v>3%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Credit_2013Q2!$S$8</c:f>
                  <c:strCache>
                    <c:ptCount val="1"/>
                    <c:pt idx="0">
                      <c:v>6%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{64C4BA92-98AB-4A45-B979-4C409B16267A}</c15:txfldGUID>
                      <c15:f>Credit_2013Q2!$S$8</c15:f>
                      <c15:dlblFieldTableCache>
                        <c:ptCount val="1"/>
                        <c:pt idx="0">
                          <c:v>6%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Credit_2013Q2!$V$8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{3AB2AE68-4193-4A21-8255-EC7B2637FFE9}</c15:txfldGUID>
                      <c15:f>Credit_2013Q2!$V$8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(Credit_2013Q2!$J$5,Credit_2013Q2!$L$5,Credit_2013Q2!$O$5,Credit_2013Q2!$R$5,Credit_2013Q2!$U$5)</c:f>
              <c:strCache>
                <c:ptCount val="5"/>
                <c:pt idx="0">
                  <c:v>Rating</c:v>
                </c:pt>
                <c:pt idx="1">
                  <c:v>All Companies
(55)</c:v>
                </c:pt>
                <c:pt idx="2">
                  <c:v>Regulated
(36)</c:v>
                </c:pt>
                <c:pt idx="3">
                  <c:v>Mostly Regulated
(17)</c:v>
                </c:pt>
                <c:pt idx="4">
                  <c:v>Diversified
(2)</c:v>
                </c:pt>
              </c:strCache>
            </c:strRef>
          </c:cat>
          <c:val>
            <c:numRef>
              <c:f>(Credit_2013Q2!$Z$8,Credit_2013Q2!$L$8,Credit_2013Q2!$O$8,Credit_2013Q2!$R$8,Credit_2013Q2!$U$8)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Credit_2013Q2!$J$9</c:f>
              <c:strCache>
                <c:ptCount val="1"/>
                <c:pt idx="0">
                  <c:v>A-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tx>
                <c:strRef>
                  <c:f>Credit_2013Q2!$J$9</c:f>
                  <c:strCache>
                    <c:ptCount val="1"/>
                    <c:pt idx="0">
                      <c:v>A-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{28636C61-C604-4A96-84D3-78221DCA19AA}</c15:txfldGUID>
                      <c15:f>Credit_2013Q2!$J$9</c15:f>
                      <c15:dlblFieldTableCache>
                        <c:ptCount val="1"/>
                        <c:pt idx="0">
                          <c:v>A-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Credit_2013Q2!$M$9</c:f>
                  <c:strCache>
                    <c:ptCount val="1"/>
                    <c:pt idx="0">
                      <c:v>20%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{53AD6C7F-44FB-4BD8-9FDF-5AACB98AB45C}</c15:txfldGUID>
                      <c15:f>Credit_2013Q2!$M$9</c15:f>
                      <c15:dlblFieldTableCache>
                        <c:ptCount val="1"/>
                        <c:pt idx="0">
                          <c:v>20%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Credit_2013Q2!$P$9</c:f>
                  <c:strCache>
                    <c:ptCount val="1"/>
                    <c:pt idx="0">
                      <c:v>17%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{1FFBCE35-7764-441F-9758-66EB488D16E2}</c15:txfldGUID>
                      <c15:f>Credit_2013Q2!$P$9</c15:f>
                      <c15:dlblFieldTableCache>
                        <c:ptCount val="1"/>
                        <c:pt idx="0">
                          <c:v>17%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Credit_2013Q2!$S$9</c:f>
                  <c:strCache>
                    <c:ptCount val="1"/>
                    <c:pt idx="0">
                      <c:v>29%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{A8A7187C-3C7C-4ED2-8C85-5523702C91A8}</c15:txfldGUID>
                      <c15:f>Credit_2013Q2!$S$9</c15:f>
                      <c15:dlblFieldTableCache>
                        <c:ptCount val="1"/>
                        <c:pt idx="0">
                          <c:v>29%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Credit_2013Q2!$V$9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{79AA2FDD-C52B-4D58-BB03-D70852E48CCA}</c15:txfldGUID>
                      <c15:f>Credit_2013Q2!$V$9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(Credit_2013Q2!$J$5,Credit_2013Q2!$L$5,Credit_2013Q2!$O$5,Credit_2013Q2!$R$5,Credit_2013Q2!$U$5)</c:f>
              <c:strCache>
                <c:ptCount val="5"/>
                <c:pt idx="0">
                  <c:v>Rating</c:v>
                </c:pt>
                <c:pt idx="1">
                  <c:v>All Companies
(55)</c:v>
                </c:pt>
                <c:pt idx="2">
                  <c:v>Regulated
(36)</c:v>
                </c:pt>
                <c:pt idx="3">
                  <c:v>Mostly Regulated
(17)</c:v>
                </c:pt>
                <c:pt idx="4">
                  <c:v>Diversified
(2)</c:v>
                </c:pt>
              </c:strCache>
            </c:strRef>
          </c:cat>
          <c:val>
            <c:numRef>
              <c:f>(Credit_2013Q2!$Z$9,Credit_2013Q2!$L$9,Credit_2013Q2!$O$9,Credit_2013Q2!$R$9,Credit_2013Q2!$U$9)</c:f>
              <c:numCache>
                <c:formatCode>General</c:formatCode>
                <c:ptCount val="5"/>
                <c:pt idx="0">
                  <c:v>1</c:v>
                </c:pt>
                <c:pt idx="1">
                  <c:v>11</c:v>
                </c:pt>
                <c:pt idx="2">
                  <c:v>6</c:v>
                </c:pt>
                <c:pt idx="3">
                  <c:v>5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Credit_2013Q2!$J$10</c:f>
              <c:strCache>
                <c:ptCount val="1"/>
                <c:pt idx="0">
                  <c:v>BBB+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invertIfNegative val="0"/>
          <c:dLbls>
            <c:dLbl>
              <c:idx val="0"/>
              <c:tx>
                <c:strRef>
                  <c:f>Credit_2013Q2!$J$10</c:f>
                  <c:strCache>
                    <c:ptCount val="1"/>
                    <c:pt idx="0">
                      <c:v>BBB+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{B29D5B6E-319E-4145-8F42-4A678A65456D}</c15:txfldGUID>
                      <c15:f>Credit_2013Q2!$J$10</c15:f>
                      <c15:dlblFieldTableCache>
                        <c:ptCount val="1"/>
                        <c:pt idx="0">
                          <c:v>BBB+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Credit_2013Q2!$M$10</c:f>
                  <c:strCache>
                    <c:ptCount val="1"/>
                    <c:pt idx="0">
                      <c:v>20%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{E1DC8E62-64DB-42D7-952A-108F1A7F5893}</c15:txfldGUID>
                      <c15:f>Credit_2013Q2!$M$10</c15:f>
                      <c15:dlblFieldTableCache>
                        <c:ptCount val="1"/>
                        <c:pt idx="0">
                          <c:v>20%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Credit_2013Q2!$P$10</c:f>
                  <c:strCache>
                    <c:ptCount val="1"/>
                    <c:pt idx="0">
                      <c:v>14%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{9CE109D3-4C4D-4DDE-9359-BE51369A4BF1}</c15:txfldGUID>
                      <c15:f>Credit_2013Q2!$P$10</c15:f>
                      <c15:dlblFieldTableCache>
                        <c:ptCount val="1"/>
                        <c:pt idx="0">
                          <c:v>14%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Credit_2013Q2!$S$10</c:f>
                  <c:strCache>
                    <c:ptCount val="1"/>
                    <c:pt idx="0">
                      <c:v>29%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{F025E519-5A18-4487-979F-F52553EE87FD}</c15:txfldGUID>
                      <c15:f>Credit_2013Q2!$S$10</c15:f>
                      <c15:dlblFieldTableCache>
                        <c:ptCount val="1"/>
                        <c:pt idx="0">
                          <c:v>29%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Credit_2013Q2!$V$10</c:f>
                  <c:strCache>
                    <c:ptCount val="1"/>
                    <c:pt idx="0">
                      <c:v>50%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{056E19B3-74EF-4EB7-93D8-302A2244B543}</c15:txfldGUID>
                      <c15:f>Credit_2013Q2!$V$10</c15:f>
                      <c15:dlblFieldTableCache>
                        <c:ptCount val="1"/>
                        <c:pt idx="0">
                          <c:v>50%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(Credit_2013Q2!$J$5,Credit_2013Q2!$L$5,Credit_2013Q2!$O$5,Credit_2013Q2!$R$5,Credit_2013Q2!$U$5)</c:f>
              <c:strCache>
                <c:ptCount val="5"/>
                <c:pt idx="0">
                  <c:v>Rating</c:v>
                </c:pt>
                <c:pt idx="1">
                  <c:v>All Companies
(55)</c:v>
                </c:pt>
                <c:pt idx="2">
                  <c:v>Regulated
(36)</c:v>
                </c:pt>
                <c:pt idx="3">
                  <c:v>Mostly Regulated
(17)</c:v>
                </c:pt>
                <c:pt idx="4">
                  <c:v>Diversified
(2)</c:v>
                </c:pt>
              </c:strCache>
            </c:strRef>
          </c:cat>
          <c:val>
            <c:numRef>
              <c:f>(Credit_2013Q2!$Z$10,Credit_2013Q2!$L$10,Credit_2013Q2!$O$10,Credit_2013Q2!$R$10,Credit_2013Q2!$U$10)</c:f>
              <c:numCache>
                <c:formatCode>General</c:formatCode>
                <c:ptCount val="5"/>
                <c:pt idx="0">
                  <c:v>1</c:v>
                </c:pt>
                <c:pt idx="1">
                  <c:v>11</c:v>
                </c:pt>
                <c:pt idx="2">
                  <c:v>5</c:v>
                </c:pt>
                <c:pt idx="3">
                  <c:v>5</c:v>
                </c:pt>
                <c:pt idx="4">
                  <c:v>1</c:v>
                </c:pt>
              </c:numCache>
            </c:numRef>
          </c:val>
        </c:ser>
        <c:ser>
          <c:idx val="3"/>
          <c:order val="3"/>
          <c:tx>
            <c:strRef>
              <c:f>Credit_2013Q2!$J$11</c:f>
              <c:strCache>
                <c:ptCount val="1"/>
                <c:pt idx="0">
                  <c:v>BBB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dLbl>
              <c:idx val="0"/>
              <c:tx>
                <c:strRef>
                  <c:f>Credit_2013Q2!$J$11</c:f>
                  <c:strCache>
                    <c:ptCount val="1"/>
                    <c:pt idx="0">
                      <c:v>BBB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{56F3000E-8C76-4FBC-BA63-DC887CC492EC}</c15:txfldGUID>
                      <c15:f>Credit_2013Q2!$J$11</c15:f>
                      <c15:dlblFieldTableCache>
                        <c:ptCount val="1"/>
                        <c:pt idx="0">
                          <c:v>BBB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Credit_2013Q2!$M$11</c:f>
                  <c:strCache>
                    <c:ptCount val="1"/>
                    <c:pt idx="0">
                      <c:v>36%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{068F8FEA-C642-4321-B9DE-01BD248E936B}</c15:txfldGUID>
                      <c15:f>Credit_2013Q2!$M$11</c15:f>
                      <c15:dlblFieldTableCache>
                        <c:ptCount val="1"/>
                        <c:pt idx="0">
                          <c:v>36%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Credit_2013Q2!$P$11</c:f>
                  <c:strCache>
                    <c:ptCount val="1"/>
                    <c:pt idx="0">
                      <c:v>47%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{56036FD6-C3E8-4390-AF3B-B7C26336ABB7}</c15:txfldGUID>
                      <c15:f>Credit_2013Q2!$P$11</c15:f>
                      <c15:dlblFieldTableCache>
                        <c:ptCount val="1"/>
                        <c:pt idx="0">
                          <c:v>47%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Credit_2013Q2!$S$11</c:f>
                  <c:strCache>
                    <c:ptCount val="1"/>
                    <c:pt idx="0">
                      <c:v>18%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{9595E054-5F95-4E24-9D27-BEB67D0317C3}</c15:txfldGUID>
                      <c15:f>Credit_2013Q2!$S$11</c15:f>
                      <c15:dlblFieldTableCache>
                        <c:ptCount val="1"/>
                        <c:pt idx="0">
                          <c:v>18%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Credit_2013Q2!$V$11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{9092E8B3-3F5A-4A32-B972-F5BA9AE2725A}</c15:txfldGUID>
                      <c15:f>Credit_2013Q2!$V$11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(Credit_2013Q2!$J$5,Credit_2013Q2!$L$5,Credit_2013Q2!$O$5,Credit_2013Q2!$R$5,Credit_2013Q2!$U$5)</c:f>
              <c:strCache>
                <c:ptCount val="5"/>
                <c:pt idx="0">
                  <c:v>Rating</c:v>
                </c:pt>
                <c:pt idx="1">
                  <c:v>All Companies
(55)</c:v>
                </c:pt>
                <c:pt idx="2">
                  <c:v>Regulated
(36)</c:v>
                </c:pt>
                <c:pt idx="3">
                  <c:v>Mostly Regulated
(17)</c:v>
                </c:pt>
                <c:pt idx="4">
                  <c:v>Diversified
(2)</c:v>
                </c:pt>
              </c:strCache>
            </c:strRef>
          </c:cat>
          <c:val>
            <c:numRef>
              <c:f>(Credit_2013Q2!$Z$11,Credit_2013Q2!$L$11,Credit_2013Q2!$O$11,Credit_2013Q2!$R$11,Credit_2013Q2!$U$11)</c:f>
              <c:numCache>
                <c:formatCode>General</c:formatCode>
                <c:ptCount val="5"/>
                <c:pt idx="0">
                  <c:v>1</c:v>
                </c:pt>
                <c:pt idx="1">
                  <c:v>20</c:v>
                </c:pt>
                <c:pt idx="2">
                  <c:v>17</c:v>
                </c:pt>
                <c:pt idx="3">
                  <c:v>3</c:v>
                </c:pt>
                <c:pt idx="4">
                  <c:v>0</c:v>
                </c:pt>
              </c:numCache>
            </c:numRef>
          </c:val>
        </c:ser>
        <c:ser>
          <c:idx val="4"/>
          <c:order val="4"/>
          <c:tx>
            <c:strRef>
              <c:f>Credit_2013Q2!$J$12</c:f>
              <c:strCache>
                <c:ptCount val="1"/>
                <c:pt idx="0">
                  <c:v>BBB-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dLbls>
            <c:dLbl>
              <c:idx val="0"/>
              <c:tx>
                <c:strRef>
                  <c:f>Credit_2013Q2!$J$12</c:f>
                  <c:strCache>
                    <c:ptCount val="1"/>
                    <c:pt idx="0">
                      <c:v>BBB-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{D6010347-4BA9-48FB-A042-33B629889F07}</c15:txfldGUID>
                      <c15:f>Credit_2013Q2!$J$12</c15:f>
                      <c15:dlblFieldTableCache>
                        <c:ptCount val="1"/>
                        <c:pt idx="0">
                          <c:v>BBB-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Credit_2013Q2!$M$12</c:f>
                  <c:strCache>
                    <c:ptCount val="1"/>
                    <c:pt idx="0">
                      <c:v>13%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{5FAB51C7-6DB6-40F1-B5E9-F28DF7BA354B}</c15:txfldGUID>
                      <c15:f>Credit_2013Q2!$M$12</c15:f>
                      <c15:dlblFieldTableCache>
                        <c:ptCount val="1"/>
                        <c:pt idx="0">
                          <c:v>13%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Credit_2013Q2!$P$12</c:f>
                  <c:strCache>
                    <c:ptCount val="1"/>
                    <c:pt idx="0">
                      <c:v>11%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{44AD03FD-4E05-4047-B387-EA9273C01FDC}</c15:txfldGUID>
                      <c15:f>Credit_2013Q2!$P$12</c15:f>
                      <c15:dlblFieldTableCache>
                        <c:ptCount val="1"/>
                        <c:pt idx="0">
                          <c:v>11%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Credit_2013Q2!$S$12</c:f>
                  <c:strCache>
                    <c:ptCount val="1"/>
                    <c:pt idx="0">
                      <c:v>18%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{F2F92939-5F22-447D-96EB-B9C1889AB37A}</c15:txfldGUID>
                      <c15:f>Credit_2013Q2!$S$12</c15:f>
                      <c15:dlblFieldTableCache>
                        <c:ptCount val="1"/>
                        <c:pt idx="0">
                          <c:v>18%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Credit_2013Q2!$V$12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{F3C451CA-AE24-442C-B090-E7891DA46791}</c15:txfldGUID>
                      <c15:f>Credit_2013Q2!$V$12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(Credit_2013Q2!$J$5,Credit_2013Q2!$L$5,Credit_2013Q2!$O$5,Credit_2013Q2!$R$5,Credit_2013Q2!$U$5)</c:f>
              <c:strCache>
                <c:ptCount val="5"/>
                <c:pt idx="0">
                  <c:v>Rating</c:v>
                </c:pt>
                <c:pt idx="1">
                  <c:v>All Companies
(55)</c:v>
                </c:pt>
                <c:pt idx="2">
                  <c:v>Regulated
(36)</c:v>
                </c:pt>
                <c:pt idx="3">
                  <c:v>Mostly Regulated
(17)</c:v>
                </c:pt>
                <c:pt idx="4">
                  <c:v>Diversified
(2)</c:v>
                </c:pt>
              </c:strCache>
            </c:strRef>
          </c:cat>
          <c:val>
            <c:numRef>
              <c:f>(Credit_2013Q2!$Z$12,Credit_2013Q2!$L$12,Credit_2013Q2!$O$12,Credit_2013Q2!$R$12,Credit_2013Q2!$U$12)</c:f>
              <c:numCache>
                <c:formatCode>General</c:formatCode>
                <c:ptCount val="5"/>
                <c:pt idx="0">
                  <c:v>1</c:v>
                </c:pt>
                <c:pt idx="1">
                  <c:v>7</c:v>
                </c:pt>
                <c:pt idx="2">
                  <c:v>4</c:v>
                </c:pt>
                <c:pt idx="3">
                  <c:v>3</c:v>
                </c:pt>
                <c:pt idx="4">
                  <c:v>0</c:v>
                </c:pt>
              </c:numCache>
            </c:numRef>
          </c:val>
        </c:ser>
        <c:ser>
          <c:idx val="5"/>
          <c:order val="5"/>
          <c:tx>
            <c:strRef>
              <c:f>Credit_2013Q2!$J$13</c:f>
              <c:strCache>
                <c:ptCount val="1"/>
                <c:pt idx="0">
                  <c:v>Below BBB-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invertIfNegative val="0"/>
          <c:dLbls>
            <c:dLbl>
              <c:idx val="0"/>
              <c:tx>
                <c:strRef>
                  <c:f>Credit_2013Q2!$J$13</c:f>
                  <c:strCache>
                    <c:ptCount val="1"/>
                    <c:pt idx="0">
                      <c:v>Below BBB-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{6E964006-D654-4A1F-B230-9B5F38A7D0E9}</c15:txfldGUID>
                      <c15:f>Credit_2013Q2!$J$13</c15:f>
                      <c15:dlblFieldTableCache>
                        <c:ptCount val="1"/>
                        <c:pt idx="0">
                          <c:v>Below BBB-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Credit_2013Q2!$M$13</c:f>
                  <c:strCache>
                    <c:ptCount val="1"/>
                    <c:pt idx="0">
                      <c:v>7%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{ADD0A04D-6F83-4D88-B9A8-280858705051}</c15:txfldGUID>
                      <c15:f>Credit_2013Q2!$M$13</c15:f>
                      <c15:dlblFieldTableCache>
                        <c:ptCount val="1"/>
                        <c:pt idx="0">
                          <c:v>7%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Credit_2013Q2!$P$13</c:f>
                  <c:strCache>
                    <c:ptCount val="1"/>
                    <c:pt idx="0">
                      <c:v>8%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{4477D12E-ECEA-4989-93DB-2BB6D4BEE26B}</c15:txfldGUID>
                      <c15:f>Credit_2013Q2!$P$13</c15:f>
                      <c15:dlblFieldTableCache>
                        <c:ptCount val="1"/>
                        <c:pt idx="0">
                          <c:v>8%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Credit_2013Q2!$S$13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{0E9DB351-9724-4A6F-98F4-89EFAAD6683C}</c15:txfldGUID>
                      <c15:f>Credit_2013Q2!$S$13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Credit_2013Q2!$V$13</c:f>
                  <c:strCache>
                    <c:ptCount val="1"/>
                    <c:pt idx="0">
                      <c:v>50%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{5C0DEDA6-51E9-4682-BBBF-637BAC58B30A}</c15:txfldGUID>
                      <c15:f>Credit_2013Q2!$V$13</c15:f>
                      <c15:dlblFieldTableCache>
                        <c:ptCount val="1"/>
                        <c:pt idx="0">
                          <c:v>50%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(Credit_2013Q2!$J$5,Credit_2013Q2!$L$5,Credit_2013Q2!$O$5,Credit_2013Q2!$R$5,Credit_2013Q2!$U$5)</c:f>
              <c:strCache>
                <c:ptCount val="5"/>
                <c:pt idx="0">
                  <c:v>Rating</c:v>
                </c:pt>
                <c:pt idx="1">
                  <c:v>All Companies
(55)</c:v>
                </c:pt>
                <c:pt idx="2">
                  <c:v>Regulated
(36)</c:v>
                </c:pt>
                <c:pt idx="3">
                  <c:v>Mostly Regulated
(17)</c:v>
                </c:pt>
                <c:pt idx="4">
                  <c:v>Diversified
(2)</c:v>
                </c:pt>
              </c:strCache>
            </c:strRef>
          </c:cat>
          <c:val>
            <c:numRef>
              <c:f>(Credit_2013Q2!$Z$13,Credit_2013Q2!$L$13,Credit_2013Q2!$O$13,Credit_2013Q2!$R$13,Credit_2013Q2!$U$13)</c:f>
              <c:numCache>
                <c:formatCode>General</c:formatCode>
                <c:ptCount val="5"/>
                <c:pt idx="0">
                  <c:v>1</c:v>
                </c:pt>
                <c:pt idx="1">
                  <c:v>4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792417344"/>
        <c:axId val="792417736"/>
      </c:barChart>
      <c:catAx>
        <c:axId val="7924173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high"/>
        <c:txPr>
          <a:bodyPr/>
          <a:lstStyle/>
          <a:p>
            <a:pPr>
              <a:defRPr sz="1300">
                <a:solidFill>
                  <a:sysClr val="windowText" lastClr="000000"/>
                </a:solidFill>
              </a:defRPr>
            </a:pPr>
            <a:endParaRPr lang="en-US"/>
          </a:p>
        </c:txPr>
        <c:crossAx val="792417736"/>
        <c:crosses val="max"/>
        <c:auto val="1"/>
        <c:lblAlgn val="ctr"/>
        <c:lblOffset val="100"/>
        <c:noMultiLvlLbl val="0"/>
      </c:catAx>
      <c:valAx>
        <c:axId val="792417736"/>
        <c:scaling>
          <c:orientation val="maxMin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0%" sourceLinked="1"/>
        <c:majorTickMark val="none"/>
        <c:minorTickMark val="none"/>
        <c:tickLblPos val="none"/>
        <c:spPr>
          <a:ln>
            <a:noFill/>
          </a:ln>
        </c:spPr>
        <c:crossAx val="792417344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1">
          <a:solidFill>
            <a:schemeClr val="bg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3">
                  <a:lumMod val="50000"/>
                </a:schemeClr>
              </a:solidFill>
            </c:spPr>
          </c:dPt>
          <c:dPt>
            <c:idx val="1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50000"/>
                </a:schemeClr>
              </a:solidFill>
            </c:spPr>
          </c:dPt>
          <c:dPt>
            <c:idx val="3"/>
            <c:bubble3D val="0"/>
            <c:spPr>
              <a:solidFill>
                <a:schemeClr val="accent5">
                  <a:lumMod val="75000"/>
                </a:schemeClr>
              </a:solidFill>
            </c:spPr>
          </c:dPt>
          <c:dPt>
            <c:idx val="4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</c:dPt>
          <c:dPt>
            <c:idx val="5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ysClr val="windowText" lastClr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5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ysClr val="windowText" lastClr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Credit_2013Q1!$J$8:$J$13</c:f>
              <c:strCache>
                <c:ptCount val="6"/>
                <c:pt idx="0">
                  <c:v>A or higher</c:v>
                </c:pt>
                <c:pt idx="1">
                  <c:v>A-</c:v>
                </c:pt>
                <c:pt idx="2">
                  <c:v>BBB+</c:v>
                </c:pt>
                <c:pt idx="3">
                  <c:v>BBB</c:v>
                </c:pt>
                <c:pt idx="4">
                  <c:v>BBB-</c:v>
                </c:pt>
                <c:pt idx="5">
                  <c:v>Below BBB-</c:v>
                </c:pt>
              </c:strCache>
            </c:strRef>
          </c:cat>
          <c:val>
            <c:numRef>
              <c:f>Credit_2013Q1!$M$8:$M$13</c:f>
              <c:numCache>
                <c:formatCode>0%</c:formatCode>
                <c:ptCount val="6"/>
                <c:pt idx="0">
                  <c:v>5.3571428571428568E-2</c:v>
                </c:pt>
                <c:pt idx="1">
                  <c:v>0.16071428571428573</c:v>
                </c:pt>
                <c:pt idx="2">
                  <c:v>0.21428571428571427</c:v>
                </c:pt>
                <c:pt idx="3">
                  <c:v>0.3392857142857143</c:v>
                </c:pt>
                <c:pt idx="4">
                  <c:v>0.16071428571428573</c:v>
                </c:pt>
                <c:pt idx="5">
                  <c:v>7.1428571428571425E-2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4.0854248593277388E-2"/>
          <c:w val="1"/>
          <c:h val="0.7859199662194755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Credit_2013Q1!$J$8</c:f>
              <c:strCache>
                <c:ptCount val="1"/>
                <c:pt idx="0">
                  <c:v>A or higher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invertIfNegative val="0"/>
          <c:dLbls>
            <c:dLbl>
              <c:idx val="0"/>
              <c:tx>
                <c:strRef>
                  <c:f>Credit_2013Q1!$J$8</c:f>
                  <c:strCache>
                    <c:ptCount val="1"/>
                    <c:pt idx="0">
                      <c:v>A or higher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{F94FA15E-4772-4310-91A2-2A2A379ED7EE}</c15:txfldGUID>
                      <c15:f>Credit_2013Q1!$J$8</c15:f>
                      <c15:dlblFieldTableCache>
                        <c:ptCount val="1"/>
                        <c:pt idx="0">
                          <c:v>A or higher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Credit_2013Q1!$M$8</c:f>
                  <c:strCache>
                    <c:ptCount val="1"/>
                    <c:pt idx="0">
                      <c:v>5%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{F3D9CCBD-584B-4182-A97B-7564D8D171DF}</c15:txfldGUID>
                      <c15:f>Credit_2013Q1!$M$8</c15:f>
                      <c15:dlblFieldTableCache>
                        <c:ptCount val="1"/>
                        <c:pt idx="0">
                          <c:v>5%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Credit_2013Q1!$P$8</c:f>
                  <c:strCache>
                    <c:ptCount val="1"/>
                    <c:pt idx="0">
                      <c:v>6%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{784BFEDD-08FE-46D2-AFE9-48C9980491D5}</c15:txfldGUID>
                      <c15:f>Credit_2013Q1!$P$8</c15:f>
                      <c15:dlblFieldTableCache>
                        <c:ptCount val="1"/>
                        <c:pt idx="0">
                          <c:v>6%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Credit_2013Q1!$S$8</c:f>
                  <c:strCache>
                    <c:ptCount val="1"/>
                    <c:pt idx="0">
                      <c:v>6%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{3C82BFA5-009A-49E8-8FD3-275237FAD58B}</c15:txfldGUID>
                      <c15:f>Credit_2013Q1!$S$8</c15:f>
                      <c15:dlblFieldTableCache>
                        <c:ptCount val="1"/>
                        <c:pt idx="0">
                          <c:v>6%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Credit_2013Q1!$V$8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{2B6CD6AC-7B40-4442-BDC9-2ED59F0142E7}</c15:txfldGUID>
                      <c15:f>Credit_2013Q1!$V$8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(Credit_2013Q1!$J$5,Credit_2013Q1!$L$5,Credit_2013Q1!$O$5,Credit_2013Q1!$R$5,Credit_2013Q1!$U$5)</c:f>
              <c:strCache>
                <c:ptCount val="5"/>
                <c:pt idx="0">
                  <c:v>Rating</c:v>
                </c:pt>
                <c:pt idx="1">
                  <c:v>All Companies
(56)</c:v>
                </c:pt>
                <c:pt idx="2">
                  <c:v>Regulated
(36)</c:v>
                </c:pt>
                <c:pt idx="3">
                  <c:v>Mostly Regulated
(17)</c:v>
                </c:pt>
                <c:pt idx="4">
                  <c:v>Diversified
(3)</c:v>
                </c:pt>
              </c:strCache>
            </c:strRef>
          </c:cat>
          <c:val>
            <c:numRef>
              <c:f>(Credit_2013Q1!$Z$8,Credit_2013Q1!$L$8,Credit_2013Q1!$O$8,Credit_2013Q1!$R$8,Credit_2013Q1!$U$8)</c:f>
              <c:numCache>
                <c:formatCode>General</c:formatCode>
                <c:ptCount val="5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Credit_2013Q1!$J$9</c:f>
              <c:strCache>
                <c:ptCount val="1"/>
                <c:pt idx="0">
                  <c:v>A-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tx>
                <c:strRef>
                  <c:f>Credit_2013Q1!$J$9</c:f>
                  <c:strCache>
                    <c:ptCount val="1"/>
                    <c:pt idx="0">
                      <c:v>A-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{1666D20B-F378-4B9D-920B-B1543CFE3767}</c15:txfldGUID>
                      <c15:f>Credit_2013Q1!$J$9</c15:f>
                      <c15:dlblFieldTableCache>
                        <c:ptCount val="1"/>
                        <c:pt idx="0">
                          <c:v>A-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Credit_2013Q1!$M$9</c:f>
                  <c:strCache>
                    <c:ptCount val="1"/>
                    <c:pt idx="0">
                      <c:v>16%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{024D0E7B-5B19-4F56-9D87-C54305F62427}</c15:txfldGUID>
                      <c15:f>Credit_2013Q1!$M$9</c15:f>
                      <c15:dlblFieldTableCache>
                        <c:ptCount val="1"/>
                        <c:pt idx="0">
                          <c:v>16%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Credit_2013Q1!$P$9</c:f>
                  <c:strCache>
                    <c:ptCount val="1"/>
                    <c:pt idx="0">
                      <c:v>19%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{85B0149A-DFE0-4C49-9156-EF8B7147425E}</c15:txfldGUID>
                      <c15:f>Credit_2013Q1!$P$9</c15:f>
                      <c15:dlblFieldTableCache>
                        <c:ptCount val="1"/>
                        <c:pt idx="0">
                          <c:v>19%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Credit_2013Q1!$S$9</c:f>
                  <c:strCache>
                    <c:ptCount val="1"/>
                    <c:pt idx="0">
                      <c:v>12%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{16E3D246-520B-4147-A778-322179A95C65}</c15:txfldGUID>
                      <c15:f>Credit_2013Q1!$S$9</c15:f>
                      <c15:dlblFieldTableCache>
                        <c:ptCount val="1"/>
                        <c:pt idx="0">
                          <c:v>12%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Credit_2013Q1!$V$9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{58F54882-29DD-4ACE-A7BF-9EE7BE8EDA5B}</c15:txfldGUID>
                      <c15:f>Credit_2013Q1!$V$9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(Credit_2013Q1!$J$5,Credit_2013Q1!$L$5,Credit_2013Q1!$O$5,Credit_2013Q1!$R$5,Credit_2013Q1!$U$5)</c:f>
              <c:strCache>
                <c:ptCount val="5"/>
                <c:pt idx="0">
                  <c:v>Rating</c:v>
                </c:pt>
                <c:pt idx="1">
                  <c:v>All Companies
(56)</c:v>
                </c:pt>
                <c:pt idx="2">
                  <c:v>Regulated
(36)</c:v>
                </c:pt>
                <c:pt idx="3">
                  <c:v>Mostly Regulated
(17)</c:v>
                </c:pt>
                <c:pt idx="4">
                  <c:v>Diversified
(3)</c:v>
                </c:pt>
              </c:strCache>
            </c:strRef>
          </c:cat>
          <c:val>
            <c:numRef>
              <c:f>(Credit_2013Q1!$Z$9,Credit_2013Q1!$L$9,Credit_2013Q1!$O$9,Credit_2013Q1!$R$9,Credit_2013Q1!$U$9)</c:f>
              <c:numCache>
                <c:formatCode>General</c:formatCode>
                <c:ptCount val="5"/>
                <c:pt idx="0">
                  <c:v>1</c:v>
                </c:pt>
                <c:pt idx="1">
                  <c:v>9</c:v>
                </c:pt>
                <c:pt idx="2">
                  <c:v>7</c:v>
                </c:pt>
                <c:pt idx="3">
                  <c:v>2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Credit_2013Q1!$J$10</c:f>
              <c:strCache>
                <c:ptCount val="1"/>
                <c:pt idx="0">
                  <c:v>BBB+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invertIfNegative val="0"/>
          <c:dLbls>
            <c:dLbl>
              <c:idx val="0"/>
              <c:tx>
                <c:strRef>
                  <c:f>Credit_2013Q1!$J$10</c:f>
                  <c:strCache>
                    <c:ptCount val="1"/>
                    <c:pt idx="0">
                      <c:v>BBB+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{82CCE338-5389-46C1-B80C-42323CEDE1F2}</c15:txfldGUID>
                      <c15:f>Credit_2013Q1!$J$10</c15:f>
                      <c15:dlblFieldTableCache>
                        <c:ptCount val="1"/>
                        <c:pt idx="0">
                          <c:v>BBB+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Credit_2013Q1!$M$10</c:f>
                  <c:strCache>
                    <c:ptCount val="1"/>
                    <c:pt idx="0">
                      <c:v>21%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{C5E07A91-6AC3-4191-BAEC-6DC9CB558533}</c15:txfldGUID>
                      <c15:f>Credit_2013Q1!$M$10</c15:f>
                      <c15:dlblFieldTableCache>
                        <c:ptCount val="1"/>
                        <c:pt idx="0">
                          <c:v>21%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Credit_2013Q1!$P$10</c:f>
                  <c:strCache>
                    <c:ptCount val="1"/>
                    <c:pt idx="0">
                      <c:v>11%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{F7133347-B549-4DE4-8BE5-3DBA0D6B9035}</c15:txfldGUID>
                      <c15:f>Credit_2013Q1!$P$10</c15:f>
                      <c15:dlblFieldTableCache>
                        <c:ptCount val="1"/>
                        <c:pt idx="0">
                          <c:v>11%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Credit_2013Q1!$S$10</c:f>
                  <c:strCache>
                    <c:ptCount val="1"/>
                    <c:pt idx="0">
                      <c:v>41%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{1A5AB1C6-8DA6-4007-9B7B-F2DB7089B8F7}</c15:txfldGUID>
                      <c15:f>Credit_2013Q1!$S$10</c15:f>
                      <c15:dlblFieldTableCache>
                        <c:ptCount val="1"/>
                        <c:pt idx="0">
                          <c:v>41%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Credit_2013Q1!$V$10</c:f>
                  <c:strCache>
                    <c:ptCount val="1"/>
                    <c:pt idx="0">
                      <c:v>33%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{4662E28A-8CA9-4F2D-A31F-DBCEA71E2842}</c15:txfldGUID>
                      <c15:f>Credit_2013Q1!$V$10</c15:f>
                      <c15:dlblFieldTableCache>
                        <c:ptCount val="1"/>
                        <c:pt idx="0">
                          <c:v>33%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(Credit_2013Q1!$J$5,Credit_2013Q1!$L$5,Credit_2013Q1!$O$5,Credit_2013Q1!$R$5,Credit_2013Q1!$U$5)</c:f>
              <c:strCache>
                <c:ptCount val="5"/>
                <c:pt idx="0">
                  <c:v>Rating</c:v>
                </c:pt>
                <c:pt idx="1">
                  <c:v>All Companies
(56)</c:v>
                </c:pt>
                <c:pt idx="2">
                  <c:v>Regulated
(36)</c:v>
                </c:pt>
                <c:pt idx="3">
                  <c:v>Mostly Regulated
(17)</c:v>
                </c:pt>
                <c:pt idx="4">
                  <c:v>Diversified
(3)</c:v>
                </c:pt>
              </c:strCache>
            </c:strRef>
          </c:cat>
          <c:val>
            <c:numRef>
              <c:f>(Credit_2013Q1!$Z$10,Credit_2013Q1!$L$10,Credit_2013Q1!$O$10,Credit_2013Q1!$R$10,Credit_2013Q1!$U$10)</c:f>
              <c:numCache>
                <c:formatCode>General</c:formatCode>
                <c:ptCount val="5"/>
                <c:pt idx="0">
                  <c:v>1</c:v>
                </c:pt>
                <c:pt idx="1">
                  <c:v>12</c:v>
                </c:pt>
                <c:pt idx="2">
                  <c:v>4</c:v>
                </c:pt>
                <c:pt idx="3">
                  <c:v>7</c:v>
                </c:pt>
                <c:pt idx="4">
                  <c:v>1</c:v>
                </c:pt>
              </c:numCache>
            </c:numRef>
          </c:val>
        </c:ser>
        <c:ser>
          <c:idx val="3"/>
          <c:order val="3"/>
          <c:tx>
            <c:strRef>
              <c:f>Credit_2013Q1!$J$11</c:f>
              <c:strCache>
                <c:ptCount val="1"/>
                <c:pt idx="0">
                  <c:v>BBB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dLbl>
              <c:idx val="0"/>
              <c:tx>
                <c:strRef>
                  <c:f>Credit_2013Q1!$J$11</c:f>
                  <c:strCache>
                    <c:ptCount val="1"/>
                    <c:pt idx="0">
                      <c:v>BBB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{22964D85-C86F-4EB6-879D-EC8FA3935FC3}</c15:txfldGUID>
                      <c15:f>Credit_2013Q1!$J$11</c15:f>
                      <c15:dlblFieldTableCache>
                        <c:ptCount val="1"/>
                        <c:pt idx="0">
                          <c:v>BBB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Credit_2013Q1!$M$11</c:f>
                  <c:strCache>
                    <c:ptCount val="1"/>
                    <c:pt idx="0">
                      <c:v>34%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{874DBABC-47A6-407B-B493-D45D1038ACED}</c15:txfldGUID>
                      <c15:f>Credit_2013Q1!$M$11</c15:f>
                      <c15:dlblFieldTableCache>
                        <c:ptCount val="1"/>
                        <c:pt idx="0">
                          <c:v>34%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Credit_2013Q1!$P$11</c:f>
                  <c:strCache>
                    <c:ptCount val="1"/>
                    <c:pt idx="0">
                      <c:v>44%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{7DE084C9-178B-4494-B423-6F575230FDE6}</c15:txfldGUID>
                      <c15:f>Credit_2013Q1!$P$11</c15:f>
                      <c15:dlblFieldTableCache>
                        <c:ptCount val="1"/>
                        <c:pt idx="0">
                          <c:v>44%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Credit_2013Q1!$S$11</c:f>
                  <c:strCache>
                    <c:ptCount val="1"/>
                    <c:pt idx="0">
                      <c:v>18%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{C7E03AFA-B957-4E3D-BE97-AE062E0EF6B6}</c15:txfldGUID>
                      <c15:f>Credit_2013Q1!$S$11</c15:f>
                      <c15:dlblFieldTableCache>
                        <c:ptCount val="1"/>
                        <c:pt idx="0">
                          <c:v>18%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Credit_2013Q1!$V$11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{014FFE49-5272-44FD-ACCB-FDBDB4BBA283}</c15:txfldGUID>
                      <c15:f>Credit_2013Q1!$V$11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(Credit_2013Q1!$J$5,Credit_2013Q1!$L$5,Credit_2013Q1!$O$5,Credit_2013Q1!$R$5,Credit_2013Q1!$U$5)</c:f>
              <c:strCache>
                <c:ptCount val="5"/>
                <c:pt idx="0">
                  <c:v>Rating</c:v>
                </c:pt>
                <c:pt idx="1">
                  <c:v>All Companies
(56)</c:v>
                </c:pt>
                <c:pt idx="2">
                  <c:v>Regulated
(36)</c:v>
                </c:pt>
                <c:pt idx="3">
                  <c:v>Mostly Regulated
(17)</c:v>
                </c:pt>
                <c:pt idx="4">
                  <c:v>Diversified
(3)</c:v>
                </c:pt>
              </c:strCache>
            </c:strRef>
          </c:cat>
          <c:val>
            <c:numRef>
              <c:f>(Credit_2013Q1!$Z$11,Credit_2013Q1!$L$11,Credit_2013Q1!$O$11,Credit_2013Q1!$R$11,Credit_2013Q1!$U$11)</c:f>
              <c:numCache>
                <c:formatCode>General</c:formatCode>
                <c:ptCount val="5"/>
                <c:pt idx="0">
                  <c:v>1</c:v>
                </c:pt>
                <c:pt idx="1">
                  <c:v>19</c:v>
                </c:pt>
                <c:pt idx="2">
                  <c:v>16</c:v>
                </c:pt>
                <c:pt idx="3">
                  <c:v>3</c:v>
                </c:pt>
                <c:pt idx="4">
                  <c:v>0</c:v>
                </c:pt>
              </c:numCache>
            </c:numRef>
          </c:val>
        </c:ser>
        <c:ser>
          <c:idx val="4"/>
          <c:order val="4"/>
          <c:tx>
            <c:strRef>
              <c:f>Credit_2013Q1!$J$12</c:f>
              <c:strCache>
                <c:ptCount val="1"/>
                <c:pt idx="0">
                  <c:v>BBB-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dLbls>
            <c:dLbl>
              <c:idx val="0"/>
              <c:tx>
                <c:strRef>
                  <c:f>Credit_2013Q1!$J$12</c:f>
                  <c:strCache>
                    <c:ptCount val="1"/>
                    <c:pt idx="0">
                      <c:v>BBB-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{2212674C-CC84-4655-B580-E40A782EA58E}</c15:txfldGUID>
                      <c15:f>Credit_2013Q1!$J$12</c15:f>
                      <c15:dlblFieldTableCache>
                        <c:ptCount val="1"/>
                        <c:pt idx="0">
                          <c:v>BBB-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Credit_2013Q1!$M$12</c:f>
                  <c:strCache>
                    <c:ptCount val="1"/>
                    <c:pt idx="0">
                      <c:v>16%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{3210D9F8-220A-47DA-B539-D71DEA34B0AF}</c15:txfldGUID>
                      <c15:f>Credit_2013Q1!$M$12</c15:f>
                      <c15:dlblFieldTableCache>
                        <c:ptCount val="1"/>
                        <c:pt idx="0">
                          <c:v>16%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Credit_2013Q1!$P$12</c:f>
                  <c:strCache>
                    <c:ptCount val="1"/>
                    <c:pt idx="0">
                      <c:v>11%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{1505E18B-2ADE-47BB-BAA8-38172AD0613B}</c15:txfldGUID>
                      <c15:f>Credit_2013Q1!$P$12</c15:f>
                      <c15:dlblFieldTableCache>
                        <c:ptCount val="1"/>
                        <c:pt idx="0">
                          <c:v>11%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Credit_2013Q1!$S$12</c:f>
                  <c:strCache>
                    <c:ptCount val="1"/>
                    <c:pt idx="0">
                      <c:v>24%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{B020F000-CF5B-4420-A0FF-17B8F0DF2F78}</c15:txfldGUID>
                      <c15:f>Credit_2013Q1!$S$12</c15:f>
                      <c15:dlblFieldTableCache>
                        <c:ptCount val="1"/>
                        <c:pt idx="0">
                          <c:v>24%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Credit_2013Q1!$V$12</c:f>
                  <c:strCache>
                    <c:ptCount val="1"/>
                    <c:pt idx="0">
                      <c:v>33%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{C9D55A13-1C86-449D-AD8B-CB586B312C0D}</c15:txfldGUID>
                      <c15:f>Credit_2013Q1!$V$12</c15:f>
                      <c15:dlblFieldTableCache>
                        <c:ptCount val="1"/>
                        <c:pt idx="0">
                          <c:v>33%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(Credit_2013Q1!$J$5,Credit_2013Q1!$L$5,Credit_2013Q1!$O$5,Credit_2013Q1!$R$5,Credit_2013Q1!$U$5)</c:f>
              <c:strCache>
                <c:ptCount val="5"/>
                <c:pt idx="0">
                  <c:v>Rating</c:v>
                </c:pt>
                <c:pt idx="1">
                  <c:v>All Companies
(56)</c:v>
                </c:pt>
                <c:pt idx="2">
                  <c:v>Regulated
(36)</c:v>
                </c:pt>
                <c:pt idx="3">
                  <c:v>Mostly Regulated
(17)</c:v>
                </c:pt>
                <c:pt idx="4">
                  <c:v>Diversified
(3)</c:v>
                </c:pt>
              </c:strCache>
            </c:strRef>
          </c:cat>
          <c:val>
            <c:numRef>
              <c:f>(Credit_2013Q1!$Z$12,Credit_2013Q1!$L$12,Credit_2013Q1!$O$12,Credit_2013Q1!$R$12,Credit_2013Q1!$U$12)</c:f>
              <c:numCache>
                <c:formatCode>General</c:formatCode>
                <c:ptCount val="5"/>
                <c:pt idx="0">
                  <c:v>1</c:v>
                </c:pt>
                <c:pt idx="1">
                  <c:v>9</c:v>
                </c:pt>
                <c:pt idx="2">
                  <c:v>4</c:v>
                </c:pt>
                <c:pt idx="3">
                  <c:v>4</c:v>
                </c:pt>
                <c:pt idx="4">
                  <c:v>1</c:v>
                </c:pt>
              </c:numCache>
            </c:numRef>
          </c:val>
        </c:ser>
        <c:ser>
          <c:idx val="5"/>
          <c:order val="5"/>
          <c:tx>
            <c:strRef>
              <c:f>Credit_2013Q1!$J$13</c:f>
              <c:strCache>
                <c:ptCount val="1"/>
                <c:pt idx="0">
                  <c:v>Below BBB-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invertIfNegative val="0"/>
          <c:dLbls>
            <c:dLbl>
              <c:idx val="0"/>
              <c:tx>
                <c:strRef>
                  <c:f>Credit_2013Q1!$J$13</c:f>
                  <c:strCache>
                    <c:ptCount val="1"/>
                    <c:pt idx="0">
                      <c:v>Below BBB-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{3F5310CC-D3FD-40EC-BFAE-45727683C7EA}</c15:txfldGUID>
                      <c15:f>Credit_2013Q1!$J$13</c15:f>
                      <c15:dlblFieldTableCache>
                        <c:ptCount val="1"/>
                        <c:pt idx="0">
                          <c:v>Below BBB-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Credit_2013Q1!$M$13</c:f>
                  <c:strCache>
                    <c:ptCount val="1"/>
                    <c:pt idx="0">
                      <c:v>7%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{BE3E2025-2032-48DD-88C6-5A51A0242FA3}</c15:txfldGUID>
                      <c15:f>Credit_2013Q1!$M$13</c15:f>
                      <c15:dlblFieldTableCache>
                        <c:ptCount val="1"/>
                        <c:pt idx="0">
                          <c:v>7%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Credit_2013Q1!$P$13</c:f>
                  <c:strCache>
                    <c:ptCount val="1"/>
                    <c:pt idx="0">
                      <c:v>8%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{5B673A30-082B-4710-8D4F-E1C61E1BE43A}</c15:txfldGUID>
                      <c15:f>Credit_2013Q1!$P$13</c15:f>
                      <c15:dlblFieldTableCache>
                        <c:ptCount val="1"/>
                        <c:pt idx="0">
                          <c:v>8%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Credit_2013Q1!$S$13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{2545213C-E254-419F-8BDC-25C3D6FFA0CB}</c15:txfldGUID>
                      <c15:f>Credit_2013Q1!$S$13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Credit_2013Q1!$V$13</c:f>
                  <c:strCache>
                    <c:ptCount val="1"/>
                    <c:pt idx="0">
                      <c:v>33%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{1E9BA855-4475-42AC-83A3-44443B0CC41E}</c15:txfldGUID>
                      <c15:f>Credit_2013Q1!$V$13</c15:f>
                      <c15:dlblFieldTableCache>
                        <c:ptCount val="1"/>
                        <c:pt idx="0">
                          <c:v>33%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(Credit_2013Q1!$J$5,Credit_2013Q1!$L$5,Credit_2013Q1!$O$5,Credit_2013Q1!$R$5,Credit_2013Q1!$U$5)</c:f>
              <c:strCache>
                <c:ptCount val="5"/>
                <c:pt idx="0">
                  <c:v>Rating</c:v>
                </c:pt>
                <c:pt idx="1">
                  <c:v>All Companies
(56)</c:v>
                </c:pt>
                <c:pt idx="2">
                  <c:v>Regulated
(36)</c:v>
                </c:pt>
                <c:pt idx="3">
                  <c:v>Mostly Regulated
(17)</c:v>
                </c:pt>
                <c:pt idx="4">
                  <c:v>Diversified
(3)</c:v>
                </c:pt>
              </c:strCache>
            </c:strRef>
          </c:cat>
          <c:val>
            <c:numRef>
              <c:f>(Credit_2013Q1!$Z$13,Credit_2013Q1!$L$13,Credit_2013Q1!$O$13,Credit_2013Q1!$R$13,Credit_2013Q1!$U$13)</c:f>
              <c:numCache>
                <c:formatCode>General</c:formatCode>
                <c:ptCount val="5"/>
                <c:pt idx="0">
                  <c:v>1</c:v>
                </c:pt>
                <c:pt idx="1">
                  <c:v>4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792418912"/>
        <c:axId val="792419304"/>
      </c:barChart>
      <c:catAx>
        <c:axId val="7924189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high"/>
        <c:txPr>
          <a:bodyPr/>
          <a:lstStyle/>
          <a:p>
            <a:pPr>
              <a:defRPr sz="1300">
                <a:solidFill>
                  <a:sysClr val="windowText" lastClr="000000"/>
                </a:solidFill>
              </a:defRPr>
            </a:pPr>
            <a:endParaRPr lang="en-US"/>
          </a:p>
        </c:txPr>
        <c:crossAx val="792419304"/>
        <c:crosses val="max"/>
        <c:auto val="1"/>
        <c:lblAlgn val="ctr"/>
        <c:lblOffset val="100"/>
        <c:noMultiLvlLbl val="0"/>
      </c:catAx>
      <c:valAx>
        <c:axId val="792419304"/>
        <c:scaling>
          <c:orientation val="maxMin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0%" sourceLinked="1"/>
        <c:majorTickMark val="none"/>
        <c:minorTickMark val="none"/>
        <c:tickLblPos val="none"/>
        <c:spPr>
          <a:ln>
            <a:noFill/>
          </a:ln>
        </c:spPr>
        <c:crossAx val="79241891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1">
          <a:solidFill>
            <a:schemeClr val="bg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3">
                  <a:lumMod val="50000"/>
                </a:schemeClr>
              </a:solidFill>
            </c:spPr>
          </c:dPt>
          <c:dPt>
            <c:idx val="1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50000"/>
                </a:schemeClr>
              </a:solidFill>
            </c:spPr>
          </c:dPt>
          <c:dPt>
            <c:idx val="3"/>
            <c:bubble3D val="0"/>
            <c:spPr>
              <a:solidFill>
                <a:schemeClr val="accent5">
                  <a:lumMod val="75000"/>
                </a:schemeClr>
              </a:solidFill>
            </c:spPr>
          </c:dPt>
          <c:dPt>
            <c:idx val="4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</c:dPt>
          <c:dPt>
            <c:idx val="5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ysClr val="windowText" lastClr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5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ysClr val="windowText" lastClr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Credit_2012Q4!$J$8:$J$13</c:f>
              <c:strCache>
                <c:ptCount val="6"/>
                <c:pt idx="0">
                  <c:v>A or higher</c:v>
                </c:pt>
                <c:pt idx="1">
                  <c:v>A-</c:v>
                </c:pt>
                <c:pt idx="2">
                  <c:v>BBB+</c:v>
                </c:pt>
                <c:pt idx="3">
                  <c:v>BBB</c:v>
                </c:pt>
                <c:pt idx="4">
                  <c:v>BBB-</c:v>
                </c:pt>
                <c:pt idx="5">
                  <c:v>Below BBB-</c:v>
                </c:pt>
              </c:strCache>
            </c:strRef>
          </c:cat>
          <c:val>
            <c:numRef>
              <c:f>Credit_2012Q4!$M$8:$M$13</c:f>
              <c:numCache>
                <c:formatCode>0%</c:formatCode>
                <c:ptCount val="6"/>
                <c:pt idx="0">
                  <c:v>5.3571428571428568E-2</c:v>
                </c:pt>
                <c:pt idx="1">
                  <c:v>0.14285714285714285</c:v>
                </c:pt>
                <c:pt idx="2">
                  <c:v>0.23214285714285715</c:v>
                </c:pt>
                <c:pt idx="3">
                  <c:v>0.2857142857142857</c:v>
                </c:pt>
                <c:pt idx="4">
                  <c:v>0.19642857142857142</c:v>
                </c:pt>
                <c:pt idx="5">
                  <c:v>8.9285714285714288E-2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4.0854248593277388E-2"/>
          <c:w val="1"/>
          <c:h val="0.7859199662194755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Credit_2012Q4!$J$8</c:f>
              <c:strCache>
                <c:ptCount val="1"/>
                <c:pt idx="0">
                  <c:v>A or higher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invertIfNegative val="0"/>
          <c:dLbls>
            <c:dLbl>
              <c:idx val="0"/>
              <c:tx>
                <c:strRef>
                  <c:f>Credit_2012Q4!$J$8</c:f>
                  <c:strCache>
                    <c:ptCount val="1"/>
                    <c:pt idx="0">
                      <c:v>A or higher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{18FEBF93-FB18-418A-BDDC-36C5CD5F58DC}</c15:txfldGUID>
                      <c15:f>Credit_2012Q4!$J$8</c15:f>
                      <c15:dlblFieldTableCache>
                        <c:ptCount val="1"/>
                        <c:pt idx="0">
                          <c:v>A or higher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Credit_2012Q4!$M$8</c:f>
                  <c:strCache>
                    <c:ptCount val="1"/>
                    <c:pt idx="0">
                      <c:v>5%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{D2BB0C00-D21E-4D52-BF07-EFE905AF3A7F}</c15:txfldGUID>
                      <c15:f>Credit_2012Q4!$M$8</c15:f>
                      <c15:dlblFieldTableCache>
                        <c:ptCount val="1"/>
                        <c:pt idx="0">
                          <c:v>5%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Credit_2012Q4!$P$8</c:f>
                  <c:strCache>
                    <c:ptCount val="1"/>
                    <c:pt idx="0">
                      <c:v>6%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{F5E8D1B8-0E62-4268-A561-BDF44EC63B1D}</c15:txfldGUID>
                      <c15:f>Credit_2012Q4!$P$8</c15:f>
                      <c15:dlblFieldTableCache>
                        <c:ptCount val="1"/>
                        <c:pt idx="0">
                          <c:v>6%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Credit_2012Q4!$S$8</c:f>
                  <c:strCache>
                    <c:ptCount val="1"/>
                    <c:pt idx="0">
                      <c:v>6%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{0E038BD4-F5C7-4F20-A6DB-806EC3556737}</c15:txfldGUID>
                      <c15:f>Credit_2012Q4!$S$8</c15:f>
                      <c15:dlblFieldTableCache>
                        <c:ptCount val="1"/>
                        <c:pt idx="0">
                          <c:v>6%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Credit_2012Q4!$V$8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{4403FBD2-B859-4133-86AC-B69CD2F76DC8}</c15:txfldGUID>
                      <c15:f>Credit_2012Q4!$V$8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(Credit_2012Q4!$J$5,Credit_2012Q4!$L$5,Credit_2012Q4!$O$5,Credit_2012Q4!$R$5,Credit_2012Q4!$U$5)</c:f>
              <c:strCache>
                <c:ptCount val="5"/>
                <c:pt idx="0">
                  <c:v>Rating</c:v>
                </c:pt>
                <c:pt idx="1">
                  <c:v>All Companies
(56)</c:v>
                </c:pt>
                <c:pt idx="2">
                  <c:v>Regulated
(36)</c:v>
                </c:pt>
                <c:pt idx="3">
                  <c:v>Mostly Regulated
(17)</c:v>
                </c:pt>
                <c:pt idx="4">
                  <c:v>Diversified
(3)</c:v>
                </c:pt>
              </c:strCache>
            </c:strRef>
          </c:cat>
          <c:val>
            <c:numRef>
              <c:f>(Credit_2012Q4!$Z$8,Credit_2012Q4!$L$8,Credit_2012Q4!$O$8,Credit_2012Q4!$R$8,Credit_2012Q4!$U$8)</c:f>
              <c:numCache>
                <c:formatCode>General</c:formatCode>
                <c:ptCount val="5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Credit_2012Q4!$J$9</c:f>
              <c:strCache>
                <c:ptCount val="1"/>
                <c:pt idx="0">
                  <c:v>A-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tx>
                <c:strRef>
                  <c:f>Credit_2012Q4!$J$9</c:f>
                  <c:strCache>
                    <c:ptCount val="1"/>
                    <c:pt idx="0">
                      <c:v>A-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{A65DD46B-E452-4B57-A936-53B51F788933}</c15:txfldGUID>
                      <c15:f>Credit_2012Q4!$J$9</c15:f>
                      <c15:dlblFieldTableCache>
                        <c:ptCount val="1"/>
                        <c:pt idx="0">
                          <c:v>A-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Credit_2012Q4!$M$9</c:f>
                  <c:strCache>
                    <c:ptCount val="1"/>
                    <c:pt idx="0">
                      <c:v>14%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{1C8BB107-AF81-4ED6-ADDC-1F10BE2EF427}</c15:txfldGUID>
                      <c15:f>Credit_2012Q4!$M$9</c15:f>
                      <c15:dlblFieldTableCache>
                        <c:ptCount val="1"/>
                        <c:pt idx="0">
                          <c:v>14%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Credit_2012Q4!$P$9</c:f>
                  <c:strCache>
                    <c:ptCount val="1"/>
                    <c:pt idx="0">
                      <c:v>17%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{9CA90565-771A-45D2-84E6-B32299DF94FB}</c15:txfldGUID>
                      <c15:f>Credit_2012Q4!$P$9</c15:f>
                      <c15:dlblFieldTableCache>
                        <c:ptCount val="1"/>
                        <c:pt idx="0">
                          <c:v>17%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Credit_2012Q4!$S$9</c:f>
                  <c:strCache>
                    <c:ptCount val="1"/>
                    <c:pt idx="0">
                      <c:v>12%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{867478DF-5758-439B-9A40-3E8766337351}</c15:txfldGUID>
                      <c15:f>Credit_2012Q4!$S$9</c15:f>
                      <c15:dlblFieldTableCache>
                        <c:ptCount val="1"/>
                        <c:pt idx="0">
                          <c:v>12%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Credit_2012Q4!$V$9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{2BC2C421-CBC1-4C8F-970F-668A0D51A064}</c15:txfldGUID>
                      <c15:f>Credit_2012Q4!$V$9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(Credit_2012Q4!$J$5,Credit_2012Q4!$L$5,Credit_2012Q4!$O$5,Credit_2012Q4!$R$5,Credit_2012Q4!$U$5)</c:f>
              <c:strCache>
                <c:ptCount val="5"/>
                <c:pt idx="0">
                  <c:v>Rating</c:v>
                </c:pt>
                <c:pt idx="1">
                  <c:v>All Companies
(56)</c:v>
                </c:pt>
                <c:pt idx="2">
                  <c:v>Regulated
(36)</c:v>
                </c:pt>
                <c:pt idx="3">
                  <c:v>Mostly Regulated
(17)</c:v>
                </c:pt>
                <c:pt idx="4">
                  <c:v>Diversified
(3)</c:v>
                </c:pt>
              </c:strCache>
            </c:strRef>
          </c:cat>
          <c:val>
            <c:numRef>
              <c:f>(Credit_2012Q4!$Z$9,Credit_2012Q4!$L$9,Credit_2012Q4!$O$9,Credit_2012Q4!$R$9,Credit_2012Q4!$U$9)</c:f>
              <c:numCache>
                <c:formatCode>General</c:formatCode>
                <c:ptCount val="5"/>
                <c:pt idx="0">
                  <c:v>1</c:v>
                </c:pt>
                <c:pt idx="1">
                  <c:v>8</c:v>
                </c:pt>
                <c:pt idx="2">
                  <c:v>6</c:v>
                </c:pt>
                <c:pt idx="3">
                  <c:v>2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Credit_2012Q4!$J$10</c:f>
              <c:strCache>
                <c:ptCount val="1"/>
                <c:pt idx="0">
                  <c:v>BBB+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invertIfNegative val="0"/>
          <c:dLbls>
            <c:dLbl>
              <c:idx val="0"/>
              <c:tx>
                <c:strRef>
                  <c:f>Credit_2012Q4!$J$10</c:f>
                  <c:strCache>
                    <c:ptCount val="1"/>
                    <c:pt idx="0">
                      <c:v>BBB+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{93292463-EB3D-4DA2-A9EF-4BAA40528C19}</c15:txfldGUID>
                      <c15:f>Credit_2012Q4!$J$10</c15:f>
                      <c15:dlblFieldTableCache>
                        <c:ptCount val="1"/>
                        <c:pt idx="0">
                          <c:v>BBB+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Credit_2012Q4!$M$10</c:f>
                  <c:strCache>
                    <c:ptCount val="1"/>
                    <c:pt idx="0">
                      <c:v>23%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{96AAFC15-A9CE-4A08-BE24-95BA409D3648}</c15:txfldGUID>
                      <c15:f>Credit_2012Q4!$M$10</c15:f>
                      <c15:dlblFieldTableCache>
                        <c:ptCount val="1"/>
                        <c:pt idx="0">
                          <c:v>23%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Credit_2012Q4!$P$10</c:f>
                  <c:strCache>
                    <c:ptCount val="1"/>
                    <c:pt idx="0">
                      <c:v>14%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{B5C745B9-6D76-4890-9AA1-365AF8549E97}</c15:txfldGUID>
                      <c15:f>Credit_2012Q4!$P$10</c15:f>
                      <c15:dlblFieldTableCache>
                        <c:ptCount val="1"/>
                        <c:pt idx="0">
                          <c:v>14%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Credit_2012Q4!$S$10</c:f>
                  <c:strCache>
                    <c:ptCount val="1"/>
                    <c:pt idx="0">
                      <c:v>41%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{B0FA0FFD-9E0B-46E8-950E-EE7A645F0BA8}</c15:txfldGUID>
                      <c15:f>Credit_2012Q4!$S$10</c15:f>
                      <c15:dlblFieldTableCache>
                        <c:ptCount val="1"/>
                        <c:pt idx="0">
                          <c:v>41%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Credit_2012Q4!$V$10</c:f>
                  <c:strCache>
                    <c:ptCount val="1"/>
                    <c:pt idx="0">
                      <c:v>33%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{541BD849-3E89-473D-A022-D8B5C3F85C06}</c15:txfldGUID>
                      <c15:f>Credit_2012Q4!$V$10</c15:f>
                      <c15:dlblFieldTableCache>
                        <c:ptCount val="1"/>
                        <c:pt idx="0">
                          <c:v>33%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(Credit_2012Q4!$J$5,Credit_2012Q4!$L$5,Credit_2012Q4!$O$5,Credit_2012Q4!$R$5,Credit_2012Q4!$U$5)</c:f>
              <c:strCache>
                <c:ptCount val="5"/>
                <c:pt idx="0">
                  <c:v>Rating</c:v>
                </c:pt>
                <c:pt idx="1">
                  <c:v>All Companies
(56)</c:v>
                </c:pt>
                <c:pt idx="2">
                  <c:v>Regulated
(36)</c:v>
                </c:pt>
                <c:pt idx="3">
                  <c:v>Mostly Regulated
(17)</c:v>
                </c:pt>
                <c:pt idx="4">
                  <c:v>Diversified
(3)</c:v>
                </c:pt>
              </c:strCache>
            </c:strRef>
          </c:cat>
          <c:val>
            <c:numRef>
              <c:f>(Credit_2012Q4!$Z$10,Credit_2012Q4!$L$10,Credit_2012Q4!$O$10,Credit_2012Q4!$R$10,Credit_2012Q4!$U$10)</c:f>
              <c:numCache>
                <c:formatCode>General</c:formatCode>
                <c:ptCount val="5"/>
                <c:pt idx="0">
                  <c:v>1</c:v>
                </c:pt>
                <c:pt idx="1">
                  <c:v>13</c:v>
                </c:pt>
                <c:pt idx="2">
                  <c:v>5</c:v>
                </c:pt>
                <c:pt idx="3">
                  <c:v>7</c:v>
                </c:pt>
                <c:pt idx="4">
                  <c:v>1</c:v>
                </c:pt>
              </c:numCache>
            </c:numRef>
          </c:val>
        </c:ser>
        <c:ser>
          <c:idx val="3"/>
          <c:order val="3"/>
          <c:tx>
            <c:strRef>
              <c:f>Credit_2012Q4!$J$11</c:f>
              <c:strCache>
                <c:ptCount val="1"/>
                <c:pt idx="0">
                  <c:v>BBB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dLbl>
              <c:idx val="0"/>
              <c:tx>
                <c:strRef>
                  <c:f>Credit_2012Q4!$J$11</c:f>
                  <c:strCache>
                    <c:ptCount val="1"/>
                    <c:pt idx="0">
                      <c:v>BBB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{7414C0C3-D9FB-49BE-AC16-57904E4D1A26}</c15:txfldGUID>
                      <c15:f>Credit_2012Q4!$J$11</c15:f>
                      <c15:dlblFieldTableCache>
                        <c:ptCount val="1"/>
                        <c:pt idx="0">
                          <c:v>BBB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Credit_2012Q4!$M$11</c:f>
                  <c:strCache>
                    <c:ptCount val="1"/>
                    <c:pt idx="0">
                      <c:v>29%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{6086E85C-1BBD-4222-B142-8889242ACA0A}</c15:txfldGUID>
                      <c15:f>Credit_2012Q4!$M$11</c15:f>
                      <c15:dlblFieldTableCache>
                        <c:ptCount val="1"/>
                        <c:pt idx="0">
                          <c:v>29%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Credit_2012Q4!$P$11</c:f>
                  <c:strCache>
                    <c:ptCount val="1"/>
                    <c:pt idx="0">
                      <c:v>36%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{62CAAF9D-853D-4F1F-B525-5A75109EDFF4}</c15:txfldGUID>
                      <c15:f>Credit_2012Q4!$P$11</c15:f>
                      <c15:dlblFieldTableCache>
                        <c:ptCount val="1"/>
                        <c:pt idx="0">
                          <c:v>36%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Credit_2012Q4!$S$11</c:f>
                  <c:strCache>
                    <c:ptCount val="1"/>
                    <c:pt idx="0">
                      <c:v>18%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{B3590F59-F97E-48DB-9134-8FBEE78FF64D}</c15:txfldGUID>
                      <c15:f>Credit_2012Q4!$S$11</c15:f>
                      <c15:dlblFieldTableCache>
                        <c:ptCount val="1"/>
                        <c:pt idx="0">
                          <c:v>18%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Credit_2012Q4!$V$11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{73885E7F-E06D-4470-B821-BBA63516A5BA}</c15:txfldGUID>
                      <c15:f>Credit_2012Q4!$V$11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(Credit_2012Q4!$J$5,Credit_2012Q4!$L$5,Credit_2012Q4!$O$5,Credit_2012Q4!$R$5,Credit_2012Q4!$U$5)</c:f>
              <c:strCache>
                <c:ptCount val="5"/>
                <c:pt idx="0">
                  <c:v>Rating</c:v>
                </c:pt>
                <c:pt idx="1">
                  <c:v>All Companies
(56)</c:v>
                </c:pt>
                <c:pt idx="2">
                  <c:v>Regulated
(36)</c:v>
                </c:pt>
                <c:pt idx="3">
                  <c:v>Mostly Regulated
(17)</c:v>
                </c:pt>
                <c:pt idx="4">
                  <c:v>Diversified
(3)</c:v>
                </c:pt>
              </c:strCache>
            </c:strRef>
          </c:cat>
          <c:val>
            <c:numRef>
              <c:f>(Credit_2012Q4!$Z$11,Credit_2012Q4!$L$11,Credit_2012Q4!$O$11,Credit_2012Q4!$R$11,Credit_2012Q4!$U$11)</c:f>
              <c:numCache>
                <c:formatCode>General</c:formatCode>
                <c:ptCount val="5"/>
                <c:pt idx="0">
                  <c:v>1</c:v>
                </c:pt>
                <c:pt idx="1">
                  <c:v>16</c:v>
                </c:pt>
                <c:pt idx="2">
                  <c:v>13</c:v>
                </c:pt>
                <c:pt idx="3">
                  <c:v>3</c:v>
                </c:pt>
                <c:pt idx="4">
                  <c:v>0</c:v>
                </c:pt>
              </c:numCache>
            </c:numRef>
          </c:val>
        </c:ser>
        <c:ser>
          <c:idx val="4"/>
          <c:order val="4"/>
          <c:tx>
            <c:strRef>
              <c:f>Credit_2012Q4!$J$12</c:f>
              <c:strCache>
                <c:ptCount val="1"/>
                <c:pt idx="0">
                  <c:v>BBB-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dLbls>
            <c:dLbl>
              <c:idx val="0"/>
              <c:tx>
                <c:strRef>
                  <c:f>Credit_2012Q4!$J$12</c:f>
                  <c:strCache>
                    <c:ptCount val="1"/>
                    <c:pt idx="0">
                      <c:v>BBB-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{C8B0F35F-7DCC-44F5-9912-B243275D0671}</c15:txfldGUID>
                      <c15:f>Credit_2012Q4!$J$12</c15:f>
                      <c15:dlblFieldTableCache>
                        <c:ptCount val="1"/>
                        <c:pt idx="0">
                          <c:v>BBB-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Credit_2012Q4!$M$12</c:f>
                  <c:strCache>
                    <c:ptCount val="1"/>
                    <c:pt idx="0">
                      <c:v>20%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{850A046E-B3D6-4878-A17D-17E909E455E5}</c15:txfldGUID>
                      <c15:f>Credit_2012Q4!$M$12</c15:f>
                      <c15:dlblFieldTableCache>
                        <c:ptCount val="1"/>
                        <c:pt idx="0">
                          <c:v>20%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Credit_2012Q4!$P$12</c:f>
                  <c:strCache>
                    <c:ptCount val="1"/>
                    <c:pt idx="0">
                      <c:v>17%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{B7BD2D5F-575B-48F9-AA01-DCE4A0A987C8}</c15:txfldGUID>
                      <c15:f>Credit_2012Q4!$P$12</c15:f>
                      <c15:dlblFieldTableCache>
                        <c:ptCount val="1"/>
                        <c:pt idx="0">
                          <c:v>17%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Credit_2012Q4!$S$12</c:f>
                  <c:strCache>
                    <c:ptCount val="1"/>
                    <c:pt idx="0">
                      <c:v>24%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{EC41268C-592E-4AA2-AA3E-5ECCC45398B5}</c15:txfldGUID>
                      <c15:f>Credit_2012Q4!$S$12</c15:f>
                      <c15:dlblFieldTableCache>
                        <c:ptCount val="1"/>
                        <c:pt idx="0">
                          <c:v>24%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Credit_2012Q4!$V$12</c:f>
                  <c:strCache>
                    <c:ptCount val="1"/>
                    <c:pt idx="0">
                      <c:v>33%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{698890FD-A1AC-48EA-BE01-78FBEA091825}</c15:txfldGUID>
                      <c15:f>Credit_2012Q4!$V$12</c15:f>
                      <c15:dlblFieldTableCache>
                        <c:ptCount val="1"/>
                        <c:pt idx="0">
                          <c:v>33%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(Credit_2012Q4!$J$5,Credit_2012Q4!$L$5,Credit_2012Q4!$O$5,Credit_2012Q4!$R$5,Credit_2012Q4!$U$5)</c:f>
              <c:strCache>
                <c:ptCount val="5"/>
                <c:pt idx="0">
                  <c:v>Rating</c:v>
                </c:pt>
                <c:pt idx="1">
                  <c:v>All Companies
(56)</c:v>
                </c:pt>
                <c:pt idx="2">
                  <c:v>Regulated
(36)</c:v>
                </c:pt>
                <c:pt idx="3">
                  <c:v>Mostly Regulated
(17)</c:v>
                </c:pt>
                <c:pt idx="4">
                  <c:v>Diversified
(3)</c:v>
                </c:pt>
              </c:strCache>
            </c:strRef>
          </c:cat>
          <c:val>
            <c:numRef>
              <c:f>(Credit_2012Q4!$Z$12,Credit_2012Q4!$L$12,Credit_2012Q4!$O$12,Credit_2012Q4!$R$12,Credit_2012Q4!$U$12)</c:f>
              <c:numCache>
                <c:formatCode>General</c:formatCode>
                <c:ptCount val="5"/>
                <c:pt idx="0">
                  <c:v>1</c:v>
                </c:pt>
                <c:pt idx="1">
                  <c:v>11</c:v>
                </c:pt>
                <c:pt idx="2">
                  <c:v>6</c:v>
                </c:pt>
                <c:pt idx="3">
                  <c:v>4</c:v>
                </c:pt>
                <c:pt idx="4">
                  <c:v>1</c:v>
                </c:pt>
              </c:numCache>
            </c:numRef>
          </c:val>
        </c:ser>
        <c:ser>
          <c:idx val="5"/>
          <c:order val="5"/>
          <c:tx>
            <c:strRef>
              <c:f>Credit_2012Q4!$J$13</c:f>
              <c:strCache>
                <c:ptCount val="1"/>
                <c:pt idx="0">
                  <c:v>Below BBB-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invertIfNegative val="0"/>
          <c:dLbls>
            <c:dLbl>
              <c:idx val="0"/>
              <c:tx>
                <c:strRef>
                  <c:f>Credit_2012Q4!$J$13</c:f>
                  <c:strCache>
                    <c:ptCount val="1"/>
                    <c:pt idx="0">
                      <c:v>Below BBB-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{6532AF6F-215F-4BD8-B12D-FD2DB7B40F5C}</c15:txfldGUID>
                      <c15:f>Credit_2012Q4!$J$13</c15:f>
                      <c15:dlblFieldTableCache>
                        <c:ptCount val="1"/>
                        <c:pt idx="0">
                          <c:v>Below BBB-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Credit_2012Q4!$M$13</c:f>
                  <c:strCache>
                    <c:ptCount val="1"/>
                    <c:pt idx="0">
                      <c:v>9%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{34112FD5-9C21-4E4C-B797-93EF3C5C5415}</c15:txfldGUID>
                      <c15:f>Credit_2012Q4!$M$13</c15:f>
                      <c15:dlblFieldTableCache>
                        <c:ptCount val="1"/>
                        <c:pt idx="0">
                          <c:v>9%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Credit_2012Q4!$P$13</c:f>
                  <c:strCache>
                    <c:ptCount val="1"/>
                    <c:pt idx="0">
                      <c:v>11%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{170BBFFE-DA9F-4671-8B03-B902F76DC8B8}</c15:txfldGUID>
                      <c15:f>Credit_2012Q4!$P$13</c15:f>
                      <c15:dlblFieldTableCache>
                        <c:ptCount val="1"/>
                        <c:pt idx="0">
                          <c:v>11%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Credit_2012Q4!$S$13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{A1503EF6-798C-47ED-B60B-6652E4FEEB55}</c15:txfldGUID>
                      <c15:f>Credit_2012Q4!$S$13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Credit_2012Q4!$V$13</c:f>
                  <c:strCache>
                    <c:ptCount val="1"/>
                    <c:pt idx="0">
                      <c:v>33%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{8C2B2969-733C-4DC8-845C-4C680D3A6C92}</c15:txfldGUID>
                      <c15:f>Credit_2012Q4!$V$13</c15:f>
                      <c15:dlblFieldTableCache>
                        <c:ptCount val="1"/>
                        <c:pt idx="0">
                          <c:v>33%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(Credit_2012Q4!$J$5,Credit_2012Q4!$L$5,Credit_2012Q4!$O$5,Credit_2012Q4!$R$5,Credit_2012Q4!$U$5)</c:f>
              <c:strCache>
                <c:ptCount val="5"/>
                <c:pt idx="0">
                  <c:v>Rating</c:v>
                </c:pt>
                <c:pt idx="1">
                  <c:v>All Companies
(56)</c:v>
                </c:pt>
                <c:pt idx="2">
                  <c:v>Regulated
(36)</c:v>
                </c:pt>
                <c:pt idx="3">
                  <c:v>Mostly Regulated
(17)</c:v>
                </c:pt>
                <c:pt idx="4">
                  <c:v>Diversified
(3)</c:v>
                </c:pt>
              </c:strCache>
            </c:strRef>
          </c:cat>
          <c:val>
            <c:numRef>
              <c:f>(Credit_2012Q4!$Z$13,Credit_2012Q4!$L$13,Credit_2012Q4!$O$13,Credit_2012Q4!$R$13,Credit_2012Q4!$U$13)</c:f>
              <c:numCache>
                <c:formatCode>General</c:formatCode>
                <c:ptCount val="5"/>
                <c:pt idx="0">
                  <c:v>1</c:v>
                </c:pt>
                <c:pt idx="1">
                  <c:v>5</c:v>
                </c:pt>
                <c:pt idx="2">
                  <c:v>4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792420480"/>
        <c:axId val="792420872"/>
      </c:barChart>
      <c:catAx>
        <c:axId val="7924204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high"/>
        <c:txPr>
          <a:bodyPr/>
          <a:lstStyle/>
          <a:p>
            <a:pPr>
              <a:defRPr sz="1300">
                <a:solidFill>
                  <a:sysClr val="windowText" lastClr="000000"/>
                </a:solidFill>
              </a:defRPr>
            </a:pPr>
            <a:endParaRPr lang="en-US"/>
          </a:p>
        </c:txPr>
        <c:crossAx val="792420872"/>
        <c:crosses val="max"/>
        <c:auto val="1"/>
        <c:lblAlgn val="ctr"/>
        <c:lblOffset val="100"/>
        <c:noMultiLvlLbl val="0"/>
      </c:catAx>
      <c:valAx>
        <c:axId val="792420872"/>
        <c:scaling>
          <c:orientation val="maxMin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0%" sourceLinked="1"/>
        <c:majorTickMark val="none"/>
        <c:minorTickMark val="none"/>
        <c:tickLblPos val="none"/>
        <c:spPr>
          <a:ln>
            <a:noFill/>
          </a:ln>
        </c:spPr>
        <c:crossAx val="792420480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1">
          <a:solidFill>
            <a:schemeClr val="bg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3">
                  <a:lumMod val="50000"/>
                </a:schemeClr>
              </a:solidFill>
            </c:spPr>
          </c:dPt>
          <c:dPt>
            <c:idx val="1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50000"/>
                </a:schemeClr>
              </a:solidFill>
            </c:spPr>
          </c:dPt>
          <c:dPt>
            <c:idx val="3"/>
            <c:bubble3D val="0"/>
            <c:spPr>
              <a:solidFill>
                <a:schemeClr val="accent5">
                  <a:lumMod val="75000"/>
                </a:schemeClr>
              </a:solidFill>
            </c:spPr>
          </c:dPt>
          <c:dPt>
            <c:idx val="4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</c:dPt>
          <c:dPt>
            <c:idx val="5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ysClr val="windowText" lastClr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5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ysClr val="windowText" lastClr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Credit_2012Q3!$J$8:$J$13</c:f>
              <c:strCache>
                <c:ptCount val="6"/>
                <c:pt idx="0">
                  <c:v>A or higher</c:v>
                </c:pt>
                <c:pt idx="1">
                  <c:v>A-</c:v>
                </c:pt>
                <c:pt idx="2">
                  <c:v>BBB+</c:v>
                </c:pt>
                <c:pt idx="3">
                  <c:v>BBB</c:v>
                </c:pt>
                <c:pt idx="4">
                  <c:v>BBB-</c:v>
                </c:pt>
                <c:pt idx="5">
                  <c:v>Below BBB-</c:v>
                </c:pt>
              </c:strCache>
            </c:strRef>
          </c:cat>
          <c:val>
            <c:numRef>
              <c:f>Credit_2012Q3!$M$8:$M$13</c:f>
              <c:numCache>
                <c:formatCode>0%</c:formatCode>
                <c:ptCount val="6"/>
                <c:pt idx="0">
                  <c:v>5.3571428571428568E-2</c:v>
                </c:pt>
                <c:pt idx="1">
                  <c:v>0.14285714285714285</c:v>
                </c:pt>
                <c:pt idx="2">
                  <c:v>0.23214285714285715</c:v>
                </c:pt>
                <c:pt idx="3">
                  <c:v>0.2857142857142857</c:v>
                </c:pt>
                <c:pt idx="4">
                  <c:v>0.21428571428571427</c:v>
                </c:pt>
                <c:pt idx="5">
                  <c:v>7.1428571428571425E-2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4.0854248593277388E-2"/>
          <c:w val="1"/>
          <c:h val="0.7859199662194755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Credit_2012Q3!$J$8</c:f>
              <c:strCache>
                <c:ptCount val="1"/>
                <c:pt idx="0">
                  <c:v>A or higher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invertIfNegative val="0"/>
          <c:dLbls>
            <c:dLbl>
              <c:idx val="0"/>
              <c:tx>
                <c:strRef>
                  <c:f>Credit_2012Q3!$J$8</c:f>
                  <c:strCache>
                    <c:ptCount val="1"/>
                    <c:pt idx="0">
                      <c:v>A or higher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{F23FDCDB-6167-408A-BC86-40C49FC898E4}</c15:txfldGUID>
                      <c15:f>Credit_2012Q3!$J$8</c15:f>
                      <c15:dlblFieldTableCache>
                        <c:ptCount val="1"/>
                        <c:pt idx="0">
                          <c:v>A or higher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Credit_2012Q3!$M$8</c:f>
                  <c:strCache>
                    <c:ptCount val="1"/>
                    <c:pt idx="0">
                      <c:v>5%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{B2808D69-888E-4162-B8A1-D488BA141944}</c15:txfldGUID>
                      <c15:f>Credit_2012Q3!$M$8</c15:f>
                      <c15:dlblFieldTableCache>
                        <c:ptCount val="1"/>
                        <c:pt idx="0">
                          <c:v>5%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Credit_2012Q3!$P$8</c:f>
                  <c:strCache>
                    <c:ptCount val="1"/>
                    <c:pt idx="0">
                      <c:v>6%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{F0A3D5CD-F6A6-4994-A7A9-79CF90D2046B}</c15:txfldGUID>
                      <c15:f>Credit_2012Q3!$P$8</c15:f>
                      <c15:dlblFieldTableCache>
                        <c:ptCount val="1"/>
                        <c:pt idx="0">
                          <c:v>6%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Credit_2012Q3!$S$8</c:f>
                  <c:strCache>
                    <c:ptCount val="1"/>
                    <c:pt idx="0">
                      <c:v>6%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{1C3747CA-DE39-4301-9E43-3E700B1F066F}</c15:txfldGUID>
                      <c15:f>Credit_2012Q3!$S$8</c15:f>
                      <c15:dlblFieldTableCache>
                        <c:ptCount val="1"/>
                        <c:pt idx="0">
                          <c:v>6%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Credit_2012Q3!$V$8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{1FAEDAA8-AAF7-4817-8C92-379FD5275714}</c15:txfldGUID>
                      <c15:f>Credit_2012Q3!$V$8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(Credit_2012Q3!$J$5,Credit_2012Q3!$L$5,Credit_2012Q3!$O$5,Credit_2012Q3!$R$5,Credit_2012Q3!$U$5)</c:f>
              <c:strCache>
                <c:ptCount val="5"/>
                <c:pt idx="0">
                  <c:v>Rating</c:v>
                </c:pt>
                <c:pt idx="1">
                  <c:v>All Companies
(56)</c:v>
                </c:pt>
                <c:pt idx="2">
                  <c:v>Regulated
(36)</c:v>
                </c:pt>
                <c:pt idx="3">
                  <c:v>Mostly Regulated
(17)</c:v>
                </c:pt>
                <c:pt idx="4">
                  <c:v>Diversified
(3)</c:v>
                </c:pt>
              </c:strCache>
            </c:strRef>
          </c:cat>
          <c:val>
            <c:numRef>
              <c:f>(Credit_2012Q3!$Z$8,Credit_2012Q3!$L$8,Credit_2012Q3!$O$8,Credit_2012Q3!$R$8,Credit_2012Q3!$U$8)</c:f>
              <c:numCache>
                <c:formatCode>General</c:formatCode>
                <c:ptCount val="5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Credit_2012Q3!$J$9</c:f>
              <c:strCache>
                <c:ptCount val="1"/>
                <c:pt idx="0">
                  <c:v>A-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tx>
                <c:strRef>
                  <c:f>Credit_2012Q3!$J$9</c:f>
                  <c:strCache>
                    <c:ptCount val="1"/>
                    <c:pt idx="0">
                      <c:v>A-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{75CBA031-DB45-44D7-8F26-EF356A4C215A}</c15:txfldGUID>
                      <c15:f>Credit_2012Q3!$J$9</c15:f>
                      <c15:dlblFieldTableCache>
                        <c:ptCount val="1"/>
                        <c:pt idx="0">
                          <c:v>A-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Credit_2012Q3!$M$9</c:f>
                  <c:strCache>
                    <c:ptCount val="1"/>
                    <c:pt idx="0">
                      <c:v>14%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{48C40400-1809-42C5-B3F8-D71B25B2E6A6}</c15:txfldGUID>
                      <c15:f>Credit_2012Q3!$M$9</c15:f>
                      <c15:dlblFieldTableCache>
                        <c:ptCount val="1"/>
                        <c:pt idx="0">
                          <c:v>14%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Credit_2012Q3!$P$9</c:f>
                  <c:strCache>
                    <c:ptCount val="1"/>
                    <c:pt idx="0">
                      <c:v>17%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{BF8E13CC-DCAF-434C-9A6A-89645001C7C2}</c15:txfldGUID>
                      <c15:f>Credit_2012Q3!$P$9</c15:f>
                      <c15:dlblFieldTableCache>
                        <c:ptCount val="1"/>
                        <c:pt idx="0">
                          <c:v>17%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Credit_2012Q3!$S$9</c:f>
                  <c:strCache>
                    <c:ptCount val="1"/>
                    <c:pt idx="0">
                      <c:v>12%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{FB3F250E-769F-4D84-B97E-2CD78AA6D0B7}</c15:txfldGUID>
                      <c15:f>Credit_2012Q3!$S$9</c15:f>
                      <c15:dlblFieldTableCache>
                        <c:ptCount val="1"/>
                        <c:pt idx="0">
                          <c:v>12%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Credit_2012Q3!$V$9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{A8838A5B-D69E-48D7-BD6B-1CA152744A1D}</c15:txfldGUID>
                      <c15:f>Credit_2012Q3!$V$9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(Credit_2012Q3!$J$5,Credit_2012Q3!$L$5,Credit_2012Q3!$O$5,Credit_2012Q3!$R$5,Credit_2012Q3!$U$5)</c:f>
              <c:strCache>
                <c:ptCount val="5"/>
                <c:pt idx="0">
                  <c:v>Rating</c:v>
                </c:pt>
                <c:pt idx="1">
                  <c:v>All Companies
(56)</c:v>
                </c:pt>
                <c:pt idx="2">
                  <c:v>Regulated
(36)</c:v>
                </c:pt>
                <c:pt idx="3">
                  <c:v>Mostly Regulated
(17)</c:v>
                </c:pt>
                <c:pt idx="4">
                  <c:v>Diversified
(3)</c:v>
                </c:pt>
              </c:strCache>
            </c:strRef>
          </c:cat>
          <c:val>
            <c:numRef>
              <c:f>(Credit_2012Q3!$Z$9,Credit_2012Q3!$L$9,Credit_2012Q3!$O$9,Credit_2012Q3!$R$9,Credit_2012Q3!$U$9)</c:f>
              <c:numCache>
                <c:formatCode>General</c:formatCode>
                <c:ptCount val="5"/>
                <c:pt idx="0">
                  <c:v>1</c:v>
                </c:pt>
                <c:pt idx="1">
                  <c:v>8</c:v>
                </c:pt>
                <c:pt idx="2">
                  <c:v>6</c:v>
                </c:pt>
                <c:pt idx="3">
                  <c:v>2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Credit_2012Q3!$J$10</c:f>
              <c:strCache>
                <c:ptCount val="1"/>
                <c:pt idx="0">
                  <c:v>BBB+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invertIfNegative val="0"/>
          <c:dLbls>
            <c:dLbl>
              <c:idx val="0"/>
              <c:tx>
                <c:strRef>
                  <c:f>Credit_2012Q3!$J$10</c:f>
                  <c:strCache>
                    <c:ptCount val="1"/>
                    <c:pt idx="0">
                      <c:v>BBB+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{B31E0FC3-2140-438B-A649-321A51A70E4D}</c15:txfldGUID>
                      <c15:f>Credit_2012Q3!$J$10</c15:f>
                      <c15:dlblFieldTableCache>
                        <c:ptCount val="1"/>
                        <c:pt idx="0">
                          <c:v>BBB+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Credit_2012Q3!$M$10</c:f>
                  <c:strCache>
                    <c:ptCount val="1"/>
                    <c:pt idx="0">
                      <c:v>23%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{804B628B-36D9-4560-9E44-2F201DDCBA75}</c15:txfldGUID>
                      <c15:f>Credit_2012Q3!$M$10</c15:f>
                      <c15:dlblFieldTableCache>
                        <c:ptCount val="1"/>
                        <c:pt idx="0">
                          <c:v>23%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Credit_2012Q3!$P$10</c:f>
                  <c:strCache>
                    <c:ptCount val="1"/>
                    <c:pt idx="0">
                      <c:v>14%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{5D5C9EB2-9D4E-4CD6-A485-A358CD81AAC4}</c15:txfldGUID>
                      <c15:f>Credit_2012Q3!$P$10</c15:f>
                      <c15:dlblFieldTableCache>
                        <c:ptCount val="1"/>
                        <c:pt idx="0">
                          <c:v>14%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Credit_2012Q3!$S$10</c:f>
                  <c:strCache>
                    <c:ptCount val="1"/>
                    <c:pt idx="0">
                      <c:v>41%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{80956B45-2D77-45F3-8BCA-006EAF5B0395}</c15:txfldGUID>
                      <c15:f>Credit_2012Q3!$S$10</c15:f>
                      <c15:dlblFieldTableCache>
                        <c:ptCount val="1"/>
                        <c:pt idx="0">
                          <c:v>41%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Credit_2012Q3!$V$10</c:f>
                  <c:strCache>
                    <c:ptCount val="1"/>
                    <c:pt idx="0">
                      <c:v>33%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{DE835D27-E4D1-470C-8EA3-CC3D962C17B0}</c15:txfldGUID>
                      <c15:f>Credit_2012Q3!$V$10</c15:f>
                      <c15:dlblFieldTableCache>
                        <c:ptCount val="1"/>
                        <c:pt idx="0">
                          <c:v>33%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(Credit_2012Q3!$J$5,Credit_2012Q3!$L$5,Credit_2012Q3!$O$5,Credit_2012Q3!$R$5,Credit_2012Q3!$U$5)</c:f>
              <c:strCache>
                <c:ptCount val="5"/>
                <c:pt idx="0">
                  <c:v>Rating</c:v>
                </c:pt>
                <c:pt idx="1">
                  <c:v>All Companies
(56)</c:v>
                </c:pt>
                <c:pt idx="2">
                  <c:v>Regulated
(36)</c:v>
                </c:pt>
                <c:pt idx="3">
                  <c:v>Mostly Regulated
(17)</c:v>
                </c:pt>
                <c:pt idx="4">
                  <c:v>Diversified
(3)</c:v>
                </c:pt>
              </c:strCache>
            </c:strRef>
          </c:cat>
          <c:val>
            <c:numRef>
              <c:f>(Credit_2012Q3!$Z$10,Credit_2012Q3!$L$10,Credit_2012Q3!$O$10,Credit_2012Q3!$R$10,Credit_2012Q3!$U$10)</c:f>
              <c:numCache>
                <c:formatCode>General</c:formatCode>
                <c:ptCount val="5"/>
                <c:pt idx="0">
                  <c:v>1</c:v>
                </c:pt>
                <c:pt idx="1">
                  <c:v>13</c:v>
                </c:pt>
                <c:pt idx="2">
                  <c:v>5</c:v>
                </c:pt>
                <c:pt idx="3">
                  <c:v>7</c:v>
                </c:pt>
                <c:pt idx="4">
                  <c:v>1</c:v>
                </c:pt>
              </c:numCache>
            </c:numRef>
          </c:val>
        </c:ser>
        <c:ser>
          <c:idx val="3"/>
          <c:order val="3"/>
          <c:tx>
            <c:strRef>
              <c:f>Credit_2012Q3!$J$11</c:f>
              <c:strCache>
                <c:ptCount val="1"/>
                <c:pt idx="0">
                  <c:v>BBB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dLbl>
              <c:idx val="0"/>
              <c:tx>
                <c:strRef>
                  <c:f>Credit_2012Q3!$J$11</c:f>
                  <c:strCache>
                    <c:ptCount val="1"/>
                    <c:pt idx="0">
                      <c:v>BBB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{A2886694-39D1-43EC-943C-8BED9C23B422}</c15:txfldGUID>
                      <c15:f>Credit_2012Q3!$J$11</c15:f>
                      <c15:dlblFieldTableCache>
                        <c:ptCount val="1"/>
                        <c:pt idx="0">
                          <c:v>BBB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Credit_2012Q3!$M$11</c:f>
                  <c:strCache>
                    <c:ptCount val="1"/>
                    <c:pt idx="0">
                      <c:v>29%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{F5FE6020-CA56-4AE4-B36F-FB47C13C66F3}</c15:txfldGUID>
                      <c15:f>Credit_2012Q3!$M$11</c15:f>
                      <c15:dlblFieldTableCache>
                        <c:ptCount val="1"/>
                        <c:pt idx="0">
                          <c:v>29%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Credit_2012Q3!$P$11</c:f>
                  <c:strCache>
                    <c:ptCount val="1"/>
                    <c:pt idx="0">
                      <c:v>36%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{EBE5541B-CD64-436C-AB7D-44A13EC2B795}</c15:txfldGUID>
                      <c15:f>Credit_2012Q3!$P$11</c15:f>
                      <c15:dlblFieldTableCache>
                        <c:ptCount val="1"/>
                        <c:pt idx="0">
                          <c:v>36%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Credit_2012Q3!$S$11</c:f>
                  <c:strCache>
                    <c:ptCount val="1"/>
                    <c:pt idx="0">
                      <c:v>18%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{48B69404-62B2-4F6B-975D-73D3243BFDDB}</c15:txfldGUID>
                      <c15:f>Credit_2012Q3!$S$11</c15:f>
                      <c15:dlblFieldTableCache>
                        <c:ptCount val="1"/>
                        <c:pt idx="0">
                          <c:v>18%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Credit_2012Q3!$V$11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{0A799DFA-81BF-422F-923B-62315C7D9BE3}</c15:txfldGUID>
                      <c15:f>Credit_2012Q3!$V$11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(Credit_2012Q3!$J$5,Credit_2012Q3!$L$5,Credit_2012Q3!$O$5,Credit_2012Q3!$R$5,Credit_2012Q3!$U$5)</c:f>
              <c:strCache>
                <c:ptCount val="5"/>
                <c:pt idx="0">
                  <c:v>Rating</c:v>
                </c:pt>
                <c:pt idx="1">
                  <c:v>All Companies
(56)</c:v>
                </c:pt>
                <c:pt idx="2">
                  <c:v>Regulated
(36)</c:v>
                </c:pt>
                <c:pt idx="3">
                  <c:v>Mostly Regulated
(17)</c:v>
                </c:pt>
                <c:pt idx="4">
                  <c:v>Diversified
(3)</c:v>
                </c:pt>
              </c:strCache>
            </c:strRef>
          </c:cat>
          <c:val>
            <c:numRef>
              <c:f>(Credit_2012Q3!$Z$11,Credit_2012Q3!$L$11,Credit_2012Q3!$O$11,Credit_2012Q3!$R$11,Credit_2012Q3!$U$11)</c:f>
              <c:numCache>
                <c:formatCode>General</c:formatCode>
                <c:ptCount val="5"/>
                <c:pt idx="0">
                  <c:v>1</c:v>
                </c:pt>
                <c:pt idx="1">
                  <c:v>16</c:v>
                </c:pt>
                <c:pt idx="2">
                  <c:v>13</c:v>
                </c:pt>
                <c:pt idx="3">
                  <c:v>3</c:v>
                </c:pt>
                <c:pt idx="4">
                  <c:v>0</c:v>
                </c:pt>
              </c:numCache>
            </c:numRef>
          </c:val>
        </c:ser>
        <c:ser>
          <c:idx val="4"/>
          <c:order val="4"/>
          <c:tx>
            <c:strRef>
              <c:f>Credit_2012Q3!$J$12</c:f>
              <c:strCache>
                <c:ptCount val="1"/>
                <c:pt idx="0">
                  <c:v>BBB-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dLbls>
            <c:dLbl>
              <c:idx val="0"/>
              <c:tx>
                <c:strRef>
                  <c:f>Credit_2012Q3!$J$12</c:f>
                  <c:strCache>
                    <c:ptCount val="1"/>
                    <c:pt idx="0">
                      <c:v>BBB-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{554D7FDC-0274-4A40-BEDD-98B54CFFDC00}</c15:txfldGUID>
                      <c15:f>Credit_2012Q3!$J$12</c15:f>
                      <c15:dlblFieldTableCache>
                        <c:ptCount val="1"/>
                        <c:pt idx="0">
                          <c:v>BBB-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Credit_2012Q3!$M$12</c:f>
                  <c:strCache>
                    <c:ptCount val="1"/>
                    <c:pt idx="0">
                      <c:v>21%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{5C25FDF9-C63B-4D58-9F1D-30778B1932BA}</c15:txfldGUID>
                      <c15:f>Credit_2012Q3!$M$12</c15:f>
                      <c15:dlblFieldTableCache>
                        <c:ptCount val="1"/>
                        <c:pt idx="0">
                          <c:v>21%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Credit_2012Q3!$P$12</c:f>
                  <c:strCache>
                    <c:ptCount val="1"/>
                    <c:pt idx="0">
                      <c:v>19%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{89CDDF54-D73F-462A-9D2D-D47E1B0A59B6}</c15:txfldGUID>
                      <c15:f>Credit_2012Q3!$P$12</c15:f>
                      <c15:dlblFieldTableCache>
                        <c:ptCount val="1"/>
                        <c:pt idx="0">
                          <c:v>19%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Credit_2012Q3!$S$12</c:f>
                  <c:strCache>
                    <c:ptCount val="1"/>
                    <c:pt idx="0">
                      <c:v>24%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{DF61A3D7-D703-4D5B-B9A4-574783387BFE}</c15:txfldGUID>
                      <c15:f>Credit_2012Q3!$S$12</c15:f>
                      <c15:dlblFieldTableCache>
                        <c:ptCount val="1"/>
                        <c:pt idx="0">
                          <c:v>24%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Credit_2012Q3!$V$12</c:f>
                  <c:strCache>
                    <c:ptCount val="1"/>
                    <c:pt idx="0">
                      <c:v>33%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{CB6364EC-7097-4177-8E97-CDFD6139081F}</c15:txfldGUID>
                      <c15:f>Credit_2012Q3!$V$12</c15:f>
                      <c15:dlblFieldTableCache>
                        <c:ptCount val="1"/>
                        <c:pt idx="0">
                          <c:v>33%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(Credit_2012Q3!$J$5,Credit_2012Q3!$L$5,Credit_2012Q3!$O$5,Credit_2012Q3!$R$5,Credit_2012Q3!$U$5)</c:f>
              <c:strCache>
                <c:ptCount val="5"/>
                <c:pt idx="0">
                  <c:v>Rating</c:v>
                </c:pt>
                <c:pt idx="1">
                  <c:v>All Companies
(56)</c:v>
                </c:pt>
                <c:pt idx="2">
                  <c:v>Regulated
(36)</c:v>
                </c:pt>
                <c:pt idx="3">
                  <c:v>Mostly Regulated
(17)</c:v>
                </c:pt>
                <c:pt idx="4">
                  <c:v>Diversified
(3)</c:v>
                </c:pt>
              </c:strCache>
            </c:strRef>
          </c:cat>
          <c:val>
            <c:numRef>
              <c:f>(Credit_2012Q3!$Z$12,Credit_2012Q3!$L$12,Credit_2012Q3!$O$12,Credit_2012Q3!$R$12,Credit_2012Q3!$U$12)</c:f>
              <c:numCache>
                <c:formatCode>General</c:formatCode>
                <c:ptCount val="5"/>
                <c:pt idx="0">
                  <c:v>1</c:v>
                </c:pt>
                <c:pt idx="1">
                  <c:v>12</c:v>
                </c:pt>
                <c:pt idx="2">
                  <c:v>7</c:v>
                </c:pt>
                <c:pt idx="3">
                  <c:v>4</c:v>
                </c:pt>
                <c:pt idx="4">
                  <c:v>1</c:v>
                </c:pt>
              </c:numCache>
            </c:numRef>
          </c:val>
        </c:ser>
        <c:ser>
          <c:idx val="5"/>
          <c:order val="5"/>
          <c:tx>
            <c:strRef>
              <c:f>Credit_2012Q3!$J$13</c:f>
              <c:strCache>
                <c:ptCount val="1"/>
                <c:pt idx="0">
                  <c:v>Below BBB-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invertIfNegative val="0"/>
          <c:dLbls>
            <c:dLbl>
              <c:idx val="0"/>
              <c:tx>
                <c:strRef>
                  <c:f>Credit_2012Q3!$J$13</c:f>
                  <c:strCache>
                    <c:ptCount val="1"/>
                    <c:pt idx="0">
                      <c:v>Below BBB-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{910E8B87-41F5-4FBB-A218-03C079A383FD}</c15:txfldGUID>
                      <c15:f>Credit_2012Q3!$J$13</c15:f>
                      <c15:dlblFieldTableCache>
                        <c:ptCount val="1"/>
                        <c:pt idx="0">
                          <c:v>Below BBB-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Credit_2012Q3!$M$13</c:f>
                  <c:strCache>
                    <c:ptCount val="1"/>
                    <c:pt idx="0">
                      <c:v>7%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{BC9A2745-8248-441B-B926-FA89BDD521C3}</c15:txfldGUID>
                      <c15:f>Credit_2012Q3!$M$13</c15:f>
                      <c15:dlblFieldTableCache>
                        <c:ptCount val="1"/>
                        <c:pt idx="0">
                          <c:v>7%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Credit_2012Q3!$P$13</c:f>
                  <c:strCache>
                    <c:ptCount val="1"/>
                    <c:pt idx="0">
                      <c:v>8%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{B131411F-3BF0-48DA-B132-CC6062D6C0BB}</c15:txfldGUID>
                      <c15:f>Credit_2012Q3!$P$13</c15:f>
                      <c15:dlblFieldTableCache>
                        <c:ptCount val="1"/>
                        <c:pt idx="0">
                          <c:v>8%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Credit_2012Q3!$S$13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{4A453CF3-E905-44EA-B9C4-A8DF242772B8}</c15:txfldGUID>
                      <c15:f>Credit_2012Q3!$S$13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Credit_2012Q3!$V$13</c:f>
                  <c:strCache>
                    <c:ptCount val="1"/>
                    <c:pt idx="0">
                      <c:v>33%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{60E33BB7-E312-4E3D-86A6-B54171F94881}</c15:txfldGUID>
                      <c15:f>Credit_2012Q3!$V$13</c15:f>
                      <c15:dlblFieldTableCache>
                        <c:ptCount val="1"/>
                        <c:pt idx="0">
                          <c:v>33%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(Credit_2012Q3!$J$5,Credit_2012Q3!$L$5,Credit_2012Q3!$O$5,Credit_2012Q3!$R$5,Credit_2012Q3!$U$5)</c:f>
              <c:strCache>
                <c:ptCount val="5"/>
                <c:pt idx="0">
                  <c:v>Rating</c:v>
                </c:pt>
                <c:pt idx="1">
                  <c:v>All Companies
(56)</c:v>
                </c:pt>
                <c:pt idx="2">
                  <c:v>Regulated
(36)</c:v>
                </c:pt>
                <c:pt idx="3">
                  <c:v>Mostly Regulated
(17)</c:v>
                </c:pt>
                <c:pt idx="4">
                  <c:v>Diversified
(3)</c:v>
                </c:pt>
              </c:strCache>
            </c:strRef>
          </c:cat>
          <c:val>
            <c:numRef>
              <c:f>(Credit_2012Q3!$Z$13,Credit_2012Q3!$L$13,Credit_2012Q3!$O$13,Credit_2012Q3!$R$13,Credit_2012Q3!$U$13)</c:f>
              <c:numCache>
                <c:formatCode>General</c:formatCode>
                <c:ptCount val="5"/>
                <c:pt idx="0">
                  <c:v>1</c:v>
                </c:pt>
                <c:pt idx="1">
                  <c:v>4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792422048"/>
        <c:axId val="792422440"/>
      </c:barChart>
      <c:catAx>
        <c:axId val="7924220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high"/>
        <c:txPr>
          <a:bodyPr/>
          <a:lstStyle/>
          <a:p>
            <a:pPr>
              <a:defRPr sz="1300">
                <a:solidFill>
                  <a:sysClr val="windowText" lastClr="000000"/>
                </a:solidFill>
              </a:defRPr>
            </a:pPr>
            <a:endParaRPr lang="en-US"/>
          </a:p>
        </c:txPr>
        <c:crossAx val="792422440"/>
        <c:crosses val="max"/>
        <c:auto val="1"/>
        <c:lblAlgn val="ctr"/>
        <c:lblOffset val="100"/>
        <c:noMultiLvlLbl val="0"/>
      </c:catAx>
      <c:valAx>
        <c:axId val="792422440"/>
        <c:scaling>
          <c:orientation val="maxMin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0%" sourceLinked="1"/>
        <c:majorTickMark val="none"/>
        <c:minorTickMark val="none"/>
        <c:tickLblPos val="none"/>
        <c:spPr>
          <a:ln>
            <a:noFill/>
          </a:ln>
        </c:spPr>
        <c:crossAx val="792422048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1">
          <a:solidFill>
            <a:schemeClr val="bg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3">
                  <a:lumMod val="50000"/>
                </a:schemeClr>
              </a:solidFill>
            </c:spPr>
          </c:dPt>
          <c:dPt>
            <c:idx val="1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50000"/>
                </a:schemeClr>
              </a:solidFill>
            </c:spPr>
          </c:dPt>
          <c:dPt>
            <c:idx val="3"/>
            <c:bubble3D val="0"/>
            <c:spPr>
              <a:solidFill>
                <a:schemeClr val="accent5">
                  <a:lumMod val="75000"/>
                </a:schemeClr>
              </a:solidFill>
            </c:spPr>
          </c:dPt>
          <c:dPt>
            <c:idx val="4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</c:dPt>
          <c:dPt>
            <c:idx val="5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ysClr val="windowText" lastClr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5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ysClr val="windowText" lastClr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Credit_2012Q2!$J$8:$J$13</c:f>
              <c:strCache>
                <c:ptCount val="6"/>
                <c:pt idx="0">
                  <c:v>A or higher</c:v>
                </c:pt>
                <c:pt idx="1">
                  <c:v>A-</c:v>
                </c:pt>
                <c:pt idx="2">
                  <c:v>BBB+</c:v>
                </c:pt>
                <c:pt idx="3">
                  <c:v>BBB</c:v>
                </c:pt>
                <c:pt idx="4">
                  <c:v>BBB-</c:v>
                </c:pt>
                <c:pt idx="5">
                  <c:v>Below BBB-</c:v>
                </c:pt>
              </c:strCache>
            </c:strRef>
          </c:cat>
          <c:val>
            <c:numRef>
              <c:f>Credit_2012Q2!$M$8:$M$13</c:f>
              <c:numCache>
                <c:formatCode>0%</c:formatCode>
                <c:ptCount val="6"/>
                <c:pt idx="0">
                  <c:v>5.2631578947368418E-2</c:v>
                </c:pt>
                <c:pt idx="1">
                  <c:v>0.15789473684210525</c:v>
                </c:pt>
                <c:pt idx="2">
                  <c:v>0.22807017543859648</c:v>
                </c:pt>
                <c:pt idx="3">
                  <c:v>0.2807017543859649</c:v>
                </c:pt>
                <c:pt idx="4">
                  <c:v>0.21052631578947367</c:v>
                </c:pt>
                <c:pt idx="5">
                  <c:v>7.0175438596491224E-2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4.0854248593277388E-2"/>
          <c:w val="1"/>
          <c:h val="0.7859199662194755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Credit_2012Q2!$J$8</c:f>
              <c:strCache>
                <c:ptCount val="1"/>
                <c:pt idx="0">
                  <c:v>A or higher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invertIfNegative val="0"/>
          <c:dLbls>
            <c:dLbl>
              <c:idx val="0"/>
              <c:tx>
                <c:strRef>
                  <c:f>Credit_2012Q2!$J$8</c:f>
                  <c:strCache>
                    <c:ptCount val="1"/>
                    <c:pt idx="0">
                      <c:v>A or higher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{EA588027-E399-4BA1-923A-E6430B533862}</c15:txfldGUID>
                      <c15:f>Credit_2012Q2!$J$8</c15:f>
                      <c15:dlblFieldTableCache>
                        <c:ptCount val="1"/>
                        <c:pt idx="0">
                          <c:v>A or higher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Credit_2012Q2!$M$8</c:f>
                  <c:strCache>
                    <c:ptCount val="1"/>
                    <c:pt idx="0">
                      <c:v>5%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{C4AA58C6-5053-4B4A-9A3B-0CA26C24AE92}</c15:txfldGUID>
                      <c15:f>Credit_2012Q2!$M$8</c15:f>
                      <c15:dlblFieldTableCache>
                        <c:ptCount val="1"/>
                        <c:pt idx="0">
                          <c:v>5%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Credit_2012Q2!$P$8</c:f>
                  <c:strCache>
                    <c:ptCount val="1"/>
                    <c:pt idx="0">
                      <c:v>5%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{4ACF3530-3EC3-4DE8-B588-00DDFB50BC0B}</c15:txfldGUID>
                      <c15:f>Credit_2012Q2!$P$8</c15:f>
                      <c15:dlblFieldTableCache>
                        <c:ptCount val="1"/>
                        <c:pt idx="0">
                          <c:v>5%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Credit_2012Q2!$S$8</c:f>
                  <c:strCache>
                    <c:ptCount val="1"/>
                    <c:pt idx="0">
                      <c:v>6%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{77ED0B86-4747-4C24-B76A-8DDC10E7CE68}</c15:txfldGUID>
                      <c15:f>Credit_2012Q2!$S$8</c15:f>
                      <c15:dlblFieldTableCache>
                        <c:ptCount val="1"/>
                        <c:pt idx="0">
                          <c:v>6%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Credit_2012Q2!$V$8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{AD66EE19-9DFB-4BF8-ADD8-0ECF4ABD234D}</c15:txfldGUID>
                      <c15:f>Credit_2012Q2!$V$8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(Credit_2012Q2!$J$5,Credit_2012Q2!$L$5,Credit_2012Q2!$O$5,Credit_2012Q2!$R$5,Credit_2012Q2!$U$5)</c:f>
              <c:strCache>
                <c:ptCount val="5"/>
                <c:pt idx="0">
                  <c:v>Rating</c:v>
                </c:pt>
                <c:pt idx="1">
                  <c:v>All Companies
(57)</c:v>
                </c:pt>
                <c:pt idx="2">
                  <c:v>Regulated
(37)</c:v>
                </c:pt>
                <c:pt idx="3">
                  <c:v>Mostly Regulated
(17)</c:v>
                </c:pt>
                <c:pt idx="4">
                  <c:v>Diversified
(2)</c:v>
                </c:pt>
              </c:strCache>
            </c:strRef>
          </c:cat>
          <c:val>
            <c:numRef>
              <c:f>(Credit_2012Q2!$Z$8,Credit_2012Q2!$L$8,Credit_2012Q2!$O$8,Credit_2012Q2!$R$8,Credit_2012Q2!$U$8)</c:f>
              <c:numCache>
                <c:formatCode>General</c:formatCode>
                <c:ptCount val="5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Credit_2012Q2!$J$9</c:f>
              <c:strCache>
                <c:ptCount val="1"/>
                <c:pt idx="0">
                  <c:v>A-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tx>
                <c:strRef>
                  <c:f>Credit_2012Q2!$J$9</c:f>
                  <c:strCache>
                    <c:ptCount val="1"/>
                    <c:pt idx="0">
                      <c:v>A-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{63FFA23F-88F7-4796-BDA0-EAE416F391FA}</c15:txfldGUID>
                      <c15:f>Credit_2012Q2!$J$9</c15:f>
                      <c15:dlblFieldTableCache>
                        <c:ptCount val="1"/>
                        <c:pt idx="0">
                          <c:v>A-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Credit_2012Q2!$M$9</c:f>
                  <c:strCache>
                    <c:ptCount val="1"/>
                    <c:pt idx="0">
                      <c:v>16%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{394EB41E-0B8F-405C-B1AD-8ECB18D5285A}</c15:txfldGUID>
                      <c15:f>Credit_2012Q2!$M$9</c15:f>
                      <c15:dlblFieldTableCache>
                        <c:ptCount val="1"/>
                        <c:pt idx="0">
                          <c:v>16%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Credit_2012Q2!$P$9</c:f>
                  <c:strCache>
                    <c:ptCount val="1"/>
                    <c:pt idx="0">
                      <c:v>16%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{BE0F0F42-AB31-4641-AE53-CEB415F3DC2A}</c15:txfldGUID>
                      <c15:f>Credit_2012Q2!$P$9</c15:f>
                      <c15:dlblFieldTableCache>
                        <c:ptCount val="1"/>
                        <c:pt idx="0">
                          <c:v>16%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Credit_2012Q2!$S$9</c:f>
                  <c:strCache>
                    <c:ptCount val="1"/>
                    <c:pt idx="0">
                      <c:v>18%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{FC78E43A-0BA5-49B4-8742-BDC26966784A}</c15:txfldGUID>
                      <c15:f>Credit_2012Q2!$S$9</c15:f>
                      <c15:dlblFieldTableCache>
                        <c:ptCount val="1"/>
                        <c:pt idx="0">
                          <c:v>18%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Credit_2012Q2!$V$9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{CD580E5F-D74D-469D-B6EB-CB5EAC8FA346}</c15:txfldGUID>
                      <c15:f>Credit_2012Q2!$V$9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(Credit_2012Q2!$J$5,Credit_2012Q2!$L$5,Credit_2012Q2!$O$5,Credit_2012Q2!$R$5,Credit_2012Q2!$U$5)</c:f>
              <c:strCache>
                <c:ptCount val="5"/>
                <c:pt idx="0">
                  <c:v>Rating</c:v>
                </c:pt>
                <c:pt idx="1">
                  <c:v>All Companies
(57)</c:v>
                </c:pt>
                <c:pt idx="2">
                  <c:v>Regulated
(37)</c:v>
                </c:pt>
                <c:pt idx="3">
                  <c:v>Mostly Regulated
(17)</c:v>
                </c:pt>
                <c:pt idx="4">
                  <c:v>Diversified
(2)</c:v>
                </c:pt>
              </c:strCache>
            </c:strRef>
          </c:cat>
          <c:val>
            <c:numRef>
              <c:f>(Credit_2012Q2!$Z$9,Credit_2012Q2!$L$9,Credit_2012Q2!$O$9,Credit_2012Q2!$R$9,Credit_2012Q2!$U$9)</c:f>
              <c:numCache>
                <c:formatCode>General</c:formatCode>
                <c:ptCount val="5"/>
                <c:pt idx="0">
                  <c:v>1</c:v>
                </c:pt>
                <c:pt idx="1">
                  <c:v>9</c:v>
                </c:pt>
                <c:pt idx="2">
                  <c:v>6</c:v>
                </c:pt>
                <c:pt idx="3">
                  <c:v>3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Credit_2012Q2!$J$10</c:f>
              <c:strCache>
                <c:ptCount val="1"/>
                <c:pt idx="0">
                  <c:v>BBB+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invertIfNegative val="0"/>
          <c:dLbls>
            <c:dLbl>
              <c:idx val="0"/>
              <c:tx>
                <c:strRef>
                  <c:f>Credit_2012Q2!$J$10</c:f>
                  <c:strCache>
                    <c:ptCount val="1"/>
                    <c:pt idx="0">
                      <c:v>BBB+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{186AB73D-F0B4-4105-A305-BF5EAB092D84}</c15:txfldGUID>
                      <c15:f>Credit_2012Q2!$J$10</c15:f>
                      <c15:dlblFieldTableCache>
                        <c:ptCount val="1"/>
                        <c:pt idx="0">
                          <c:v>BBB+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Credit_2012Q2!$M$10</c:f>
                  <c:strCache>
                    <c:ptCount val="1"/>
                    <c:pt idx="0">
                      <c:v>23%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{21DD4E7A-67D7-44F4-A3D8-92D175456796}</c15:txfldGUID>
                      <c15:f>Credit_2012Q2!$M$10</c15:f>
                      <c15:dlblFieldTableCache>
                        <c:ptCount val="1"/>
                        <c:pt idx="0">
                          <c:v>23%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Credit_2012Q2!$P$10</c:f>
                  <c:strCache>
                    <c:ptCount val="1"/>
                    <c:pt idx="0">
                      <c:v>16%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{01E54377-85CA-4975-A7FD-EA69922A8E9A}</c15:txfldGUID>
                      <c15:f>Credit_2012Q2!$P$10</c15:f>
                      <c15:dlblFieldTableCache>
                        <c:ptCount val="1"/>
                        <c:pt idx="0">
                          <c:v>16%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Credit_2012Q2!$S$10</c:f>
                  <c:strCache>
                    <c:ptCount val="1"/>
                    <c:pt idx="0">
                      <c:v>35%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{21949D8B-794A-48CE-8B11-E4B38580EFB4}</c15:txfldGUID>
                      <c15:f>Credit_2012Q2!$S$10</c15:f>
                      <c15:dlblFieldTableCache>
                        <c:ptCount val="1"/>
                        <c:pt idx="0">
                          <c:v>35%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Credit_2012Q2!$V$10</c:f>
                  <c:strCache>
                    <c:ptCount val="1"/>
                    <c:pt idx="0">
                      <c:v>50%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{6CA50FE5-B8A8-4C4F-8F34-07603B2603CF}</c15:txfldGUID>
                      <c15:f>Credit_2012Q2!$V$10</c15:f>
                      <c15:dlblFieldTableCache>
                        <c:ptCount val="1"/>
                        <c:pt idx="0">
                          <c:v>50%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(Credit_2012Q2!$J$5,Credit_2012Q2!$L$5,Credit_2012Q2!$O$5,Credit_2012Q2!$R$5,Credit_2012Q2!$U$5)</c:f>
              <c:strCache>
                <c:ptCount val="5"/>
                <c:pt idx="0">
                  <c:v>Rating</c:v>
                </c:pt>
                <c:pt idx="1">
                  <c:v>All Companies
(57)</c:v>
                </c:pt>
                <c:pt idx="2">
                  <c:v>Regulated
(37)</c:v>
                </c:pt>
                <c:pt idx="3">
                  <c:v>Mostly Regulated
(17)</c:v>
                </c:pt>
                <c:pt idx="4">
                  <c:v>Diversified
(2)</c:v>
                </c:pt>
              </c:strCache>
            </c:strRef>
          </c:cat>
          <c:val>
            <c:numRef>
              <c:f>(Credit_2012Q2!$Z$10,Credit_2012Q2!$L$10,Credit_2012Q2!$O$10,Credit_2012Q2!$R$10,Credit_2012Q2!$U$10)</c:f>
              <c:numCache>
                <c:formatCode>General</c:formatCode>
                <c:ptCount val="5"/>
                <c:pt idx="0">
                  <c:v>1</c:v>
                </c:pt>
                <c:pt idx="1">
                  <c:v>13</c:v>
                </c:pt>
                <c:pt idx="2">
                  <c:v>6</c:v>
                </c:pt>
                <c:pt idx="3">
                  <c:v>6</c:v>
                </c:pt>
                <c:pt idx="4">
                  <c:v>1</c:v>
                </c:pt>
              </c:numCache>
            </c:numRef>
          </c:val>
        </c:ser>
        <c:ser>
          <c:idx val="3"/>
          <c:order val="3"/>
          <c:tx>
            <c:strRef>
              <c:f>Credit_2012Q2!$J$11</c:f>
              <c:strCache>
                <c:ptCount val="1"/>
                <c:pt idx="0">
                  <c:v>BBB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dLbl>
              <c:idx val="0"/>
              <c:tx>
                <c:strRef>
                  <c:f>Credit_2012Q2!$J$11</c:f>
                  <c:strCache>
                    <c:ptCount val="1"/>
                    <c:pt idx="0">
                      <c:v>BBB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{B0A990DB-BCCA-4270-BAD7-A5EC51C86FBE}</c15:txfldGUID>
                      <c15:f>Credit_2012Q2!$J$11</c15:f>
                      <c15:dlblFieldTableCache>
                        <c:ptCount val="1"/>
                        <c:pt idx="0">
                          <c:v>BBB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Credit_2012Q2!$M$11</c:f>
                  <c:strCache>
                    <c:ptCount val="1"/>
                    <c:pt idx="0">
                      <c:v>28%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{19C6C2D9-BA24-4030-8FF3-A5D65AF1CB27}</c15:txfldGUID>
                      <c15:f>Credit_2012Q2!$M$11</c15:f>
                      <c15:dlblFieldTableCache>
                        <c:ptCount val="1"/>
                        <c:pt idx="0">
                          <c:v>28%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Credit_2012Q2!$P$11</c:f>
                  <c:strCache>
                    <c:ptCount val="1"/>
                    <c:pt idx="0">
                      <c:v>35%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{96A40C5B-94C1-427A-B93F-AF1FE9478C5D}</c15:txfldGUID>
                      <c15:f>Credit_2012Q2!$P$11</c15:f>
                      <c15:dlblFieldTableCache>
                        <c:ptCount val="1"/>
                        <c:pt idx="0">
                          <c:v>35%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Credit_2012Q2!$S$11</c:f>
                  <c:strCache>
                    <c:ptCount val="1"/>
                    <c:pt idx="0">
                      <c:v>18%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{2CB7990C-3602-4A1D-B539-F64FC2EE9854}</c15:txfldGUID>
                      <c15:f>Credit_2012Q2!$S$11</c15:f>
                      <c15:dlblFieldTableCache>
                        <c:ptCount val="1"/>
                        <c:pt idx="0">
                          <c:v>18%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Credit_2012Q2!$V$11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{A09FF883-F0B1-4383-990A-08D49175FBD4}</c15:txfldGUID>
                      <c15:f>Credit_2012Q2!$V$11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(Credit_2012Q2!$J$5,Credit_2012Q2!$L$5,Credit_2012Q2!$O$5,Credit_2012Q2!$R$5,Credit_2012Q2!$U$5)</c:f>
              <c:strCache>
                <c:ptCount val="5"/>
                <c:pt idx="0">
                  <c:v>Rating</c:v>
                </c:pt>
                <c:pt idx="1">
                  <c:v>All Companies
(57)</c:v>
                </c:pt>
                <c:pt idx="2">
                  <c:v>Regulated
(37)</c:v>
                </c:pt>
                <c:pt idx="3">
                  <c:v>Mostly Regulated
(17)</c:v>
                </c:pt>
                <c:pt idx="4">
                  <c:v>Diversified
(2)</c:v>
                </c:pt>
              </c:strCache>
            </c:strRef>
          </c:cat>
          <c:val>
            <c:numRef>
              <c:f>(Credit_2012Q2!$Z$11,Credit_2012Q2!$L$11,Credit_2012Q2!$O$11,Credit_2012Q2!$R$11,Credit_2012Q2!$U$11)</c:f>
              <c:numCache>
                <c:formatCode>General</c:formatCode>
                <c:ptCount val="5"/>
                <c:pt idx="0">
                  <c:v>1</c:v>
                </c:pt>
                <c:pt idx="1">
                  <c:v>16</c:v>
                </c:pt>
                <c:pt idx="2">
                  <c:v>13</c:v>
                </c:pt>
                <c:pt idx="3">
                  <c:v>3</c:v>
                </c:pt>
                <c:pt idx="4">
                  <c:v>0</c:v>
                </c:pt>
              </c:numCache>
            </c:numRef>
          </c:val>
        </c:ser>
        <c:ser>
          <c:idx val="4"/>
          <c:order val="4"/>
          <c:tx>
            <c:strRef>
              <c:f>Credit_2012Q2!$J$12</c:f>
              <c:strCache>
                <c:ptCount val="1"/>
                <c:pt idx="0">
                  <c:v>BBB-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dLbls>
            <c:dLbl>
              <c:idx val="0"/>
              <c:tx>
                <c:strRef>
                  <c:f>Credit_2012Q2!$J$12</c:f>
                  <c:strCache>
                    <c:ptCount val="1"/>
                    <c:pt idx="0">
                      <c:v>BBB-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{44F5BD35-EDD0-47DD-9F99-220B4D893C17}</c15:txfldGUID>
                      <c15:f>Credit_2012Q2!$J$12</c15:f>
                      <c15:dlblFieldTableCache>
                        <c:ptCount val="1"/>
                        <c:pt idx="0">
                          <c:v>BBB-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Credit_2012Q2!$M$12</c:f>
                  <c:strCache>
                    <c:ptCount val="1"/>
                    <c:pt idx="0">
                      <c:v>21%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{8232D645-B39F-4664-B6FD-3A6B9D3101B2}</c15:txfldGUID>
                      <c15:f>Credit_2012Q2!$M$12</c15:f>
                      <c15:dlblFieldTableCache>
                        <c:ptCount val="1"/>
                        <c:pt idx="0">
                          <c:v>21%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Credit_2012Q2!$P$12</c:f>
                  <c:strCache>
                    <c:ptCount val="1"/>
                    <c:pt idx="0">
                      <c:v>19%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{04367C6C-0F24-498A-A359-251A67149E15}</c15:txfldGUID>
                      <c15:f>Credit_2012Q2!$P$12</c15:f>
                      <c15:dlblFieldTableCache>
                        <c:ptCount val="1"/>
                        <c:pt idx="0">
                          <c:v>19%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Credit_2012Q2!$S$12</c:f>
                  <c:strCache>
                    <c:ptCount val="1"/>
                    <c:pt idx="0">
                      <c:v>24%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{0E279AB8-A783-4514-ADF2-065BB6B2B646}</c15:txfldGUID>
                      <c15:f>Credit_2012Q2!$S$12</c15:f>
                      <c15:dlblFieldTableCache>
                        <c:ptCount val="1"/>
                        <c:pt idx="0">
                          <c:v>24%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Credit_2012Q2!$V$12</c:f>
                  <c:strCache>
                    <c:ptCount val="1"/>
                    <c:pt idx="0">
                      <c:v>50%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{10FC9C77-4CAD-46C9-A512-546AD130AA24}</c15:txfldGUID>
                      <c15:f>Credit_2012Q2!$V$12</c15:f>
                      <c15:dlblFieldTableCache>
                        <c:ptCount val="1"/>
                        <c:pt idx="0">
                          <c:v>50%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(Credit_2012Q2!$J$5,Credit_2012Q2!$L$5,Credit_2012Q2!$O$5,Credit_2012Q2!$R$5,Credit_2012Q2!$U$5)</c:f>
              <c:strCache>
                <c:ptCount val="5"/>
                <c:pt idx="0">
                  <c:v>Rating</c:v>
                </c:pt>
                <c:pt idx="1">
                  <c:v>All Companies
(57)</c:v>
                </c:pt>
                <c:pt idx="2">
                  <c:v>Regulated
(37)</c:v>
                </c:pt>
                <c:pt idx="3">
                  <c:v>Mostly Regulated
(17)</c:v>
                </c:pt>
                <c:pt idx="4">
                  <c:v>Diversified
(2)</c:v>
                </c:pt>
              </c:strCache>
            </c:strRef>
          </c:cat>
          <c:val>
            <c:numRef>
              <c:f>(Credit_2012Q2!$Z$12,Credit_2012Q2!$L$12,Credit_2012Q2!$O$12,Credit_2012Q2!$R$12,Credit_2012Q2!$U$12)</c:f>
              <c:numCache>
                <c:formatCode>General</c:formatCode>
                <c:ptCount val="5"/>
                <c:pt idx="0">
                  <c:v>1</c:v>
                </c:pt>
                <c:pt idx="1">
                  <c:v>12</c:v>
                </c:pt>
                <c:pt idx="2">
                  <c:v>7</c:v>
                </c:pt>
                <c:pt idx="3">
                  <c:v>4</c:v>
                </c:pt>
                <c:pt idx="4">
                  <c:v>1</c:v>
                </c:pt>
              </c:numCache>
            </c:numRef>
          </c:val>
        </c:ser>
        <c:ser>
          <c:idx val="5"/>
          <c:order val="5"/>
          <c:tx>
            <c:strRef>
              <c:f>Credit_2012Q2!$J$13</c:f>
              <c:strCache>
                <c:ptCount val="1"/>
                <c:pt idx="0">
                  <c:v>Below BBB-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invertIfNegative val="0"/>
          <c:dLbls>
            <c:dLbl>
              <c:idx val="0"/>
              <c:tx>
                <c:strRef>
                  <c:f>Credit_2012Q2!$J$13</c:f>
                  <c:strCache>
                    <c:ptCount val="1"/>
                    <c:pt idx="0">
                      <c:v>Below BBB-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{32CB0216-5D4A-4898-A1EE-5F614250B0F9}</c15:txfldGUID>
                      <c15:f>Credit_2012Q2!$J$13</c15:f>
                      <c15:dlblFieldTableCache>
                        <c:ptCount val="1"/>
                        <c:pt idx="0">
                          <c:v>Below BBB-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Credit_2012Q2!$M$13</c:f>
                  <c:strCache>
                    <c:ptCount val="1"/>
                    <c:pt idx="0">
                      <c:v>7%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{2D85AD5D-5C52-46E1-B70B-2BDE90794751}</c15:txfldGUID>
                      <c15:f>Credit_2012Q2!$M$13</c15:f>
                      <c15:dlblFieldTableCache>
                        <c:ptCount val="1"/>
                        <c:pt idx="0">
                          <c:v>7%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Credit_2012Q2!$P$13</c:f>
                  <c:strCache>
                    <c:ptCount val="1"/>
                    <c:pt idx="0">
                      <c:v>8%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{FA9CA297-7806-4EA5-92B2-9152BB814CFF}</c15:txfldGUID>
                      <c15:f>Credit_2012Q2!$P$13</c15:f>
                      <c15:dlblFieldTableCache>
                        <c:ptCount val="1"/>
                        <c:pt idx="0">
                          <c:v>8%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Credit_2012Q2!$S$13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{B276EB01-1A03-4977-88DB-575B548D7779}</c15:txfldGUID>
                      <c15:f>Credit_2012Q2!$S$13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Credit_2012Q2!$V$13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{111557A9-3AB1-47D6-9B73-029F703AB02D}</c15:txfldGUID>
                      <c15:f>Credit_2012Q2!$V$13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(Credit_2012Q2!$J$5,Credit_2012Q2!$L$5,Credit_2012Q2!$O$5,Credit_2012Q2!$R$5,Credit_2012Q2!$U$5)</c:f>
              <c:strCache>
                <c:ptCount val="5"/>
                <c:pt idx="0">
                  <c:v>Rating</c:v>
                </c:pt>
                <c:pt idx="1">
                  <c:v>All Companies
(57)</c:v>
                </c:pt>
                <c:pt idx="2">
                  <c:v>Regulated
(37)</c:v>
                </c:pt>
                <c:pt idx="3">
                  <c:v>Mostly Regulated
(17)</c:v>
                </c:pt>
                <c:pt idx="4">
                  <c:v>Diversified
(2)</c:v>
                </c:pt>
              </c:strCache>
            </c:strRef>
          </c:cat>
          <c:val>
            <c:numRef>
              <c:f>(Credit_2012Q2!$Z$13,Credit_2012Q2!$L$13,Credit_2012Q2!$O$13,Credit_2012Q2!$R$13,Credit_2012Q2!$U$13)</c:f>
              <c:numCache>
                <c:formatCode>General</c:formatCode>
                <c:ptCount val="5"/>
                <c:pt idx="0">
                  <c:v>1</c:v>
                </c:pt>
                <c:pt idx="1">
                  <c:v>4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792424008"/>
        <c:axId val="792424400"/>
      </c:barChart>
      <c:catAx>
        <c:axId val="7924240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high"/>
        <c:txPr>
          <a:bodyPr/>
          <a:lstStyle/>
          <a:p>
            <a:pPr>
              <a:defRPr sz="1300">
                <a:solidFill>
                  <a:sysClr val="windowText" lastClr="000000"/>
                </a:solidFill>
              </a:defRPr>
            </a:pPr>
            <a:endParaRPr lang="en-US"/>
          </a:p>
        </c:txPr>
        <c:crossAx val="792424400"/>
        <c:crosses val="max"/>
        <c:auto val="1"/>
        <c:lblAlgn val="ctr"/>
        <c:lblOffset val="100"/>
        <c:noMultiLvlLbl val="0"/>
      </c:catAx>
      <c:valAx>
        <c:axId val="792424400"/>
        <c:scaling>
          <c:orientation val="maxMin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0%" sourceLinked="1"/>
        <c:majorTickMark val="none"/>
        <c:minorTickMark val="none"/>
        <c:tickLblPos val="none"/>
        <c:spPr>
          <a:ln>
            <a:noFill/>
          </a:ln>
        </c:spPr>
        <c:crossAx val="792424008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1">
          <a:solidFill>
            <a:schemeClr val="bg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3">
                  <a:lumMod val="50000"/>
                </a:schemeClr>
              </a:solidFill>
            </c:spPr>
          </c:dPt>
          <c:dPt>
            <c:idx val="1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50000"/>
                </a:schemeClr>
              </a:solidFill>
            </c:spPr>
          </c:dPt>
          <c:dPt>
            <c:idx val="3"/>
            <c:bubble3D val="0"/>
            <c:spPr>
              <a:solidFill>
                <a:schemeClr val="accent5">
                  <a:lumMod val="75000"/>
                </a:schemeClr>
              </a:solidFill>
            </c:spPr>
          </c:dPt>
          <c:dPt>
            <c:idx val="4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</c:dPt>
          <c:dPt>
            <c:idx val="5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ysClr val="windowText" lastClr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5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ysClr val="windowText" lastClr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Credit_2012Q1!$J$8:$J$13</c:f>
              <c:strCache>
                <c:ptCount val="6"/>
                <c:pt idx="0">
                  <c:v>A or higher</c:v>
                </c:pt>
                <c:pt idx="1">
                  <c:v>A-</c:v>
                </c:pt>
                <c:pt idx="2">
                  <c:v>BBB+</c:v>
                </c:pt>
                <c:pt idx="3">
                  <c:v>BBB</c:v>
                </c:pt>
                <c:pt idx="4">
                  <c:v>BBB-</c:v>
                </c:pt>
                <c:pt idx="5">
                  <c:v>Below BBB-</c:v>
                </c:pt>
              </c:strCache>
            </c:strRef>
          </c:cat>
          <c:val>
            <c:numRef>
              <c:f>Credit_2012Q1!$M$8:$M$13</c:f>
              <c:numCache>
                <c:formatCode>0%</c:formatCode>
                <c:ptCount val="6"/>
                <c:pt idx="0">
                  <c:v>6.8965517241379309E-2</c:v>
                </c:pt>
                <c:pt idx="1">
                  <c:v>0.15517241379310345</c:v>
                </c:pt>
                <c:pt idx="2">
                  <c:v>0.22413793103448276</c:v>
                </c:pt>
                <c:pt idx="3">
                  <c:v>0.27586206896551724</c:v>
                </c:pt>
                <c:pt idx="4">
                  <c:v>0.18965517241379309</c:v>
                </c:pt>
                <c:pt idx="5">
                  <c:v>8.6206896551724144E-2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4.0854248593277388E-2"/>
          <c:w val="1"/>
          <c:h val="0.7859199662194755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Credit_2012Q1!$J$8</c:f>
              <c:strCache>
                <c:ptCount val="1"/>
                <c:pt idx="0">
                  <c:v>A or higher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invertIfNegative val="0"/>
          <c:dLbls>
            <c:dLbl>
              <c:idx val="0"/>
              <c:tx>
                <c:strRef>
                  <c:f>Credit_2012Q1!$J$8</c:f>
                  <c:strCache>
                    <c:ptCount val="1"/>
                    <c:pt idx="0">
                      <c:v>A or higher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{66B6C9CB-459E-499C-ACDD-F4AD78F0CBE0}</c15:txfldGUID>
                      <c15:f>Credit_2012Q1!$J$8</c15:f>
                      <c15:dlblFieldTableCache>
                        <c:ptCount val="1"/>
                        <c:pt idx="0">
                          <c:v>A or higher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Credit_2012Q1!$M$8</c:f>
                  <c:strCache>
                    <c:ptCount val="1"/>
                    <c:pt idx="0">
                      <c:v>7%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{262EEBF1-A621-48B3-A8D3-550C558C0522}</c15:txfldGUID>
                      <c15:f>Credit_2012Q1!$M$8</c15:f>
                      <c15:dlblFieldTableCache>
                        <c:ptCount val="1"/>
                        <c:pt idx="0">
                          <c:v>7%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Credit_2012Q1!$P$8</c:f>
                  <c:strCache>
                    <c:ptCount val="1"/>
                    <c:pt idx="0">
                      <c:v>8%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{5E76318F-5CFA-45AB-A215-A6DB710A6223}</c15:txfldGUID>
                      <c15:f>Credit_2012Q1!$P$8</c15:f>
                      <c15:dlblFieldTableCache>
                        <c:ptCount val="1"/>
                        <c:pt idx="0">
                          <c:v>8%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Credit_2012Q1!$S$8</c:f>
                  <c:strCache>
                    <c:ptCount val="1"/>
                    <c:pt idx="0">
                      <c:v>6%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{E81635E7-4FDF-4614-BB53-4D380C24BCA7}</c15:txfldGUID>
                      <c15:f>Credit_2012Q1!$S$8</c15:f>
                      <c15:dlblFieldTableCache>
                        <c:ptCount val="1"/>
                        <c:pt idx="0">
                          <c:v>6%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Credit_2012Q1!$V$8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{D595CA0A-1996-42B4-8B8D-4D69CDFD73B8}</c15:txfldGUID>
                      <c15:f>Credit_2012Q1!$V$8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(Credit_2012Q1!$J$5,Credit_2012Q1!$L$5,Credit_2012Q1!$O$5,Credit_2012Q1!$R$5,Credit_2012Q1!$U$5)</c:f>
              <c:strCache>
                <c:ptCount val="5"/>
                <c:pt idx="0">
                  <c:v>Rating</c:v>
                </c:pt>
                <c:pt idx="1">
                  <c:v>All Companies
(58)</c:v>
                </c:pt>
                <c:pt idx="2">
                  <c:v>Regulated
(37)</c:v>
                </c:pt>
                <c:pt idx="3">
                  <c:v>Mostly Regulated
(18)</c:v>
                </c:pt>
                <c:pt idx="4">
                  <c:v>Diversified
(3)</c:v>
                </c:pt>
              </c:strCache>
            </c:strRef>
          </c:cat>
          <c:val>
            <c:numRef>
              <c:f>(Credit_2012Q1!$Z$8,Credit_2012Q1!$L$8,Credit_2012Q1!$O$8,Credit_2012Q1!$R$8,Credit_2012Q1!$U$8)</c:f>
              <c:numCache>
                <c:formatCode>General</c:formatCode>
                <c:ptCount val="5"/>
                <c:pt idx="0">
                  <c:v>1</c:v>
                </c:pt>
                <c:pt idx="1">
                  <c:v>4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Credit_2012Q1!$J$9</c:f>
              <c:strCache>
                <c:ptCount val="1"/>
                <c:pt idx="0">
                  <c:v>A-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tx>
                <c:strRef>
                  <c:f>Credit_2012Q1!$J$9</c:f>
                  <c:strCache>
                    <c:ptCount val="1"/>
                    <c:pt idx="0">
                      <c:v>A-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{CD2C3C80-4C67-4107-ABFD-FDFE8D3BAFBA}</c15:txfldGUID>
                      <c15:f>Credit_2012Q1!$J$9</c15:f>
                      <c15:dlblFieldTableCache>
                        <c:ptCount val="1"/>
                        <c:pt idx="0">
                          <c:v>A-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Credit_2012Q1!$M$9</c:f>
                  <c:strCache>
                    <c:ptCount val="1"/>
                    <c:pt idx="0">
                      <c:v>16%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{78FBCF36-AFAF-480A-AA06-2C864FD186D7}</c15:txfldGUID>
                      <c15:f>Credit_2012Q1!$M$9</c15:f>
                      <c15:dlblFieldTableCache>
                        <c:ptCount val="1"/>
                        <c:pt idx="0">
                          <c:v>16%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Credit_2012Q1!$P$9</c:f>
                  <c:strCache>
                    <c:ptCount val="1"/>
                    <c:pt idx="0">
                      <c:v>16%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{8B04D195-854E-4C51-8AF7-E2CD3551BAF7}</c15:txfldGUID>
                      <c15:f>Credit_2012Q1!$P$9</c15:f>
                      <c15:dlblFieldTableCache>
                        <c:ptCount val="1"/>
                        <c:pt idx="0">
                          <c:v>16%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Credit_2012Q1!$S$9</c:f>
                  <c:strCache>
                    <c:ptCount val="1"/>
                    <c:pt idx="0">
                      <c:v>17%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{2A9B1355-B596-4FCA-8072-C3C241F30A23}</c15:txfldGUID>
                      <c15:f>Credit_2012Q1!$S$9</c15:f>
                      <c15:dlblFieldTableCache>
                        <c:ptCount val="1"/>
                        <c:pt idx="0">
                          <c:v>17%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Credit_2012Q1!$V$9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{DEBFE6EB-49EE-488F-BE62-065BD7172320}</c15:txfldGUID>
                      <c15:f>Credit_2012Q1!$V$9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(Credit_2012Q1!$J$5,Credit_2012Q1!$L$5,Credit_2012Q1!$O$5,Credit_2012Q1!$R$5,Credit_2012Q1!$U$5)</c:f>
              <c:strCache>
                <c:ptCount val="5"/>
                <c:pt idx="0">
                  <c:v>Rating</c:v>
                </c:pt>
                <c:pt idx="1">
                  <c:v>All Companies
(58)</c:v>
                </c:pt>
                <c:pt idx="2">
                  <c:v>Regulated
(37)</c:v>
                </c:pt>
                <c:pt idx="3">
                  <c:v>Mostly Regulated
(18)</c:v>
                </c:pt>
                <c:pt idx="4">
                  <c:v>Diversified
(3)</c:v>
                </c:pt>
              </c:strCache>
            </c:strRef>
          </c:cat>
          <c:val>
            <c:numRef>
              <c:f>(Credit_2012Q1!$Z$9,Credit_2012Q1!$L$9,Credit_2012Q1!$O$9,Credit_2012Q1!$R$9,Credit_2012Q1!$U$9)</c:f>
              <c:numCache>
                <c:formatCode>General</c:formatCode>
                <c:ptCount val="5"/>
                <c:pt idx="0">
                  <c:v>1</c:v>
                </c:pt>
                <c:pt idx="1">
                  <c:v>9</c:v>
                </c:pt>
                <c:pt idx="2">
                  <c:v>6</c:v>
                </c:pt>
                <c:pt idx="3">
                  <c:v>3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Credit_2012Q1!$J$10</c:f>
              <c:strCache>
                <c:ptCount val="1"/>
                <c:pt idx="0">
                  <c:v>BBB+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invertIfNegative val="0"/>
          <c:dLbls>
            <c:dLbl>
              <c:idx val="0"/>
              <c:tx>
                <c:strRef>
                  <c:f>Credit_2012Q1!$J$10</c:f>
                  <c:strCache>
                    <c:ptCount val="1"/>
                    <c:pt idx="0">
                      <c:v>BBB+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{7CFF22F4-E651-40CD-B195-F6C4F3244D70}</c15:txfldGUID>
                      <c15:f>Credit_2012Q1!$J$10</c15:f>
                      <c15:dlblFieldTableCache>
                        <c:ptCount val="1"/>
                        <c:pt idx="0">
                          <c:v>BBB+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Credit_2012Q1!$M$10</c:f>
                  <c:strCache>
                    <c:ptCount val="1"/>
                    <c:pt idx="0">
                      <c:v>22%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{04112ED2-438B-4E07-847E-D2D2AAFE4877}</c15:txfldGUID>
                      <c15:f>Credit_2012Q1!$M$10</c15:f>
                      <c15:dlblFieldTableCache>
                        <c:ptCount val="1"/>
                        <c:pt idx="0">
                          <c:v>22%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Credit_2012Q1!$P$10</c:f>
                  <c:strCache>
                    <c:ptCount val="1"/>
                    <c:pt idx="0">
                      <c:v>16%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{36FE9FBF-F0F1-46B1-9624-0D3B38A9DF00}</c15:txfldGUID>
                      <c15:f>Credit_2012Q1!$P$10</c15:f>
                      <c15:dlblFieldTableCache>
                        <c:ptCount val="1"/>
                        <c:pt idx="0">
                          <c:v>16%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Credit_2012Q1!$S$10</c:f>
                  <c:strCache>
                    <c:ptCount val="1"/>
                    <c:pt idx="0">
                      <c:v>33%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{197429AF-B2BC-4701-B3E7-ECD4ABB0B0AD}</c15:txfldGUID>
                      <c15:f>Credit_2012Q1!$S$10</c15:f>
                      <c15:dlblFieldTableCache>
                        <c:ptCount val="1"/>
                        <c:pt idx="0">
                          <c:v>33%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Credit_2012Q1!$V$10</c:f>
                  <c:strCache>
                    <c:ptCount val="1"/>
                    <c:pt idx="0">
                      <c:v>33%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{22BFBEC8-EB36-4343-A23C-B561E93A1E00}</c15:txfldGUID>
                      <c15:f>Credit_2012Q1!$V$10</c15:f>
                      <c15:dlblFieldTableCache>
                        <c:ptCount val="1"/>
                        <c:pt idx="0">
                          <c:v>33%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(Credit_2012Q1!$J$5,Credit_2012Q1!$L$5,Credit_2012Q1!$O$5,Credit_2012Q1!$R$5,Credit_2012Q1!$U$5)</c:f>
              <c:strCache>
                <c:ptCount val="5"/>
                <c:pt idx="0">
                  <c:v>Rating</c:v>
                </c:pt>
                <c:pt idx="1">
                  <c:v>All Companies
(58)</c:v>
                </c:pt>
                <c:pt idx="2">
                  <c:v>Regulated
(37)</c:v>
                </c:pt>
                <c:pt idx="3">
                  <c:v>Mostly Regulated
(18)</c:v>
                </c:pt>
                <c:pt idx="4">
                  <c:v>Diversified
(3)</c:v>
                </c:pt>
              </c:strCache>
            </c:strRef>
          </c:cat>
          <c:val>
            <c:numRef>
              <c:f>(Credit_2012Q1!$Z$10,Credit_2012Q1!$L$10,Credit_2012Q1!$O$10,Credit_2012Q1!$R$10,Credit_2012Q1!$U$10)</c:f>
              <c:numCache>
                <c:formatCode>General</c:formatCode>
                <c:ptCount val="5"/>
                <c:pt idx="0">
                  <c:v>1</c:v>
                </c:pt>
                <c:pt idx="1">
                  <c:v>13</c:v>
                </c:pt>
                <c:pt idx="2">
                  <c:v>6</c:v>
                </c:pt>
                <c:pt idx="3">
                  <c:v>6</c:v>
                </c:pt>
                <c:pt idx="4">
                  <c:v>1</c:v>
                </c:pt>
              </c:numCache>
            </c:numRef>
          </c:val>
        </c:ser>
        <c:ser>
          <c:idx val="3"/>
          <c:order val="3"/>
          <c:tx>
            <c:strRef>
              <c:f>Credit_2012Q1!$J$11</c:f>
              <c:strCache>
                <c:ptCount val="1"/>
                <c:pt idx="0">
                  <c:v>BBB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dLbl>
              <c:idx val="0"/>
              <c:tx>
                <c:strRef>
                  <c:f>Credit_2012Q1!$J$11</c:f>
                  <c:strCache>
                    <c:ptCount val="1"/>
                    <c:pt idx="0">
                      <c:v>BBB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{38226EF6-4FE7-4B52-8FF6-CE387E5887F9}</c15:txfldGUID>
                      <c15:f>Credit_2012Q1!$J$11</c15:f>
                      <c15:dlblFieldTableCache>
                        <c:ptCount val="1"/>
                        <c:pt idx="0">
                          <c:v>BBB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Credit_2012Q1!$M$11</c:f>
                  <c:strCache>
                    <c:ptCount val="1"/>
                    <c:pt idx="0">
                      <c:v>28%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{7786F1A6-7F7F-4ED8-ADEE-D67D5E4EE243}</c15:txfldGUID>
                      <c15:f>Credit_2012Q1!$M$11</c15:f>
                      <c15:dlblFieldTableCache>
                        <c:ptCount val="1"/>
                        <c:pt idx="0">
                          <c:v>28%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Credit_2012Q1!$P$11</c:f>
                  <c:strCache>
                    <c:ptCount val="1"/>
                    <c:pt idx="0">
                      <c:v>35%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{A34C26F4-1364-49FB-8323-10AE363AC7BD}</c15:txfldGUID>
                      <c15:f>Credit_2012Q1!$P$11</c15:f>
                      <c15:dlblFieldTableCache>
                        <c:ptCount val="1"/>
                        <c:pt idx="0">
                          <c:v>35%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Credit_2012Q1!$S$11</c:f>
                  <c:strCache>
                    <c:ptCount val="1"/>
                    <c:pt idx="0">
                      <c:v>17%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{8AC34949-4E80-42FC-8AE9-A211C525D9B8}</c15:txfldGUID>
                      <c15:f>Credit_2012Q1!$S$11</c15:f>
                      <c15:dlblFieldTableCache>
                        <c:ptCount val="1"/>
                        <c:pt idx="0">
                          <c:v>17%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Credit_2012Q1!$V$11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{E5E6856F-9E5F-4BFA-AD9B-DD605BA89345}</c15:txfldGUID>
                      <c15:f>Credit_2012Q1!$V$11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(Credit_2012Q1!$J$5,Credit_2012Q1!$L$5,Credit_2012Q1!$O$5,Credit_2012Q1!$R$5,Credit_2012Q1!$U$5)</c:f>
              <c:strCache>
                <c:ptCount val="5"/>
                <c:pt idx="0">
                  <c:v>Rating</c:v>
                </c:pt>
                <c:pt idx="1">
                  <c:v>All Companies
(58)</c:v>
                </c:pt>
                <c:pt idx="2">
                  <c:v>Regulated
(37)</c:v>
                </c:pt>
                <c:pt idx="3">
                  <c:v>Mostly Regulated
(18)</c:v>
                </c:pt>
                <c:pt idx="4">
                  <c:v>Diversified
(3)</c:v>
                </c:pt>
              </c:strCache>
            </c:strRef>
          </c:cat>
          <c:val>
            <c:numRef>
              <c:f>(Credit_2012Q1!$Z$11,Credit_2012Q1!$L$11,Credit_2012Q1!$O$11,Credit_2012Q1!$R$11,Credit_2012Q1!$U$11)</c:f>
              <c:numCache>
                <c:formatCode>General</c:formatCode>
                <c:ptCount val="5"/>
                <c:pt idx="0">
                  <c:v>1</c:v>
                </c:pt>
                <c:pt idx="1">
                  <c:v>16</c:v>
                </c:pt>
                <c:pt idx="2">
                  <c:v>13</c:v>
                </c:pt>
                <c:pt idx="3">
                  <c:v>3</c:v>
                </c:pt>
                <c:pt idx="4">
                  <c:v>0</c:v>
                </c:pt>
              </c:numCache>
            </c:numRef>
          </c:val>
        </c:ser>
        <c:ser>
          <c:idx val="4"/>
          <c:order val="4"/>
          <c:tx>
            <c:strRef>
              <c:f>Credit_2012Q1!$J$12</c:f>
              <c:strCache>
                <c:ptCount val="1"/>
                <c:pt idx="0">
                  <c:v>BBB-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dLbls>
            <c:dLbl>
              <c:idx val="0"/>
              <c:tx>
                <c:strRef>
                  <c:f>Credit_2012Q1!$J$12</c:f>
                  <c:strCache>
                    <c:ptCount val="1"/>
                    <c:pt idx="0">
                      <c:v>BBB-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{D9F694EF-6DE7-44C7-B4D6-F3D611F61A33}</c15:txfldGUID>
                      <c15:f>Credit_2012Q1!$J$12</c15:f>
                      <c15:dlblFieldTableCache>
                        <c:ptCount val="1"/>
                        <c:pt idx="0">
                          <c:v>BBB-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Credit_2012Q1!$M$12</c:f>
                  <c:strCache>
                    <c:ptCount val="1"/>
                    <c:pt idx="0">
                      <c:v>19%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{8F075EF8-696F-44D8-AE3D-5ECC7E0A2158}</c15:txfldGUID>
                      <c15:f>Credit_2012Q1!$M$12</c15:f>
                      <c15:dlblFieldTableCache>
                        <c:ptCount val="1"/>
                        <c:pt idx="0">
                          <c:v>19%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Credit_2012Q1!$P$12</c:f>
                  <c:strCache>
                    <c:ptCount val="1"/>
                    <c:pt idx="0">
                      <c:v>14%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{EE4751F0-602B-4CD6-B644-9C79523D6F33}</c15:txfldGUID>
                      <c15:f>Credit_2012Q1!$P$12</c15:f>
                      <c15:dlblFieldTableCache>
                        <c:ptCount val="1"/>
                        <c:pt idx="0">
                          <c:v>14%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Credit_2012Q1!$S$12</c:f>
                  <c:strCache>
                    <c:ptCount val="1"/>
                    <c:pt idx="0">
                      <c:v>28%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{D612CBC6-42D1-408B-9BB4-8B3B29A2BE92}</c15:txfldGUID>
                      <c15:f>Credit_2012Q1!$S$12</c15:f>
                      <c15:dlblFieldTableCache>
                        <c:ptCount val="1"/>
                        <c:pt idx="0">
                          <c:v>28%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Credit_2012Q1!$V$12</c:f>
                  <c:strCache>
                    <c:ptCount val="1"/>
                    <c:pt idx="0">
                      <c:v>33%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{91DC1BED-BE77-4229-80D1-E1721F6B32A8}</c15:txfldGUID>
                      <c15:f>Credit_2012Q1!$V$12</c15:f>
                      <c15:dlblFieldTableCache>
                        <c:ptCount val="1"/>
                        <c:pt idx="0">
                          <c:v>33%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(Credit_2012Q1!$J$5,Credit_2012Q1!$L$5,Credit_2012Q1!$O$5,Credit_2012Q1!$R$5,Credit_2012Q1!$U$5)</c:f>
              <c:strCache>
                <c:ptCount val="5"/>
                <c:pt idx="0">
                  <c:v>Rating</c:v>
                </c:pt>
                <c:pt idx="1">
                  <c:v>All Companies
(58)</c:v>
                </c:pt>
                <c:pt idx="2">
                  <c:v>Regulated
(37)</c:v>
                </c:pt>
                <c:pt idx="3">
                  <c:v>Mostly Regulated
(18)</c:v>
                </c:pt>
                <c:pt idx="4">
                  <c:v>Diversified
(3)</c:v>
                </c:pt>
              </c:strCache>
            </c:strRef>
          </c:cat>
          <c:val>
            <c:numRef>
              <c:f>(Credit_2012Q1!$Z$12,Credit_2012Q1!$L$12,Credit_2012Q1!$O$12,Credit_2012Q1!$R$12,Credit_2012Q1!$U$12)</c:f>
              <c:numCache>
                <c:formatCode>General</c:formatCode>
                <c:ptCount val="5"/>
                <c:pt idx="0">
                  <c:v>1</c:v>
                </c:pt>
                <c:pt idx="1">
                  <c:v>11</c:v>
                </c:pt>
                <c:pt idx="2">
                  <c:v>5</c:v>
                </c:pt>
                <c:pt idx="3">
                  <c:v>5</c:v>
                </c:pt>
                <c:pt idx="4">
                  <c:v>1</c:v>
                </c:pt>
              </c:numCache>
            </c:numRef>
          </c:val>
        </c:ser>
        <c:ser>
          <c:idx val="5"/>
          <c:order val="5"/>
          <c:tx>
            <c:strRef>
              <c:f>Credit_2012Q1!$J$13</c:f>
              <c:strCache>
                <c:ptCount val="1"/>
                <c:pt idx="0">
                  <c:v>Below BBB-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invertIfNegative val="0"/>
          <c:dLbls>
            <c:dLbl>
              <c:idx val="0"/>
              <c:tx>
                <c:strRef>
                  <c:f>Credit_2012Q1!$J$13</c:f>
                  <c:strCache>
                    <c:ptCount val="1"/>
                    <c:pt idx="0">
                      <c:v>Below BBB-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{3442C221-A120-443C-9B4B-731A8CCD3940}</c15:txfldGUID>
                      <c15:f>Credit_2012Q1!$J$13</c15:f>
                      <c15:dlblFieldTableCache>
                        <c:ptCount val="1"/>
                        <c:pt idx="0">
                          <c:v>Below BBB-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Credit_2012Q1!$M$13</c:f>
                  <c:strCache>
                    <c:ptCount val="1"/>
                    <c:pt idx="0">
                      <c:v>9%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{0D85A291-BDC0-4DE5-97EE-3BD564907DCF}</c15:txfldGUID>
                      <c15:f>Credit_2012Q1!$M$13</c15:f>
                      <c15:dlblFieldTableCache>
                        <c:ptCount val="1"/>
                        <c:pt idx="0">
                          <c:v>9%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Credit_2012Q1!$P$13</c:f>
                  <c:strCache>
                    <c:ptCount val="1"/>
                    <c:pt idx="0">
                      <c:v>11%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{270FB041-50B0-44A1-BEAE-2842773E0421}</c15:txfldGUID>
                      <c15:f>Credit_2012Q1!$P$13</c15:f>
                      <c15:dlblFieldTableCache>
                        <c:ptCount val="1"/>
                        <c:pt idx="0">
                          <c:v>11%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Credit_2012Q1!$S$13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{076D6BD2-7F1A-45DF-952A-583E327D4640}</c15:txfldGUID>
                      <c15:f>Credit_2012Q1!$S$13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Credit_2012Q1!$V$13</c:f>
                  <c:strCache>
                    <c:ptCount val="1"/>
                    <c:pt idx="0">
                      <c:v>33%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{D39A1887-4A15-4BFB-99B6-8AB14C62CDAF}</c15:txfldGUID>
                      <c15:f>Credit_2012Q1!$V$13</c15:f>
                      <c15:dlblFieldTableCache>
                        <c:ptCount val="1"/>
                        <c:pt idx="0">
                          <c:v>33%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(Credit_2012Q1!$J$5,Credit_2012Q1!$L$5,Credit_2012Q1!$O$5,Credit_2012Q1!$R$5,Credit_2012Q1!$U$5)</c:f>
              <c:strCache>
                <c:ptCount val="5"/>
                <c:pt idx="0">
                  <c:v>Rating</c:v>
                </c:pt>
                <c:pt idx="1">
                  <c:v>All Companies
(58)</c:v>
                </c:pt>
                <c:pt idx="2">
                  <c:v>Regulated
(37)</c:v>
                </c:pt>
                <c:pt idx="3">
                  <c:v>Mostly Regulated
(18)</c:v>
                </c:pt>
                <c:pt idx="4">
                  <c:v>Diversified
(3)</c:v>
                </c:pt>
              </c:strCache>
            </c:strRef>
          </c:cat>
          <c:val>
            <c:numRef>
              <c:f>(Credit_2012Q1!$Z$13,Credit_2012Q1!$L$13,Credit_2012Q1!$O$13,Credit_2012Q1!$R$13,Credit_2012Q1!$U$13)</c:f>
              <c:numCache>
                <c:formatCode>General</c:formatCode>
                <c:ptCount val="5"/>
                <c:pt idx="0">
                  <c:v>1</c:v>
                </c:pt>
                <c:pt idx="1">
                  <c:v>5</c:v>
                </c:pt>
                <c:pt idx="2">
                  <c:v>4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792425576"/>
        <c:axId val="797676832"/>
      </c:barChart>
      <c:catAx>
        <c:axId val="7924255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high"/>
        <c:txPr>
          <a:bodyPr/>
          <a:lstStyle/>
          <a:p>
            <a:pPr>
              <a:defRPr sz="1300">
                <a:solidFill>
                  <a:sysClr val="windowText" lastClr="000000"/>
                </a:solidFill>
              </a:defRPr>
            </a:pPr>
            <a:endParaRPr lang="en-US"/>
          </a:p>
        </c:txPr>
        <c:crossAx val="797676832"/>
        <c:crosses val="max"/>
        <c:auto val="1"/>
        <c:lblAlgn val="ctr"/>
        <c:lblOffset val="100"/>
        <c:noMultiLvlLbl val="0"/>
      </c:catAx>
      <c:valAx>
        <c:axId val="797676832"/>
        <c:scaling>
          <c:orientation val="maxMin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0%" sourceLinked="1"/>
        <c:majorTickMark val="none"/>
        <c:minorTickMark val="none"/>
        <c:tickLblPos val="none"/>
        <c:spPr>
          <a:ln>
            <a:noFill/>
          </a:ln>
        </c:spPr>
        <c:crossAx val="79242557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1">
          <a:solidFill>
            <a:schemeClr val="bg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3">
                  <a:lumMod val="50000"/>
                </a:schemeClr>
              </a:solidFill>
            </c:spPr>
          </c:dPt>
          <c:dPt>
            <c:idx val="1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50000"/>
                </a:schemeClr>
              </a:solidFill>
            </c:spPr>
          </c:dPt>
          <c:dPt>
            <c:idx val="3"/>
            <c:bubble3D val="0"/>
            <c:spPr>
              <a:solidFill>
                <a:schemeClr val="accent5">
                  <a:lumMod val="75000"/>
                </a:schemeClr>
              </a:solidFill>
            </c:spPr>
          </c:dPt>
          <c:dPt>
            <c:idx val="4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</c:dPt>
          <c:dPt>
            <c:idx val="5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Credit_2011Q4!$G$8:$G$13</c:f>
              <c:strCache>
                <c:ptCount val="6"/>
                <c:pt idx="0">
                  <c:v>A or higher</c:v>
                </c:pt>
                <c:pt idx="1">
                  <c:v>A-</c:v>
                </c:pt>
                <c:pt idx="2">
                  <c:v>BBB+</c:v>
                </c:pt>
                <c:pt idx="3">
                  <c:v>BBB</c:v>
                </c:pt>
                <c:pt idx="4">
                  <c:v>BBB-</c:v>
                </c:pt>
                <c:pt idx="5">
                  <c:v>Below BBB-</c:v>
                </c:pt>
              </c:strCache>
            </c:strRef>
          </c:cat>
          <c:val>
            <c:numRef>
              <c:f>Credit_2011Q4!$I$8:$I$13</c:f>
              <c:numCache>
                <c:formatCode>0%</c:formatCode>
                <c:ptCount val="6"/>
                <c:pt idx="0">
                  <c:v>0.9152542372881356</c:v>
                </c:pt>
                <c:pt idx="1">
                  <c:v>5.0847457627118647E-2</c:v>
                </c:pt>
                <c:pt idx="2">
                  <c:v>1.6949152542372881E-2</c:v>
                </c:pt>
                <c:pt idx="3">
                  <c:v>0</c:v>
                </c:pt>
                <c:pt idx="4">
                  <c:v>0</c:v>
                </c:pt>
                <c:pt idx="5">
                  <c:v>1.6949152542372881E-2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3">
                  <a:lumMod val="50000"/>
                </a:schemeClr>
              </a:solidFill>
            </c:spPr>
          </c:dPt>
          <c:dPt>
            <c:idx val="1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50000"/>
                </a:schemeClr>
              </a:solidFill>
            </c:spPr>
          </c:dPt>
          <c:dPt>
            <c:idx val="3"/>
            <c:bubble3D val="0"/>
            <c:spPr>
              <a:solidFill>
                <a:schemeClr val="accent5">
                  <a:lumMod val="75000"/>
                </a:schemeClr>
              </a:solidFill>
            </c:spPr>
          </c:dPt>
          <c:dPt>
            <c:idx val="4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</c:dPt>
          <c:dPt>
            <c:idx val="5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Credit_2011Q3!$G$8:$G$13</c:f>
              <c:strCache>
                <c:ptCount val="6"/>
                <c:pt idx="0">
                  <c:v>A or higher</c:v>
                </c:pt>
                <c:pt idx="1">
                  <c:v>A-</c:v>
                </c:pt>
                <c:pt idx="2">
                  <c:v>BBB+</c:v>
                </c:pt>
                <c:pt idx="3">
                  <c:v>BBB</c:v>
                </c:pt>
                <c:pt idx="4">
                  <c:v>BBB-</c:v>
                </c:pt>
                <c:pt idx="5">
                  <c:v>Below BBB-</c:v>
                </c:pt>
              </c:strCache>
            </c:strRef>
          </c:cat>
          <c:val>
            <c:numRef>
              <c:f>Credit_2011Q3!$I$8:$I$13</c:f>
              <c:numCache>
                <c:formatCode>0%</c:formatCode>
                <c:ptCount val="6"/>
                <c:pt idx="0">
                  <c:v>6.7796610169491525E-2</c:v>
                </c:pt>
                <c:pt idx="1">
                  <c:v>0.15254237288135594</c:v>
                </c:pt>
                <c:pt idx="2">
                  <c:v>0.25423728813559321</c:v>
                </c:pt>
                <c:pt idx="3">
                  <c:v>0.25423728813559321</c:v>
                </c:pt>
                <c:pt idx="4">
                  <c:v>0.1864406779661017</c:v>
                </c:pt>
                <c:pt idx="5">
                  <c:v>8.4745762711864403E-2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3">
                  <a:lumMod val="50000"/>
                </a:schemeClr>
              </a:solidFill>
            </c:spPr>
          </c:dPt>
          <c:dPt>
            <c:idx val="1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50000"/>
                </a:schemeClr>
              </a:solidFill>
            </c:spPr>
          </c:dPt>
          <c:dPt>
            <c:idx val="3"/>
            <c:bubble3D val="0"/>
            <c:spPr>
              <a:solidFill>
                <a:schemeClr val="accent5">
                  <a:lumMod val="75000"/>
                </a:schemeClr>
              </a:solidFill>
            </c:spPr>
          </c:dPt>
          <c:dPt>
            <c:idx val="4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</c:dPt>
          <c:dPt>
            <c:idx val="5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Credit_2011Q2!$G$8:$G$13</c:f>
              <c:strCache>
                <c:ptCount val="6"/>
                <c:pt idx="0">
                  <c:v>A or higher</c:v>
                </c:pt>
                <c:pt idx="1">
                  <c:v>A-</c:v>
                </c:pt>
                <c:pt idx="2">
                  <c:v>BBB+</c:v>
                </c:pt>
                <c:pt idx="3">
                  <c:v>BBB</c:v>
                </c:pt>
                <c:pt idx="4">
                  <c:v>BBB-</c:v>
                </c:pt>
                <c:pt idx="5">
                  <c:v>Below BBB-</c:v>
                </c:pt>
              </c:strCache>
            </c:strRef>
          </c:cat>
          <c:val>
            <c:numRef>
              <c:f>Credit_2011Q2!$I$8:$I$13</c:f>
              <c:numCache>
                <c:formatCode>0%</c:formatCode>
                <c:ptCount val="6"/>
                <c:pt idx="0">
                  <c:v>6.7796610169491525E-2</c:v>
                </c:pt>
                <c:pt idx="1">
                  <c:v>0.15254237288135594</c:v>
                </c:pt>
                <c:pt idx="2">
                  <c:v>0.25423728813559321</c:v>
                </c:pt>
                <c:pt idx="3">
                  <c:v>0.25423728813559321</c:v>
                </c:pt>
                <c:pt idx="4">
                  <c:v>0.1864406779661017</c:v>
                </c:pt>
                <c:pt idx="5">
                  <c:v>8.4745762711864403E-2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3">
                  <a:lumMod val="50000"/>
                </a:schemeClr>
              </a:solidFill>
            </c:spPr>
          </c:dPt>
          <c:dPt>
            <c:idx val="1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50000"/>
                </a:schemeClr>
              </a:solidFill>
            </c:spPr>
          </c:dPt>
          <c:dPt>
            <c:idx val="3"/>
            <c:bubble3D val="0"/>
            <c:spPr>
              <a:solidFill>
                <a:schemeClr val="accent5">
                  <a:lumMod val="75000"/>
                </a:schemeClr>
              </a:solidFill>
            </c:spPr>
          </c:dPt>
          <c:dPt>
            <c:idx val="4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</c:dPt>
          <c:dPt>
            <c:idx val="5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Credit_2011Q1!$G$8:$G$13</c:f>
              <c:strCache>
                <c:ptCount val="6"/>
                <c:pt idx="0">
                  <c:v>A or higher</c:v>
                </c:pt>
                <c:pt idx="1">
                  <c:v>A-</c:v>
                </c:pt>
                <c:pt idx="2">
                  <c:v>BBB+</c:v>
                </c:pt>
                <c:pt idx="3">
                  <c:v>BBB</c:v>
                </c:pt>
                <c:pt idx="4">
                  <c:v>BBB-</c:v>
                </c:pt>
                <c:pt idx="5">
                  <c:v>Below BBB-</c:v>
                </c:pt>
              </c:strCache>
            </c:strRef>
          </c:cat>
          <c:val>
            <c:numRef>
              <c:f>Credit_2011Q1!$I$8:$I$13</c:f>
              <c:numCache>
                <c:formatCode>0%</c:formatCode>
                <c:ptCount val="6"/>
                <c:pt idx="0">
                  <c:v>6.7796610169491525E-2</c:v>
                </c:pt>
                <c:pt idx="1">
                  <c:v>0.13559322033898305</c:v>
                </c:pt>
                <c:pt idx="2">
                  <c:v>0.23728813559322035</c:v>
                </c:pt>
                <c:pt idx="3">
                  <c:v>0.2711864406779661</c:v>
                </c:pt>
                <c:pt idx="4">
                  <c:v>0.20338983050847459</c:v>
                </c:pt>
                <c:pt idx="5">
                  <c:v>8.4745762711864403E-2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3">
                  <a:lumMod val="50000"/>
                </a:schemeClr>
              </a:solidFill>
            </c:spPr>
          </c:dPt>
          <c:dPt>
            <c:idx val="1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50000"/>
                </a:schemeClr>
              </a:solidFill>
            </c:spPr>
          </c:dPt>
          <c:dPt>
            <c:idx val="3"/>
            <c:bubble3D val="0"/>
            <c:spPr>
              <a:solidFill>
                <a:schemeClr val="accent5">
                  <a:lumMod val="75000"/>
                </a:schemeClr>
              </a:solidFill>
            </c:spPr>
          </c:dPt>
          <c:dPt>
            <c:idx val="4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</c:dPt>
          <c:dPt>
            <c:idx val="5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Credit_2010Q4!$G$8:$G$13</c:f>
              <c:strCache>
                <c:ptCount val="6"/>
                <c:pt idx="0">
                  <c:v>A or higher</c:v>
                </c:pt>
                <c:pt idx="1">
                  <c:v>A-</c:v>
                </c:pt>
                <c:pt idx="2">
                  <c:v>BBB+</c:v>
                </c:pt>
                <c:pt idx="3">
                  <c:v>BBB</c:v>
                </c:pt>
                <c:pt idx="4">
                  <c:v>BBB-</c:v>
                </c:pt>
                <c:pt idx="5">
                  <c:v>Below BBB-</c:v>
                </c:pt>
              </c:strCache>
            </c:strRef>
          </c:cat>
          <c:val>
            <c:numRef>
              <c:f>Credit_2010Q4!$I$8:$I$13</c:f>
              <c:numCache>
                <c:formatCode>0%</c:formatCode>
                <c:ptCount val="6"/>
                <c:pt idx="0">
                  <c:v>6.0606060606060608E-2</c:v>
                </c:pt>
                <c:pt idx="1">
                  <c:v>0.15151515151515152</c:v>
                </c:pt>
                <c:pt idx="2">
                  <c:v>0.24242424242424243</c:v>
                </c:pt>
                <c:pt idx="3">
                  <c:v>0.24242424242424243</c:v>
                </c:pt>
                <c:pt idx="4">
                  <c:v>0.22727272727272727</c:v>
                </c:pt>
                <c:pt idx="5">
                  <c:v>7.575757575757576E-2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3">
                  <a:lumMod val="50000"/>
                </a:schemeClr>
              </a:solidFill>
            </c:spPr>
          </c:dPt>
          <c:dPt>
            <c:idx val="1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50000"/>
                </a:schemeClr>
              </a:solidFill>
            </c:spPr>
          </c:dPt>
          <c:dPt>
            <c:idx val="3"/>
            <c:bubble3D val="0"/>
            <c:spPr>
              <a:solidFill>
                <a:schemeClr val="accent5">
                  <a:lumMod val="75000"/>
                </a:schemeClr>
              </a:solidFill>
            </c:spPr>
          </c:dPt>
          <c:dPt>
            <c:idx val="4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</c:dPt>
          <c:dPt>
            <c:idx val="5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Credit_2009Q4!$G$8:$G$13</c:f>
              <c:strCache>
                <c:ptCount val="6"/>
                <c:pt idx="0">
                  <c:v>A or higher</c:v>
                </c:pt>
                <c:pt idx="1">
                  <c:v>A-</c:v>
                </c:pt>
                <c:pt idx="2">
                  <c:v>BBB+</c:v>
                </c:pt>
                <c:pt idx="3">
                  <c:v>BBB</c:v>
                </c:pt>
                <c:pt idx="4">
                  <c:v>BBB-</c:v>
                </c:pt>
                <c:pt idx="5">
                  <c:v>Below BBB-</c:v>
                </c:pt>
              </c:strCache>
            </c:strRef>
          </c:cat>
          <c:val>
            <c:numRef>
              <c:f>Credit_2009Q4!$I$8:$I$13</c:f>
              <c:numCache>
                <c:formatCode>0%</c:formatCode>
                <c:ptCount val="6"/>
                <c:pt idx="0">
                  <c:v>7.575757575757576E-2</c:v>
                </c:pt>
                <c:pt idx="1">
                  <c:v>0.12121212121212122</c:v>
                </c:pt>
                <c:pt idx="2">
                  <c:v>0.22727272727272727</c:v>
                </c:pt>
                <c:pt idx="3">
                  <c:v>0.2878787878787879</c:v>
                </c:pt>
                <c:pt idx="4">
                  <c:v>0.21212121212121213</c:v>
                </c:pt>
                <c:pt idx="5">
                  <c:v>7.575757575757576E-2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3">
                  <a:lumMod val="50000"/>
                </a:schemeClr>
              </a:solidFill>
            </c:spPr>
          </c:dPt>
          <c:dPt>
            <c:idx val="1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50000"/>
                </a:schemeClr>
              </a:solidFill>
            </c:spPr>
          </c:dPt>
          <c:dPt>
            <c:idx val="3"/>
            <c:bubble3D val="0"/>
            <c:spPr>
              <a:solidFill>
                <a:schemeClr val="accent5">
                  <a:lumMod val="75000"/>
                </a:schemeClr>
              </a:solidFill>
            </c:spPr>
          </c:dPt>
          <c:dPt>
            <c:idx val="4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</c:dPt>
          <c:dPt>
            <c:idx val="5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Credit_2008Q4!$E$8:$E$13</c:f>
              <c:strCache>
                <c:ptCount val="6"/>
                <c:pt idx="0">
                  <c:v>A or higher</c:v>
                </c:pt>
                <c:pt idx="1">
                  <c:v>A-</c:v>
                </c:pt>
                <c:pt idx="2">
                  <c:v>BBB+</c:v>
                </c:pt>
                <c:pt idx="3">
                  <c:v>BBB</c:v>
                </c:pt>
                <c:pt idx="4">
                  <c:v>BBB-</c:v>
                </c:pt>
                <c:pt idx="5">
                  <c:v>Below BBB-</c:v>
                </c:pt>
              </c:strCache>
            </c:strRef>
          </c:cat>
          <c:val>
            <c:numRef>
              <c:f>Credit_2008Q4!$G$8:$G$13</c:f>
              <c:numCache>
                <c:formatCode>0%</c:formatCode>
                <c:ptCount val="6"/>
                <c:pt idx="0">
                  <c:v>6.1538461538461542E-2</c:v>
                </c:pt>
                <c:pt idx="1">
                  <c:v>0.13846153846153847</c:v>
                </c:pt>
                <c:pt idx="2">
                  <c:v>0.2</c:v>
                </c:pt>
                <c:pt idx="3">
                  <c:v>0.29230769230769232</c:v>
                </c:pt>
                <c:pt idx="4">
                  <c:v>0.2153846153846154</c:v>
                </c:pt>
                <c:pt idx="5">
                  <c:v>9.2307692307692313E-2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3">
                  <a:lumMod val="50000"/>
                </a:schemeClr>
              </a:solidFill>
            </c:spPr>
          </c:dPt>
          <c:dPt>
            <c:idx val="1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50000"/>
                </a:schemeClr>
              </a:solidFill>
            </c:spPr>
          </c:dPt>
          <c:dPt>
            <c:idx val="3"/>
            <c:bubble3D val="0"/>
            <c:spPr>
              <a:solidFill>
                <a:schemeClr val="accent5">
                  <a:lumMod val="75000"/>
                </a:schemeClr>
              </a:solidFill>
            </c:spPr>
          </c:dPt>
          <c:dPt>
            <c:idx val="4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</c:dPt>
          <c:dPt>
            <c:idx val="5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Credit_2007Q4!$E$8:$E$13</c:f>
              <c:strCache>
                <c:ptCount val="6"/>
                <c:pt idx="0">
                  <c:v>A or higher</c:v>
                </c:pt>
                <c:pt idx="1">
                  <c:v>A-</c:v>
                </c:pt>
                <c:pt idx="2">
                  <c:v>BBB+</c:v>
                </c:pt>
                <c:pt idx="3">
                  <c:v>BBB</c:v>
                </c:pt>
                <c:pt idx="4">
                  <c:v>BBB-</c:v>
                </c:pt>
                <c:pt idx="5">
                  <c:v>Below BBB-</c:v>
                </c:pt>
              </c:strCache>
            </c:strRef>
          </c:cat>
          <c:val>
            <c:numRef>
              <c:f>Credit_2007Q4!$G$8:$G$13</c:f>
              <c:numCache>
                <c:formatCode>0%</c:formatCode>
                <c:ptCount val="6"/>
                <c:pt idx="0">
                  <c:v>9.0909090909090912E-2</c:v>
                </c:pt>
                <c:pt idx="1">
                  <c:v>0.10606060606060606</c:v>
                </c:pt>
                <c:pt idx="2">
                  <c:v>0.25757575757575757</c:v>
                </c:pt>
                <c:pt idx="3">
                  <c:v>0.22727272727272727</c:v>
                </c:pt>
                <c:pt idx="4">
                  <c:v>0.19696969696969696</c:v>
                </c:pt>
                <c:pt idx="5">
                  <c:v>0.12121212121212122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443786982248606"/>
          <c:y val="0.25842791150190031"/>
          <c:w val="0.49112426035503087"/>
          <c:h val="0.62172512042486305"/>
        </c:manualLayout>
      </c:layout>
      <c:pieChart>
        <c:varyColors val="0"/>
        <c:ser>
          <c:idx val="0"/>
          <c:order val="0"/>
          <c:spPr>
            <a:solidFill>
              <a:srgbClr val="CCCCFF"/>
            </a:solidFill>
            <a:ln w="38100">
              <a:solidFill>
                <a:srgbClr val="FFFFFF"/>
              </a:solidFill>
              <a:prstDash val="solid"/>
            </a:ln>
          </c:spPr>
          <c:dLbls>
            <c:dLbl>
              <c:idx val="0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80"/>
                    </a:solidFill>
                    <a:latin typeface="Franklin Gothic Book"/>
                    <a:ea typeface="Franklin Gothic Book"/>
                    <a:cs typeface="Franklin Gothic Book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Credit_2006Q4!$E$8:$E$13</c:f>
              <c:strCache>
                <c:ptCount val="6"/>
                <c:pt idx="0">
                  <c:v>A or higher</c:v>
                </c:pt>
                <c:pt idx="1">
                  <c:v>A-</c:v>
                </c:pt>
                <c:pt idx="2">
                  <c:v>BBB+</c:v>
                </c:pt>
                <c:pt idx="3">
                  <c:v>BBB</c:v>
                </c:pt>
                <c:pt idx="4">
                  <c:v>BBB-</c:v>
                </c:pt>
                <c:pt idx="5">
                  <c:v>Below BBB-</c:v>
                </c:pt>
              </c:strCache>
            </c:strRef>
          </c:cat>
          <c:val>
            <c:numRef>
              <c:f>Credit_2006Q4!$G$8:$G$13</c:f>
              <c:numCache>
                <c:formatCode>0%</c:formatCode>
                <c:ptCount val="6"/>
                <c:pt idx="0">
                  <c:v>0.12121212121212122</c:v>
                </c:pt>
                <c:pt idx="1">
                  <c:v>4.5454545454545456E-2</c:v>
                </c:pt>
                <c:pt idx="2">
                  <c:v>0.21212121212121213</c:v>
                </c:pt>
                <c:pt idx="3">
                  <c:v>0.34848484848484851</c:v>
                </c:pt>
                <c:pt idx="4">
                  <c:v>9.0909090909090912E-2</c:v>
                </c:pt>
                <c:pt idx="5">
                  <c:v>0.18181818181818182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Franklin Gothic Book"/>
          <a:ea typeface="Franklin Gothic Book"/>
          <a:cs typeface="Franklin Gothic Book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 orientation="landscape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708333333333341"/>
          <c:y val="0.18047337278106557"/>
          <c:w val="0.53541666666666499"/>
          <c:h val="0.7603550295858007"/>
        </c:manualLayout>
      </c:layout>
      <c:pieChart>
        <c:varyColors val="1"/>
        <c:ser>
          <c:idx val="0"/>
          <c:order val="0"/>
          <c:tx>
            <c:v>72 EEI Index Companies at 12/31/03</c:v>
          </c:tx>
          <c:spPr>
            <a:solidFill>
              <a:srgbClr val="CCCCFF"/>
            </a:solidFill>
            <a:ln w="25400">
              <a:solidFill>
                <a:srgbClr val="FFFFFF"/>
              </a:solidFill>
              <a:prstDash val="solid"/>
            </a:ln>
          </c:spPr>
          <c:dLbls>
            <c:dLbl>
              <c:idx val="0"/>
              <c:layout>
                <c:manualLayout>
                  <c:x val="-0.14580399065297314"/>
                  <c:y val="0.1297522868813003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1772138386063848"/>
                  <c:y val="-9.790802776871820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513162690846481E-2"/>
                  <c:y val="-0.1700591715976335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7513560038086939"/>
                  <c:y val="7.6938607526129421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0726902120326678"/>
                  <c:y val="9.576728944384922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9357781900000128E-2"/>
                  <c:y val="0.1520054667722754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Below
BBB-
8%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Credit_2001Q4!$E$10:$E$15</c:f>
              <c:strCache>
                <c:ptCount val="6"/>
                <c:pt idx="0">
                  <c:v>A or higher</c:v>
                </c:pt>
                <c:pt idx="1">
                  <c:v>A-</c:v>
                </c:pt>
                <c:pt idx="2">
                  <c:v>BBB+</c:v>
                </c:pt>
                <c:pt idx="3">
                  <c:v>BBB</c:v>
                </c:pt>
                <c:pt idx="4">
                  <c:v>BBB-</c:v>
                </c:pt>
                <c:pt idx="5">
                  <c:v>Below BBB-</c:v>
                </c:pt>
              </c:strCache>
            </c:strRef>
          </c:cat>
          <c:val>
            <c:numRef>
              <c:f>Credit_2001Q4!$G$10:$G$15</c:f>
              <c:numCache>
                <c:formatCode>0%</c:formatCode>
                <c:ptCount val="6"/>
                <c:pt idx="0">
                  <c:v>0.25</c:v>
                </c:pt>
                <c:pt idx="1">
                  <c:v>0.16666666666666666</c:v>
                </c:pt>
                <c:pt idx="2">
                  <c:v>0.2638888888888889</c:v>
                </c:pt>
                <c:pt idx="3">
                  <c:v>0.1388888888888889</c:v>
                </c:pt>
                <c:pt idx="4">
                  <c:v>9.7222222222222224E-2</c:v>
                </c:pt>
                <c:pt idx="5">
                  <c:v>8.3333333333333329E-2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1.xml"/><Relationship Id="rId1" Type="http://schemas.openxmlformats.org/officeDocument/2006/relationships/chart" Target="../charts/chart30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3.xml"/><Relationship Id="rId1" Type="http://schemas.openxmlformats.org/officeDocument/2006/relationships/chart" Target="../charts/chart32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9.xml"/><Relationship Id="rId1" Type="http://schemas.openxmlformats.org/officeDocument/2006/relationships/chart" Target="../charts/chart38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3.xml"/><Relationship Id="rId1" Type="http://schemas.openxmlformats.org/officeDocument/2006/relationships/chart" Target="../charts/chart4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9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0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1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2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0</xdr:row>
      <xdr:rowOff>0</xdr:rowOff>
    </xdr:from>
    <xdr:to>
      <xdr:col>17</xdr:col>
      <xdr:colOff>123825</xdr:colOff>
      <xdr:row>0</xdr:row>
      <xdr:rowOff>0</xdr:rowOff>
    </xdr:to>
    <xdr:graphicFrame macro="">
      <xdr:nvGraphicFramePr>
        <xdr:cNvPr id="1556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</xdr:row>
      <xdr:rowOff>95250</xdr:rowOff>
    </xdr:from>
    <xdr:to>
      <xdr:col>17</xdr:col>
      <xdr:colOff>485775</xdr:colOff>
      <xdr:row>23</xdr:row>
      <xdr:rowOff>0</xdr:rowOff>
    </xdr:to>
    <xdr:graphicFrame macro="">
      <xdr:nvGraphicFramePr>
        <xdr:cNvPr id="1556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18</xdr:row>
      <xdr:rowOff>0</xdr:rowOff>
    </xdr:from>
    <xdr:to>
      <xdr:col>19</xdr:col>
      <xdr:colOff>76200</xdr:colOff>
      <xdr:row>38</xdr:row>
      <xdr:rowOff>104775</xdr:rowOff>
    </xdr:to>
    <xdr:graphicFrame macro="">
      <xdr:nvGraphicFramePr>
        <xdr:cNvPr id="1853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258537</xdr:colOff>
      <xdr:row>47</xdr:row>
      <xdr:rowOff>136070</xdr:rowOff>
    </xdr:from>
    <xdr:to>
      <xdr:col>14</xdr:col>
      <xdr:colOff>54429</xdr:colOff>
      <xdr:row>66</xdr:row>
      <xdr:rowOff>136071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176893</xdr:colOff>
      <xdr:row>20</xdr:row>
      <xdr:rowOff>95250</xdr:rowOff>
    </xdr:from>
    <xdr:to>
      <xdr:col>22</xdr:col>
      <xdr:colOff>190501</xdr:colOff>
      <xdr:row>44</xdr:row>
      <xdr:rowOff>136071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258537</xdr:colOff>
      <xdr:row>47</xdr:row>
      <xdr:rowOff>136070</xdr:rowOff>
    </xdr:from>
    <xdr:to>
      <xdr:col>14</xdr:col>
      <xdr:colOff>54429</xdr:colOff>
      <xdr:row>66</xdr:row>
      <xdr:rowOff>136071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176893</xdr:colOff>
      <xdr:row>20</xdr:row>
      <xdr:rowOff>95250</xdr:rowOff>
    </xdr:from>
    <xdr:to>
      <xdr:col>22</xdr:col>
      <xdr:colOff>190501</xdr:colOff>
      <xdr:row>44</xdr:row>
      <xdr:rowOff>136071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258537</xdr:colOff>
      <xdr:row>47</xdr:row>
      <xdr:rowOff>136070</xdr:rowOff>
    </xdr:from>
    <xdr:to>
      <xdr:col>14</xdr:col>
      <xdr:colOff>54429</xdr:colOff>
      <xdr:row>66</xdr:row>
      <xdr:rowOff>136071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176893</xdr:colOff>
      <xdr:row>20</xdr:row>
      <xdr:rowOff>95250</xdr:rowOff>
    </xdr:from>
    <xdr:to>
      <xdr:col>22</xdr:col>
      <xdr:colOff>190501</xdr:colOff>
      <xdr:row>44</xdr:row>
      <xdr:rowOff>136071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258537</xdr:colOff>
      <xdr:row>47</xdr:row>
      <xdr:rowOff>136070</xdr:rowOff>
    </xdr:from>
    <xdr:to>
      <xdr:col>14</xdr:col>
      <xdr:colOff>54429</xdr:colOff>
      <xdr:row>66</xdr:row>
      <xdr:rowOff>136071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176893</xdr:colOff>
      <xdr:row>20</xdr:row>
      <xdr:rowOff>95250</xdr:rowOff>
    </xdr:from>
    <xdr:to>
      <xdr:col>22</xdr:col>
      <xdr:colOff>190501</xdr:colOff>
      <xdr:row>44</xdr:row>
      <xdr:rowOff>136071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258537</xdr:colOff>
      <xdr:row>47</xdr:row>
      <xdr:rowOff>136070</xdr:rowOff>
    </xdr:from>
    <xdr:to>
      <xdr:col>14</xdr:col>
      <xdr:colOff>54429</xdr:colOff>
      <xdr:row>66</xdr:row>
      <xdr:rowOff>136071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176893</xdr:colOff>
      <xdr:row>20</xdr:row>
      <xdr:rowOff>95250</xdr:rowOff>
    </xdr:from>
    <xdr:to>
      <xdr:col>22</xdr:col>
      <xdr:colOff>190501</xdr:colOff>
      <xdr:row>44</xdr:row>
      <xdr:rowOff>136071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258537</xdr:colOff>
      <xdr:row>47</xdr:row>
      <xdr:rowOff>136070</xdr:rowOff>
    </xdr:from>
    <xdr:to>
      <xdr:col>14</xdr:col>
      <xdr:colOff>54429</xdr:colOff>
      <xdr:row>66</xdr:row>
      <xdr:rowOff>136071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176893</xdr:colOff>
      <xdr:row>20</xdr:row>
      <xdr:rowOff>95250</xdr:rowOff>
    </xdr:from>
    <xdr:to>
      <xdr:col>22</xdr:col>
      <xdr:colOff>190501</xdr:colOff>
      <xdr:row>44</xdr:row>
      <xdr:rowOff>136071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258537</xdr:colOff>
      <xdr:row>47</xdr:row>
      <xdr:rowOff>136070</xdr:rowOff>
    </xdr:from>
    <xdr:to>
      <xdr:col>14</xdr:col>
      <xdr:colOff>54429</xdr:colOff>
      <xdr:row>66</xdr:row>
      <xdr:rowOff>136071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176893</xdr:colOff>
      <xdr:row>20</xdr:row>
      <xdr:rowOff>95250</xdr:rowOff>
    </xdr:from>
    <xdr:to>
      <xdr:col>22</xdr:col>
      <xdr:colOff>190501</xdr:colOff>
      <xdr:row>44</xdr:row>
      <xdr:rowOff>136071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258537</xdr:colOff>
      <xdr:row>47</xdr:row>
      <xdr:rowOff>136070</xdr:rowOff>
    </xdr:from>
    <xdr:to>
      <xdr:col>14</xdr:col>
      <xdr:colOff>54429</xdr:colOff>
      <xdr:row>66</xdr:row>
      <xdr:rowOff>136071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176893</xdr:colOff>
      <xdr:row>20</xdr:row>
      <xdr:rowOff>95250</xdr:rowOff>
    </xdr:from>
    <xdr:to>
      <xdr:col>22</xdr:col>
      <xdr:colOff>190501</xdr:colOff>
      <xdr:row>44</xdr:row>
      <xdr:rowOff>136071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258537</xdr:colOff>
      <xdr:row>47</xdr:row>
      <xdr:rowOff>136070</xdr:rowOff>
    </xdr:from>
    <xdr:to>
      <xdr:col>14</xdr:col>
      <xdr:colOff>54429</xdr:colOff>
      <xdr:row>66</xdr:row>
      <xdr:rowOff>136071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176893</xdr:colOff>
      <xdr:row>20</xdr:row>
      <xdr:rowOff>95250</xdr:rowOff>
    </xdr:from>
    <xdr:to>
      <xdr:col>22</xdr:col>
      <xdr:colOff>190501</xdr:colOff>
      <xdr:row>44</xdr:row>
      <xdr:rowOff>136071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258537</xdr:colOff>
      <xdr:row>47</xdr:row>
      <xdr:rowOff>136070</xdr:rowOff>
    </xdr:from>
    <xdr:to>
      <xdr:col>14</xdr:col>
      <xdr:colOff>54429</xdr:colOff>
      <xdr:row>66</xdr:row>
      <xdr:rowOff>136071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176893</xdr:colOff>
      <xdr:row>20</xdr:row>
      <xdr:rowOff>95250</xdr:rowOff>
    </xdr:from>
    <xdr:to>
      <xdr:col>22</xdr:col>
      <xdr:colOff>190501</xdr:colOff>
      <xdr:row>44</xdr:row>
      <xdr:rowOff>136071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258537</xdr:colOff>
      <xdr:row>47</xdr:row>
      <xdr:rowOff>136070</xdr:rowOff>
    </xdr:from>
    <xdr:to>
      <xdr:col>14</xdr:col>
      <xdr:colOff>54429</xdr:colOff>
      <xdr:row>66</xdr:row>
      <xdr:rowOff>136071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176893</xdr:colOff>
      <xdr:row>20</xdr:row>
      <xdr:rowOff>95250</xdr:rowOff>
    </xdr:from>
    <xdr:to>
      <xdr:col>22</xdr:col>
      <xdr:colOff>190501</xdr:colOff>
      <xdr:row>44</xdr:row>
      <xdr:rowOff>136071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258537</xdr:colOff>
      <xdr:row>47</xdr:row>
      <xdr:rowOff>136070</xdr:rowOff>
    </xdr:from>
    <xdr:to>
      <xdr:col>14</xdr:col>
      <xdr:colOff>54429</xdr:colOff>
      <xdr:row>66</xdr:row>
      <xdr:rowOff>136071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176893</xdr:colOff>
      <xdr:row>20</xdr:row>
      <xdr:rowOff>95250</xdr:rowOff>
    </xdr:from>
    <xdr:to>
      <xdr:col>22</xdr:col>
      <xdr:colOff>190501</xdr:colOff>
      <xdr:row>44</xdr:row>
      <xdr:rowOff>136071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258537</xdr:colOff>
      <xdr:row>47</xdr:row>
      <xdr:rowOff>136070</xdr:rowOff>
    </xdr:from>
    <xdr:to>
      <xdr:col>14</xdr:col>
      <xdr:colOff>54429</xdr:colOff>
      <xdr:row>66</xdr:row>
      <xdr:rowOff>136071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176893</xdr:colOff>
      <xdr:row>20</xdr:row>
      <xdr:rowOff>95250</xdr:rowOff>
    </xdr:from>
    <xdr:to>
      <xdr:col>22</xdr:col>
      <xdr:colOff>190501</xdr:colOff>
      <xdr:row>44</xdr:row>
      <xdr:rowOff>136071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258537</xdr:colOff>
      <xdr:row>47</xdr:row>
      <xdr:rowOff>136070</xdr:rowOff>
    </xdr:from>
    <xdr:to>
      <xdr:col>14</xdr:col>
      <xdr:colOff>54429</xdr:colOff>
      <xdr:row>66</xdr:row>
      <xdr:rowOff>136071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176893</xdr:colOff>
      <xdr:row>20</xdr:row>
      <xdr:rowOff>95250</xdr:rowOff>
    </xdr:from>
    <xdr:to>
      <xdr:col>22</xdr:col>
      <xdr:colOff>190501</xdr:colOff>
      <xdr:row>44</xdr:row>
      <xdr:rowOff>136071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258537</xdr:colOff>
      <xdr:row>47</xdr:row>
      <xdr:rowOff>136070</xdr:rowOff>
    </xdr:from>
    <xdr:to>
      <xdr:col>14</xdr:col>
      <xdr:colOff>54429</xdr:colOff>
      <xdr:row>66</xdr:row>
      <xdr:rowOff>136071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176893</xdr:colOff>
      <xdr:row>20</xdr:row>
      <xdr:rowOff>95250</xdr:rowOff>
    </xdr:from>
    <xdr:to>
      <xdr:col>22</xdr:col>
      <xdr:colOff>190501</xdr:colOff>
      <xdr:row>44</xdr:row>
      <xdr:rowOff>136071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258537</xdr:colOff>
      <xdr:row>47</xdr:row>
      <xdr:rowOff>136070</xdr:rowOff>
    </xdr:from>
    <xdr:to>
      <xdr:col>14</xdr:col>
      <xdr:colOff>54429</xdr:colOff>
      <xdr:row>66</xdr:row>
      <xdr:rowOff>136071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176893</xdr:colOff>
      <xdr:row>20</xdr:row>
      <xdr:rowOff>95250</xdr:rowOff>
    </xdr:from>
    <xdr:to>
      <xdr:col>22</xdr:col>
      <xdr:colOff>190501</xdr:colOff>
      <xdr:row>44</xdr:row>
      <xdr:rowOff>136071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258537</xdr:colOff>
      <xdr:row>47</xdr:row>
      <xdr:rowOff>136070</xdr:rowOff>
    </xdr:from>
    <xdr:to>
      <xdr:col>14</xdr:col>
      <xdr:colOff>54429</xdr:colOff>
      <xdr:row>66</xdr:row>
      <xdr:rowOff>136071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176893</xdr:colOff>
      <xdr:row>20</xdr:row>
      <xdr:rowOff>95250</xdr:rowOff>
    </xdr:from>
    <xdr:to>
      <xdr:col>22</xdr:col>
      <xdr:colOff>190501</xdr:colOff>
      <xdr:row>44</xdr:row>
      <xdr:rowOff>136071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258537</xdr:colOff>
      <xdr:row>47</xdr:row>
      <xdr:rowOff>136070</xdr:rowOff>
    </xdr:from>
    <xdr:to>
      <xdr:col>14</xdr:col>
      <xdr:colOff>54429</xdr:colOff>
      <xdr:row>66</xdr:row>
      <xdr:rowOff>136071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176893</xdr:colOff>
      <xdr:row>20</xdr:row>
      <xdr:rowOff>95250</xdr:rowOff>
    </xdr:from>
    <xdr:to>
      <xdr:col>22</xdr:col>
      <xdr:colOff>190501</xdr:colOff>
      <xdr:row>44</xdr:row>
      <xdr:rowOff>136071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258537</xdr:colOff>
      <xdr:row>47</xdr:row>
      <xdr:rowOff>136070</xdr:rowOff>
    </xdr:from>
    <xdr:to>
      <xdr:col>14</xdr:col>
      <xdr:colOff>54429</xdr:colOff>
      <xdr:row>66</xdr:row>
      <xdr:rowOff>136071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176893</xdr:colOff>
      <xdr:row>20</xdr:row>
      <xdr:rowOff>95250</xdr:rowOff>
    </xdr:from>
    <xdr:to>
      <xdr:col>22</xdr:col>
      <xdr:colOff>190501</xdr:colOff>
      <xdr:row>44</xdr:row>
      <xdr:rowOff>136071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258537</xdr:colOff>
      <xdr:row>47</xdr:row>
      <xdr:rowOff>136070</xdr:rowOff>
    </xdr:from>
    <xdr:to>
      <xdr:col>14</xdr:col>
      <xdr:colOff>54429</xdr:colOff>
      <xdr:row>66</xdr:row>
      <xdr:rowOff>136071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176893</xdr:colOff>
      <xdr:row>20</xdr:row>
      <xdr:rowOff>95250</xdr:rowOff>
    </xdr:from>
    <xdr:to>
      <xdr:col>22</xdr:col>
      <xdr:colOff>190501</xdr:colOff>
      <xdr:row>44</xdr:row>
      <xdr:rowOff>136071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11</xdr:row>
      <xdr:rowOff>0</xdr:rowOff>
    </xdr:from>
    <xdr:to>
      <xdr:col>14</xdr:col>
      <xdr:colOff>457200</xdr:colOff>
      <xdr:row>31</xdr:row>
      <xdr:rowOff>0</xdr:rowOff>
    </xdr:to>
    <xdr:graphicFrame macro="">
      <xdr:nvGraphicFramePr>
        <xdr:cNvPr id="59397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11</xdr:row>
      <xdr:rowOff>0</xdr:rowOff>
    </xdr:from>
    <xdr:to>
      <xdr:col>14</xdr:col>
      <xdr:colOff>457200</xdr:colOff>
      <xdr:row>31</xdr:row>
      <xdr:rowOff>0</xdr:rowOff>
    </xdr:to>
    <xdr:graphicFrame macro="">
      <xdr:nvGraphicFramePr>
        <xdr:cNvPr id="54379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11</xdr:row>
      <xdr:rowOff>0</xdr:rowOff>
    </xdr:from>
    <xdr:to>
      <xdr:col>14</xdr:col>
      <xdr:colOff>457200</xdr:colOff>
      <xdr:row>31</xdr:row>
      <xdr:rowOff>0</xdr:rowOff>
    </xdr:to>
    <xdr:graphicFrame macro="">
      <xdr:nvGraphicFramePr>
        <xdr:cNvPr id="50898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11</xdr:row>
      <xdr:rowOff>0</xdr:rowOff>
    </xdr:from>
    <xdr:to>
      <xdr:col>14</xdr:col>
      <xdr:colOff>457200</xdr:colOff>
      <xdr:row>31</xdr:row>
      <xdr:rowOff>0</xdr:rowOff>
    </xdr:to>
    <xdr:graphicFrame macro="">
      <xdr:nvGraphicFramePr>
        <xdr:cNvPr id="46598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14</xdr:row>
      <xdr:rowOff>0</xdr:rowOff>
    </xdr:from>
    <xdr:to>
      <xdr:col>14</xdr:col>
      <xdr:colOff>457200</xdr:colOff>
      <xdr:row>34</xdr:row>
      <xdr:rowOff>0</xdr:rowOff>
    </xdr:to>
    <xdr:graphicFrame macro="">
      <xdr:nvGraphicFramePr>
        <xdr:cNvPr id="41376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11</xdr:row>
      <xdr:rowOff>0</xdr:rowOff>
    </xdr:from>
    <xdr:to>
      <xdr:col>14</xdr:col>
      <xdr:colOff>457200</xdr:colOff>
      <xdr:row>31</xdr:row>
      <xdr:rowOff>0</xdr:rowOff>
    </xdr:to>
    <xdr:graphicFrame macro="">
      <xdr:nvGraphicFramePr>
        <xdr:cNvPr id="3082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11</xdr:row>
      <xdr:rowOff>0</xdr:rowOff>
    </xdr:from>
    <xdr:to>
      <xdr:col>12</xdr:col>
      <xdr:colOff>457200</xdr:colOff>
      <xdr:row>31</xdr:row>
      <xdr:rowOff>0</xdr:rowOff>
    </xdr:to>
    <xdr:graphicFrame macro="">
      <xdr:nvGraphicFramePr>
        <xdr:cNvPr id="7271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11</xdr:row>
      <xdr:rowOff>0</xdr:rowOff>
    </xdr:from>
    <xdr:to>
      <xdr:col>12</xdr:col>
      <xdr:colOff>466725</xdr:colOff>
      <xdr:row>31</xdr:row>
      <xdr:rowOff>161925</xdr:rowOff>
    </xdr:to>
    <xdr:graphicFrame macro="">
      <xdr:nvGraphicFramePr>
        <xdr:cNvPr id="931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314325</xdr:colOff>
      <xdr:row>6</xdr:row>
      <xdr:rowOff>19050</xdr:rowOff>
    </xdr:from>
    <xdr:to>
      <xdr:col>12</xdr:col>
      <xdr:colOff>485775</xdr:colOff>
      <xdr:row>21</xdr:row>
      <xdr:rowOff>133350</xdr:rowOff>
    </xdr:to>
    <xdr:graphicFrame macro="">
      <xdr:nvGraphicFramePr>
        <xdr:cNvPr id="1136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438150</xdr:colOff>
      <xdr:row>4</xdr:row>
      <xdr:rowOff>123825</xdr:rowOff>
    </xdr:from>
    <xdr:to>
      <xdr:col>15</xdr:col>
      <xdr:colOff>133350</xdr:colOff>
      <xdr:row>24</xdr:row>
      <xdr:rowOff>104775</xdr:rowOff>
    </xdr:to>
    <xdr:graphicFrame macro="">
      <xdr:nvGraphicFramePr>
        <xdr:cNvPr id="1341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eei.org/FIN/FINREVS/2013%20Quarterlies/2013%20Q1/Dividends/2013_Q1_Dividends_Data%20(values%20AEE%20correction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eei.org/FIN/FINREVS/2006%20Quarterlies/1st%20Quarter/Shareholder%20Data/Shareholder%20Trends.Q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eei.org/FIN/FINREVS/2012%20Quarterlies/2012%20Q1/Dividends/2012_Q1_Dividends_Charts_Final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_Annual_Actions"/>
      <sheetName val="Dividend 2012Q4"/>
      <sheetName val="Dividend 2012Q3"/>
      <sheetName val="Dividend 2012Q2"/>
      <sheetName val="Dividend 2012Q1"/>
      <sheetName val="VI. Dividend Summary"/>
      <sheetName val="Last"/>
      <sheetName val="Dividend_Rate_history"/>
      <sheetName val="Dividend_Rate"/>
      <sheetName val="Price"/>
      <sheetName val="Payout_Ratio"/>
      <sheetName val="Income"/>
      <sheetName val="Dividends_Paid"/>
      <sheetName val="Reg_Percent"/>
      <sheetName val="master_old"/>
      <sheetName val="master"/>
      <sheetName val="Setting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C5" t="str">
            <v>Assets as of 12/31/11</v>
          </cell>
        </row>
        <row r="7">
          <cell r="C7">
            <v>41364</v>
          </cell>
        </row>
        <row r="9">
          <cell r="C9">
            <v>41274</v>
          </cell>
        </row>
        <row r="11">
          <cell r="C11" t="str">
            <v>mm/dd/yyyy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areholder Trends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. Sector Payout Ratio"/>
      <sheetName val="II. Sector Yield"/>
      <sheetName val="III. Div Patterns - Historical"/>
      <sheetName val="IV. Category - Div Payout Ratio"/>
      <sheetName val="V. Category - Div Yield"/>
      <sheetName val="VI. Dividend Summary"/>
      <sheetName val="VII. Free Cash Flow "/>
      <sheetName val="SPDR_2011_Q4"/>
      <sheetName val="SPDR_2012_Q1"/>
      <sheetName val="SPDR_2012_Q2"/>
      <sheetName val="SPDR_2012_Q3"/>
      <sheetName val="SPDR_2012_Q4"/>
      <sheetName val="Settings"/>
      <sheetName val="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5">
          <cell r="C5">
            <v>0</v>
          </cell>
        </row>
        <row r="6">
          <cell r="C6" t="str">
            <v>SPDR_2011_Q4</v>
          </cell>
        </row>
        <row r="7">
          <cell r="C7" t="str">
            <v>SPDR_2012_Q1</v>
          </cell>
        </row>
        <row r="8">
          <cell r="C8" t="str">
            <v>SPDR_2012_Q2</v>
          </cell>
        </row>
        <row r="9">
          <cell r="C9" t="str">
            <v>SPDR_2012_Q3</v>
          </cell>
        </row>
        <row r="10">
          <cell r="C10" t="str">
            <v>SPDR_2012_Q4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20">
          <cell r="C20">
            <v>0</v>
          </cell>
        </row>
        <row r="21">
          <cell r="C21" t="str">
            <v>Settings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42">
          <cell r="C42" t="str">
            <v>as of 3/31/2012</v>
          </cell>
        </row>
        <row r="44">
          <cell r="C44">
            <v>40999</v>
          </cell>
        </row>
      </sheetData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4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0.bin"/><Relationship Id="rId4" Type="http://schemas.openxmlformats.org/officeDocument/2006/relationships/comments" Target="../comments5.x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92D050"/>
  </sheetPr>
  <dimension ref="A1:BM64"/>
  <sheetViews>
    <sheetView showGridLines="0" zoomScale="85" zoomScaleNormal="85" workbookViewId="0">
      <pane xSplit="1" topLeftCell="B1" activePane="topRight" state="frozen"/>
      <selection pane="topRight" activeCell="B1" sqref="B1"/>
    </sheetView>
  </sheetViews>
  <sheetFormatPr defaultRowHeight="12.75" outlineLevelRow="1" outlineLevelCol="1" x14ac:dyDescent="0.2"/>
  <cols>
    <col min="1" max="1" width="32.140625" customWidth="1" outlineLevel="1"/>
    <col min="2" max="49" width="8.28515625" customWidth="1"/>
  </cols>
  <sheetData>
    <row r="1" spans="2:2" ht="20.25" x14ac:dyDescent="0.3">
      <c r="B1" s="71" t="s">
        <v>270</v>
      </c>
    </row>
    <row r="24" spans="1:65" x14ac:dyDescent="0.2">
      <c r="B24" s="3" t="s">
        <v>418</v>
      </c>
    </row>
    <row r="25" spans="1:65" x14ac:dyDescent="0.2">
      <c r="B25" s="3" t="s">
        <v>549</v>
      </c>
      <c r="X25" s="6"/>
    </row>
    <row r="26" spans="1:65" x14ac:dyDescent="0.2">
      <c r="B26" s="207" t="s">
        <v>269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3"/>
      <c r="X26" s="47"/>
      <c r="Y26" s="3"/>
      <c r="Z26" s="3"/>
      <c r="AA26" s="3"/>
      <c r="AB26" s="3"/>
      <c r="AC26" s="3"/>
    </row>
    <row r="27" spans="1:65" x14ac:dyDescent="0.2"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</row>
    <row r="28" spans="1:65" s="175" customFormat="1" x14ac:dyDescent="0.2">
      <c r="B28" s="52" t="s">
        <v>226</v>
      </c>
      <c r="C28" s="52" t="s">
        <v>227</v>
      </c>
      <c r="D28" s="52" t="s">
        <v>409</v>
      </c>
      <c r="E28" s="52" t="s">
        <v>410</v>
      </c>
      <c r="F28" s="52" t="s">
        <v>411</v>
      </c>
      <c r="G28" s="52" t="s">
        <v>412</v>
      </c>
      <c r="H28" s="52" t="s">
        <v>91</v>
      </c>
      <c r="I28" s="52" t="s">
        <v>92</v>
      </c>
      <c r="J28" s="52" t="s">
        <v>93</v>
      </c>
      <c r="K28" s="52" t="s">
        <v>94</v>
      </c>
      <c r="L28" s="52" t="s">
        <v>413</v>
      </c>
      <c r="M28" s="52" t="s">
        <v>414</v>
      </c>
      <c r="N28" s="52" t="s">
        <v>95</v>
      </c>
      <c r="O28" s="52" t="s">
        <v>415</v>
      </c>
      <c r="P28" s="52" t="s">
        <v>96</v>
      </c>
      <c r="Q28" s="52" t="s">
        <v>416</v>
      </c>
      <c r="R28" s="52" t="s">
        <v>97</v>
      </c>
      <c r="S28" s="52" t="s">
        <v>229</v>
      </c>
      <c r="T28" s="52" t="s">
        <v>230</v>
      </c>
      <c r="U28" s="53" t="s">
        <v>215</v>
      </c>
      <c r="V28" s="53" t="s">
        <v>228</v>
      </c>
      <c r="W28" s="53" t="s">
        <v>231</v>
      </c>
      <c r="X28" s="53" t="s">
        <v>235</v>
      </c>
      <c r="Y28" s="53" t="s">
        <v>236</v>
      </c>
      <c r="Z28" s="53" t="s">
        <v>239</v>
      </c>
      <c r="AA28" s="53" t="s">
        <v>240</v>
      </c>
      <c r="AB28" s="53" t="s">
        <v>241</v>
      </c>
      <c r="AC28" s="52" t="s">
        <v>248</v>
      </c>
      <c r="AD28" s="52" t="s">
        <v>250</v>
      </c>
      <c r="AE28" s="52" t="s">
        <v>251</v>
      </c>
      <c r="AF28" s="52" t="s">
        <v>252</v>
      </c>
      <c r="AG28" s="52" t="s">
        <v>253</v>
      </c>
      <c r="AH28" s="52" t="s">
        <v>271</v>
      </c>
      <c r="AI28" s="52" t="s">
        <v>355</v>
      </c>
      <c r="AJ28" s="52" t="s">
        <v>361</v>
      </c>
      <c r="AK28" s="52" t="s">
        <v>367</v>
      </c>
      <c r="AL28" s="52" t="s">
        <v>368</v>
      </c>
      <c r="AM28" s="52" t="s">
        <v>374</v>
      </c>
      <c r="AN28" s="52" t="s">
        <v>375</v>
      </c>
      <c r="AO28" s="52" t="s">
        <v>378</v>
      </c>
      <c r="AP28" s="52" t="s">
        <v>381</v>
      </c>
      <c r="AQ28" s="52" t="s">
        <v>384</v>
      </c>
      <c r="AR28" s="52" t="s">
        <v>387</v>
      </c>
      <c r="AS28" s="52" t="s">
        <v>390</v>
      </c>
      <c r="AT28" s="52" t="s">
        <v>391</v>
      </c>
      <c r="AU28" s="52" t="s">
        <v>406</v>
      </c>
      <c r="AV28" s="52" t="s">
        <v>407</v>
      </c>
      <c r="AW28" s="52" t="s">
        <v>408</v>
      </c>
      <c r="AX28" s="52" t="s">
        <v>429</v>
      </c>
      <c r="AY28" s="52" t="s">
        <v>430</v>
      </c>
      <c r="AZ28" s="52" t="s">
        <v>431</v>
      </c>
      <c r="BA28" s="52" t="s">
        <v>432</v>
      </c>
      <c r="BB28" s="52" t="s">
        <v>499</v>
      </c>
      <c r="BC28" s="52" t="s">
        <v>502</v>
      </c>
      <c r="BD28" s="52" t="s">
        <v>503</v>
      </c>
      <c r="BE28" s="52" t="s">
        <v>504</v>
      </c>
      <c r="BF28" s="52" t="s">
        <v>514</v>
      </c>
      <c r="BG28" s="52" t="s">
        <v>515</v>
      </c>
      <c r="BH28" s="52" t="s">
        <v>518</v>
      </c>
      <c r="BI28" s="52" t="s">
        <v>519</v>
      </c>
      <c r="BJ28" s="52" t="s">
        <v>534</v>
      </c>
      <c r="BK28" s="52" t="s">
        <v>535</v>
      </c>
      <c r="BL28" s="52" t="s">
        <v>536</v>
      </c>
      <c r="BM28" s="52" t="s">
        <v>537</v>
      </c>
    </row>
    <row r="29" spans="1:65" s="187" customFormat="1" x14ac:dyDescent="0.2">
      <c r="A29" s="183" t="s">
        <v>397</v>
      </c>
      <c r="B29" s="184">
        <v>3</v>
      </c>
      <c r="C29" s="184">
        <v>3</v>
      </c>
      <c r="D29" s="184">
        <v>1</v>
      </c>
      <c r="E29" s="184">
        <v>3</v>
      </c>
      <c r="F29" s="184">
        <v>1</v>
      </c>
      <c r="G29" s="184">
        <v>0</v>
      </c>
      <c r="H29" s="184">
        <v>1</v>
      </c>
      <c r="I29" s="184">
        <v>0</v>
      </c>
      <c r="J29" s="184">
        <v>1</v>
      </c>
      <c r="K29" s="184">
        <v>12</v>
      </c>
      <c r="L29" s="184">
        <v>5</v>
      </c>
      <c r="M29" s="184">
        <v>0</v>
      </c>
      <c r="N29" s="184">
        <v>3</v>
      </c>
      <c r="O29" s="184">
        <v>3</v>
      </c>
      <c r="P29" s="184">
        <v>3</v>
      </c>
      <c r="Q29" s="184">
        <v>7</v>
      </c>
      <c r="R29" s="184">
        <v>4</v>
      </c>
      <c r="S29" s="184">
        <v>1</v>
      </c>
      <c r="T29" s="184">
        <v>11</v>
      </c>
      <c r="U29" s="184">
        <v>2</v>
      </c>
      <c r="V29" s="184">
        <v>6</v>
      </c>
      <c r="W29" s="185">
        <v>5</v>
      </c>
      <c r="X29" s="185">
        <v>10</v>
      </c>
      <c r="Y29" s="185">
        <v>4</v>
      </c>
      <c r="Z29" s="185">
        <v>14</v>
      </c>
      <c r="AA29" s="185">
        <v>3</v>
      </c>
      <c r="AB29" s="185">
        <v>4</v>
      </c>
      <c r="AC29" s="184">
        <v>7</v>
      </c>
      <c r="AD29" s="186">
        <v>1</v>
      </c>
      <c r="AE29" s="184">
        <v>0</v>
      </c>
      <c r="AF29" s="184">
        <v>3</v>
      </c>
      <c r="AG29" s="184">
        <v>4</v>
      </c>
      <c r="AH29" s="184">
        <v>0</v>
      </c>
      <c r="AI29" s="184">
        <v>3</v>
      </c>
      <c r="AJ29" s="184">
        <v>1</v>
      </c>
      <c r="AK29" s="184">
        <v>2</v>
      </c>
      <c r="AL29" s="184">
        <v>1</v>
      </c>
      <c r="AM29" s="184">
        <v>4</v>
      </c>
      <c r="AN29" s="184">
        <v>2</v>
      </c>
      <c r="AO29" s="184">
        <v>0</v>
      </c>
      <c r="AP29" s="184">
        <v>3</v>
      </c>
      <c r="AQ29" s="184">
        <v>8</v>
      </c>
      <c r="AR29" s="184">
        <v>2</v>
      </c>
      <c r="AS29" s="184">
        <v>1</v>
      </c>
      <c r="AT29" s="184">
        <v>2</v>
      </c>
      <c r="AU29" s="184">
        <v>8</v>
      </c>
      <c r="AV29" s="184">
        <v>2</v>
      </c>
      <c r="AW29" s="184">
        <v>1</v>
      </c>
      <c r="AX29" s="184">
        <v>0</v>
      </c>
      <c r="AY29" s="184">
        <v>6</v>
      </c>
      <c r="AZ29" s="184">
        <v>0</v>
      </c>
      <c r="BA29" s="184">
        <v>4</v>
      </c>
      <c r="BB29" s="184">
        <v>4</v>
      </c>
      <c r="BC29" s="184">
        <v>4</v>
      </c>
      <c r="BD29" s="184">
        <v>1</v>
      </c>
      <c r="BE29" s="184">
        <v>3</v>
      </c>
      <c r="BF29" s="184">
        <v>0</v>
      </c>
      <c r="BG29" s="184">
        <v>4</v>
      </c>
      <c r="BH29" s="184">
        <v>0</v>
      </c>
      <c r="BI29" s="184">
        <v>2</v>
      </c>
      <c r="BJ29" s="184">
        <v>5</v>
      </c>
      <c r="BK29" s="184">
        <v>4</v>
      </c>
      <c r="BL29" s="184">
        <v>3</v>
      </c>
      <c r="BM29" s="184">
        <v>1</v>
      </c>
    </row>
    <row r="30" spans="1:65" s="192" customFormat="1" x14ac:dyDescent="0.2">
      <c r="A30" s="188" t="s">
        <v>398</v>
      </c>
      <c r="B30" s="189">
        <v>-14</v>
      </c>
      <c r="C30" s="189">
        <v>-6</v>
      </c>
      <c r="D30" s="189">
        <v>-1</v>
      </c>
      <c r="E30" s="189">
        <v>-7</v>
      </c>
      <c r="F30" s="189">
        <v>-3</v>
      </c>
      <c r="G30" s="189">
        <v>-14</v>
      </c>
      <c r="H30" s="189">
        <v>-32</v>
      </c>
      <c r="I30" s="189">
        <v>-6</v>
      </c>
      <c r="J30" s="189">
        <v>-19</v>
      </c>
      <c r="K30" s="189">
        <v>-10</v>
      </c>
      <c r="L30" s="189">
        <v>-9</v>
      </c>
      <c r="M30" s="189">
        <v>-6</v>
      </c>
      <c r="N30" s="189">
        <v>-2</v>
      </c>
      <c r="O30" s="189">
        <v>-9</v>
      </c>
      <c r="P30" s="189">
        <v>-5</v>
      </c>
      <c r="Q30" s="189">
        <v>-2</v>
      </c>
      <c r="R30" s="189">
        <v>-2</v>
      </c>
      <c r="S30" s="189">
        <v>-1</v>
      </c>
      <c r="T30" s="189">
        <v>-1</v>
      </c>
      <c r="U30" s="189">
        <v>0</v>
      </c>
      <c r="V30" s="189">
        <v>-3</v>
      </c>
      <c r="W30" s="190">
        <v>-2</v>
      </c>
      <c r="X30" s="190">
        <v>-1</v>
      </c>
      <c r="Y30" s="190">
        <v>0</v>
      </c>
      <c r="Z30" s="190">
        <v>-4</v>
      </c>
      <c r="AA30" s="190">
        <v>-6</v>
      </c>
      <c r="AB30" s="190">
        <v>-1</v>
      </c>
      <c r="AC30" s="190">
        <v>-2</v>
      </c>
      <c r="AD30" s="191">
        <v>-8</v>
      </c>
      <c r="AE30" s="190">
        <v>0</v>
      </c>
      <c r="AF30" s="190">
        <v>-1</v>
      </c>
      <c r="AG30" s="190">
        <v>0</v>
      </c>
      <c r="AH30" s="190">
        <v>-3</v>
      </c>
      <c r="AI30" s="190">
        <v>-2</v>
      </c>
      <c r="AJ30" s="190">
        <v>-3</v>
      </c>
      <c r="AK30" s="190">
        <v>0</v>
      </c>
      <c r="AL30" s="190">
        <v>-2</v>
      </c>
      <c r="AM30" s="190">
        <v>-7</v>
      </c>
      <c r="AN30" s="190">
        <v>-5</v>
      </c>
      <c r="AO30" s="190">
        <v>-3</v>
      </c>
      <c r="AP30" s="190">
        <v>0</v>
      </c>
      <c r="AQ30" s="190">
        <v>-6</v>
      </c>
      <c r="AR30" s="190">
        <v>-1</v>
      </c>
      <c r="AS30" s="190">
        <v>-4</v>
      </c>
      <c r="AT30" s="190">
        <v>-3</v>
      </c>
      <c r="AU30" s="190">
        <v>-5</v>
      </c>
      <c r="AV30" s="190">
        <v>-1</v>
      </c>
      <c r="AW30" s="190">
        <v>-4</v>
      </c>
      <c r="AX30" s="190">
        <v>-4</v>
      </c>
      <c r="AY30" s="190">
        <v>0</v>
      </c>
      <c r="AZ30" s="190">
        <v>-8</v>
      </c>
      <c r="BA30" s="190">
        <v>-1</v>
      </c>
      <c r="BB30" s="190">
        <v>0</v>
      </c>
      <c r="BC30" s="190">
        <v>-2</v>
      </c>
      <c r="BD30" s="190">
        <v>0</v>
      </c>
      <c r="BE30" s="190">
        <v>0</v>
      </c>
      <c r="BF30" s="190">
        <v>0</v>
      </c>
      <c r="BG30" s="190">
        <v>-5</v>
      </c>
      <c r="BH30" s="190">
        <v>0</v>
      </c>
      <c r="BI30" s="190">
        <v>0</v>
      </c>
      <c r="BJ30" s="190">
        <v>-1</v>
      </c>
      <c r="BK30" s="190">
        <v>-2</v>
      </c>
      <c r="BL30" s="190">
        <v>0</v>
      </c>
      <c r="BM30" s="190">
        <v>0</v>
      </c>
    </row>
    <row r="31" spans="1:65" s="187" customFormat="1" x14ac:dyDescent="0.2">
      <c r="A31" s="183" t="s">
        <v>399</v>
      </c>
      <c r="B31" s="184">
        <v>14</v>
      </c>
      <c r="C31" s="184">
        <v>4</v>
      </c>
      <c r="D31" s="184">
        <v>0</v>
      </c>
      <c r="E31" s="184">
        <v>9</v>
      </c>
      <c r="F31" s="184">
        <v>3</v>
      </c>
      <c r="G31" s="184">
        <v>0</v>
      </c>
      <c r="H31" s="184">
        <v>2</v>
      </c>
      <c r="I31" s="184">
        <v>0</v>
      </c>
      <c r="J31" s="184">
        <v>0</v>
      </c>
      <c r="K31" s="184">
        <v>2</v>
      </c>
      <c r="L31" s="184">
        <v>1</v>
      </c>
      <c r="M31" s="184">
        <v>8</v>
      </c>
      <c r="N31" s="184">
        <v>3</v>
      </c>
      <c r="O31" s="184">
        <v>4</v>
      </c>
      <c r="P31" s="184">
        <v>9</v>
      </c>
      <c r="Q31" s="184">
        <v>4</v>
      </c>
      <c r="R31" s="184">
        <v>12</v>
      </c>
      <c r="S31" s="184">
        <v>11</v>
      </c>
      <c r="T31" s="184">
        <v>8</v>
      </c>
      <c r="U31" s="184">
        <v>0</v>
      </c>
      <c r="V31" s="184">
        <v>5</v>
      </c>
      <c r="W31" s="185">
        <v>12</v>
      </c>
      <c r="X31" s="185">
        <v>3</v>
      </c>
      <c r="Y31" s="185">
        <v>2</v>
      </c>
      <c r="Z31" s="185">
        <v>1</v>
      </c>
      <c r="AA31" s="185">
        <v>4</v>
      </c>
      <c r="AB31" s="185">
        <v>4</v>
      </c>
      <c r="AC31" s="185">
        <v>10</v>
      </c>
      <c r="AD31" s="186">
        <v>1</v>
      </c>
      <c r="AE31" s="185">
        <v>1</v>
      </c>
      <c r="AF31" s="185">
        <v>0</v>
      </c>
      <c r="AG31" s="185">
        <v>1</v>
      </c>
      <c r="AH31" s="185">
        <v>0</v>
      </c>
      <c r="AI31" s="185">
        <v>2</v>
      </c>
      <c r="AJ31" s="185">
        <v>3</v>
      </c>
      <c r="AK31" s="185">
        <v>0</v>
      </c>
      <c r="AL31" s="185">
        <v>0</v>
      </c>
      <c r="AM31" s="185">
        <v>2</v>
      </c>
      <c r="AN31" s="185">
        <v>4</v>
      </c>
      <c r="AO31" s="185">
        <v>1</v>
      </c>
      <c r="AP31" s="185">
        <v>3</v>
      </c>
      <c r="AQ31" s="185">
        <v>4</v>
      </c>
      <c r="AR31" s="185">
        <v>0</v>
      </c>
      <c r="AS31" s="185">
        <v>0</v>
      </c>
      <c r="AT31" s="185">
        <v>5</v>
      </c>
      <c r="AU31" s="185">
        <v>9</v>
      </c>
      <c r="AV31" s="185">
        <v>0</v>
      </c>
      <c r="AW31" s="185">
        <v>0</v>
      </c>
      <c r="AX31" s="185">
        <v>1</v>
      </c>
      <c r="AY31" s="185">
        <v>4</v>
      </c>
      <c r="AZ31" s="185">
        <v>8</v>
      </c>
      <c r="BA31" s="185">
        <v>0</v>
      </c>
      <c r="BB31" s="185">
        <v>78</v>
      </c>
      <c r="BC31" s="185">
        <v>2</v>
      </c>
      <c r="BD31" s="185">
        <v>5</v>
      </c>
      <c r="BE31" s="185">
        <v>0</v>
      </c>
      <c r="BF31" s="185">
        <v>2</v>
      </c>
      <c r="BG31" s="185">
        <v>4</v>
      </c>
      <c r="BH31" s="185">
        <v>1</v>
      </c>
      <c r="BI31" s="185">
        <v>2</v>
      </c>
      <c r="BJ31" s="185">
        <v>2</v>
      </c>
      <c r="BK31" s="185">
        <v>2</v>
      </c>
      <c r="BL31" s="185">
        <v>1</v>
      </c>
      <c r="BM31" s="185">
        <v>0</v>
      </c>
    </row>
    <row r="32" spans="1:65" s="192" customFormat="1" x14ac:dyDescent="0.2">
      <c r="A32" s="188" t="s">
        <v>401</v>
      </c>
      <c r="B32" s="189">
        <v>-21</v>
      </c>
      <c r="C32" s="189">
        <v>-8</v>
      </c>
      <c r="D32" s="189">
        <v>0</v>
      </c>
      <c r="E32" s="189">
        <v>-12</v>
      </c>
      <c r="F32" s="189">
        <v>-7</v>
      </c>
      <c r="G32" s="189">
        <v>-20</v>
      </c>
      <c r="H32" s="189">
        <v>-27</v>
      </c>
      <c r="I32" s="189">
        <v>-59</v>
      </c>
      <c r="J32" s="189">
        <v>-25</v>
      </c>
      <c r="K32" s="189">
        <v>-21</v>
      </c>
      <c r="L32" s="189">
        <v>-11</v>
      </c>
      <c r="M32" s="189">
        <v>-11</v>
      </c>
      <c r="N32" s="189">
        <v>-11</v>
      </c>
      <c r="O32" s="189">
        <v>-6</v>
      </c>
      <c r="P32" s="189">
        <v>-3</v>
      </c>
      <c r="Q32" s="189">
        <v>-2</v>
      </c>
      <c r="R32" s="189">
        <v>-6</v>
      </c>
      <c r="S32" s="189">
        <v>0</v>
      </c>
      <c r="T32" s="189">
        <v>-3</v>
      </c>
      <c r="U32" s="189">
        <v>-6</v>
      </c>
      <c r="V32" s="189">
        <v>-2</v>
      </c>
      <c r="W32" s="190">
        <v>-4</v>
      </c>
      <c r="X32" s="190">
        <v>-11</v>
      </c>
      <c r="Y32" s="190">
        <v>0</v>
      </c>
      <c r="Z32" s="190">
        <v>-9</v>
      </c>
      <c r="AA32" s="190">
        <v>-1</v>
      </c>
      <c r="AB32" s="190">
        <v>0</v>
      </c>
      <c r="AC32" s="190">
        <v>-3</v>
      </c>
      <c r="AD32" s="191">
        <v>0</v>
      </c>
      <c r="AE32" s="190">
        <v>-2</v>
      </c>
      <c r="AF32" s="190">
        <v>-1</v>
      </c>
      <c r="AG32" s="190">
        <v>0</v>
      </c>
      <c r="AH32" s="190">
        <v>-2</v>
      </c>
      <c r="AI32" s="190">
        <v>-9</v>
      </c>
      <c r="AJ32" s="190">
        <v>-5</v>
      </c>
      <c r="AK32" s="190">
        <v>-2</v>
      </c>
      <c r="AL32" s="190">
        <v>-2</v>
      </c>
      <c r="AM32" s="190">
        <v>-5</v>
      </c>
      <c r="AN32" s="190">
        <v>-3</v>
      </c>
      <c r="AO32" s="190">
        <v>-3</v>
      </c>
      <c r="AP32" s="190">
        <v>0</v>
      </c>
      <c r="AQ32" s="190">
        <v>0</v>
      </c>
      <c r="AR32" s="190">
        <v>-3</v>
      </c>
      <c r="AS32" s="190">
        <v>-1</v>
      </c>
      <c r="AT32" s="190">
        <v>-2</v>
      </c>
      <c r="AU32" s="190">
        <v>-2</v>
      </c>
      <c r="AV32" s="190">
        <v>-1</v>
      </c>
      <c r="AW32" s="190">
        <v>-1</v>
      </c>
      <c r="AX32" s="190">
        <v>-1</v>
      </c>
      <c r="AY32" s="190">
        <v>-1</v>
      </c>
      <c r="AZ32" s="190">
        <v>-2</v>
      </c>
      <c r="BA32" s="190">
        <v>0</v>
      </c>
      <c r="BB32" s="190">
        <v>0</v>
      </c>
      <c r="BC32" s="190">
        <v>0</v>
      </c>
      <c r="BD32" s="190">
        <v>0</v>
      </c>
      <c r="BE32" s="190">
        <v>0</v>
      </c>
      <c r="BF32" s="190">
        <v>0</v>
      </c>
      <c r="BG32" s="190">
        <v>-1</v>
      </c>
      <c r="BH32" s="190">
        <v>-1</v>
      </c>
      <c r="BI32" s="190">
        <v>-1</v>
      </c>
      <c r="BJ32" s="190">
        <v>-2</v>
      </c>
      <c r="BK32" s="190">
        <v>0</v>
      </c>
      <c r="BL32" s="190">
        <v>-6</v>
      </c>
      <c r="BM32" s="190">
        <v>-1</v>
      </c>
    </row>
    <row r="33" spans="1:65" s="187" customFormat="1" x14ac:dyDescent="0.2">
      <c r="A33" s="183" t="s">
        <v>400</v>
      </c>
      <c r="B33" s="184">
        <v>6</v>
      </c>
      <c r="C33" s="184">
        <v>7</v>
      </c>
      <c r="D33" s="184">
        <v>5</v>
      </c>
      <c r="E33" s="184">
        <v>2</v>
      </c>
      <c r="F33" s="184">
        <v>2</v>
      </c>
      <c r="G33" s="184">
        <v>2</v>
      </c>
      <c r="H33" s="185">
        <v>9</v>
      </c>
      <c r="I33" s="185">
        <v>1</v>
      </c>
      <c r="J33" s="185">
        <v>3</v>
      </c>
      <c r="K33" s="185">
        <v>1</v>
      </c>
      <c r="L33" s="185">
        <v>0</v>
      </c>
      <c r="M33" s="184">
        <v>2</v>
      </c>
      <c r="N33" s="184">
        <v>2</v>
      </c>
      <c r="O33" s="184">
        <v>1</v>
      </c>
      <c r="P33" s="184">
        <v>9</v>
      </c>
      <c r="Q33" s="184">
        <v>3</v>
      </c>
      <c r="R33" s="184">
        <v>7</v>
      </c>
      <c r="S33" s="184">
        <v>8</v>
      </c>
      <c r="T33" s="184">
        <v>1</v>
      </c>
      <c r="U33" s="184">
        <v>8</v>
      </c>
      <c r="V33" s="184">
        <v>7</v>
      </c>
      <c r="W33" s="184">
        <v>7</v>
      </c>
      <c r="X33" s="185">
        <v>6</v>
      </c>
      <c r="Y33" s="185">
        <v>0</v>
      </c>
      <c r="Z33" s="185">
        <v>7</v>
      </c>
      <c r="AA33" s="185">
        <v>16</v>
      </c>
      <c r="AB33" s="185">
        <v>0</v>
      </c>
      <c r="AC33" s="185">
        <v>3</v>
      </c>
      <c r="AD33" s="186">
        <v>3</v>
      </c>
      <c r="AE33" s="185">
        <v>3</v>
      </c>
      <c r="AF33" s="185">
        <v>6</v>
      </c>
      <c r="AG33" s="185">
        <v>1</v>
      </c>
      <c r="AH33" s="185">
        <v>1</v>
      </c>
      <c r="AI33" s="185">
        <v>5</v>
      </c>
      <c r="AJ33" s="185">
        <v>3</v>
      </c>
      <c r="AK33" s="185">
        <v>3</v>
      </c>
      <c r="AL33" s="185">
        <v>0</v>
      </c>
      <c r="AM33" s="185">
        <v>6</v>
      </c>
      <c r="AN33" s="185">
        <v>5</v>
      </c>
      <c r="AO33" s="185">
        <v>4</v>
      </c>
      <c r="AP33" s="185">
        <v>5</v>
      </c>
      <c r="AQ33" s="185">
        <v>9</v>
      </c>
      <c r="AR33" s="185">
        <v>2</v>
      </c>
      <c r="AS33" s="185">
        <v>2</v>
      </c>
      <c r="AT33" s="185">
        <v>1</v>
      </c>
      <c r="AU33" s="185">
        <v>7</v>
      </c>
      <c r="AV33" s="185">
        <v>0</v>
      </c>
      <c r="AW33" s="185">
        <v>2</v>
      </c>
      <c r="AX33" s="185">
        <v>13</v>
      </c>
      <c r="AY33" s="185">
        <v>10</v>
      </c>
      <c r="AZ33" s="185">
        <v>6</v>
      </c>
      <c r="BA33" s="185">
        <v>8</v>
      </c>
      <c r="BB33" s="185">
        <v>0</v>
      </c>
      <c r="BC33" s="185">
        <v>4</v>
      </c>
      <c r="BD33" s="185">
        <v>0</v>
      </c>
      <c r="BE33" s="185">
        <v>2</v>
      </c>
      <c r="BF33" s="185">
        <v>0</v>
      </c>
      <c r="BG33" s="185">
        <v>18</v>
      </c>
      <c r="BH33" s="185">
        <v>0</v>
      </c>
      <c r="BI33" s="185">
        <v>2</v>
      </c>
      <c r="BJ33" s="185">
        <v>6</v>
      </c>
      <c r="BK33" s="185">
        <v>7</v>
      </c>
      <c r="BL33" s="185">
        <v>19</v>
      </c>
      <c r="BM33" s="185">
        <v>0</v>
      </c>
    </row>
    <row r="34" spans="1:65" s="192" customFormat="1" x14ac:dyDescent="0.2">
      <c r="A34" s="188" t="s">
        <v>402</v>
      </c>
      <c r="B34" s="189">
        <v>-24</v>
      </c>
      <c r="C34" s="189">
        <v>-7</v>
      </c>
      <c r="D34" s="189">
        <v>-12</v>
      </c>
      <c r="E34" s="189">
        <v>-38</v>
      </c>
      <c r="F34" s="189">
        <v>-24</v>
      </c>
      <c r="G34" s="189">
        <v>-33</v>
      </c>
      <c r="H34" s="190">
        <v>-32</v>
      </c>
      <c r="I34" s="190">
        <v>-22</v>
      </c>
      <c r="J34" s="190">
        <v>-44</v>
      </c>
      <c r="K34" s="190">
        <v>-24</v>
      </c>
      <c r="L34" s="190">
        <v>-18</v>
      </c>
      <c r="M34" s="189">
        <v>-20</v>
      </c>
      <c r="N34" s="189">
        <v>-6</v>
      </c>
      <c r="O34" s="189">
        <v>-4</v>
      </c>
      <c r="P34" s="189">
        <v>-2</v>
      </c>
      <c r="Q34" s="189">
        <v>-7</v>
      </c>
      <c r="R34" s="189">
        <v>-1</v>
      </c>
      <c r="S34" s="189">
        <v>-9</v>
      </c>
      <c r="T34" s="189">
        <v>-3</v>
      </c>
      <c r="U34" s="189">
        <v>-16</v>
      </c>
      <c r="V34" s="189">
        <v>-2</v>
      </c>
      <c r="W34" s="189">
        <v>-4</v>
      </c>
      <c r="X34" s="190">
        <v>-6</v>
      </c>
      <c r="Y34" s="190">
        <v>-8</v>
      </c>
      <c r="Z34" s="190">
        <v>-4</v>
      </c>
      <c r="AA34" s="190">
        <v>-11</v>
      </c>
      <c r="AB34" s="190">
        <v>-1</v>
      </c>
      <c r="AC34" s="190">
        <v>-6</v>
      </c>
      <c r="AD34" s="191">
        <v>-5</v>
      </c>
      <c r="AE34" s="190">
        <v>-3</v>
      </c>
      <c r="AF34" s="190">
        <v>-3</v>
      </c>
      <c r="AG34" s="190">
        <v>-3</v>
      </c>
      <c r="AH34" s="190">
        <v>-4</v>
      </c>
      <c r="AI34" s="190">
        <v>-3</v>
      </c>
      <c r="AJ34" s="190">
        <v>0</v>
      </c>
      <c r="AK34" s="190">
        <v>-1</v>
      </c>
      <c r="AL34" s="190">
        <v>-13</v>
      </c>
      <c r="AM34" s="190">
        <v>-2</v>
      </c>
      <c r="AN34" s="190">
        <v>0</v>
      </c>
      <c r="AO34" s="190">
        <v>-6</v>
      </c>
      <c r="AP34" s="190">
        <v>0</v>
      </c>
      <c r="AQ34" s="190">
        <v>-2</v>
      </c>
      <c r="AR34" s="190">
        <v>0</v>
      </c>
      <c r="AS34" s="190">
        <v>-4</v>
      </c>
      <c r="AT34" s="190">
        <v>-3</v>
      </c>
      <c r="AU34" s="190">
        <v>-4</v>
      </c>
      <c r="AV34" s="190">
        <v>-5</v>
      </c>
      <c r="AW34" s="190">
        <v>-8</v>
      </c>
      <c r="AX34" s="190">
        <v>0</v>
      </c>
      <c r="AY34" s="190">
        <v>0</v>
      </c>
      <c r="AZ34" s="190">
        <v>0</v>
      </c>
      <c r="BA34" s="190">
        <v>-3</v>
      </c>
      <c r="BB34" s="190">
        <v>0</v>
      </c>
      <c r="BC34" s="190">
        <v>-1</v>
      </c>
      <c r="BD34" s="190">
        <v>0</v>
      </c>
      <c r="BE34" s="190">
        <v>0</v>
      </c>
      <c r="BF34" s="190">
        <v>0</v>
      </c>
      <c r="BG34" s="190">
        <v>-1</v>
      </c>
      <c r="BH34" s="190">
        <v>-5</v>
      </c>
      <c r="BI34" s="190">
        <v>-1</v>
      </c>
      <c r="BJ34" s="190">
        <v>-2</v>
      </c>
      <c r="BK34" s="190">
        <v>-1</v>
      </c>
      <c r="BL34" s="190">
        <v>-3</v>
      </c>
      <c r="BM34" s="190">
        <v>-1</v>
      </c>
    </row>
    <row r="35" spans="1:65" s="1" customFormat="1" x14ac:dyDescent="0.2"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BK35" s="1" t="s">
        <v>542</v>
      </c>
    </row>
    <row r="36" spans="1:65" x14ac:dyDescent="0.2">
      <c r="B36" s="48"/>
      <c r="C36" s="48"/>
      <c r="D36" s="48"/>
      <c r="E36" s="48"/>
      <c r="F36" s="51"/>
      <c r="G36" s="50"/>
      <c r="H36" s="50"/>
      <c r="I36" s="50"/>
      <c r="J36" s="50"/>
      <c r="K36" s="50"/>
      <c r="L36" s="49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16"/>
      <c r="Y36" s="16"/>
      <c r="Z36" s="16"/>
      <c r="AA36" s="16"/>
      <c r="AB36" s="16"/>
      <c r="AC36" s="16"/>
    </row>
    <row r="37" spans="1:65" x14ac:dyDescent="0.2">
      <c r="B37" s="48"/>
      <c r="C37" s="48"/>
      <c r="D37" s="48"/>
      <c r="E37" s="48"/>
      <c r="F37" s="51"/>
      <c r="G37" s="50"/>
      <c r="H37" s="50"/>
      <c r="I37" s="50"/>
      <c r="J37" s="50"/>
      <c r="K37" s="50"/>
      <c r="L37" s="49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16"/>
      <c r="Y37" s="16"/>
      <c r="Z37" s="16"/>
      <c r="AA37" s="16"/>
      <c r="AB37" s="16"/>
      <c r="AC37" s="16"/>
    </row>
    <row r="38" spans="1:65" x14ac:dyDescent="0.2">
      <c r="B38" s="48"/>
      <c r="C38" s="48"/>
      <c r="D38" s="48"/>
      <c r="E38" s="48"/>
      <c r="F38" s="51"/>
      <c r="G38" s="50"/>
      <c r="H38" s="50"/>
      <c r="I38" s="50"/>
      <c r="J38" s="50"/>
      <c r="K38" s="50"/>
      <c r="L38" s="49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16"/>
      <c r="Y38" s="16"/>
      <c r="Z38" s="16"/>
      <c r="AA38" s="16"/>
      <c r="AB38" s="16"/>
      <c r="AC38" s="16"/>
    </row>
    <row r="39" spans="1:65" x14ac:dyDescent="0.2">
      <c r="B39" s="48"/>
      <c r="C39" s="48"/>
      <c r="D39" s="48"/>
      <c r="E39" s="48"/>
      <c r="F39" s="51"/>
      <c r="G39" s="50"/>
      <c r="H39" s="50"/>
      <c r="I39" s="50"/>
      <c r="J39" s="50"/>
      <c r="K39" s="50"/>
      <c r="L39" s="49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16"/>
      <c r="Y39" s="16"/>
      <c r="Z39" s="16"/>
      <c r="AA39" s="16"/>
      <c r="AB39" s="16"/>
      <c r="AC39" s="16"/>
    </row>
    <row r="40" spans="1:65" s="204" customFormat="1" outlineLevel="1" x14ac:dyDescent="0.2">
      <c r="A40" s="201"/>
      <c r="B40" s="202"/>
      <c r="C40" s="202"/>
      <c r="D40" s="202"/>
      <c r="E40" s="203" t="str">
        <f t="shared" ref="E40:AN40" si="0">IF( ISERR( FIND( "Q4", E$28 ) ), "", LEFT( E$28, 4 ) )</f>
        <v>2001</v>
      </c>
      <c r="F40" s="203" t="str">
        <f t="shared" si="0"/>
        <v/>
      </c>
      <c r="G40" s="203" t="str">
        <f t="shared" si="0"/>
        <v/>
      </c>
      <c r="H40" s="203" t="str">
        <f t="shared" si="0"/>
        <v/>
      </c>
      <c r="I40" s="203" t="str">
        <f t="shared" si="0"/>
        <v>2002</v>
      </c>
      <c r="J40" s="203" t="str">
        <f t="shared" si="0"/>
        <v/>
      </c>
      <c r="K40" s="203" t="str">
        <f t="shared" si="0"/>
        <v/>
      </c>
      <c r="L40" s="203" t="str">
        <f t="shared" si="0"/>
        <v/>
      </c>
      <c r="M40" s="203" t="str">
        <f t="shared" si="0"/>
        <v>2003</v>
      </c>
      <c r="N40" s="203" t="str">
        <f t="shared" si="0"/>
        <v/>
      </c>
      <c r="O40" s="203" t="str">
        <f t="shared" si="0"/>
        <v/>
      </c>
      <c r="P40" s="203" t="str">
        <f t="shared" si="0"/>
        <v/>
      </c>
      <c r="Q40" s="203" t="str">
        <f t="shared" si="0"/>
        <v>2004</v>
      </c>
      <c r="R40" s="203" t="str">
        <f t="shared" si="0"/>
        <v/>
      </c>
      <c r="S40" s="203" t="str">
        <f t="shared" si="0"/>
        <v/>
      </c>
      <c r="T40" s="203" t="str">
        <f t="shared" si="0"/>
        <v/>
      </c>
      <c r="U40" s="203" t="str">
        <f t="shared" si="0"/>
        <v>2005</v>
      </c>
      <c r="V40" s="203" t="str">
        <f t="shared" si="0"/>
        <v/>
      </c>
      <c r="W40" s="203" t="str">
        <f t="shared" si="0"/>
        <v/>
      </c>
      <c r="X40" s="203" t="str">
        <f t="shared" si="0"/>
        <v/>
      </c>
      <c r="Y40" s="203" t="str">
        <f t="shared" si="0"/>
        <v>2006</v>
      </c>
      <c r="Z40" s="203" t="str">
        <f t="shared" si="0"/>
        <v/>
      </c>
      <c r="AA40" s="203" t="str">
        <f t="shared" si="0"/>
        <v/>
      </c>
      <c r="AB40" s="203" t="str">
        <f t="shared" si="0"/>
        <v/>
      </c>
      <c r="AC40" s="203" t="str">
        <f t="shared" si="0"/>
        <v>2007</v>
      </c>
      <c r="AD40" s="203" t="str">
        <f t="shared" si="0"/>
        <v/>
      </c>
      <c r="AE40" s="203" t="str">
        <f t="shared" si="0"/>
        <v/>
      </c>
      <c r="AF40" s="203" t="str">
        <f t="shared" si="0"/>
        <v/>
      </c>
      <c r="AG40" s="203" t="str">
        <f t="shared" si="0"/>
        <v>2008</v>
      </c>
      <c r="AH40" s="203" t="str">
        <f t="shared" si="0"/>
        <v/>
      </c>
      <c r="AI40" s="203" t="str">
        <f t="shared" si="0"/>
        <v/>
      </c>
      <c r="AJ40" s="203" t="str">
        <f t="shared" si="0"/>
        <v/>
      </c>
      <c r="AK40" s="203" t="str">
        <f t="shared" si="0"/>
        <v>2009</v>
      </c>
      <c r="AL40" s="203" t="str">
        <f t="shared" si="0"/>
        <v/>
      </c>
      <c r="AM40" s="203" t="str">
        <f t="shared" si="0"/>
        <v/>
      </c>
      <c r="AN40" s="203" t="str">
        <f t="shared" si="0"/>
        <v/>
      </c>
      <c r="AO40" s="203" t="str">
        <f>IF( ISERR( FIND( "Q4", AO$28 ) ), "", LEFT( AO$28, 4 ) )</f>
        <v>2010</v>
      </c>
      <c r="AP40" s="203" t="str">
        <f t="shared" ref="AP40:BL40" si="1">IF( ISERR( FIND( "Q4", AP$28 ) ), "", LEFT( AP$28, 4 ) )</f>
        <v/>
      </c>
      <c r="AQ40" s="203" t="str">
        <f t="shared" si="1"/>
        <v/>
      </c>
      <c r="AR40" s="203" t="str">
        <f t="shared" si="1"/>
        <v/>
      </c>
      <c r="AS40" s="203" t="str">
        <f t="shared" si="1"/>
        <v>2011</v>
      </c>
      <c r="AT40" s="203" t="str">
        <f t="shared" si="1"/>
        <v/>
      </c>
      <c r="AU40" s="203" t="str">
        <f t="shared" si="1"/>
        <v/>
      </c>
      <c r="AV40" s="203" t="str">
        <f t="shared" si="1"/>
        <v/>
      </c>
      <c r="AW40" s="203" t="str">
        <f t="shared" si="1"/>
        <v>2012</v>
      </c>
      <c r="AX40" s="203" t="str">
        <f t="shared" si="1"/>
        <v/>
      </c>
      <c r="AY40" s="203" t="str">
        <f t="shared" si="1"/>
        <v/>
      </c>
      <c r="AZ40" s="203" t="str">
        <f t="shared" si="1"/>
        <v/>
      </c>
      <c r="BA40" s="203" t="str">
        <f t="shared" si="1"/>
        <v>2013</v>
      </c>
      <c r="BB40" s="203" t="str">
        <f t="shared" si="1"/>
        <v/>
      </c>
      <c r="BC40" s="203" t="str">
        <f t="shared" si="1"/>
        <v/>
      </c>
      <c r="BD40" s="203" t="str">
        <f t="shared" si="1"/>
        <v/>
      </c>
      <c r="BE40" s="203" t="str">
        <f t="shared" si="1"/>
        <v>2014</v>
      </c>
      <c r="BF40" s="203" t="str">
        <f t="shared" si="1"/>
        <v/>
      </c>
      <c r="BG40" s="203" t="str">
        <f t="shared" si="1"/>
        <v/>
      </c>
      <c r="BH40" s="203" t="str">
        <f t="shared" si="1"/>
        <v/>
      </c>
      <c r="BI40" s="203" t="str">
        <f t="shared" si="1"/>
        <v>2015</v>
      </c>
      <c r="BJ40" s="203" t="str">
        <f t="shared" si="1"/>
        <v/>
      </c>
      <c r="BK40" s="203" t="str">
        <f t="shared" si="1"/>
        <v/>
      </c>
      <c r="BL40" s="203" t="str">
        <f t="shared" si="1"/>
        <v/>
      </c>
      <c r="BM40" s="203" t="str">
        <f>IF( ISERR( FIND( "Q4", BM$28 ) ), "", LEFT( BM$28, 4 ) )</f>
        <v>2016</v>
      </c>
    </row>
    <row r="41" spans="1:65" s="197" customFormat="1" outlineLevel="1" x14ac:dyDescent="0.2">
      <c r="A41" s="193"/>
      <c r="B41" s="194"/>
      <c r="C41" s="194"/>
      <c r="D41" s="194"/>
      <c r="E41" s="194"/>
      <c r="F41" s="195"/>
      <c r="G41" s="196"/>
      <c r="H41" s="196"/>
      <c r="I41" s="196"/>
      <c r="J41" s="196"/>
      <c r="K41" s="196"/>
      <c r="L41" s="196"/>
      <c r="M41" s="194"/>
      <c r="N41" s="194"/>
      <c r="O41" s="194"/>
      <c r="P41" s="194"/>
      <c r="Q41" s="194"/>
      <c r="R41" s="194"/>
      <c r="S41" s="194"/>
      <c r="T41" s="194"/>
      <c r="U41" s="194"/>
      <c r="V41" s="194"/>
      <c r="W41" s="194"/>
      <c r="X41" s="194"/>
      <c r="Y41" s="194"/>
      <c r="Z41" s="194"/>
      <c r="AA41" s="194"/>
      <c r="AB41" s="194"/>
      <c r="AC41" s="194"/>
    </row>
    <row r="42" spans="1:65" s="423" customFormat="1" outlineLevel="1" x14ac:dyDescent="0.2">
      <c r="A42" s="422" t="s">
        <v>397</v>
      </c>
      <c r="E42" s="423">
        <f t="shared" ref="E42:N47" si="2">IF( ISERR( FIND( "Q4", E$28 ) ), "", SUM( B29:E29 ) )</f>
        <v>10</v>
      </c>
      <c r="F42" s="423" t="str">
        <f t="shared" si="2"/>
        <v/>
      </c>
      <c r="G42" s="423" t="str">
        <f t="shared" si="2"/>
        <v/>
      </c>
      <c r="H42" s="423" t="str">
        <f t="shared" si="2"/>
        <v/>
      </c>
      <c r="I42" s="423">
        <f t="shared" si="2"/>
        <v>2</v>
      </c>
      <c r="J42" s="423" t="str">
        <f t="shared" si="2"/>
        <v/>
      </c>
      <c r="K42" s="423" t="str">
        <f t="shared" si="2"/>
        <v/>
      </c>
      <c r="L42" s="423" t="str">
        <f t="shared" si="2"/>
        <v/>
      </c>
      <c r="M42" s="423">
        <f t="shared" si="2"/>
        <v>18</v>
      </c>
      <c r="N42" s="423" t="str">
        <f t="shared" si="2"/>
        <v/>
      </c>
      <c r="O42" s="423" t="str">
        <f t="shared" ref="O42:X47" si="3">IF( ISERR( FIND( "Q4", O$28 ) ), "", SUM( L29:O29 ) )</f>
        <v/>
      </c>
      <c r="P42" s="423" t="str">
        <f t="shared" si="3"/>
        <v/>
      </c>
      <c r="Q42" s="423">
        <f t="shared" si="3"/>
        <v>16</v>
      </c>
      <c r="R42" s="423" t="str">
        <f t="shared" si="3"/>
        <v/>
      </c>
      <c r="S42" s="423" t="str">
        <f t="shared" si="3"/>
        <v/>
      </c>
      <c r="T42" s="423" t="str">
        <f t="shared" si="3"/>
        <v/>
      </c>
      <c r="U42" s="423">
        <f t="shared" si="3"/>
        <v>18</v>
      </c>
      <c r="V42" s="423" t="str">
        <f t="shared" si="3"/>
        <v/>
      </c>
      <c r="W42" s="423" t="str">
        <f t="shared" si="3"/>
        <v/>
      </c>
      <c r="X42" s="423" t="str">
        <f t="shared" si="3"/>
        <v/>
      </c>
      <c r="Y42" s="423">
        <f t="shared" ref="Y42:AH47" si="4">IF( ISERR( FIND( "Q4", Y$28 ) ), "", SUM( V29:Y29 ) )</f>
        <v>25</v>
      </c>
      <c r="Z42" s="423" t="str">
        <f t="shared" si="4"/>
        <v/>
      </c>
      <c r="AA42" s="423" t="str">
        <f t="shared" si="4"/>
        <v/>
      </c>
      <c r="AB42" s="423" t="str">
        <f t="shared" si="4"/>
        <v/>
      </c>
      <c r="AC42" s="423">
        <f t="shared" si="4"/>
        <v>28</v>
      </c>
      <c r="AD42" s="423" t="str">
        <f t="shared" si="4"/>
        <v/>
      </c>
      <c r="AE42" s="423" t="str">
        <f t="shared" si="4"/>
        <v/>
      </c>
      <c r="AF42" s="423" t="str">
        <f t="shared" si="4"/>
        <v/>
      </c>
      <c r="AG42" s="423">
        <f t="shared" si="4"/>
        <v>8</v>
      </c>
      <c r="AH42" s="423" t="str">
        <f t="shared" si="4"/>
        <v/>
      </c>
      <c r="AI42" s="423" t="str">
        <f t="shared" ref="AI42:AR47" si="5">IF( ISERR( FIND( "Q4", AI$28 ) ), "", SUM( AF29:AI29 ) )</f>
        <v/>
      </c>
      <c r="AJ42" s="423" t="str">
        <f t="shared" si="5"/>
        <v/>
      </c>
      <c r="AK42" s="423">
        <f t="shared" si="5"/>
        <v>6</v>
      </c>
      <c r="AL42" s="423" t="str">
        <f t="shared" si="5"/>
        <v/>
      </c>
      <c r="AM42" s="423" t="str">
        <f t="shared" si="5"/>
        <v/>
      </c>
      <c r="AN42" s="423" t="str">
        <f t="shared" si="5"/>
        <v/>
      </c>
      <c r="AO42" s="423">
        <f t="shared" si="5"/>
        <v>7</v>
      </c>
      <c r="AP42" s="423" t="str">
        <f t="shared" si="5"/>
        <v/>
      </c>
      <c r="AQ42" s="423" t="str">
        <f t="shared" si="5"/>
        <v/>
      </c>
      <c r="AR42" s="423" t="str">
        <f t="shared" si="5"/>
        <v/>
      </c>
      <c r="AS42" s="423">
        <f t="shared" ref="AS42:AW47" si="6">IF( ISERR( FIND( "Q4", AS$28 ) ), "", SUM( AP29:AS29 ) )</f>
        <v>14</v>
      </c>
      <c r="AT42" s="423" t="str">
        <f t="shared" si="6"/>
        <v/>
      </c>
      <c r="AU42" s="423" t="str">
        <f t="shared" si="6"/>
        <v/>
      </c>
      <c r="AV42" s="423" t="str">
        <f t="shared" si="6"/>
        <v/>
      </c>
      <c r="AW42" s="423">
        <f t="shared" si="6"/>
        <v>13</v>
      </c>
      <c r="AX42" s="423" t="str">
        <f t="shared" ref="AX42:AX47" si="7">IF( ISERR( FIND( "Q4", AX$28 ) ), "", SUM( AQ29:AX29 ) )</f>
        <v/>
      </c>
      <c r="AY42" s="423" t="str">
        <f t="shared" ref="AY42:AY47" si="8">IF( ISERR( FIND( "Q4", AY$28 ) ), "", SUM( AR29:AY29 ) )</f>
        <v/>
      </c>
      <c r="AZ42" s="423" t="str">
        <f t="shared" ref="AZ42:AZ47" si="9">IF( ISERR( FIND( "Q4", AZ$28 ) ), "", SUM( AS29:AZ29 ) )</f>
        <v/>
      </c>
      <c r="BA42" s="423">
        <f t="shared" ref="BA42:BA47" si="10">IF( ISERR( FIND( "Q4", BA$28 ) ), "", SUM( AX29:BA29 ) )</f>
        <v>10</v>
      </c>
      <c r="BB42" s="423" t="str">
        <f t="shared" ref="BB42:BB47" si="11">IF( ISERR( FIND( "Q4", BB$28 ) ), "", SUM( AQ29:BB29 ) )</f>
        <v/>
      </c>
      <c r="BC42" s="423" t="str">
        <f t="shared" ref="BC42:BC47" si="12">IF( ISERR( FIND( "Q4", BC$28 ) ), "", SUM( AR29:BC29 ) )</f>
        <v/>
      </c>
      <c r="BD42" s="423" t="str">
        <f t="shared" ref="BD42:BD47" si="13">IF( ISERR( FIND( "Q4", BD$28 ) ), "", SUM( AS29:BD29 ) )</f>
        <v/>
      </c>
      <c r="BE42" s="423">
        <f t="shared" ref="BE42:BE47" si="14">IF( ISERR( FIND( "Q4", BE$28 ) ), "", SUM( BB29:BE29 ) )</f>
        <v>12</v>
      </c>
      <c r="BF42" s="423" t="str">
        <f t="shared" ref="BF42:BF47" si="15">IF( ISERR( FIND( "Q4", BF$28 ) ), "", SUM( AQ29:BF29 ) )</f>
        <v/>
      </c>
      <c r="BG42" s="423" t="str">
        <f t="shared" ref="BG42:BG47" si="16">IF( ISERR( FIND( "Q4", BG$28 ) ), "", SUM( AR29:BG29 ) )</f>
        <v/>
      </c>
      <c r="BH42" s="423" t="str">
        <f t="shared" ref="BH42:BH47" si="17">IF( ISERR( FIND( "Q4", BH$28 ) ), "", SUM( AS29:BH29 ) )</f>
        <v/>
      </c>
      <c r="BI42" s="423">
        <f t="shared" ref="BI42:BI47" si="18">IF( ISERR( FIND( "Q4", BI$28 ) ), "", SUM( BF29:BI29 ) )</f>
        <v>6</v>
      </c>
      <c r="BJ42" s="423" t="str">
        <f t="shared" ref="BJ42:BJ47" si="19">IF( ISERR( FIND( "Q4", BJ$28 ) ), "", SUM( AU29:BJ29 ) )</f>
        <v/>
      </c>
      <c r="BK42" s="423" t="str">
        <f t="shared" ref="BK42:BK47" si="20">IF( ISERR( FIND( "Q4", BK$28 ) ), "", SUM( AV29:BK29 ) )</f>
        <v/>
      </c>
      <c r="BL42" s="423" t="str">
        <f t="shared" ref="BL42:BL47" si="21">IF( ISERR( FIND( "Q4", BL$28 ) ), "", SUM( AW29:BL29 ) )</f>
        <v/>
      </c>
      <c r="BM42" s="423">
        <f t="shared" ref="BM42:BM47" si="22">IF( ISERR( FIND( "Q4", BM$28 ) ), "", SUM( BJ29:BM29 ) )</f>
        <v>13</v>
      </c>
    </row>
    <row r="43" spans="1:65" s="427" customFormat="1" outlineLevel="1" x14ac:dyDescent="0.2">
      <c r="A43" s="426" t="s">
        <v>398</v>
      </c>
      <c r="E43" s="427">
        <f t="shared" si="2"/>
        <v>-28</v>
      </c>
      <c r="F43" s="427" t="str">
        <f t="shared" si="2"/>
        <v/>
      </c>
      <c r="G43" s="427" t="str">
        <f t="shared" si="2"/>
        <v/>
      </c>
      <c r="H43" s="427" t="str">
        <f t="shared" si="2"/>
        <v/>
      </c>
      <c r="I43" s="427">
        <f t="shared" si="2"/>
        <v>-55</v>
      </c>
      <c r="J43" s="427" t="str">
        <f t="shared" si="2"/>
        <v/>
      </c>
      <c r="K43" s="427" t="str">
        <f t="shared" si="2"/>
        <v/>
      </c>
      <c r="L43" s="427" t="str">
        <f t="shared" si="2"/>
        <v/>
      </c>
      <c r="M43" s="427">
        <f t="shared" si="2"/>
        <v>-44</v>
      </c>
      <c r="N43" s="427" t="str">
        <f t="shared" si="2"/>
        <v/>
      </c>
      <c r="O43" s="427" t="str">
        <f t="shared" si="3"/>
        <v/>
      </c>
      <c r="P43" s="427" t="str">
        <f t="shared" si="3"/>
        <v/>
      </c>
      <c r="Q43" s="427">
        <f t="shared" si="3"/>
        <v>-18</v>
      </c>
      <c r="R43" s="427" t="str">
        <f t="shared" si="3"/>
        <v/>
      </c>
      <c r="S43" s="427" t="str">
        <f t="shared" si="3"/>
        <v/>
      </c>
      <c r="T43" s="427" t="str">
        <f t="shared" si="3"/>
        <v/>
      </c>
      <c r="U43" s="427">
        <f t="shared" si="3"/>
        <v>-4</v>
      </c>
      <c r="V43" s="427" t="str">
        <f t="shared" si="3"/>
        <v/>
      </c>
      <c r="W43" s="427" t="str">
        <f t="shared" si="3"/>
        <v/>
      </c>
      <c r="X43" s="427" t="str">
        <f t="shared" si="3"/>
        <v/>
      </c>
      <c r="Y43" s="427">
        <f t="shared" si="4"/>
        <v>-6</v>
      </c>
      <c r="Z43" s="427" t="str">
        <f t="shared" si="4"/>
        <v/>
      </c>
      <c r="AA43" s="427" t="str">
        <f t="shared" si="4"/>
        <v/>
      </c>
      <c r="AB43" s="427" t="str">
        <f t="shared" si="4"/>
        <v/>
      </c>
      <c r="AC43" s="427">
        <f t="shared" si="4"/>
        <v>-13</v>
      </c>
      <c r="AD43" s="427" t="str">
        <f t="shared" si="4"/>
        <v/>
      </c>
      <c r="AE43" s="427" t="str">
        <f t="shared" si="4"/>
        <v/>
      </c>
      <c r="AF43" s="427" t="str">
        <f t="shared" si="4"/>
        <v/>
      </c>
      <c r="AG43" s="427">
        <f t="shared" si="4"/>
        <v>-9</v>
      </c>
      <c r="AH43" s="427" t="str">
        <f t="shared" si="4"/>
        <v/>
      </c>
      <c r="AI43" s="427" t="str">
        <f t="shared" si="5"/>
        <v/>
      </c>
      <c r="AJ43" s="427" t="str">
        <f t="shared" si="5"/>
        <v/>
      </c>
      <c r="AK43" s="427">
        <f t="shared" si="5"/>
        <v>-8</v>
      </c>
      <c r="AL43" s="427" t="str">
        <f t="shared" si="5"/>
        <v/>
      </c>
      <c r="AM43" s="427" t="str">
        <f t="shared" si="5"/>
        <v/>
      </c>
      <c r="AN43" s="427" t="str">
        <f t="shared" si="5"/>
        <v/>
      </c>
      <c r="AO43" s="427">
        <f t="shared" si="5"/>
        <v>-17</v>
      </c>
      <c r="AP43" s="427" t="str">
        <f t="shared" si="5"/>
        <v/>
      </c>
      <c r="AQ43" s="427" t="str">
        <f t="shared" si="5"/>
        <v/>
      </c>
      <c r="AR43" s="427" t="str">
        <f t="shared" si="5"/>
        <v/>
      </c>
      <c r="AS43" s="427">
        <f t="shared" si="6"/>
        <v>-11</v>
      </c>
      <c r="AT43" s="427" t="str">
        <f t="shared" si="6"/>
        <v/>
      </c>
      <c r="AU43" s="427" t="str">
        <f t="shared" si="6"/>
        <v/>
      </c>
      <c r="AV43" s="427" t="str">
        <f t="shared" si="6"/>
        <v/>
      </c>
      <c r="AW43" s="427">
        <f t="shared" si="6"/>
        <v>-13</v>
      </c>
      <c r="AX43" s="427" t="str">
        <f t="shared" si="7"/>
        <v/>
      </c>
      <c r="AY43" s="427" t="str">
        <f t="shared" si="8"/>
        <v/>
      </c>
      <c r="AZ43" s="427" t="str">
        <f t="shared" si="9"/>
        <v/>
      </c>
      <c r="BA43" s="427">
        <f t="shared" si="10"/>
        <v>-13</v>
      </c>
      <c r="BB43" s="427" t="str">
        <f t="shared" si="11"/>
        <v/>
      </c>
      <c r="BC43" s="427" t="str">
        <f t="shared" si="12"/>
        <v/>
      </c>
      <c r="BD43" s="427" t="str">
        <f t="shared" si="13"/>
        <v/>
      </c>
      <c r="BE43" s="427">
        <f t="shared" si="14"/>
        <v>-2</v>
      </c>
      <c r="BF43" s="427" t="str">
        <f t="shared" si="15"/>
        <v/>
      </c>
      <c r="BG43" s="427" t="str">
        <f t="shared" si="16"/>
        <v/>
      </c>
      <c r="BH43" s="427" t="str">
        <f t="shared" si="17"/>
        <v/>
      </c>
      <c r="BI43" s="427">
        <f t="shared" si="18"/>
        <v>-5</v>
      </c>
      <c r="BJ43" s="427" t="str">
        <f t="shared" si="19"/>
        <v/>
      </c>
      <c r="BK43" s="427" t="str">
        <f t="shared" si="20"/>
        <v/>
      </c>
      <c r="BL43" s="427" t="str">
        <f t="shared" si="21"/>
        <v/>
      </c>
      <c r="BM43" s="427">
        <f t="shared" si="22"/>
        <v>-3</v>
      </c>
    </row>
    <row r="44" spans="1:65" s="423" customFormat="1" outlineLevel="1" x14ac:dyDescent="0.2">
      <c r="A44" s="422" t="s">
        <v>399</v>
      </c>
      <c r="E44" s="423">
        <f t="shared" si="2"/>
        <v>27</v>
      </c>
      <c r="F44" s="423" t="str">
        <f t="shared" si="2"/>
        <v/>
      </c>
      <c r="G44" s="423" t="str">
        <f t="shared" si="2"/>
        <v/>
      </c>
      <c r="H44" s="423" t="str">
        <f t="shared" si="2"/>
        <v/>
      </c>
      <c r="I44" s="423">
        <f t="shared" si="2"/>
        <v>5</v>
      </c>
      <c r="J44" s="423" t="str">
        <f t="shared" si="2"/>
        <v/>
      </c>
      <c r="K44" s="423" t="str">
        <f t="shared" si="2"/>
        <v/>
      </c>
      <c r="L44" s="423" t="str">
        <f t="shared" si="2"/>
        <v/>
      </c>
      <c r="M44" s="423">
        <f t="shared" si="2"/>
        <v>11</v>
      </c>
      <c r="N44" s="423" t="str">
        <f t="shared" si="2"/>
        <v/>
      </c>
      <c r="O44" s="423" t="str">
        <f t="shared" si="3"/>
        <v/>
      </c>
      <c r="P44" s="423" t="str">
        <f t="shared" si="3"/>
        <v/>
      </c>
      <c r="Q44" s="423">
        <f t="shared" si="3"/>
        <v>20</v>
      </c>
      <c r="R44" s="423" t="str">
        <f t="shared" si="3"/>
        <v/>
      </c>
      <c r="S44" s="423" t="str">
        <f t="shared" si="3"/>
        <v/>
      </c>
      <c r="T44" s="423" t="str">
        <f t="shared" si="3"/>
        <v/>
      </c>
      <c r="U44" s="423">
        <f t="shared" si="3"/>
        <v>31</v>
      </c>
      <c r="V44" s="423" t="str">
        <f t="shared" si="3"/>
        <v/>
      </c>
      <c r="W44" s="423" t="str">
        <f t="shared" si="3"/>
        <v/>
      </c>
      <c r="X44" s="423" t="str">
        <f t="shared" si="3"/>
        <v/>
      </c>
      <c r="Y44" s="423">
        <f t="shared" si="4"/>
        <v>22</v>
      </c>
      <c r="Z44" s="423" t="str">
        <f t="shared" si="4"/>
        <v/>
      </c>
      <c r="AA44" s="423" t="str">
        <f t="shared" si="4"/>
        <v/>
      </c>
      <c r="AB44" s="423" t="str">
        <f t="shared" si="4"/>
        <v/>
      </c>
      <c r="AC44" s="423">
        <f t="shared" si="4"/>
        <v>19</v>
      </c>
      <c r="AD44" s="423" t="str">
        <f t="shared" si="4"/>
        <v/>
      </c>
      <c r="AE44" s="423" t="str">
        <f t="shared" si="4"/>
        <v/>
      </c>
      <c r="AF44" s="423" t="str">
        <f t="shared" si="4"/>
        <v/>
      </c>
      <c r="AG44" s="423">
        <f t="shared" si="4"/>
        <v>3</v>
      </c>
      <c r="AH44" s="423" t="str">
        <f t="shared" si="4"/>
        <v/>
      </c>
      <c r="AI44" s="423" t="str">
        <f t="shared" si="5"/>
        <v/>
      </c>
      <c r="AJ44" s="423" t="str">
        <f t="shared" si="5"/>
        <v/>
      </c>
      <c r="AK44" s="423">
        <f t="shared" si="5"/>
        <v>5</v>
      </c>
      <c r="AL44" s="423" t="str">
        <f t="shared" si="5"/>
        <v/>
      </c>
      <c r="AM44" s="423" t="str">
        <f t="shared" si="5"/>
        <v/>
      </c>
      <c r="AN44" s="423" t="str">
        <f t="shared" si="5"/>
        <v/>
      </c>
      <c r="AO44" s="423">
        <f t="shared" si="5"/>
        <v>7</v>
      </c>
      <c r="AP44" s="423" t="str">
        <f t="shared" si="5"/>
        <v/>
      </c>
      <c r="AQ44" s="423" t="str">
        <f t="shared" si="5"/>
        <v/>
      </c>
      <c r="AR44" s="423" t="str">
        <f t="shared" si="5"/>
        <v/>
      </c>
      <c r="AS44" s="423">
        <f t="shared" si="6"/>
        <v>7</v>
      </c>
      <c r="AT44" s="423" t="str">
        <f t="shared" si="6"/>
        <v/>
      </c>
      <c r="AU44" s="423" t="str">
        <f t="shared" si="6"/>
        <v/>
      </c>
      <c r="AV44" s="423" t="str">
        <f t="shared" si="6"/>
        <v/>
      </c>
      <c r="AW44" s="423">
        <f t="shared" si="6"/>
        <v>14</v>
      </c>
      <c r="AX44" s="423" t="str">
        <f t="shared" si="7"/>
        <v/>
      </c>
      <c r="AY44" s="423" t="str">
        <f t="shared" si="8"/>
        <v/>
      </c>
      <c r="AZ44" s="423" t="str">
        <f t="shared" si="9"/>
        <v/>
      </c>
      <c r="BA44" s="423">
        <f t="shared" si="10"/>
        <v>13</v>
      </c>
      <c r="BB44" s="423" t="str">
        <f t="shared" si="11"/>
        <v/>
      </c>
      <c r="BC44" s="423" t="str">
        <f t="shared" si="12"/>
        <v/>
      </c>
      <c r="BD44" s="423" t="str">
        <f t="shared" si="13"/>
        <v/>
      </c>
      <c r="BE44" s="423">
        <f t="shared" si="14"/>
        <v>85</v>
      </c>
      <c r="BF44" s="423" t="str">
        <f t="shared" si="15"/>
        <v/>
      </c>
      <c r="BG44" s="423" t="str">
        <f t="shared" si="16"/>
        <v/>
      </c>
      <c r="BH44" s="423" t="str">
        <f t="shared" si="17"/>
        <v/>
      </c>
      <c r="BI44" s="423">
        <f t="shared" si="18"/>
        <v>9</v>
      </c>
      <c r="BJ44" s="423" t="str">
        <f t="shared" si="19"/>
        <v/>
      </c>
      <c r="BK44" s="423" t="str">
        <f t="shared" si="20"/>
        <v/>
      </c>
      <c r="BL44" s="423" t="str">
        <f t="shared" si="21"/>
        <v/>
      </c>
      <c r="BM44" s="423">
        <f t="shared" si="22"/>
        <v>5</v>
      </c>
    </row>
    <row r="45" spans="1:65" s="427" customFormat="1" outlineLevel="1" x14ac:dyDescent="0.2">
      <c r="A45" s="426" t="s">
        <v>401</v>
      </c>
      <c r="E45" s="427">
        <f t="shared" si="2"/>
        <v>-41</v>
      </c>
      <c r="F45" s="427" t="str">
        <f t="shared" si="2"/>
        <v/>
      </c>
      <c r="G45" s="427" t="str">
        <f t="shared" si="2"/>
        <v/>
      </c>
      <c r="H45" s="427" t="str">
        <f t="shared" si="2"/>
        <v/>
      </c>
      <c r="I45" s="427">
        <f t="shared" si="2"/>
        <v>-113</v>
      </c>
      <c r="J45" s="427" t="str">
        <f t="shared" si="2"/>
        <v/>
      </c>
      <c r="K45" s="427" t="str">
        <f t="shared" si="2"/>
        <v/>
      </c>
      <c r="L45" s="427" t="str">
        <f t="shared" si="2"/>
        <v/>
      </c>
      <c r="M45" s="427">
        <f t="shared" si="2"/>
        <v>-68</v>
      </c>
      <c r="N45" s="427" t="str">
        <f t="shared" si="2"/>
        <v/>
      </c>
      <c r="O45" s="427" t="str">
        <f t="shared" si="3"/>
        <v/>
      </c>
      <c r="P45" s="427" t="str">
        <f t="shared" si="3"/>
        <v/>
      </c>
      <c r="Q45" s="427">
        <f t="shared" si="3"/>
        <v>-22</v>
      </c>
      <c r="R45" s="427" t="str">
        <f t="shared" si="3"/>
        <v/>
      </c>
      <c r="S45" s="427" t="str">
        <f t="shared" si="3"/>
        <v/>
      </c>
      <c r="T45" s="427" t="str">
        <f t="shared" si="3"/>
        <v/>
      </c>
      <c r="U45" s="427">
        <f t="shared" si="3"/>
        <v>-15</v>
      </c>
      <c r="V45" s="427" t="str">
        <f t="shared" si="3"/>
        <v/>
      </c>
      <c r="W45" s="427" t="str">
        <f t="shared" si="3"/>
        <v/>
      </c>
      <c r="X45" s="427" t="str">
        <f t="shared" si="3"/>
        <v/>
      </c>
      <c r="Y45" s="427">
        <f t="shared" si="4"/>
        <v>-17</v>
      </c>
      <c r="Z45" s="427" t="str">
        <f t="shared" si="4"/>
        <v/>
      </c>
      <c r="AA45" s="427" t="str">
        <f t="shared" si="4"/>
        <v/>
      </c>
      <c r="AB45" s="427" t="str">
        <f t="shared" si="4"/>
        <v/>
      </c>
      <c r="AC45" s="427">
        <f t="shared" si="4"/>
        <v>-13</v>
      </c>
      <c r="AD45" s="427" t="str">
        <f t="shared" si="4"/>
        <v/>
      </c>
      <c r="AE45" s="427" t="str">
        <f t="shared" si="4"/>
        <v/>
      </c>
      <c r="AF45" s="427" t="str">
        <f t="shared" si="4"/>
        <v/>
      </c>
      <c r="AG45" s="427">
        <f t="shared" si="4"/>
        <v>-3</v>
      </c>
      <c r="AH45" s="427" t="str">
        <f t="shared" si="4"/>
        <v/>
      </c>
      <c r="AI45" s="427" t="str">
        <f t="shared" si="5"/>
        <v/>
      </c>
      <c r="AJ45" s="427" t="str">
        <f t="shared" si="5"/>
        <v/>
      </c>
      <c r="AK45" s="427">
        <f t="shared" si="5"/>
        <v>-18</v>
      </c>
      <c r="AL45" s="427" t="str">
        <f t="shared" si="5"/>
        <v/>
      </c>
      <c r="AM45" s="427" t="str">
        <f t="shared" si="5"/>
        <v/>
      </c>
      <c r="AN45" s="427" t="str">
        <f t="shared" si="5"/>
        <v/>
      </c>
      <c r="AO45" s="427">
        <f t="shared" si="5"/>
        <v>-13</v>
      </c>
      <c r="AP45" s="427" t="str">
        <f t="shared" si="5"/>
        <v/>
      </c>
      <c r="AQ45" s="427" t="str">
        <f t="shared" si="5"/>
        <v/>
      </c>
      <c r="AR45" s="427" t="str">
        <f t="shared" si="5"/>
        <v/>
      </c>
      <c r="AS45" s="427">
        <f t="shared" si="6"/>
        <v>-4</v>
      </c>
      <c r="AT45" s="427" t="str">
        <f t="shared" si="6"/>
        <v/>
      </c>
      <c r="AU45" s="427" t="str">
        <f t="shared" si="6"/>
        <v/>
      </c>
      <c r="AV45" s="427" t="str">
        <f t="shared" si="6"/>
        <v/>
      </c>
      <c r="AW45" s="427">
        <f t="shared" si="6"/>
        <v>-6</v>
      </c>
      <c r="AX45" s="427" t="str">
        <f t="shared" si="7"/>
        <v/>
      </c>
      <c r="AY45" s="427" t="str">
        <f t="shared" si="8"/>
        <v/>
      </c>
      <c r="AZ45" s="427" t="str">
        <f t="shared" si="9"/>
        <v/>
      </c>
      <c r="BA45" s="427">
        <f t="shared" si="10"/>
        <v>-4</v>
      </c>
      <c r="BB45" s="427" t="str">
        <f t="shared" si="11"/>
        <v/>
      </c>
      <c r="BC45" s="427" t="str">
        <f t="shared" si="12"/>
        <v/>
      </c>
      <c r="BD45" s="427" t="str">
        <f t="shared" si="13"/>
        <v/>
      </c>
      <c r="BE45" s="427">
        <f t="shared" si="14"/>
        <v>0</v>
      </c>
      <c r="BF45" s="427" t="str">
        <f t="shared" si="15"/>
        <v/>
      </c>
      <c r="BG45" s="427" t="str">
        <f t="shared" si="16"/>
        <v/>
      </c>
      <c r="BH45" s="427" t="str">
        <f t="shared" si="17"/>
        <v/>
      </c>
      <c r="BI45" s="427">
        <f t="shared" si="18"/>
        <v>-3</v>
      </c>
      <c r="BJ45" s="427" t="str">
        <f t="shared" si="19"/>
        <v/>
      </c>
      <c r="BK45" s="427" t="str">
        <f t="shared" si="20"/>
        <v/>
      </c>
      <c r="BL45" s="427" t="str">
        <f t="shared" si="21"/>
        <v/>
      </c>
      <c r="BM45" s="427">
        <f t="shared" si="22"/>
        <v>-9</v>
      </c>
    </row>
    <row r="46" spans="1:65" s="429" customFormat="1" outlineLevel="1" x14ac:dyDescent="0.2">
      <c r="A46" s="428" t="s">
        <v>400</v>
      </c>
      <c r="E46" s="429">
        <f t="shared" si="2"/>
        <v>20</v>
      </c>
      <c r="F46" s="429" t="str">
        <f t="shared" si="2"/>
        <v/>
      </c>
      <c r="G46" s="429" t="str">
        <f t="shared" si="2"/>
        <v/>
      </c>
      <c r="H46" s="429" t="str">
        <f t="shared" si="2"/>
        <v/>
      </c>
      <c r="I46" s="429">
        <f t="shared" si="2"/>
        <v>14</v>
      </c>
      <c r="J46" s="429" t="str">
        <f t="shared" si="2"/>
        <v/>
      </c>
      <c r="K46" s="429" t="str">
        <f t="shared" si="2"/>
        <v/>
      </c>
      <c r="L46" s="429" t="str">
        <f t="shared" si="2"/>
        <v/>
      </c>
      <c r="M46" s="429">
        <f t="shared" si="2"/>
        <v>6</v>
      </c>
      <c r="N46" s="429" t="str">
        <f t="shared" si="2"/>
        <v/>
      </c>
      <c r="O46" s="429" t="str">
        <f t="shared" si="3"/>
        <v/>
      </c>
      <c r="P46" s="429" t="str">
        <f t="shared" si="3"/>
        <v/>
      </c>
      <c r="Q46" s="429">
        <f t="shared" si="3"/>
        <v>15</v>
      </c>
      <c r="R46" s="429" t="str">
        <f t="shared" si="3"/>
        <v/>
      </c>
      <c r="S46" s="429" t="str">
        <f t="shared" si="3"/>
        <v/>
      </c>
      <c r="T46" s="429" t="str">
        <f t="shared" si="3"/>
        <v/>
      </c>
      <c r="U46" s="429">
        <f t="shared" si="3"/>
        <v>24</v>
      </c>
      <c r="V46" s="429" t="str">
        <f t="shared" si="3"/>
        <v/>
      </c>
      <c r="W46" s="429" t="str">
        <f t="shared" si="3"/>
        <v/>
      </c>
      <c r="X46" s="429" t="str">
        <f t="shared" si="3"/>
        <v/>
      </c>
      <c r="Y46" s="429">
        <f t="shared" si="4"/>
        <v>20</v>
      </c>
      <c r="Z46" s="429" t="str">
        <f t="shared" si="4"/>
        <v/>
      </c>
      <c r="AA46" s="429" t="str">
        <f t="shared" si="4"/>
        <v/>
      </c>
      <c r="AB46" s="429" t="str">
        <f t="shared" si="4"/>
        <v/>
      </c>
      <c r="AC46" s="429">
        <f t="shared" si="4"/>
        <v>26</v>
      </c>
      <c r="AD46" s="429" t="str">
        <f t="shared" si="4"/>
        <v/>
      </c>
      <c r="AE46" s="429" t="str">
        <f t="shared" si="4"/>
        <v/>
      </c>
      <c r="AF46" s="429" t="str">
        <f t="shared" si="4"/>
        <v/>
      </c>
      <c r="AG46" s="429">
        <f t="shared" si="4"/>
        <v>13</v>
      </c>
      <c r="AH46" s="429" t="str">
        <f t="shared" si="4"/>
        <v/>
      </c>
      <c r="AI46" s="429" t="str">
        <f t="shared" si="5"/>
        <v/>
      </c>
      <c r="AJ46" s="429" t="str">
        <f t="shared" si="5"/>
        <v/>
      </c>
      <c r="AK46" s="429">
        <f t="shared" si="5"/>
        <v>12</v>
      </c>
      <c r="AL46" s="429" t="str">
        <f t="shared" si="5"/>
        <v/>
      </c>
      <c r="AM46" s="429" t="str">
        <f t="shared" si="5"/>
        <v/>
      </c>
      <c r="AN46" s="429" t="str">
        <f t="shared" si="5"/>
        <v/>
      </c>
      <c r="AO46" s="429">
        <f t="shared" si="5"/>
        <v>15</v>
      </c>
      <c r="AP46" s="429" t="str">
        <f t="shared" si="5"/>
        <v/>
      </c>
      <c r="AQ46" s="429" t="str">
        <f t="shared" si="5"/>
        <v/>
      </c>
      <c r="AR46" s="429" t="str">
        <f t="shared" si="5"/>
        <v/>
      </c>
      <c r="AS46" s="429">
        <f t="shared" si="6"/>
        <v>18</v>
      </c>
      <c r="AT46" s="429" t="str">
        <f t="shared" si="6"/>
        <v/>
      </c>
      <c r="AU46" s="429" t="str">
        <f t="shared" si="6"/>
        <v/>
      </c>
      <c r="AV46" s="429" t="str">
        <f t="shared" si="6"/>
        <v/>
      </c>
      <c r="AW46" s="429">
        <f t="shared" si="6"/>
        <v>10</v>
      </c>
      <c r="AX46" s="429" t="str">
        <f t="shared" si="7"/>
        <v/>
      </c>
      <c r="AY46" s="429" t="str">
        <f t="shared" si="8"/>
        <v/>
      </c>
      <c r="AZ46" s="429" t="str">
        <f t="shared" si="9"/>
        <v/>
      </c>
      <c r="BA46" s="429">
        <f t="shared" si="10"/>
        <v>37</v>
      </c>
      <c r="BB46" s="429" t="str">
        <f t="shared" si="11"/>
        <v/>
      </c>
      <c r="BC46" s="429" t="str">
        <f t="shared" si="12"/>
        <v/>
      </c>
      <c r="BD46" s="429" t="str">
        <f t="shared" si="13"/>
        <v/>
      </c>
      <c r="BE46" s="429">
        <f t="shared" si="14"/>
        <v>6</v>
      </c>
      <c r="BF46" s="429" t="str">
        <f t="shared" si="15"/>
        <v/>
      </c>
      <c r="BG46" s="429" t="str">
        <f t="shared" si="16"/>
        <v/>
      </c>
      <c r="BH46" s="429" t="str">
        <f t="shared" si="17"/>
        <v/>
      </c>
      <c r="BI46" s="429">
        <f t="shared" si="18"/>
        <v>20</v>
      </c>
      <c r="BJ46" s="429" t="str">
        <f t="shared" si="19"/>
        <v/>
      </c>
      <c r="BK46" s="429" t="str">
        <f t="shared" si="20"/>
        <v/>
      </c>
      <c r="BL46" s="429" t="str">
        <f t="shared" si="21"/>
        <v/>
      </c>
      <c r="BM46" s="429">
        <f t="shared" si="22"/>
        <v>32</v>
      </c>
    </row>
    <row r="47" spans="1:65" s="427" customFormat="1" outlineLevel="1" x14ac:dyDescent="0.2">
      <c r="A47" s="426" t="s">
        <v>402</v>
      </c>
      <c r="E47" s="427">
        <f t="shared" si="2"/>
        <v>-81</v>
      </c>
      <c r="F47" s="427" t="str">
        <f t="shared" si="2"/>
        <v/>
      </c>
      <c r="G47" s="427" t="str">
        <f t="shared" si="2"/>
        <v/>
      </c>
      <c r="H47" s="427" t="str">
        <f t="shared" si="2"/>
        <v/>
      </c>
      <c r="I47" s="427">
        <f t="shared" si="2"/>
        <v>-111</v>
      </c>
      <c r="J47" s="427" t="str">
        <f t="shared" si="2"/>
        <v/>
      </c>
      <c r="K47" s="427" t="str">
        <f t="shared" si="2"/>
        <v/>
      </c>
      <c r="L47" s="427" t="str">
        <f t="shared" si="2"/>
        <v/>
      </c>
      <c r="M47" s="427">
        <f t="shared" si="2"/>
        <v>-106</v>
      </c>
      <c r="N47" s="427" t="str">
        <f t="shared" si="2"/>
        <v/>
      </c>
      <c r="O47" s="427" t="str">
        <f t="shared" si="3"/>
        <v/>
      </c>
      <c r="P47" s="427" t="str">
        <f t="shared" si="3"/>
        <v/>
      </c>
      <c r="Q47" s="427">
        <f t="shared" si="3"/>
        <v>-19</v>
      </c>
      <c r="R47" s="427" t="str">
        <f t="shared" si="3"/>
        <v/>
      </c>
      <c r="S47" s="427" t="str">
        <f t="shared" si="3"/>
        <v/>
      </c>
      <c r="T47" s="427" t="str">
        <f t="shared" si="3"/>
        <v/>
      </c>
      <c r="U47" s="427">
        <f t="shared" si="3"/>
        <v>-29</v>
      </c>
      <c r="V47" s="427" t="str">
        <f t="shared" si="3"/>
        <v/>
      </c>
      <c r="W47" s="427" t="str">
        <f t="shared" si="3"/>
        <v/>
      </c>
      <c r="X47" s="427" t="str">
        <f t="shared" si="3"/>
        <v/>
      </c>
      <c r="Y47" s="427">
        <f t="shared" si="4"/>
        <v>-20</v>
      </c>
      <c r="Z47" s="427" t="str">
        <f t="shared" si="4"/>
        <v/>
      </c>
      <c r="AA47" s="427" t="str">
        <f t="shared" si="4"/>
        <v/>
      </c>
      <c r="AB47" s="427" t="str">
        <f t="shared" si="4"/>
        <v/>
      </c>
      <c r="AC47" s="427">
        <f t="shared" si="4"/>
        <v>-22</v>
      </c>
      <c r="AD47" s="427" t="str">
        <f t="shared" si="4"/>
        <v/>
      </c>
      <c r="AE47" s="427" t="str">
        <f t="shared" si="4"/>
        <v/>
      </c>
      <c r="AF47" s="427" t="str">
        <f t="shared" si="4"/>
        <v/>
      </c>
      <c r="AG47" s="427">
        <f t="shared" si="4"/>
        <v>-14</v>
      </c>
      <c r="AH47" s="427" t="str">
        <f t="shared" si="4"/>
        <v/>
      </c>
      <c r="AI47" s="427" t="str">
        <f t="shared" si="5"/>
        <v/>
      </c>
      <c r="AJ47" s="427" t="str">
        <f t="shared" si="5"/>
        <v/>
      </c>
      <c r="AK47" s="427">
        <f t="shared" si="5"/>
        <v>-8</v>
      </c>
      <c r="AL47" s="427" t="str">
        <f t="shared" si="5"/>
        <v/>
      </c>
      <c r="AM47" s="427" t="str">
        <f t="shared" si="5"/>
        <v/>
      </c>
      <c r="AN47" s="427" t="str">
        <f t="shared" si="5"/>
        <v/>
      </c>
      <c r="AO47" s="427">
        <f t="shared" si="5"/>
        <v>-21</v>
      </c>
      <c r="AP47" s="427" t="str">
        <f t="shared" si="5"/>
        <v/>
      </c>
      <c r="AQ47" s="427" t="str">
        <f t="shared" si="5"/>
        <v/>
      </c>
      <c r="AR47" s="427" t="str">
        <f t="shared" si="5"/>
        <v/>
      </c>
      <c r="AS47" s="427">
        <f t="shared" si="6"/>
        <v>-6</v>
      </c>
      <c r="AT47" s="427" t="str">
        <f t="shared" si="6"/>
        <v/>
      </c>
      <c r="AU47" s="427" t="str">
        <f t="shared" si="6"/>
        <v/>
      </c>
      <c r="AV47" s="427" t="str">
        <f t="shared" si="6"/>
        <v/>
      </c>
      <c r="AW47" s="427">
        <f t="shared" si="6"/>
        <v>-20</v>
      </c>
      <c r="AX47" s="427" t="str">
        <f t="shared" si="7"/>
        <v/>
      </c>
      <c r="AY47" s="427" t="str">
        <f t="shared" si="8"/>
        <v/>
      </c>
      <c r="AZ47" s="427" t="str">
        <f t="shared" si="9"/>
        <v/>
      </c>
      <c r="BA47" s="427">
        <f t="shared" si="10"/>
        <v>-3</v>
      </c>
      <c r="BB47" s="427" t="str">
        <f t="shared" si="11"/>
        <v/>
      </c>
      <c r="BC47" s="427" t="str">
        <f t="shared" si="12"/>
        <v/>
      </c>
      <c r="BD47" s="427" t="str">
        <f t="shared" si="13"/>
        <v/>
      </c>
      <c r="BE47" s="427">
        <f t="shared" si="14"/>
        <v>-1</v>
      </c>
      <c r="BF47" s="427" t="str">
        <f t="shared" si="15"/>
        <v/>
      </c>
      <c r="BG47" s="427" t="str">
        <f t="shared" si="16"/>
        <v/>
      </c>
      <c r="BH47" s="427" t="str">
        <f t="shared" si="17"/>
        <v/>
      </c>
      <c r="BI47" s="427">
        <f t="shared" si="18"/>
        <v>-7</v>
      </c>
      <c r="BJ47" s="427" t="str">
        <f t="shared" si="19"/>
        <v/>
      </c>
      <c r="BK47" s="427" t="str">
        <f t="shared" si="20"/>
        <v/>
      </c>
      <c r="BL47" s="427" t="str">
        <f t="shared" si="21"/>
        <v/>
      </c>
      <c r="BM47" s="427">
        <f t="shared" si="22"/>
        <v>-7</v>
      </c>
    </row>
    <row r="48" spans="1:65" s="174" customFormat="1" outlineLevel="1" x14ac:dyDescent="0.2">
      <c r="B48" s="176"/>
      <c r="C48" s="176"/>
      <c r="D48" s="176"/>
      <c r="E48" s="176"/>
      <c r="F48" s="177"/>
      <c r="G48" s="178"/>
      <c r="H48" s="178"/>
      <c r="I48" s="178"/>
      <c r="J48" s="178"/>
      <c r="K48" s="178"/>
      <c r="L48" s="179"/>
      <c r="M48" s="176"/>
      <c r="N48" s="176"/>
      <c r="O48" s="176"/>
      <c r="P48" s="176"/>
      <c r="Q48" s="176"/>
      <c r="R48" s="176"/>
      <c r="S48" s="176"/>
      <c r="T48" s="176"/>
      <c r="U48" s="176"/>
      <c r="V48" s="176"/>
      <c r="W48" s="176"/>
      <c r="X48" s="180"/>
      <c r="Y48" s="180"/>
      <c r="Z48" s="180"/>
      <c r="AA48" s="180"/>
      <c r="AB48" s="180"/>
      <c r="AC48" s="180"/>
    </row>
    <row r="49" spans="1:65" s="174" customFormat="1" outlineLevel="1" x14ac:dyDescent="0.2">
      <c r="B49" s="176"/>
      <c r="C49" s="176"/>
      <c r="D49" s="176"/>
      <c r="E49" s="176"/>
      <c r="F49" s="177"/>
      <c r="G49" s="178"/>
      <c r="H49" s="178"/>
      <c r="I49" s="178"/>
      <c r="J49" s="178"/>
      <c r="K49" s="178"/>
      <c r="L49" s="179"/>
      <c r="M49" s="176"/>
      <c r="N49" s="176"/>
      <c r="O49" s="176"/>
      <c r="P49" s="176"/>
      <c r="Q49" s="176"/>
      <c r="R49" s="176"/>
      <c r="S49" s="176"/>
      <c r="T49" s="176"/>
      <c r="U49" s="176"/>
      <c r="V49" s="176"/>
      <c r="W49" s="176"/>
      <c r="X49" s="180"/>
      <c r="Y49" s="180"/>
      <c r="Z49" s="180"/>
      <c r="AA49" s="180"/>
      <c r="AB49" s="180"/>
      <c r="AC49" s="180"/>
    </row>
    <row r="50" spans="1:65" s="423" customFormat="1" outlineLevel="1" x14ac:dyDescent="0.2">
      <c r="A50" s="422" t="s">
        <v>403</v>
      </c>
      <c r="E50" s="423">
        <f t="shared" ref="E50:AR50" si="23">IF( LEN( E42 ) = 0, "", ABS( E42 ) + ABS( E43 ) )</f>
        <v>38</v>
      </c>
      <c r="F50" s="423" t="str">
        <f t="shared" si="23"/>
        <v/>
      </c>
      <c r="G50" s="423" t="str">
        <f t="shared" si="23"/>
        <v/>
      </c>
      <c r="H50" s="423" t="str">
        <f t="shared" si="23"/>
        <v/>
      </c>
      <c r="I50" s="423">
        <f t="shared" si="23"/>
        <v>57</v>
      </c>
      <c r="J50" s="423" t="str">
        <f t="shared" si="23"/>
        <v/>
      </c>
      <c r="K50" s="423" t="str">
        <f t="shared" si="23"/>
        <v/>
      </c>
      <c r="L50" s="423" t="str">
        <f t="shared" si="23"/>
        <v/>
      </c>
      <c r="M50" s="423">
        <f t="shared" si="23"/>
        <v>62</v>
      </c>
      <c r="N50" s="423" t="str">
        <f t="shared" si="23"/>
        <v/>
      </c>
      <c r="O50" s="423" t="str">
        <f t="shared" si="23"/>
        <v/>
      </c>
      <c r="P50" s="423" t="str">
        <f t="shared" si="23"/>
        <v/>
      </c>
      <c r="Q50" s="423">
        <f t="shared" si="23"/>
        <v>34</v>
      </c>
      <c r="R50" s="423" t="str">
        <f t="shared" si="23"/>
        <v/>
      </c>
      <c r="S50" s="423" t="str">
        <f t="shared" si="23"/>
        <v/>
      </c>
      <c r="T50" s="423" t="str">
        <f t="shared" si="23"/>
        <v/>
      </c>
      <c r="U50" s="423">
        <f t="shared" si="23"/>
        <v>22</v>
      </c>
      <c r="V50" s="423" t="str">
        <f t="shared" si="23"/>
        <v/>
      </c>
      <c r="W50" s="423" t="str">
        <f t="shared" si="23"/>
        <v/>
      </c>
      <c r="X50" s="423" t="str">
        <f t="shared" si="23"/>
        <v/>
      </c>
      <c r="Y50" s="423">
        <f t="shared" si="23"/>
        <v>31</v>
      </c>
      <c r="Z50" s="423" t="str">
        <f t="shared" si="23"/>
        <v/>
      </c>
      <c r="AA50" s="423" t="str">
        <f t="shared" si="23"/>
        <v/>
      </c>
      <c r="AB50" s="423" t="str">
        <f t="shared" si="23"/>
        <v/>
      </c>
      <c r="AC50" s="423">
        <f t="shared" si="23"/>
        <v>41</v>
      </c>
      <c r="AD50" s="423" t="str">
        <f t="shared" si="23"/>
        <v/>
      </c>
      <c r="AE50" s="423" t="str">
        <f t="shared" si="23"/>
        <v/>
      </c>
      <c r="AF50" s="423" t="str">
        <f t="shared" si="23"/>
        <v/>
      </c>
      <c r="AG50" s="423">
        <f t="shared" si="23"/>
        <v>17</v>
      </c>
      <c r="AH50" s="423" t="str">
        <f t="shared" si="23"/>
        <v/>
      </c>
      <c r="AI50" s="423" t="str">
        <f t="shared" si="23"/>
        <v/>
      </c>
      <c r="AJ50" s="423" t="str">
        <f t="shared" si="23"/>
        <v/>
      </c>
      <c r="AK50" s="423">
        <f t="shared" si="23"/>
        <v>14</v>
      </c>
      <c r="AL50" s="423" t="str">
        <f t="shared" si="23"/>
        <v/>
      </c>
      <c r="AM50" s="423" t="str">
        <f t="shared" si="23"/>
        <v/>
      </c>
      <c r="AN50" s="423" t="str">
        <f t="shared" si="23"/>
        <v/>
      </c>
      <c r="AO50" s="423">
        <f t="shared" si="23"/>
        <v>24</v>
      </c>
      <c r="AP50" s="423" t="str">
        <f t="shared" si="23"/>
        <v/>
      </c>
      <c r="AQ50" s="423" t="str">
        <f t="shared" si="23"/>
        <v/>
      </c>
      <c r="AR50" s="423" t="str">
        <f t="shared" si="23"/>
        <v/>
      </c>
      <c r="AS50" s="423">
        <f t="shared" ref="AS50:BM50" si="24">IF( LEN( AS42 ) = 0, "", ABS( AS42 ) + ABS( AS43 ) )</f>
        <v>25</v>
      </c>
      <c r="AT50" s="423" t="str">
        <f t="shared" si="24"/>
        <v/>
      </c>
      <c r="AU50" s="423" t="str">
        <f t="shared" si="24"/>
        <v/>
      </c>
      <c r="AV50" s="423" t="str">
        <f t="shared" si="24"/>
        <v/>
      </c>
      <c r="AW50" s="423">
        <f t="shared" si="24"/>
        <v>26</v>
      </c>
      <c r="AX50" s="423" t="str">
        <f t="shared" ref="AX50:BI50" si="25">IF( LEN( AX42 ) = 0, "", ABS( AX42 ) + ABS( AX43 ) )</f>
        <v/>
      </c>
      <c r="AY50" s="423" t="str">
        <f t="shared" si="25"/>
        <v/>
      </c>
      <c r="AZ50" s="423" t="str">
        <f t="shared" si="25"/>
        <v/>
      </c>
      <c r="BA50" s="423">
        <f t="shared" si="25"/>
        <v>23</v>
      </c>
      <c r="BB50" s="423" t="str">
        <f t="shared" si="25"/>
        <v/>
      </c>
      <c r="BC50" s="423" t="str">
        <f t="shared" si="25"/>
        <v/>
      </c>
      <c r="BD50" s="423" t="str">
        <f t="shared" si="25"/>
        <v/>
      </c>
      <c r="BE50" s="423">
        <f t="shared" si="25"/>
        <v>14</v>
      </c>
      <c r="BF50" s="423" t="str">
        <f t="shared" si="25"/>
        <v/>
      </c>
      <c r="BG50" s="423" t="str">
        <f t="shared" si="25"/>
        <v/>
      </c>
      <c r="BH50" s="423" t="str">
        <f t="shared" si="25"/>
        <v/>
      </c>
      <c r="BI50" s="423">
        <f t="shared" si="25"/>
        <v>11</v>
      </c>
      <c r="BJ50" s="423" t="str">
        <f t="shared" si="24"/>
        <v/>
      </c>
      <c r="BK50" s="423" t="str">
        <f t="shared" si="24"/>
        <v/>
      </c>
      <c r="BL50" s="423" t="str">
        <f t="shared" si="24"/>
        <v/>
      </c>
      <c r="BM50" s="423">
        <f t="shared" si="24"/>
        <v>16</v>
      </c>
    </row>
    <row r="51" spans="1:65" s="425" customFormat="1" outlineLevel="1" x14ac:dyDescent="0.2">
      <c r="A51" s="424" t="s">
        <v>404</v>
      </c>
      <c r="E51" s="425">
        <f t="shared" ref="E51:AN51" si="26">IF( LEN( E44 ) = 0, "", ABS( E44 ) + ABS( E45 ) )</f>
        <v>68</v>
      </c>
      <c r="F51" s="425" t="str">
        <f t="shared" si="26"/>
        <v/>
      </c>
      <c r="G51" s="425" t="str">
        <f t="shared" si="26"/>
        <v/>
      </c>
      <c r="H51" s="425" t="str">
        <f t="shared" si="26"/>
        <v/>
      </c>
      <c r="I51" s="425">
        <f t="shared" si="26"/>
        <v>118</v>
      </c>
      <c r="J51" s="425" t="str">
        <f t="shared" si="26"/>
        <v/>
      </c>
      <c r="K51" s="425" t="str">
        <f t="shared" si="26"/>
        <v/>
      </c>
      <c r="L51" s="425" t="str">
        <f t="shared" si="26"/>
        <v/>
      </c>
      <c r="M51" s="425">
        <f t="shared" si="26"/>
        <v>79</v>
      </c>
      <c r="N51" s="425" t="str">
        <f t="shared" si="26"/>
        <v/>
      </c>
      <c r="O51" s="425" t="str">
        <f t="shared" si="26"/>
        <v/>
      </c>
      <c r="P51" s="425" t="str">
        <f t="shared" si="26"/>
        <v/>
      </c>
      <c r="Q51" s="425">
        <f t="shared" si="26"/>
        <v>42</v>
      </c>
      <c r="R51" s="425" t="str">
        <f t="shared" si="26"/>
        <v/>
      </c>
      <c r="S51" s="425" t="str">
        <f t="shared" si="26"/>
        <v/>
      </c>
      <c r="T51" s="425" t="str">
        <f t="shared" si="26"/>
        <v/>
      </c>
      <c r="U51" s="425">
        <f t="shared" si="26"/>
        <v>46</v>
      </c>
      <c r="V51" s="425" t="str">
        <f t="shared" si="26"/>
        <v/>
      </c>
      <c r="W51" s="425" t="str">
        <f t="shared" si="26"/>
        <v/>
      </c>
      <c r="X51" s="425" t="str">
        <f t="shared" si="26"/>
        <v/>
      </c>
      <c r="Y51" s="425">
        <f t="shared" si="26"/>
        <v>39</v>
      </c>
      <c r="Z51" s="425" t="str">
        <f t="shared" si="26"/>
        <v/>
      </c>
      <c r="AA51" s="425" t="str">
        <f t="shared" si="26"/>
        <v/>
      </c>
      <c r="AB51" s="425" t="str">
        <f t="shared" si="26"/>
        <v/>
      </c>
      <c r="AC51" s="425">
        <f t="shared" si="26"/>
        <v>32</v>
      </c>
      <c r="AD51" s="425" t="str">
        <f t="shared" si="26"/>
        <v/>
      </c>
      <c r="AE51" s="425" t="str">
        <f t="shared" si="26"/>
        <v/>
      </c>
      <c r="AF51" s="425" t="str">
        <f t="shared" si="26"/>
        <v/>
      </c>
      <c r="AG51" s="425">
        <f t="shared" si="26"/>
        <v>6</v>
      </c>
      <c r="AH51" s="425" t="str">
        <f t="shared" si="26"/>
        <v/>
      </c>
      <c r="AI51" s="425" t="str">
        <f t="shared" si="26"/>
        <v/>
      </c>
      <c r="AJ51" s="425" t="str">
        <f t="shared" si="26"/>
        <v/>
      </c>
      <c r="AK51" s="425">
        <f t="shared" si="26"/>
        <v>23</v>
      </c>
      <c r="AL51" s="425" t="str">
        <f t="shared" si="26"/>
        <v/>
      </c>
      <c r="AM51" s="425" t="str">
        <f t="shared" si="26"/>
        <v/>
      </c>
      <c r="AN51" s="425" t="str">
        <f t="shared" si="26"/>
        <v/>
      </c>
      <c r="AO51" s="425">
        <f>IF( LEN( AO44 ) = 0, "", ABS( AO44 ) + ABS( AO45 ) )</f>
        <v>20</v>
      </c>
      <c r="AP51" s="425" t="str">
        <f t="shared" ref="AP51:AW51" si="27">IF( LEN( AP44 ) = 0, "", ABS( AP44 ) + ABS( AP45 ) )</f>
        <v/>
      </c>
      <c r="AQ51" s="425" t="str">
        <f t="shared" si="27"/>
        <v/>
      </c>
      <c r="AR51" s="425" t="str">
        <f t="shared" si="27"/>
        <v/>
      </c>
      <c r="AS51" s="425">
        <f t="shared" si="27"/>
        <v>11</v>
      </c>
      <c r="AT51" s="425" t="str">
        <f t="shared" si="27"/>
        <v/>
      </c>
      <c r="AU51" s="425" t="str">
        <f t="shared" si="27"/>
        <v/>
      </c>
      <c r="AV51" s="425" t="str">
        <f t="shared" si="27"/>
        <v/>
      </c>
      <c r="AW51" s="425">
        <f t="shared" si="27"/>
        <v>20</v>
      </c>
      <c r="AX51" s="425" t="str">
        <f t="shared" ref="AX51:BM51" si="28">IF( LEN( AX44 ) = 0, "", ABS( AX44 ) + ABS( AX45 ) )</f>
        <v/>
      </c>
      <c r="AY51" s="425" t="str">
        <f t="shared" si="28"/>
        <v/>
      </c>
      <c r="AZ51" s="425" t="str">
        <f t="shared" si="28"/>
        <v/>
      </c>
      <c r="BA51" s="425">
        <f t="shared" si="28"/>
        <v>17</v>
      </c>
      <c r="BB51" s="425" t="str">
        <f t="shared" ref="BB51:BI51" si="29">IF( LEN( BB44 ) = 0, "", ABS( BB44 ) + ABS( BB45 ) )</f>
        <v/>
      </c>
      <c r="BC51" s="425" t="str">
        <f t="shared" si="29"/>
        <v/>
      </c>
      <c r="BD51" s="425" t="str">
        <f t="shared" si="29"/>
        <v/>
      </c>
      <c r="BE51" s="425">
        <f t="shared" si="29"/>
        <v>85</v>
      </c>
      <c r="BF51" s="425" t="str">
        <f t="shared" si="29"/>
        <v/>
      </c>
      <c r="BG51" s="425" t="str">
        <f t="shared" si="29"/>
        <v/>
      </c>
      <c r="BH51" s="425" t="str">
        <f t="shared" si="29"/>
        <v/>
      </c>
      <c r="BI51" s="425">
        <f t="shared" si="29"/>
        <v>12</v>
      </c>
      <c r="BJ51" s="425" t="str">
        <f t="shared" si="28"/>
        <v/>
      </c>
      <c r="BK51" s="425" t="str">
        <f t="shared" si="28"/>
        <v/>
      </c>
      <c r="BL51" s="425" t="str">
        <f t="shared" si="28"/>
        <v/>
      </c>
      <c r="BM51" s="425">
        <f t="shared" si="28"/>
        <v>14</v>
      </c>
    </row>
    <row r="52" spans="1:65" s="427" customFormat="1" outlineLevel="1" x14ac:dyDescent="0.2">
      <c r="A52" s="426" t="s">
        <v>405</v>
      </c>
      <c r="E52" s="427">
        <f>IF( LEN( E46 ) = 0, "", ABS( E46 ) + ABS( E47 ) )</f>
        <v>101</v>
      </c>
      <c r="F52" s="427" t="str">
        <f t="shared" ref="F52:AS52" si="30">IF( LEN( F46 ) = 0, "", ABS( F46 ) + ABS( F47 ) )</f>
        <v/>
      </c>
      <c r="G52" s="427" t="str">
        <f t="shared" si="30"/>
        <v/>
      </c>
      <c r="H52" s="427" t="str">
        <f t="shared" si="30"/>
        <v/>
      </c>
      <c r="I52" s="427">
        <f t="shared" si="30"/>
        <v>125</v>
      </c>
      <c r="J52" s="427" t="str">
        <f t="shared" si="30"/>
        <v/>
      </c>
      <c r="K52" s="427" t="str">
        <f t="shared" si="30"/>
        <v/>
      </c>
      <c r="L52" s="427" t="str">
        <f t="shared" si="30"/>
        <v/>
      </c>
      <c r="M52" s="427">
        <f t="shared" si="30"/>
        <v>112</v>
      </c>
      <c r="N52" s="427" t="str">
        <f t="shared" si="30"/>
        <v/>
      </c>
      <c r="O52" s="427" t="str">
        <f t="shared" si="30"/>
        <v/>
      </c>
      <c r="P52" s="427" t="str">
        <f t="shared" si="30"/>
        <v/>
      </c>
      <c r="Q52" s="427">
        <f t="shared" si="30"/>
        <v>34</v>
      </c>
      <c r="R52" s="427" t="str">
        <f t="shared" si="30"/>
        <v/>
      </c>
      <c r="S52" s="427" t="str">
        <f t="shared" si="30"/>
        <v/>
      </c>
      <c r="T52" s="427" t="str">
        <f t="shared" si="30"/>
        <v/>
      </c>
      <c r="U52" s="427">
        <f t="shared" si="30"/>
        <v>53</v>
      </c>
      <c r="V52" s="427" t="str">
        <f t="shared" si="30"/>
        <v/>
      </c>
      <c r="W52" s="427" t="str">
        <f t="shared" si="30"/>
        <v/>
      </c>
      <c r="X52" s="427" t="str">
        <f t="shared" si="30"/>
        <v/>
      </c>
      <c r="Y52" s="427">
        <f t="shared" si="30"/>
        <v>40</v>
      </c>
      <c r="Z52" s="427" t="str">
        <f t="shared" si="30"/>
        <v/>
      </c>
      <c r="AA52" s="427" t="str">
        <f t="shared" si="30"/>
        <v/>
      </c>
      <c r="AB52" s="427" t="str">
        <f t="shared" si="30"/>
        <v/>
      </c>
      <c r="AC52" s="427">
        <f t="shared" si="30"/>
        <v>48</v>
      </c>
      <c r="AD52" s="427" t="str">
        <f t="shared" si="30"/>
        <v/>
      </c>
      <c r="AE52" s="427" t="str">
        <f t="shared" si="30"/>
        <v/>
      </c>
      <c r="AF52" s="427" t="str">
        <f t="shared" si="30"/>
        <v/>
      </c>
      <c r="AG52" s="427">
        <f t="shared" si="30"/>
        <v>27</v>
      </c>
      <c r="AH52" s="427" t="str">
        <f t="shared" si="30"/>
        <v/>
      </c>
      <c r="AI52" s="427" t="str">
        <f t="shared" si="30"/>
        <v/>
      </c>
      <c r="AJ52" s="427" t="str">
        <f t="shared" si="30"/>
        <v/>
      </c>
      <c r="AK52" s="427">
        <f t="shared" si="30"/>
        <v>20</v>
      </c>
      <c r="AL52" s="427" t="str">
        <f t="shared" si="30"/>
        <v/>
      </c>
      <c r="AM52" s="427" t="str">
        <f t="shared" si="30"/>
        <v/>
      </c>
      <c r="AN52" s="427" t="str">
        <f t="shared" si="30"/>
        <v/>
      </c>
      <c r="AO52" s="427">
        <f t="shared" si="30"/>
        <v>36</v>
      </c>
      <c r="AP52" s="427" t="str">
        <f t="shared" si="30"/>
        <v/>
      </c>
      <c r="AQ52" s="427" t="str">
        <f t="shared" si="30"/>
        <v/>
      </c>
      <c r="AR52" s="427" t="str">
        <f t="shared" si="30"/>
        <v/>
      </c>
      <c r="AS52" s="427">
        <f t="shared" si="30"/>
        <v>24</v>
      </c>
      <c r="AT52" s="427" t="str">
        <f t="shared" ref="AT52:BM52" si="31">IF( LEN( AT46 ) = 0, "", ABS( AT46 ) + ABS( AT47 ) )</f>
        <v/>
      </c>
      <c r="AU52" s="427" t="str">
        <f t="shared" si="31"/>
        <v/>
      </c>
      <c r="AV52" s="427" t="str">
        <f t="shared" si="31"/>
        <v/>
      </c>
      <c r="AW52" s="427">
        <f t="shared" si="31"/>
        <v>30</v>
      </c>
      <c r="AX52" s="427" t="str">
        <f t="shared" ref="AX52:BI52" si="32">IF( LEN( AX46 ) = 0, "", ABS( AX46 ) + ABS( AX47 ) )</f>
        <v/>
      </c>
      <c r="AY52" s="427" t="str">
        <f t="shared" si="32"/>
        <v/>
      </c>
      <c r="AZ52" s="427" t="str">
        <f t="shared" si="32"/>
        <v/>
      </c>
      <c r="BA52" s="427">
        <f t="shared" si="32"/>
        <v>40</v>
      </c>
      <c r="BB52" s="427" t="str">
        <f t="shared" si="32"/>
        <v/>
      </c>
      <c r="BC52" s="427" t="str">
        <f t="shared" si="32"/>
        <v/>
      </c>
      <c r="BD52" s="427" t="str">
        <f t="shared" si="32"/>
        <v/>
      </c>
      <c r="BE52" s="427">
        <f t="shared" si="32"/>
        <v>7</v>
      </c>
      <c r="BF52" s="427" t="str">
        <f t="shared" si="32"/>
        <v/>
      </c>
      <c r="BG52" s="427" t="str">
        <f t="shared" si="32"/>
        <v/>
      </c>
      <c r="BH52" s="427" t="str">
        <f t="shared" si="32"/>
        <v/>
      </c>
      <c r="BI52" s="427">
        <f t="shared" si="32"/>
        <v>27</v>
      </c>
      <c r="BJ52" s="427" t="str">
        <f t="shared" si="31"/>
        <v/>
      </c>
      <c r="BK52" s="427" t="str">
        <f t="shared" si="31"/>
        <v/>
      </c>
      <c r="BL52" s="427" t="str">
        <f t="shared" si="31"/>
        <v/>
      </c>
      <c r="BM52" s="427">
        <f t="shared" si="31"/>
        <v>39</v>
      </c>
    </row>
    <row r="53" spans="1:65" s="200" customFormat="1" outlineLevel="1" x14ac:dyDescent="0.2">
      <c r="A53" s="198" t="s">
        <v>417</v>
      </c>
      <c r="B53" s="199"/>
      <c r="C53" s="199"/>
      <c r="D53" s="199"/>
      <c r="E53" s="199">
        <f>IF( LEN( E51 ) = 0, "", ABS( E50 ) + ABS( E51 )  + ABS( E52 ) )</f>
        <v>207</v>
      </c>
      <c r="F53" s="199" t="str">
        <f t="shared" ref="F53:AW53" si="33">IF( LEN( F51 ) = 0, "", ABS( F50 ) + ABS( F51 )  + ABS( F52 ) )</f>
        <v/>
      </c>
      <c r="G53" s="199" t="str">
        <f t="shared" si="33"/>
        <v/>
      </c>
      <c r="H53" s="199" t="str">
        <f t="shared" si="33"/>
        <v/>
      </c>
      <c r="I53" s="199">
        <f t="shared" si="33"/>
        <v>300</v>
      </c>
      <c r="J53" s="199" t="str">
        <f t="shared" si="33"/>
        <v/>
      </c>
      <c r="K53" s="199" t="str">
        <f t="shared" si="33"/>
        <v/>
      </c>
      <c r="L53" s="199" t="str">
        <f t="shared" si="33"/>
        <v/>
      </c>
      <c r="M53" s="199">
        <f t="shared" si="33"/>
        <v>253</v>
      </c>
      <c r="N53" s="199" t="str">
        <f t="shared" si="33"/>
        <v/>
      </c>
      <c r="O53" s="199" t="str">
        <f t="shared" si="33"/>
        <v/>
      </c>
      <c r="P53" s="199" t="str">
        <f t="shared" si="33"/>
        <v/>
      </c>
      <c r="Q53" s="199">
        <f t="shared" si="33"/>
        <v>110</v>
      </c>
      <c r="R53" s="199" t="str">
        <f t="shared" si="33"/>
        <v/>
      </c>
      <c r="S53" s="199" t="str">
        <f t="shared" si="33"/>
        <v/>
      </c>
      <c r="T53" s="199" t="str">
        <f t="shared" si="33"/>
        <v/>
      </c>
      <c r="U53" s="199">
        <f t="shared" si="33"/>
        <v>121</v>
      </c>
      <c r="V53" s="199" t="str">
        <f t="shared" si="33"/>
        <v/>
      </c>
      <c r="W53" s="199" t="str">
        <f t="shared" si="33"/>
        <v/>
      </c>
      <c r="X53" s="199" t="str">
        <f t="shared" si="33"/>
        <v/>
      </c>
      <c r="Y53" s="199">
        <f t="shared" si="33"/>
        <v>110</v>
      </c>
      <c r="Z53" s="199" t="str">
        <f t="shared" si="33"/>
        <v/>
      </c>
      <c r="AA53" s="199" t="str">
        <f t="shared" si="33"/>
        <v/>
      </c>
      <c r="AB53" s="199" t="str">
        <f t="shared" si="33"/>
        <v/>
      </c>
      <c r="AC53" s="199">
        <f t="shared" si="33"/>
        <v>121</v>
      </c>
      <c r="AD53" s="199" t="str">
        <f t="shared" si="33"/>
        <v/>
      </c>
      <c r="AE53" s="199" t="str">
        <f t="shared" si="33"/>
        <v/>
      </c>
      <c r="AF53" s="199" t="str">
        <f t="shared" si="33"/>
        <v/>
      </c>
      <c r="AG53" s="199">
        <f t="shared" si="33"/>
        <v>50</v>
      </c>
      <c r="AH53" s="199" t="str">
        <f t="shared" si="33"/>
        <v/>
      </c>
      <c r="AI53" s="199" t="str">
        <f t="shared" si="33"/>
        <v/>
      </c>
      <c r="AJ53" s="199" t="str">
        <f t="shared" si="33"/>
        <v/>
      </c>
      <c r="AK53" s="199">
        <f t="shared" si="33"/>
        <v>57</v>
      </c>
      <c r="AL53" s="199" t="str">
        <f t="shared" si="33"/>
        <v/>
      </c>
      <c r="AM53" s="199" t="str">
        <f t="shared" si="33"/>
        <v/>
      </c>
      <c r="AN53" s="199" t="str">
        <f t="shared" si="33"/>
        <v/>
      </c>
      <c r="AO53" s="199">
        <f t="shared" si="33"/>
        <v>80</v>
      </c>
      <c r="AP53" s="199" t="str">
        <f t="shared" si="33"/>
        <v/>
      </c>
      <c r="AQ53" s="199" t="str">
        <f t="shared" si="33"/>
        <v/>
      </c>
      <c r="AR53" s="199" t="str">
        <f t="shared" si="33"/>
        <v/>
      </c>
      <c r="AS53" s="199">
        <f t="shared" si="33"/>
        <v>60</v>
      </c>
      <c r="AT53" s="199" t="str">
        <f t="shared" si="33"/>
        <v/>
      </c>
      <c r="AU53" s="199" t="str">
        <f t="shared" si="33"/>
        <v/>
      </c>
      <c r="AV53" s="199" t="str">
        <f t="shared" si="33"/>
        <v/>
      </c>
      <c r="AW53" s="199">
        <f t="shared" si="33"/>
        <v>76</v>
      </c>
      <c r="AX53" s="199" t="str">
        <f t="shared" ref="AX53:BM53" si="34">IF( LEN( AX51 ) = 0, "", ABS( AX50 ) + ABS( AX51 )  + ABS( AX52 ) )</f>
        <v/>
      </c>
      <c r="AY53" s="199" t="str">
        <f t="shared" si="34"/>
        <v/>
      </c>
      <c r="AZ53" s="199" t="str">
        <f t="shared" si="34"/>
        <v/>
      </c>
      <c r="BA53" s="199">
        <f t="shared" si="34"/>
        <v>80</v>
      </c>
      <c r="BB53" s="199" t="str">
        <f t="shared" ref="BB53:BI53" si="35">IF( LEN( BB51 ) = 0, "", ABS( BB50 ) + ABS( BB51 )  + ABS( BB52 ) )</f>
        <v/>
      </c>
      <c r="BC53" s="199" t="str">
        <f t="shared" si="35"/>
        <v/>
      </c>
      <c r="BD53" s="199" t="str">
        <f t="shared" si="35"/>
        <v/>
      </c>
      <c r="BE53" s="199">
        <f t="shared" si="35"/>
        <v>106</v>
      </c>
      <c r="BF53" s="199" t="str">
        <f t="shared" si="35"/>
        <v/>
      </c>
      <c r="BG53" s="199" t="str">
        <f t="shared" si="35"/>
        <v/>
      </c>
      <c r="BH53" s="199" t="str">
        <f t="shared" si="35"/>
        <v/>
      </c>
      <c r="BI53" s="199">
        <f t="shared" si="35"/>
        <v>50</v>
      </c>
      <c r="BJ53" s="199" t="str">
        <f t="shared" si="34"/>
        <v/>
      </c>
      <c r="BK53" s="199" t="str">
        <f t="shared" si="34"/>
        <v/>
      </c>
      <c r="BL53" s="199" t="str">
        <f t="shared" si="34"/>
        <v/>
      </c>
      <c r="BM53" s="199">
        <f t="shared" si="34"/>
        <v>69</v>
      </c>
    </row>
    <row r="54" spans="1:65" s="174" customFormat="1" outlineLevel="1" x14ac:dyDescent="0.2">
      <c r="B54" s="176"/>
      <c r="C54" s="176"/>
      <c r="D54" s="176"/>
      <c r="E54" s="176"/>
      <c r="F54" s="177"/>
      <c r="G54" s="178"/>
      <c r="H54" s="178"/>
      <c r="I54" s="178"/>
      <c r="J54" s="178"/>
      <c r="K54" s="178"/>
      <c r="L54" s="179"/>
      <c r="M54" s="176"/>
      <c r="N54" s="176"/>
      <c r="O54" s="176"/>
      <c r="P54" s="176"/>
      <c r="Q54" s="176"/>
      <c r="R54" s="176"/>
      <c r="S54" s="176"/>
      <c r="T54" s="176"/>
      <c r="U54" s="176"/>
      <c r="V54" s="176"/>
      <c r="W54" s="176"/>
      <c r="X54" s="180"/>
      <c r="Y54" s="180"/>
      <c r="Z54" s="180"/>
      <c r="AA54" s="180"/>
      <c r="AB54" s="180"/>
      <c r="AC54" s="180"/>
    </row>
    <row r="55" spans="1:65" s="174" customFormat="1" outlineLevel="1" x14ac:dyDescent="0.2">
      <c r="B55" s="176"/>
      <c r="C55" s="176"/>
      <c r="D55" s="176"/>
      <c r="E55" s="176"/>
      <c r="F55" s="177"/>
      <c r="G55" s="178"/>
      <c r="H55" s="178"/>
      <c r="I55" s="178"/>
      <c r="J55" s="178"/>
      <c r="K55" s="178"/>
      <c r="L55" s="179"/>
      <c r="M55" s="176"/>
      <c r="N55" s="176"/>
      <c r="O55" s="176"/>
      <c r="P55" s="176"/>
      <c r="Q55" s="176"/>
      <c r="R55" s="176"/>
      <c r="S55" s="176"/>
      <c r="T55" s="176"/>
      <c r="U55" s="176"/>
      <c r="V55" s="176"/>
      <c r="W55" s="176"/>
      <c r="X55" s="180"/>
      <c r="Y55" s="180"/>
      <c r="Z55" s="180"/>
      <c r="AA55" s="180"/>
      <c r="AB55" s="180"/>
      <c r="AC55" s="180"/>
    </row>
    <row r="56" spans="1:65" s="423" customFormat="1" outlineLevel="1" x14ac:dyDescent="0.2">
      <c r="A56" s="422" t="s">
        <v>392</v>
      </c>
      <c r="B56" s="423">
        <f t="shared" ref="B56:BI56" si="36">SUM(B29,B31,B33)</f>
        <v>23</v>
      </c>
      <c r="C56" s="423">
        <f t="shared" si="36"/>
        <v>14</v>
      </c>
      <c r="D56" s="423">
        <f t="shared" si="36"/>
        <v>6</v>
      </c>
      <c r="E56" s="423">
        <f t="shared" si="36"/>
        <v>14</v>
      </c>
      <c r="F56" s="423">
        <f t="shared" si="36"/>
        <v>6</v>
      </c>
      <c r="G56" s="423">
        <f t="shared" si="36"/>
        <v>2</v>
      </c>
      <c r="H56" s="423">
        <f t="shared" si="36"/>
        <v>12</v>
      </c>
      <c r="I56" s="423">
        <f t="shared" si="36"/>
        <v>1</v>
      </c>
      <c r="J56" s="423">
        <f t="shared" si="36"/>
        <v>4</v>
      </c>
      <c r="K56" s="423">
        <f t="shared" si="36"/>
        <v>15</v>
      </c>
      <c r="L56" s="423">
        <f t="shared" si="36"/>
        <v>6</v>
      </c>
      <c r="M56" s="423">
        <f t="shared" si="36"/>
        <v>10</v>
      </c>
      <c r="N56" s="423">
        <f t="shared" si="36"/>
        <v>8</v>
      </c>
      <c r="O56" s="423">
        <f t="shared" si="36"/>
        <v>8</v>
      </c>
      <c r="P56" s="423">
        <f t="shared" si="36"/>
        <v>21</v>
      </c>
      <c r="Q56" s="423">
        <f t="shared" si="36"/>
        <v>14</v>
      </c>
      <c r="R56" s="423">
        <f t="shared" si="36"/>
        <v>23</v>
      </c>
      <c r="S56" s="423">
        <f t="shared" si="36"/>
        <v>20</v>
      </c>
      <c r="T56" s="423">
        <f t="shared" si="36"/>
        <v>20</v>
      </c>
      <c r="U56" s="423">
        <f t="shared" si="36"/>
        <v>10</v>
      </c>
      <c r="V56" s="423">
        <f t="shared" si="36"/>
        <v>18</v>
      </c>
      <c r="W56" s="423">
        <f t="shared" si="36"/>
        <v>24</v>
      </c>
      <c r="X56" s="423">
        <f t="shared" si="36"/>
        <v>19</v>
      </c>
      <c r="Y56" s="423">
        <f t="shared" si="36"/>
        <v>6</v>
      </c>
      <c r="Z56" s="423">
        <f t="shared" si="36"/>
        <v>22</v>
      </c>
      <c r="AA56" s="423">
        <f t="shared" si="36"/>
        <v>23</v>
      </c>
      <c r="AB56" s="423">
        <f t="shared" si="36"/>
        <v>8</v>
      </c>
      <c r="AC56" s="423">
        <f t="shared" si="36"/>
        <v>20</v>
      </c>
      <c r="AD56" s="423">
        <f t="shared" si="36"/>
        <v>5</v>
      </c>
      <c r="AE56" s="423">
        <f t="shared" si="36"/>
        <v>4</v>
      </c>
      <c r="AF56" s="423">
        <f t="shared" si="36"/>
        <v>9</v>
      </c>
      <c r="AG56" s="423">
        <f t="shared" si="36"/>
        <v>6</v>
      </c>
      <c r="AH56" s="423">
        <f t="shared" si="36"/>
        <v>1</v>
      </c>
      <c r="AI56" s="423">
        <f t="shared" si="36"/>
        <v>10</v>
      </c>
      <c r="AJ56" s="423">
        <f t="shared" si="36"/>
        <v>7</v>
      </c>
      <c r="AK56" s="423">
        <f t="shared" si="36"/>
        <v>5</v>
      </c>
      <c r="AL56" s="423">
        <f t="shared" si="36"/>
        <v>1</v>
      </c>
      <c r="AM56" s="423">
        <f t="shared" si="36"/>
        <v>12</v>
      </c>
      <c r="AN56" s="423">
        <f t="shared" si="36"/>
        <v>11</v>
      </c>
      <c r="AO56" s="423">
        <f t="shared" si="36"/>
        <v>5</v>
      </c>
      <c r="AP56" s="423">
        <f t="shared" si="36"/>
        <v>11</v>
      </c>
      <c r="AQ56" s="423">
        <f t="shared" si="36"/>
        <v>21</v>
      </c>
      <c r="AR56" s="423">
        <f t="shared" si="36"/>
        <v>4</v>
      </c>
      <c r="AS56" s="423">
        <f t="shared" si="36"/>
        <v>3</v>
      </c>
      <c r="AT56" s="423">
        <f t="shared" si="36"/>
        <v>8</v>
      </c>
      <c r="AU56" s="423">
        <f t="shared" si="36"/>
        <v>24</v>
      </c>
      <c r="AV56" s="423">
        <f t="shared" si="36"/>
        <v>2</v>
      </c>
      <c r="AW56" s="423">
        <f t="shared" si="36"/>
        <v>3</v>
      </c>
      <c r="AX56" s="423">
        <f t="shared" si="36"/>
        <v>14</v>
      </c>
      <c r="AY56" s="423">
        <f t="shared" si="36"/>
        <v>20</v>
      </c>
      <c r="AZ56" s="423">
        <f t="shared" si="36"/>
        <v>14</v>
      </c>
      <c r="BA56" s="423">
        <f t="shared" si="36"/>
        <v>12</v>
      </c>
      <c r="BB56" s="423">
        <f t="shared" si="36"/>
        <v>82</v>
      </c>
      <c r="BC56" s="423">
        <f t="shared" si="36"/>
        <v>10</v>
      </c>
      <c r="BD56" s="423">
        <f t="shared" si="36"/>
        <v>6</v>
      </c>
      <c r="BE56" s="423">
        <f t="shared" si="36"/>
        <v>5</v>
      </c>
      <c r="BF56" s="423">
        <f t="shared" si="36"/>
        <v>2</v>
      </c>
      <c r="BG56" s="423">
        <f t="shared" si="36"/>
        <v>26</v>
      </c>
      <c r="BH56" s="423">
        <f t="shared" si="36"/>
        <v>1</v>
      </c>
      <c r="BI56" s="423">
        <f t="shared" si="36"/>
        <v>6</v>
      </c>
      <c r="BJ56" s="423">
        <f t="shared" ref="BJ56:BM57" si="37">SUM(BJ29,BJ31,BJ33)</f>
        <v>13</v>
      </c>
      <c r="BK56" s="423">
        <f t="shared" si="37"/>
        <v>13</v>
      </c>
      <c r="BL56" s="423">
        <f t="shared" si="37"/>
        <v>23</v>
      </c>
      <c r="BM56" s="423">
        <f t="shared" si="37"/>
        <v>1</v>
      </c>
    </row>
    <row r="57" spans="1:65" s="427" customFormat="1" outlineLevel="1" x14ac:dyDescent="0.2">
      <c r="A57" s="426" t="s">
        <v>393</v>
      </c>
      <c r="B57" s="427">
        <f t="shared" ref="B57:BI57" si="38">SUM(B30,B32,B34)</f>
        <v>-59</v>
      </c>
      <c r="C57" s="427">
        <f t="shared" si="38"/>
        <v>-21</v>
      </c>
      <c r="D57" s="427">
        <f t="shared" si="38"/>
        <v>-13</v>
      </c>
      <c r="E57" s="427">
        <f t="shared" si="38"/>
        <v>-57</v>
      </c>
      <c r="F57" s="427">
        <f t="shared" si="38"/>
        <v>-34</v>
      </c>
      <c r="G57" s="427">
        <f t="shared" si="38"/>
        <v>-67</v>
      </c>
      <c r="H57" s="427">
        <f t="shared" si="38"/>
        <v>-91</v>
      </c>
      <c r="I57" s="427">
        <f t="shared" si="38"/>
        <v>-87</v>
      </c>
      <c r="J57" s="427">
        <f t="shared" si="38"/>
        <v>-88</v>
      </c>
      <c r="K57" s="427">
        <f t="shared" si="38"/>
        <v>-55</v>
      </c>
      <c r="L57" s="427">
        <f t="shared" si="38"/>
        <v>-38</v>
      </c>
      <c r="M57" s="427">
        <f t="shared" si="38"/>
        <v>-37</v>
      </c>
      <c r="N57" s="427">
        <f t="shared" si="38"/>
        <v>-19</v>
      </c>
      <c r="O57" s="427">
        <f t="shared" si="38"/>
        <v>-19</v>
      </c>
      <c r="P57" s="427">
        <f t="shared" si="38"/>
        <v>-10</v>
      </c>
      <c r="Q57" s="427">
        <f t="shared" si="38"/>
        <v>-11</v>
      </c>
      <c r="R57" s="427">
        <f t="shared" si="38"/>
        <v>-9</v>
      </c>
      <c r="S57" s="427">
        <f t="shared" si="38"/>
        <v>-10</v>
      </c>
      <c r="T57" s="427">
        <f t="shared" si="38"/>
        <v>-7</v>
      </c>
      <c r="U57" s="427">
        <f t="shared" si="38"/>
        <v>-22</v>
      </c>
      <c r="V57" s="427">
        <f t="shared" si="38"/>
        <v>-7</v>
      </c>
      <c r="W57" s="427">
        <f t="shared" si="38"/>
        <v>-10</v>
      </c>
      <c r="X57" s="427">
        <f t="shared" si="38"/>
        <v>-18</v>
      </c>
      <c r="Y57" s="427">
        <f t="shared" si="38"/>
        <v>-8</v>
      </c>
      <c r="Z57" s="427">
        <f t="shared" si="38"/>
        <v>-17</v>
      </c>
      <c r="AA57" s="427">
        <f t="shared" si="38"/>
        <v>-18</v>
      </c>
      <c r="AB57" s="427">
        <f t="shared" si="38"/>
        <v>-2</v>
      </c>
      <c r="AC57" s="427">
        <f t="shared" si="38"/>
        <v>-11</v>
      </c>
      <c r="AD57" s="427">
        <f t="shared" si="38"/>
        <v>-13</v>
      </c>
      <c r="AE57" s="427">
        <f t="shared" si="38"/>
        <v>-5</v>
      </c>
      <c r="AF57" s="427">
        <f t="shared" si="38"/>
        <v>-5</v>
      </c>
      <c r="AG57" s="427">
        <f t="shared" si="38"/>
        <v>-3</v>
      </c>
      <c r="AH57" s="427">
        <f t="shared" si="38"/>
        <v>-9</v>
      </c>
      <c r="AI57" s="427">
        <f t="shared" si="38"/>
        <v>-14</v>
      </c>
      <c r="AJ57" s="427">
        <f t="shared" si="38"/>
        <v>-8</v>
      </c>
      <c r="AK57" s="427">
        <f t="shared" si="38"/>
        <v>-3</v>
      </c>
      <c r="AL57" s="427">
        <f t="shared" si="38"/>
        <v>-17</v>
      </c>
      <c r="AM57" s="427">
        <f t="shared" si="38"/>
        <v>-14</v>
      </c>
      <c r="AN57" s="427">
        <f t="shared" si="38"/>
        <v>-8</v>
      </c>
      <c r="AO57" s="427">
        <f t="shared" si="38"/>
        <v>-12</v>
      </c>
      <c r="AP57" s="427">
        <f t="shared" si="38"/>
        <v>0</v>
      </c>
      <c r="AQ57" s="427">
        <f t="shared" si="38"/>
        <v>-8</v>
      </c>
      <c r="AR57" s="427">
        <f t="shared" si="38"/>
        <v>-4</v>
      </c>
      <c r="AS57" s="427">
        <f t="shared" si="38"/>
        <v>-9</v>
      </c>
      <c r="AT57" s="427">
        <f t="shared" si="38"/>
        <v>-8</v>
      </c>
      <c r="AU57" s="427">
        <f t="shared" si="38"/>
        <v>-11</v>
      </c>
      <c r="AV57" s="427">
        <f t="shared" si="38"/>
        <v>-7</v>
      </c>
      <c r="AW57" s="427">
        <f t="shared" si="38"/>
        <v>-13</v>
      </c>
      <c r="AX57" s="427">
        <f t="shared" si="38"/>
        <v>-5</v>
      </c>
      <c r="AY57" s="427">
        <f t="shared" si="38"/>
        <v>-1</v>
      </c>
      <c r="AZ57" s="427">
        <f t="shared" si="38"/>
        <v>-10</v>
      </c>
      <c r="BA57" s="427">
        <f t="shared" si="38"/>
        <v>-4</v>
      </c>
      <c r="BB57" s="427">
        <f t="shared" si="38"/>
        <v>0</v>
      </c>
      <c r="BC57" s="427">
        <f t="shared" si="38"/>
        <v>-3</v>
      </c>
      <c r="BD57" s="427">
        <f t="shared" si="38"/>
        <v>0</v>
      </c>
      <c r="BE57" s="427">
        <f t="shared" si="38"/>
        <v>0</v>
      </c>
      <c r="BF57" s="427">
        <f t="shared" si="38"/>
        <v>0</v>
      </c>
      <c r="BG57" s="427">
        <f t="shared" si="38"/>
        <v>-7</v>
      </c>
      <c r="BH57" s="427">
        <f t="shared" si="38"/>
        <v>-6</v>
      </c>
      <c r="BI57" s="427">
        <f t="shared" si="38"/>
        <v>-2</v>
      </c>
      <c r="BJ57" s="427">
        <f t="shared" si="37"/>
        <v>-5</v>
      </c>
      <c r="BK57" s="427">
        <f t="shared" si="37"/>
        <v>-3</v>
      </c>
      <c r="BL57" s="427">
        <f t="shared" si="37"/>
        <v>-9</v>
      </c>
      <c r="BM57" s="427">
        <f t="shared" si="37"/>
        <v>-2</v>
      </c>
    </row>
    <row r="58" spans="1:65" s="200" customFormat="1" outlineLevel="1" x14ac:dyDescent="0.2">
      <c r="A58" s="198" t="s">
        <v>396</v>
      </c>
      <c r="B58" s="199">
        <f>ABS( B56 ) + ABS( B57 )</f>
        <v>82</v>
      </c>
      <c r="C58" s="199">
        <f>ABS( C56 ) + ABS( C57 )</f>
        <v>35</v>
      </c>
      <c r="D58" s="199">
        <f>ABS( D56 ) + ABS( D57 )</f>
        <v>19</v>
      </c>
      <c r="E58" s="199">
        <f t="shared" ref="E58:AS58" si="39">ABS( E56 ) + ABS( E57 )</f>
        <v>71</v>
      </c>
      <c r="F58" s="199">
        <f t="shared" si="39"/>
        <v>40</v>
      </c>
      <c r="G58" s="199">
        <f t="shared" si="39"/>
        <v>69</v>
      </c>
      <c r="H58" s="199">
        <f t="shared" si="39"/>
        <v>103</v>
      </c>
      <c r="I58" s="199">
        <f t="shared" si="39"/>
        <v>88</v>
      </c>
      <c r="J58" s="199">
        <f t="shared" si="39"/>
        <v>92</v>
      </c>
      <c r="K58" s="199">
        <f t="shared" si="39"/>
        <v>70</v>
      </c>
      <c r="L58" s="199">
        <f t="shared" si="39"/>
        <v>44</v>
      </c>
      <c r="M58" s="199">
        <f t="shared" si="39"/>
        <v>47</v>
      </c>
      <c r="N58" s="199">
        <f t="shared" si="39"/>
        <v>27</v>
      </c>
      <c r="O58" s="199">
        <f t="shared" si="39"/>
        <v>27</v>
      </c>
      <c r="P58" s="199">
        <f t="shared" si="39"/>
        <v>31</v>
      </c>
      <c r="Q58" s="199">
        <f t="shared" si="39"/>
        <v>25</v>
      </c>
      <c r="R58" s="199">
        <f t="shared" si="39"/>
        <v>32</v>
      </c>
      <c r="S58" s="199">
        <f t="shared" si="39"/>
        <v>30</v>
      </c>
      <c r="T58" s="199">
        <f t="shared" si="39"/>
        <v>27</v>
      </c>
      <c r="U58" s="199">
        <f t="shared" si="39"/>
        <v>32</v>
      </c>
      <c r="V58" s="199">
        <f t="shared" si="39"/>
        <v>25</v>
      </c>
      <c r="W58" s="199">
        <f t="shared" si="39"/>
        <v>34</v>
      </c>
      <c r="X58" s="199">
        <f t="shared" si="39"/>
        <v>37</v>
      </c>
      <c r="Y58" s="199">
        <f t="shared" si="39"/>
        <v>14</v>
      </c>
      <c r="Z58" s="199">
        <f t="shared" si="39"/>
        <v>39</v>
      </c>
      <c r="AA58" s="199">
        <f t="shared" si="39"/>
        <v>41</v>
      </c>
      <c r="AB58" s="199">
        <f t="shared" si="39"/>
        <v>10</v>
      </c>
      <c r="AC58" s="199">
        <f t="shared" si="39"/>
        <v>31</v>
      </c>
      <c r="AD58" s="199">
        <f t="shared" si="39"/>
        <v>18</v>
      </c>
      <c r="AE58" s="199">
        <f t="shared" si="39"/>
        <v>9</v>
      </c>
      <c r="AF58" s="199">
        <f t="shared" si="39"/>
        <v>14</v>
      </c>
      <c r="AG58" s="199">
        <f t="shared" si="39"/>
        <v>9</v>
      </c>
      <c r="AH58" s="199">
        <f t="shared" si="39"/>
        <v>10</v>
      </c>
      <c r="AI58" s="199">
        <f t="shared" si="39"/>
        <v>24</v>
      </c>
      <c r="AJ58" s="199">
        <f t="shared" si="39"/>
        <v>15</v>
      </c>
      <c r="AK58" s="199">
        <f t="shared" si="39"/>
        <v>8</v>
      </c>
      <c r="AL58" s="199">
        <f t="shared" si="39"/>
        <v>18</v>
      </c>
      <c r="AM58" s="199">
        <f t="shared" si="39"/>
        <v>26</v>
      </c>
      <c r="AN58" s="199">
        <f t="shared" si="39"/>
        <v>19</v>
      </c>
      <c r="AO58" s="199">
        <f t="shared" si="39"/>
        <v>17</v>
      </c>
      <c r="AP58" s="199">
        <f t="shared" si="39"/>
        <v>11</v>
      </c>
      <c r="AQ58" s="199">
        <f t="shared" si="39"/>
        <v>29</v>
      </c>
      <c r="AR58" s="199">
        <f t="shared" si="39"/>
        <v>8</v>
      </c>
      <c r="AS58" s="199">
        <f t="shared" si="39"/>
        <v>12</v>
      </c>
      <c r="AT58" s="199">
        <f t="shared" ref="AT58:BM58" si="40">ABS( AT56 ) + ABS( AT57 )</f>
        <v>16</v>
      </c>
      <c r="AU58" s="199">
        <f t="shared" si="40"/>
        <v>35</v>
      </c>
      <c r="AV58" s="199">
        <f t="shared" si="40"/>
        <v>9</v>
      </c>
      <c r="AW58" s="199">
        <f t="shared" si="40"/>
        <v>16</v>
      </c>
      <c r="AX58" s="199">
        <f t="shared" ref="AX58:BI58" si="41">ABS( AX56 ) + ABS( AX57 )</f>
        <v>19</v>
      </c>
      <c r="AY58" s="199">
        <f t="shared" si="41"/>
        <v>21</v>
      </c>
      <c r="AZ58" s="199">
        <f t="shared" si="41"/>
        <v>24</v>
      </c>
      <c r="BA58" s="199">
        <f t="shared" si="41"/>
        <v>16</v>
      </c>
      <c r="BB58" s="199">
        <f t="shared" si="41"/>
        <v>82</v>
      </c>
      <c r="BC58" s="199">
        <f t="shared" si="41"/>
        <v>13</v>
      </c>
      <c r="BD58" s="199">
        <f t="shared" si="41"/>
        <v>6</v>
      </c>
      <c r="BE58" s="199">
        <f t="shared" si="41"/>
        <v>5</v>
      </c>
      <c r="BF58" s="199">
        <f t="shared" si="41"/>
        <v>2</v>
      </c>
      <c r="BG58" s="199">
        <f t="shared" si="41"/>
        <v>33</v>
      </c>
      <c r="BH58" s="199">
        <f t="shared" si="41"/>
        <v>7</v>
      </c>
      <c r="BI58" s="199">
        <f t="shared" si="41"/>
        <v>8</v>
      </c>
      <c r="BJ58" s="199">
        <f t="shared" si="40"/>
        <v>18</v>
      </c>
      <c r="BK58" s="199">
        <f t="shared" si="40"/>
        <v>16</v>
      </c>
      <c r="BL58" s="199">
        <f t="shared" si="40"/>
        <v>32</v>
      </c>
      <c r="BM58" s="199">
        <f t="shared" si="40"/>
        <v>3</v>
      </c>
    </row>
    <row r="59" spans="1:65" s="174" customFormat="1" outlineLevel="1" x14ac:dyDescent="0.2">
      <c r="B59" s="181"/>
      <c r="C59" s="181"/>
      <c r="D59" s="181"/>
      <c r="E59" s="181"/>
      <c r="F59" s="181"/>
      <c r="G59" s="181"/>
      <c r="H59" s="181"/>
      <c r="I59" s="182"/>
      <c r="J59" s="176"/>
      <c r="K59" s="176"/>
      <c r="L59" s="176"/>
      <c r="M59" s="176"/>
      <c r="N59" s="176"/>
      <c r="O59" s="176"/>
      <c r="P59" s="176"/>
      <c r="Q59" s="176"/>
      <c r="R59" s="176"/>
      <c r="S59" s="176"/>
      <c r="T59" s="176"/>
      <c r="U59" s="176"/>
      <c r="V59" s="176"/>
      <c r="W59" s="176"/>
      <c r="X59" s="180"/>
      <c r="Y59" s="180"/>
      <c r="Z59" s="180"/>
      <c r="AA59" s="180"/>
      <c r="AB59" s="180"/>
      <c r="AC59" s="180"/>
    </row>
    <row r="60" spans="1:65" s="174" customFormat="1" outlineLevel="1" x14ac:dyDescent="0.2">
      <c r="B60" s="181"/>
      <c r="C60" s="181"/>
      <c r="D60" s="181"/>
      <c r="E60" s="181"/>
      <c r="F60" s="181"/>
      <c r="G60" s="181"/>
      <c r="H60" s="181"/>
      <c r="I60" s="182"/>
      <c r="J60" s="176"/>
      <c r="K60" s="176"/>
      <c r="L60" s="176"/>
      <c r="M60" s="176"/>
      <c r="N60" s="176"/>
      <c r="O60" s="176"/>
      <c r="P60" s="176"/>
      <c r="Q60" s="176"/>
      <c r="R60" s="176"/>
      <c r="S60" s="176"/>
      <c r="T60" s="176"/>
      <c r="U60" s="176"/>
      <c r="V60" s="176"/>
      <c r="W60" s="176"/>
      <c r="X60" s="180"/>
      <c r="Y60" s="180"/>
      <c r="Z60" s="180"/>
      <c r="AA60" s="180"/>
      <c r="AB60" s="180"/>
      <c r="AC60" s="180"/>
    </row>
    <row r="61" spans="1:65" s="423" customFormat="1" outlineLevel="1" x14ac:dyDescent="0.2">
      <c r="A61" s="422" t="s">
        <v>394</v>
      </c>
      <c r="E61" s="423">
        <f t="shared" ref="E61:N62" si="42">IF( ISERR( FIND( "Q4", E$28 ) ), "", SUM( B56:E56 ) )</f>
        <v>57</v>
      </c>
      <c r="F61" s="423" t="str">
        <f t="shared" si="42"/>
        <v/>
      </c>
      <c r="G61" s="423" t="str">
        <f t="shared" si="42"/>
        <v/>
      </c>
      <c r="H61" s="423" t="str">
        <f t="shared" si="42"/>
        <v/>
      </c>
      <c r="I61" s="423">
        <f t="shared" si="42"/>
        <v>21</v>
      </c>
      <c r="J61" s="423" t="str">
        <f t="shared" si="42"/>
        <v/>
      </c>
      <c r="K61" s="423" t="str">
        <f t="shared" si="42"/>
        <v/>
      </c>
      <c r="L61" s="423" t="str">
        <f t="shared" si="42"/>
        <v/>
      </c>
      <c r="M61" s="423">
        <f t="shared" si="42"/>
        <v>35</v>
      </c>
      <c r="N61" s="423" t="str">
        <f t="shared" si="42"/>
        <v/>
      </c>
      <c r="O61" s="423" t="str">
        <f t="shared" ref="O61:X62" si="43">IF( ISERR( FIND( "Q4", O$28 ) ), "", SUM( L56:O56 ) )</f>
        <v/>
      </c>
      <c r="P61" s="423" t="str">
        <f t="shared" si="43"/>
        <v/>
      </c>
      <c r="Q61" s="423">
        <f t="shared" si="43"/>
        <v>51</v>
      </c>
      <c r="R61" s="423" t="str">
        <f t="shared" si="43"/>
        <v/>
      </c>
      <c r="S61" s="423" t="str">
        <f t="shared" si="43"/>
        <v/>
      </c>
      <c r="T61" s="423" t="str">
        <f t="shared" si="43"/>
        <v/>
      </c>
      <c r="U61" s="423">
        <f t="shared" si="43"/>
        <v>73</v>
      </c>
      <c r="V61" s="423" t="str">
        <f t="shared" si="43"/>
        <v/>
      </c>
      <c r="W61" s="423" t="str">
        <f t="shared" si="43"/>
        <v/>
      </c>
      <c r="X61" s="423" t="str">
        <f t="shared" si="43"/>
        <v/>
      </c>
      <c r="Y61" s="423">
        <f t="shared" ref="Y61:AH62" si="44">IF( ISERR( FIND( "Q4", Y$28 ) ), "", SUM( V56:Y56 ) )</f>
        <v>67</v>
      </c>
      <c r="Z61" s="423" t="str">
        <f t="shared" si="44"/>
        <v/>
      </c>
      <c r="AA61" s="423" t="str">
        <f t="shared" si="44"/>
        <v/>
      </c>
      <c r="AB61" s="423" t="str">
        <f t="shared" si="44"/>
        <v/>
      </c>
      <c r="AC61" s="423">
        <f t="shared" si="44"/>
        <v>73</v>
      </c>
      <c r="AD61" s="423" t="str">
        <f t="shared" si="44"/>
        <v/>
      </c>
      <c r="AE61" s="423" t="str">
        <f t="shared" si="44"/>
        <v/>
      </c>
      <c r="AF61" s="423" t="str">
        <f t="shared" si="44"/>
        <v/>
      </c>
      <c r="AG61" s="423">
        <f t="shared" si="44"/>
        <v>24</v>
      </c>
      <c r="AH61" s="423" t="str">
        <f t="shared" si="44"/>
        <v/>
      </c>
      <c r="AI61" s="423" t="str">
        <f t="shared" ref="AI61:AR62" si="45">IF( ISERR( FIND( "Q4", AI$28 ) ), "", SUM( AF56:AI56 ) )</f>
        <v/>
      </c>
      <c r="AJ61" s="423" t="str">
        <f t="shared" si="45"/>
        <v/>
      </c>
      <c r="AK61" s="423">
        <f t="shared" si="45"/>
        <v>23</v>
      </c>
      <c r="AL61" s="423" t="str">
        <f t="shared" si="45"/>
        <v/>
      </c>
      <c r="AM61" s="423" t="str">
        <f t="shared" si="45"/>
        <v/>
      </c>
      <c r="AN61" s="423" t="str">
        <f t="shared" si="45"/>
        <v/>
      </c>
      <c r="AO61" s="423">
        <f t="shared" si="45"/>
        <v>29</v>
      </c>
      <c r="AP61" s="423" t="str">
        <f t="shared" si="45"/>
        <v/>
      </c>
      <c r="AQ61" s="423" t="str">
        <f t="shared" si="45"/>
        <v/>
      </c>
      <c r="AR61" s="423" t="str">
        <f t="shared" si="45"/>
        <v/>
      </c>
      <c r="AS61" s="423">
        <f t="shared" ref="AS61:AW62" si="46">IF( ISERR( FIND( "Q4", AS$28 ) ), "", SUM( AP56:AS56 ) )</f>
        <v>39</v>
      </c>
      <c r="AT61" s="423" t="str">
        <f t="shared" si="46"/>
        <v/>
      </c>
      <c r="AU61" s="423" t="str">
        <f t="shared" si="46"/>
        <v/>
      </c>
      <c r="AV61" s="423" t="str">
        <f t="shared" si="46"/>
        <v/>
      </c>
      <c r="AW61" s="423">
        <f t="shared" si="46"/>
        <v>37</v>
      </c>
      <c r="AX61" s="423" t="str">
        <f t="shared" ref="AX61:AZ62" si="47">IF( ISERR( FIND( "Q4", AX$28 ) ), "", SUM( AQ56:AX56 ) )</f>
        <v/>
      </c>
      <c r="AY61" s="423" t="str">
        <f t="shared" si="47"/>
        <v/>
      </c>
      <c r="AZ61" s="423" t="str">
        <f t="shared" si="47"/>
        <v/>
      </c>
      <c r="BA61" s="423">
        <f t="shared" ref="BA61:BA62" si="48">IF( ISERR( FIND( "Q4", BA$28 ) ), "", SUM( AX56:BA56 ) )</f>
        <v>60</v>
      </c>
      <c r="BB61" s="423" t="str">
        <f t="shared" ref="BB61:BD62" si="49">IF( ISERR( FIND( "Q4", BB$28 ) ), "", SUM( AQ56:BB56 ) )</f>
        <v/>
      </c>
      <c r="BC61" s="423" t="str">
        <f t="shared" si="49"/>
        <v/>
      </c>
      <c r="BD61" s="423" t="str">
        <f t="shared" si="49"/>
        <v/>
      </c>
      <c r="BE61" s="423">
        <f t="shared" ref="BE61:BE62" si="50">IF( ISERR( FIND( "Q4", BE$28 ) ), "", SUM( BB56:BE56 ) )</f>
        <v>103</v>
      </c>
      <c r="BF61" s="423" t="str">
        <f t="shared" ref="BF61:BH62" si="51">IF( ISERR( FIND( "Q4", BF$28 ) ), "", SUM( AQ56:BF56 ) )</f>
        <v/>
      </c>
      <c r="BG61" s="423" t="str">
        <f t="shared" si="51"/>
        <v/>
      </c>
      <c r="BH61" s="423" t="str">
        <f t="shared" si="51"/>
        <v/>
      </c>
      <c r="BI61" s="423">
        <f t="shared" ref="BI61:BI62" si="52">IF( ISERR( FIND( "Q4", BI$28 ) ), "", SUM( BF56:BI56 ) )</f>
        <v>35</v>
      </c>
      <c r="BJ61" s="423" t="str">
        <f t="shared" ref="BJ61:BL62" si="53">IF( ISERR( FIND( "Q4", BJ$28 ) ), "", SUM( AU56:BJ56 ) )</f>
        <v/>
      </c>
      <c r="BK61" s="423" t="str">
        <f t="shared" si="53"/>
        <v/>
      </c>
      <c r="BL61" s="423" t="str">
        <f t="shared" si="53"/>
        <v/>
      </c>
      <c r="BM61" s="423">
        <f t="shared" ref="BM61:BM62" si="54">IF( ISERR( FIND( "Q4", BM$28 ) ), "", SUM( BJ56:BM56 ) )</f>
        <v>50</v>
      </c>
    </row>
    <row r="62" spans="1:65" s="427" customFormat="1" outlineLevel="1" x14ac:dyDescent="0.2">
      <c r="A62" s="426" t="s">
        <v>395</v>
      </c>
      <c r="E62" s="427">
        <f t="shared" si="42"/>
        <v>-150</v>
      </c>
      <c r="F62" s="427" t="str">
        <f t="shared" si="42"/>
        <v/>
      </c>
      <c r="G62" s="427" t="str">
        <f t="shared" si="42"/>
        <v/>
      </c>
      <c r="H62" s="427" t="str">
        <f t="shared" si="42"/>
        <v/>
      </c>
      <c r="I62" s="427">
        <f t="shared" si="42"/>
        <v>-279</v>
      </c>
      <c r="J62" s="427" t="str">
        <f t="shared" si="42"/>
        <v/>
      </c>
      <c r="K62" s="427" t="str">
        <f t="shared" si="42"/>
        <v/>
      </c>
      <c r="L62" s="427" t="str">
        <f t="shared" si="42"/>
        <v/>
      </c>
      <c r="M62" s="427">
        <f t="shared" si="42"/>
        <v>-218</v>
      </c>
      <c r="N62" s="427" t="str">
        <f t="shared" si="42"/>
        <v/>
      </c>
      <c r="O62" s="427" t="str">
        <f t="shared" si="43"/>
        <v/>
      </c>
      <c r="P62" s="427" t="str">
        <f t="shared" si="43"/>
        <v/>
      </c>
      <c r="Q62" s="427">
        <f t="shared" si="43"/>
        <v>-59</v>
      </c>
      <c r="R62" s="427" t="str">
        <f t="shared" si="43"/>
        <v/>
      </c>
      <c r="S62" s="427" t="str">
        <f t="shared" si="43"/>
        <v/>
      </c>
      <c r="T62" s="427" t="str">
        <f t="shared" si="43"/>
        <v/>
      </c>
      <c r="U62" s="427">
        <f t="shared" si="43"/>
        <v>-48</v>
      </c>
      <c r="V62" s="427" t="str">
        <f t="shared" si="43"/>
        <v/>
      </c>
      <c r="W62" s="427" t="str">
        <f t="shared" si="43"/>
        <v/>
      </c>
      <c r="X62" s="427" t="str">
        <f t="shared" si="43"/>
        <v/>
      </c>
      <c r="Y62" s="427">
        <f t="shared" si="44"/>
        <v>-43</v>
      </c>
      <c r="Z62" s="427" t="str">
        <f t="shared" si="44"/>
        <v/>
      </c>
      <c r="AA62" s="427" t="str">
        <f t="shared" si="44"/>
        <v/>
      </c>
      <c r="AB62" s="427" t="str">
        <f t="shared" si="44"/>
        <v/>
      </c>
      <c r="AC62" s="427">
        <f t="shared" si="44"/>
        <v>-48</v>
      </c>
      <c r="AD62" s="427" t="str">
        <f t="shared" si="44"/>
        <v/>
      </c>
      <c r="AE62" s="427" t="str">
        <f t="shared" si="44"/>
        <v/>
      </c>
      <c r="AF62" s="427" t="str">
        <f t="shared" si="44"/>
        <v/>
      </c>
      <c r="AG62" s="427">
        <f t="shared" si="44"/>
        <v>-26</v>
      </c>
      <c r="AH62" s="427" t="str">
        <f t="shared" si="44"/>
        <v/>
      </c>
      <c r="AI62" s="427" t="str">
        <f t="shared" si="45"/>
        <v/>
      </c>
      <c r="AJ62" s="427" t="str">
        <f t="shared" si="45"/>
        <v/>
      </c>
      <c r="AK62" s="427">
        <f t="shared" si="45"/>
        <v>-34</v>
      </c>
      <c r="AL62" s="427" t="str">
        <f t="shared" si="45"/>
        <v/>
      </c>
      <c r="AM62" s="427" t="str">
        <f t="shared" si="45"/>
        <v/>
      </c>
      <c r="AN62" s="427" t="str">
        <f t="shared" si="45"/>
        <v/>
      </c>
      <c r="AO62" s="427">
        <f t="shared" si="45"/>
        <v>-51</v>
      </c>
      <c r="AP62" s="427" t="str">
        <f t="shared" si="45"/>
        <v/>
      </c>
      <c r="AQ62" s="427" t="str">
        <f t="shared" si="45"/>
        <v/>
      </c>
      <c r="AR62" s="427" t="str">
        <f t="shared" si="45"/>
        <v/>
      </c>
      <c r="AS62" s="427">
        <f t="shared" si="46"/>
        <v>-21</v>
      </c>
      <c r="AT62" s="427" t="str">
        <f t="shared" si="46"/>
        <v/>
      </c>
      <c r="AU62" s="427" t="str">
        <f t="shared" si="46"/>
        <v/>
      </c>
      <c r="AV62" s="427" t="str">
        <f t="shared" si="46"/>
        <v/>
      </c>
      <c r="AW62" s="427">
        <f t="shared" si="46"/>
        <v>-39</v>
      </c>
      <c r="AX62" s="427" t="str">
        <f t="shared" si="47"/>
        <v/>
      </c>
      <c r="AY62" s="427" t="str">
        <f t="shared" si="47"/>
        <v/>
      </c>
      <c r="AZ62" s="427" t="str">
        <f t="shared" si="47"/>
        <v/>
      </c>
      <c r="BA62" s="427">
        <f t="shared" si="48"/>
        <v>-20</v>
      </c>
      <c r="BB62" s="427" t="str">
        <f t="shared" si="49"/>
        <v/>
      </c>
      <c r="BC62" s="427" t="str">
        <f t="shared" si="49"/>
        <v/>
      </c>
      <c r="BD62" s="427" t="str">
        <f t="shared" si="49"/>
        <v/>
      </c>
      <c r="BE62" s="427">
        <f t="shared" si="50"/>
        <v>-3</v>
      </c>
      <c r="BF62" s="427" t="str">
        <f t="shared" si="51"/>
        <v/>
      </c>
      <c r="BG62" s="427" t="str">
        <f t="shared" si="51"/>
        <v/>
      </c>
      <c r="BH62" s="427" t="str">
        <f t="shared" si="51"/>
        <v/>
      </c>
      <c r="BI62" s="427">
        <f t="shared" si="52"/>
        <v>-15</v>
      </c>
      <c r="BJ62" s="427" t="str">
        <f t="shared" si="53"/>
        <v/>
      </c>
      <c r="BK62" s="427" t="str">
        <f t="shared" si="53"/>
        <v/>
      </c>
      <c r="BL62" s="427" t="str">
        <f t="shared" si="53"/>
        <v/>
      </c>
      <c r="BM62" s="427">
        <f t="shared" si="54"/>
        <v>-19</v>
      </c>
    </row>
    <row r="63" spans="1:65" s="200" customFormat="1" outlineLevel="1" x14ac:dyDescent="0.2">
      <c r="A63" s="198" t="s">
        <v>417</v>
      </c>
      <c r="B63" s="199"/>
      <c r="C63" s="199"/>
      <c r="D63" s="199"/>
      <c r="E63" s="199">
        <f t="shared" ref="E63:AS63" si="55">IF( LEN( E61 ) = 0, "", ABS( E61 ) + ABS( E62 ) )</f>
        <v>207</v>
      </c>
      <c r="F63" s="199" t="str">
        <f t="shared" si="55"/>
        <v/>
      </c>
      <c r="G63" s="199" t="str">
        <f t="shared" si="55"/>
        <v/>
      </c>
      <c r="H63" s="199" t="str">
        <f t="shared" si="55"/>
        <v/>
      </c>
      <c r="I63" s="199">
        <f t="shared" si="55"/>
        <v>300</v>
      </c>
      <c r="J63" s="199" t="str">
        <f t="shared" si="55"/>
        <v/>
      </c>
      <c r="K63" s="199" t="str">
        <f t="shared" si="55"/>
        <v/>
      </c>
      <c r="L63" s="199" t="str">
        <f t="shared" si="55"/>
        <v/>
      </c>
      <c r="M63" s="199">
        <f t="shared" si="55"/>
        <v>253</v>
      </c>
      <c r="N63" s="199" t="str">
        <f t="shared" si="55"/>
        <v/>
      </c>
      <c r="O63" s="199" t="str">
        <f t="shared" si="55"/>
        <v/>
      </c>
      <c r="P63" s="199" t="str">
        <f t="shared" si="55"/>
        <v/>
      </c>
      <c r="Q63" s="199">
        <f t="shared" si="55"/>
        <v>110</v>
      </c>
      <c r="R63" s="199" t="str">
        <f t="shared" si="55"/>
        <v/>
      </c>
      <c r="S63" s="199" t="str">
        <f t="shared" si="55"/>
        <v/>
      </c>
      <c r="T63" s="199" t="str">
        <f t="shared" si="55"/>
        <v/>
      </c>
      <c r="U63" s="199">
        <f t="shared" si="55"/>
        <v>121</v>
      </c>
      <c r="V63" s="199" t="str">
        <f t="shared" si="55"/>
        <v/>
      </c>
      <c r="W63" s="199" t="str">
        <f t="shared" si="55"/>
        <v/>
      </c>
      <c r="X63" s="199" t="str">
        <f t="shared" si="55"/>
        <v/>
      </c>
      <c r="Y63" s="199">
        <f t="shared" si="55"/>
        <v>110</v>
      </c>
      <c r="Z63" s="199" t="str">
        <f t="shared" si="55"/>
        <v/>
      </c>
      <c r="AA63" s="199" t="str">
        <f t="shared" si="55"/>
        <v/>
      </c>
      <c r="AB63" s="199" t="str">
        <f t="shared" si="55"/>
        <v/>
      </c>
      <c r="AC63" s="199">
        <f t="shared" si="55"/>
        <v>121</v>
      </c>
      <c r="AD63" s="199" t="str">
        <f t="shared" si="55"/>
        <v/>
      </c>
      <c r="AE63" s="199" t="str">
        <f t="shared" si="55"/>
        <v/>
      </c>
      <c r="AF63" s="199" t="str">
        <f t="shared" si="55"/>
        <v/>
      </c>
      <c r="AG63" s="199">
        <f t="shared" si="55"/>
        <v>50</v>
      </c>
      <c r="AH63" s="199" t="str">
        <f t="shared" si="55"/>
        <v/>
      </c>
      <c r="AI63" s="199" t="str">
        <f t="shared" si="55"/>
        <v/>
      </c>
      <c r="AJ63" s="199" t="str">
        <f t="shared" si="55"/>
        <v/>
      </c>
      <c r="AK63" s="199">
        <f t="shared" si="55"/>
        <v>57</v>
      </c>
      <c r="AL63" s="199" t="str">
        <f t="shared" si="55"/>
        <v/>
      </c>
      <c r="AM63" s="199" t="str">
        <f t="shared" si="55"/>
        <v/>
      </c>
      <c r="AN63" s="199" t="str">
        <f t="shared" si="55"/>
        <v/>
      </c>
      <c r="AO63" s="199">
        <f t="shared" si="55"/>
        <v>80</v>
      </c>
      <c r="AP63" s="199" t="str">
        <f t="shared" si="55"/>
        <v/>
      </c>
      <c r="AQ63" s="199" t="str">
        <f t="shared" si="55"/>
        <v/>
      </c>
      <c r="AR63" s="199" t="str">
        <f t="shared" si="55"/>
        <v/>
      </c>
      <c r="AS63" s="199">
        <f t="shared" si="55"/>
        <v>60</v>
      </c>
      <c r="AT63" s="199" t="str">
        <f t="shared" ref="AT63:BM63" si="56">IF( LEN( AT61 ) = 0, "", ABS( AT61 ) + ABS( AT62 ) )</f>
        <v/>
      </c>
      <c r="AU63" s="199" t="str">
        <f t="shared" si="56"/>
        <v/>
      </c>
      <c r="AV63" s="199" t="str">
        <f t="shared" si="56"/>
        <v/>
      </c>
      <c r="AW63" s="199">
        <f t="shared" si="56"/>
        <v>76</v>
      </c>
      <c r="AX63" s="199" t="str">
        <f t="shared" ref="AX63:BI63" si="57">IF( LEN( AX61 ) = 0, "", ABS( AX61 ) + ABS( AX62 ) )</f>
        <v/>
      </c>
      <c r="AY63" s="199" t="str">
        <f t="shared" si="57"/>
        <v/>
      </c>
      <c r="AZ63" s="199" t="str">
        <f t="shared" si="57"/>
        <v/>
      </c>
      <c r="BA63" s="199">
        <f t="shared" si="57"/>
        <v>80</v>
      </c>
      <c r="BB63" s="199" t="str">
        <f t="shared" si="57"/>
        <v/>
      </c>
      <c r="BC63" s="199" t="str">
        <f t="shared" si="57"/>
        <v/>
      </c>
      <c r="BD63" s="199" t="str">
        <f t="shared" si="57"/>
        <v/>
      </c>
      <c r="BE63" s="199">
        <f t="shared" si="57"/>
        <v>106</v>
      </c>
      <c r="BF63" s="199" t="str">
        <f t="shared" si="57"/>
        <v/>
      </c>
      <c r="BG63" s="199" t="str">
        <f t="shared" si="57"/>
        <v/>
      </c>
      <c r="BH63" s="199" t="str">
        <f t="shared" si="57"/>
        <v/>
      </c>
      <c r="BI63" s="199">
        <f t="shared" si="57"/>
        <v>50</v>
      </c>
      <c r="BJ63" s="199" t="str">
        <f t="shared" si="56"/>
        <v/>
      </c>
      <c r="BK63" s="199" t="str">
        <f t="shared" si="56"/>
        <v/>
      </c>
      <c r="BL63" s="199" t="str">
        <f t="shared" si="56"/>
        <v/>
      </c>
      <c r="BM63" s="199">
        <f t="shared" si="56"/>
        <v>69</v>
      </c>
    </row>
    <row r="64" spans="1:65" s="174" customFormat="1" x14ac:dyDescent="0.2">
      <c r="B64" s="176"/>
      <c r="C64" s="176"/>
      <c r="D64" s="179"/>
      <c r="E64" s="179"/>
      <c r="F64" s="179"/>
      <c r="G64" s="178"/>
      <c r="H64" s="178"/>
      <c r="I64" s="178"/>
    </row>
  </sheetData>
  <phoneticPr fontId="3" type="noConversion"/>
  <pageMargins left="0.2" right="0.2" top="0.35" bottom="0.33" header="0.5" footer="0.5"/>
  <pageSetup scale="65" orientation="landscape" r:id="rId1"/>
  <headerFooter alignWithMargins="0"/>
  <ignoredErrors>
    <ignoredError sqref="E42:AR47 AS42:AW47" formulaRange="1"/>
    <ignoredError sqref="AP51:AW51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tabColor rgb="FF92D050"/>
  </sheetPr>
  <dimension ref="C1:R19"/>
  <sheetViews>
    <sheetView showGridLines="0" zoomScale="85" zoomScaleNormal="85" workbookViewId="0"/>
  </sheetViews>
  <sheetFormatPr defaultColWidth="9.140625" defaultRowHeight="12.75" x14ac:dyDescent="0.2"/>
  <cols>
    <col min="1" max="2" width="2.7109375" style="1" customWidth="1"/>
    <col min="3" max="3" width="25.140625" style="1" customWidth="1"/>
    <col min="4" max="8" width="9.140625" style="1"/>
    <col min="9" max="10" width="8.42578125" style="1" customWidth="1"/>
    <col min="11" max="16384" width="9.140625" style="1"/>
  </cols>
  <sheetData>
    <row r="1" spans="3:18" ht="18" x14ac:dyDescent="0.25">
      <c r="C1" s="18" t="s">
        <v>272</v>
      </c>
      <c r="D1" s="4"/>
      <c r="E1" s="4"/>
      <c r="F1" s="4"/>
      <c r="G1" s="4"/>
    </row>
    <row r="2" spans="3:18" ht="18" x14ac:dyDescent="0.25">
      <c r="C2" s="18"/>
      <c r="D2" s="4"/>
      <c r="E2" s="4"/>
      <c r="F2" s="4"/>
      <c r="G2" s="4"/>
    </row>
    <row r="3" spans="3:18" ht="18" x14ac:dyDescent="0.25">
      <c r="C3" s="18"/>
      <c r="D3" s="4"/>
      <c r="E3" s="4"/>
      <c r="F3" s="4"/>
      <c r="G3" s="4"/>
    </row>
    <row r="5" spans="3:18" x14ac:dyDescent="0.2">
      <c r="C5" s="455" t="s">
        <v>216</v>
      </c>
      <c r="D5" s="455"/>
      <c r="E5" s="455"/>
      <c r="F5" s="455"/>
      <c r="G5" s="456"/>
      <c r="H5" s="456"/>
      <c r="I5" s="456"/>
      <c r="J5" s="15"/>
    </row>
    <row r="6" spans="3:18" x14ac:dyDescent="0.2">
      <c r="C6" s="55"/>
      <c r="D6" s="55"/>
      <c r="E6" s="55"/>
      <c r="F6" s="55"/>
      <c r="G6" s="55"/>
      <c r="H6" s="55"/>
      <c r="I6" s="55"/>
    </row>
    <row r="7" spans="3:18" x14ac:dyDescent="0.2">
      <c r="C7" s="454" t="s">
        <v>217</v>
      </c>
      <c r="D7" s="454"/>
      <c r="E7" s="454"/>
      <c r="F7" s="454"/>
      <c r="G7" s="56"/>
      <c r="H7" s="56"/>
      <c r="I7" s="55"/>
    </row>
    <row r="8" spans="3:18" x14ac:dyDescent="0.2">
      <c r="C8" s="55"/>
      <c r="D8" s="55"/>
      <c r="E8" s="55"/>
      <c r="F8" s="55"/>
      <c r="G8" s="55"/>
      <c r="H8" s="55"/>
      <c r="I8" s="57"/>
    </row>
    <row r="9" spans="3:18" x14ac:dyDescent="0.2">
      <c r="C9" s="54" t="s">
        <v>218</v>
      </c>
      <c r="D9" s="61">
        <v>2002</v>
      </c>
      <c r="E9" s="61">
        <v>2003</v>
      </c>
      <c r="F9" s="61">
        <v>2004</v>
      </c>
      <c r="G9" s="61">
        <v>2005</v>
      </c>
      <c r="H9" s="61">
        <v>2006</v>
      </c>
      <c r="I9" s="62">
        <v>2007</v>
      </c>
      <c r="J9" s="61">
        <v>2008</v>
      </c>
      <c r="K9" s="61">
        <v>2009</v>
      </c>
      <c r="L9" s="61">
        <v>2010</v>
      </c>
      <c r="M9" s="61">
        <v>2011</v>
      </c>
      <c r="N9" s="61">
        <v>2012</v>
      </c>
      <c r="O9" s="61">
        <v>2013</v>
      </c>
      <c r="P9" s="61">
        <v>2014</v>
      </c>
      <c r="Q9" s="62">
        <v>2015</v>
      </c>
      <c r="R9" s="62">
        <v>2016</v>
      </c>
    </row>
    <row r="10" spans="3:18" x14ac:dyDescent="0.2">
      <c r="C10" s="55"/>
      <c r="D10" s="61"/>
      <c r="E10" s="61"/>
      <c r="F10" s="61"/>
      <c r="G10" s="55"/>
      <c r="H10" s="55"/>
      <c r="I10" s="57"/>
      <c r="J10" s="55"/>
      <c r="K10" s="55"/>
    </row>
    <row r="11" spans="3:18" x14ac:dyDescent="0.2">
      <c r="C11" s="420" t="s">
        <v>89</v>
      </c>
      <c r="D11" s="412">
        <v>57</v>
      </c>
      <c r="E11" s="412">
        <v>62</v>
      </c>
      <c r="F11" s="412">
        <v>34</v>
      </c>
      <c r="G11" s="412">
        <v>22</v>
      </c>
      <c r="H11" s="413">
        <v>31</v>
      </c>
      <c r="I11" s="413">
        <v>41</v>
      </c>
      <c r="J11" s="413">
        <v>17</v>
      </c>
      <c r="K11" s="413">
        <v>14</v>
      </c>
      <c r="L11" s="413">
        <v>24</v>
      </c>
      <c r="M11" s="413">
        <f>'II. Upgrades &amp; Downgrades'!AS50</f>
        <v>25</v>
      </c>
      <c r="N11" s="413">
        <f>'II. Upgrades &amp; Downgrades'!AW50</f>
        <v>26</v>
      </c>
      <c r="O11" s="413">
        <f>'II. Upgrades &amp; Downgrades'!BA50</f>
        <v>23</v>
      </c>
      <c r="P11" s="413">
        <f>'II. Upgrades &amp; Downgrades'!BE50</f>
        <v>14</v>
      </c>
      <c r="Q11" s="413">
        <f>'II. Upgrades &amp; Downgrades'!BI50</f>
        <v>11</v>
      </c>
      <c r="R11" s="413">
        <f>'II. Upgrades &amp; Downgrades'!BM50</f>
        <v>16</v>
      </c>
    </row>
    <row r="12" spans="3:18" x14ac:dyDescent="0.2">
      <c r="C12" s="419" t="s">
        <v>219</v>
      </c>
      <c r="D12" s="405">
        <v>118</v>
      </c>
      <c r="E12" s="405">
        <v>79</v>
      </c>
      <c r="F12" s="405">
        <v>42</v>
      </c>
      <c r="G12" s="405">
        <v>46</v>
      </c>
      <c r="H12" s="406">
        <v>39</v>
      </c>
      <c r="I12" s="406">
        <v>32</v>
      </c>
      <c r="J12" s="406">
        <v>6</v>
      </c>
      <c r="K12" s="406">
        <v>23</v>
      </c>
      <c r="L12" s="406">
        <v>20</v>
      </c>
      <c r="M12" s="406">
        <f>'II. Upgrades &amp; Downgrades'!AS51</f>
        <v>11</v>
      </c>
      <c r="N12" s="406">
        <f>'II. Upgrades &amp; Downgrades'!AW51</f>
        <v>20</v>
      </c>
      <c r="O12" s="406">
        <f>'II. Upgrades &amp; Downgrades'!BA51</f>
        <v>17</v>
      </c>
      <c r="P12" s="406">
        <f>'II. Upgrades &amp; Downgrades'!BE51</f>
        <v>85</v>
      </c>
      <c r="Q12" s="406">
        <f>'II. Upgrades &amp; Downgrades'!BI51</f>
        <v>12</v>
      </c>
      <c r="R12" s="406">
        <f>'II. Upgrades &amp; Downgrades'!BM51</f>
        <v>14</v>
      </c>
    </row>
    <row r="13" spans="3:18" x14ac:dyDescent="0.2">
      <c r="C13" s="421" t="s">
        <v>98</v>
      </c>
      <c r="D13" s="418">
        <v>125</v>
      </c>
      <c r="E13" s="418">
        <v>112</v>
      </c>
      <c r="F13" s="417">
        <v>34</v>
      </c>
      <c r="G13" s="417">
        <v>53</v>
      </c>
      <c r="H13" s="418">
        <v>40</v>
      </c>
      <c r="I13" s="418">
        <v>48</v>
      </c>
      <c r="J13" s="418">
        <v>27</v>
      </c>
      <c r="K13" s="418">
        <v>20</v>
      </c>
      <c r="L13" s="418">
        <v>36</v>
      </c>
      <c r="M13" s="418">
        <f>'II. Upgrades &amp; Downgrades'!AS52</f>
        <v>24</v>
      </c>
      <c r="N13" s="418">
        <f>'II. Upgrades &amp; Downgrades'!AW52</f>
        <v>30</v>
      </c>
      <c r="O13" s="418">
        <f>'II. Upgrades &amp; Downgrades'!BA52</f>
        <v>40</v>
      </c>
      <c r="P13" s="418">
        <f>'II. Upgrades &amp; Downgrades'!BE52</f>
        <v>7</v>
      </c>
      <c r="Q13" s="418">
        <f>'II. Upgrades &amp; Downgrades'!BI52</f>
        <v>27</v>
      </c>
      <c r="R13" s="418">
        <f>'II. Upgrades &amp; Downgrades'!BM52</f>
        <v>39</v>
      </c>
    </row>
    <row r="14" spans="3:18" s="175" customFormat="1" x14ac:dyDescent="0.2">
      <c r="C14" s="407" t="s">
        <v>220</v>
      </c>
      <c r="D14" s="408">
        <f t="shared" ref="D14:J14" si="0">SUM(D11:D13)</f>
        <v>300</v>
      </c>
      <c r="E14" s="408">
        <f t="shared" si="0"/>
        <v>253</v>
      </c>
      <c r="F14" s="407">
        <f t="shared" si="0"/>
        <v>110</v>
      </c>
      <c r="G14" s="407">
        <f t="shared" si="0"/>
        <v>121</v>
      </c>
      <c r="H14" s="407">
        <f t="shared" si="0"/>
        <v>110</v>
      </c>
      <c r="I14" s="408">
        <f t="shared" si="0"/>
        <v>121</v>
      </c>
      <c r="J14" s="408">
        <f t="shared" si="0"/>
        <v>50</v>
      </c>
      <c r="K14" s="408">
        <f t="shared" ref="K14:R14" si="1">SUM(K11:K13)</f>
        <v>57</v>
      </c>
      <c r="L14" s="408">
        <f t="shared" si="1"/>
        <v>80</v>
      </c>
      <c r="M14" s="408">
        <f t="shared" si="1"/>
        <v>60</v>
      </c>
      <c r="N14" s="408">
        <f t="shared" si="1"/>
        <v>76</v>
      </c>
      <c r="O14" s="408">
        <f t="shared" si="1"/>
        <v>80</v>
      </c>
      <c r="P14" s="408">
        <f t="shared" ref="P14:Q14" si="2">SUM(P11:P13)</f>
        <v>106</v>
      </c>
      <c r="Q14" s="408">
        <f t="shared" si="2"/>
        <v>50</v>
      </c>
      <c r="R14" s="408">
        <f t="shared" si="1"/>
        <v>69</v>
      </c>
    </row>
    <row r="15" spans="3:18" x14ac:dyDescent="0.2">
      <c r="C15" s="55"/>
      <c r="D15" s="55"/>
      <c r="E15" s="55"/>
      <c r="F15" s="55"/>
      <c r="G15" s="55"/>
      <c r="H15" s="55"/>
      <c r="I15" s="55"/>
    </row>
    <row r="16" spans="3:18" x14ac:dyDescent="0.2">
      <c r="C16" s="54" t="s">
        <v>549</v>
      </c>
      <c r="D16" s="55"/>
      <c r="E16" s="55"/>
      <c r="F16" s="55"/>
      <c r="G16" s="55"/>
      <c r="H16" s="55"/>
      <c r="I16" s="55"/>
    </row>
    <row r="17" spans="3:9" x14ac:dyDescent="0.2">
      <c r="C17" s="70"/>
      <c r="D17" s="55"/>
      <c r="E17" s="55"/>
      <c r="F17" s="55"/>
      <c r="G17" s="55"/>
      <c r="H17" s="55"/>
      <c r="I17" s="55"/>
    </row>
    <row r="18" spans="3:9" x14ac:dyDescent="0.2">
      <c r="C18" s="55"/>
      <c r="D18" s="55"/>
      <c r="E18" s="55"/>
      <c r="F18" s="55"/>
      <c r="G18" s="55"/>
      <c r="H18" s="55"/>
      <c r="I18" s="55"/>
    </row>
    <row r="19" spans="3:9" x14ac:dyDescent="0.2">
      <c r="C19" s="55"/>
      <c r="D19" s="55"/>
      <c r="E19" s="55"/>
      <c r="F19" s="55"/>
      <c r="G19" s="55"/>
      <c r="H19" s="55"/>
      <c r="I19" s="55"/>
    </row>
  </sheetData>
  <mergeCells count="2">
    <mergeCell ref="C7:F7"/>
    <mergeCell ref="C5:I5"/>
  </mergeCells>
  <phoneticPr fontId="3" type="noConversion"/>
  <pageMargins left="0.75" right="0.75" top="1" bottom="1" header="0.5" footer="0.5"/>
  <pageSetup orientation="portrait" horizontalDpi="1200" verticalDpi="12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tabColor rgb="FF92D050"/>
  </sheetPr>
  <dimension ref="C1:R43"/>
  <sheetViews>
    <sheetView showGridLines="0" tabSelected="1" zoomScale="85" zoomScaleNormal="85" workbookViewId="0">
      <selection activeCell="K54" sqref="K54"/>
    </sheetView>
  </sheetViews>
  <sheetFormatPr defaultColWidth="9.140625" defaultRowHeight="12" x14ac:dyDescent="0.2"/>
  <cols>
    <col min="1" max="2" width="4.28515625" style="60" customWidth="1"/>
    <col min="3" max="3" width="25.140625" style="60" customWidth="1"/>
    <col min="4" max="16384" width="9.140625" style="60"/>
  </cols>
  <sheetData>
    <row r="1" spans="3:18" ht="18" x14ac:dyDescent="0.25">
      <c r="C1" s="18" t="s">
        <v>273</v>
      </c>
    </row>
    <row r="4" spans="3:18" x14ac:dyDescent="0.2">
      <c r="C4" s="63"/>
      <c r="D4" s="64"/>
      <c r="E4" s="64"/>
      <c r="F4" s="64"/>
      <c r="G4" s="64"/>
    </row>
    <row r="5" spans="3:18" x14ac:dyDescent="0.2">
      <c r="C5" s="455" t="s">
        <v>244</v>
      </c>
      <c r="D5" s="455"/>
      <c r="E5" s="455"/>
      <c r="F5" s="455"/>
      <c r="G5" s="59"/>
      <c r="H5" s="59"/>
    </row>
    <row r="7" spans="3:18" x14ac:dyDescent="0.2">
      <c r="C7" s="454" t="s">
        <v>217</v>
      </c>
      <c r="D7" s="454"/>
      <c r="E7" s="454"/>
      <c r="F7" s="454"/>
      <c r="G7" s="58"/>
      <c r="H7" s="58"/>
    </row>
    <row r="8" spans="3:18" x14ac:dyDescent="0.2">
      <c r="I8" s="64"/>
    </row>
    <row r="9" spans="3:18" x14ac:dyDescent="0.2">
      <c r="C9" s="54"/>
      <c r="D9" s="61">
        <v>2002</v>
      </c>
      <c r="E9" s="61">
        <v>2003</v>
      </c>
      <c r="F9" s="61">
        <v>2004</v>
      </c>
      <c r="G9" s="61">
        <v>2005</v>
      </c>
      <c r="H9" s="61">
        <v>2006</v>
      </c>
      <c r="I9" s="62">
        <v>2007</v>
      </c>
      <c r="J9" s="62">
        <v>2008</v>
      </c>
      <c r="K9" s="62">
        <v>2009</v>
      </c>
      <c r="L9" s="62">
        <v>2010</v>
      </c>
      <c r="M9" s="62">
        <v>2011</v>
      </c>
      <c r="N9" s="62">
        <v>2012</v>
      </c>
      <c r="O9" s="62">
        <v>2013</v>
      </c>
      <c r="P9" s="62">
        <v>2014</v>
      </c>
      <c r="Q9" s="62">
        <v>2015</v>
      </c>
      <c r="R9" s="62">
        <v>2016</v>
      </c>
    </row>
    <row r="10" spans="3:18" x14ac:dyDescent="0.2">
      <c r="D10" s="62"/>
      <c r="E10" s="62"/>
      <c r="F10" s="61"/>
      <c r="H10" s="64"/>
      <c r="I10" s="64"/>
    </row>
    <row r="11" spans="3:18" x14ac:dyDescent="0.2">
      <c r="C11" s="409" t="s">
        <v>221</v>
      </c>
      <c r="D11" s="410">
        <v>21</v>
      </c>
      <c r="E11" s="410">
        <v>35</v>
      </c>
      <c r="F11" s="411">
        <v>51</v>
      </c>
      <c r="G11" s="412">
        <v>73</v>
      </c>
      <c r="H11" s="413">
        <v>67</v>
      </c>
      <c r="I11" s="413">
        <v>73</v>
      </c>
      <c r="J11" s="409">
        <v>24</v>
      </c>
      <c r="K11" s="409">
        <v>23</v>
      </c>
      <c r="L11" s="409">
        <f>'II. Upgrades &amp; Downgrades'!AO61</f>
        <v>29</v>
      </c>
      <c r="M11" s="409">
        <f>'II. Upgrades &amp; Downgrades'!AS61</f>
        <v>39</v>
      </c>
      <c r="N11" s="409">
        <f>'II. Upgrades &amp; Downgrades'!AW61</f>
        <v>37</v>
      </c>
      <c r="O11" s="409">
        <f>'II. Upgrades &amp; Downgrades'!BA61</f>
        <v>60</v>
      </c>
      <c r="P11" s="409">
        <f>'II. Upgrades &amp; Downgrades'!BE61</f>
        <v>103</v>
      </c>
      <c r="Q11" s="409">
        <f>'II. Upgrades &amp; Downgrades'!BI61</f>
        <v>35</v>
      </c>
      <c r="R11" s="409">
        <f>'II. Upgrades &amp; Downgrades'!BM61</f>
        <v>50</v>
      </c>
    </row>
    <row r="12" spans="3:18" x14ac:dyDescent="0.2">
      <c r="C12" s="414" t="s">
        <v>222</v>
      </c>
      <c r="D12" s="415">
        <v>279</v>
      </c>
      <c r="E12" s="415">
        <v>218</v>
      </c>
      <c r="F12" s="416">
        <v>59</v>
      </c>
      <c r="G12" s="417">
        <v>48</v>
      </c>
      <c r="H12" s="418">
        <v>43</v>
      </c>
      <c r="I12" s="418">
        <v>48</v>
      </c>
      <c r="J12" s="414">
        <v>26</v>
      </c>
      <c r="K12" s="414">
        <v>34</v>
      </c>
      <c r="L12" s="414">
        <f xml:space="preserve"> - 'II. Upgrades &amp; Downgrades'!AO62</f>
        <v>51</v>
      </c>
      <c r="M12" s="414">
        <f xml:space="preserve"> - 'II. Upgrades &amp; Downgrades'!AS62</f>
        <v>21</v>
      </c>
      <c r="N12" s="414">
        <f xml:space="preserve"> - 'II. Upgrades &amp; Downgrades'!AW62</f>
        <v>39</v>
      </c>
      <c r="O12" s="414">
        <f xml:space="preserve"> - 'II. Upgrades &amp; Downgrades'!BA62</f>
        <v>20</v>
      </c>
      <c r="P12" s="414">
        <f xml:space="preserve"> - 'II. Upgrades &amp; Downgrades'!BE62</f>
        <v>3</v>
      </c>
      <c r="Q12" s="414">
        <f xml:space="preserve"> - 'II. Upgrades &amp; Downgrades'!BI62</f>
        <v>15</v>
      </c>
      <c r="R12" s="414">
        <f xml:space="preserve"> - 'II. Upgrades &amp; Downgrades'!BM62</f>
        <v>19</v>
      </c>
    </row>
    <row r="13" spans="3:18" x14ac:dyDescent="0.2">
      <c r="C13" s="64" t="s">
        <v>223</v>
      </c>
      <c r="D13" s="68">
        <f t="shared" ref="D13:M13" si="0">D11 / D14</f>
        <v>7.0000000000000007E-2</v>
      </c>
      <c r="E13" s="68">
        <f t="shared" si="0"/>
        <v>0.13833992094861661</v>
      </c>
      <c r="F13" s="68">
        <f t="shared" si="0"/>
        <v>0.46363636363636362</v>
      </c>
      <c r="G13" s="68">
        <f t="shared" si="0"/>
        <v>0.60330578512396693</v>
      </c>
      <c r="H13" s="68">
        <f t="shared" si="0"/>
        <v>0.60909090909090913</v>
      </c>
      <c r="I13" s="68">
        <f t="shared" si="0"/>
        <v>0.60330578512396693</v>
      </c>
      <c r="J13" s="68">
        <f t="shared" si="0"/>
        <v>0.48</v>
      </c>
      <c r="K13" s="68">
        <f t="shared" si="0"/>
        <v>0.40350877192982454</v>
      </c>
      <c r="L13" s="68">
        <f t="shared" si="0"/>
        <v>0.36249999999999999</v>
      </c>
      <c r="M13" s="68">
        <f t="shared" si="0"/>
        <v>0.65</v>
      </c>
      <c r="N13" s="68">
        <f>N11 / N14</f>
        <v>0.48684210526315791</v>
      </c>
      <c r="O13" s="68">
        <f>O11 / O14</f>
        <v>0.75</v>
      </c>
      <c r="P13" s="68">
        <f>P11 / P14</f>
        <v>0.97169811320754718</v>
      </c>
      <c r="Q13" s="68">
        <f>Q11 / Q14</f>
        <v>0.7</v>
      </c>
      <c r="R13" s="68">
        <f>R11 / R14</f>
        <v>0.72463768115942029</v>
      </c>
    </row>
    <row r="14" spans="3:18" x14ac:dyDescent="0.2">
      <c r="C14" s="407" t="s">
        <v>218</v>
      </c>
      <c r="D14" s="408">
        <f t="shared" ref="D14:J14" si="1">SUM(D11:D12)</f>
        <v>300</v>
      </c>
      <c r="E14" s="408">
        <f t="shared" si="1"/>
        <v>253</v>
      </c>
      <c r="F14" s="407">
        <f t="shared" si="1"/>
        <v>110</v>
      </c>
      <c r="G14" s="407">
        <f t="shared" si="1"/>
        <v>121</v>
      </c>
      <c r="H14" s="407">
        <f t="shared" si="1"/>
        <v>110</v>
      </c>
      <c r="I14" s="408">
        <f t="shared" si="1"/>
        <v>121</v>
      </c>
      <c r="J14" s="408">
        <f t="shared" si="1"/>
        <v>50</v>
      </c>
      <c r="K14" s="408">
        <f t="shared" ref="K14:R14" si="2">SUM(K11:K12)</f>
        <v>57</v>
      </c>
      <c r="L14" s="408">
        <f t="shared" si="2"/>
        <v>80</v>
      </c>
      <c r="M14" s="408">
        <f t="shared" si="2"/>
        <v>60</v>
      </c>
      <c r="N14" s="408">
        <f t="shared" si="2"/>
        <v>76</v>
      </c>
      <c r="O14" s="408">
        <f t="shared" si="2"/>
        <v>80</v>
      </c>
      <c r="P14" s="408">
        <f t="shared" ref="P14:Q14" si="3">SUM(P11:P12)</f>
        <v>106</v>
      </c>
      <c r="Q14" s="408">
        <f t="shared" si="3"/>
        <v>50</v>
      </c>
      <c r="R14" s="408">
        <f t="shared" si="2"/>
        <v>69</v>
      </c>
    </row>
    <row r="15" spans="3:18" x14ac:dyDescent="0.2">
      <c r="C15" s="33"/>
      <c r="D15" s="63"/>
      <c r="E15" s="63"/>
      <c r="F15" s="54"/>
      <c r="G15" s="54"/>
      <c r="H15" s="54"/>
      <c r="I15" s="54"/>
    </row>
    <row r="16" spans="3:18" x14ac:dyDescent="0.2">
      <c r="C16" s="33" t="s">
        <v>419</v>
      </c>
      <c r="D16" s="209">
        <v>0.5</v>
      </c>
      <c r="E16" s="208">
        <f>D16</f>
        <v>0.5</v>
      </c>
      <c r="F16" s="208">
        <f t="shared" ref="F16:M16" si="4">E16</f>
        <v>0.5</v>
      </c>
      <c r="G16" s="208">
        <f t="shared" si="4"/>
        <v>0.5</v>
      </c>
      <c r="H16" s="208">
        <f t="shared" si="4"/>
        <v>0.5</v>
      </c>
      <c r="I16" s="208">
        <f t="shared" si="4"/>
        <v>0.5</v>
      </c>
      <c r="J16" s="208">
        <f t="shared" si="4"/>
        <v>0.5</v>
      </c>
      <c r="K16" s="208">
        <f t="shared" si="4"/>
        <v>0.5</v>
      </c>
      <c r="L16" s="208">
        <f t="shared" si="4"/>
        <v>0.5</v>
      </c>
      <c r="M16" s="208">
        <f t="shared" si="4"/>
        <v>0.5</v>
      </c>
      <c r="N16" s="208">
        <f>L16</f>
        <v>0.5</v>
      </c>
      <c r="O16" s="208">
        <f>M16</f>
        <v>0.5</v>
      </c>
      <c r="P16" s="208">
        <f>L16</f>
        <v>0.5</v>
      </c>
      <c r="Q16" s="208">
        <f>L16</f>
        <v>0.5</v>
      </c>
      <c r="R16" s="208">
        <f>M16</f>
        <v>0.5</v>
      </c>
    </row>
    <row r="17" spans="3:9" x14ac:dyDescent="0.2">
      <c r="C17" s="54"/>
      <c r="D17" s="54"/>
      <c r="E17" s="54"/>
      <c r="F17" s="54"/>
      <c r="G17" s="54"/>
      <c r="H17" s="54"/>
      <c r="I17" s="54"/>
    </row>
    <row r="18" spans="3:9" x14ac:dyDescent="0.2">
      <c r="C18" s="54"/>
      <c r="D18" s="54"/>
      <c r="E18" s="54"/>
      <c r="F18" s="54"/>
      <c r="G18" s="54"/>
      <c r="H18" s="54"/>
      <c r="I18" s="54"/>
    </row>
    <row r="42" spans="4:4" x14ac:dyDescent="0.2">
      <c r="D42" s="54" t="s">
        <v>132</v>
      </c>
    </row>
    <row r="43" spans="4:4" x14ac:dyDescent="0.2">
      <c r="D43" s="55"/>
    </row>
  </sheetData>
  <mergeCells count="2">
    <mergeCell ref="C5:F5"/>
    <mergeCell ref="C7:F7"/>
  </mergeCells>
  <phoneticPr fontId="3" type="noConversion"/>
  <printOptions gridLines="1"/>
  <pageMargins left="0.75" right="0.75" top="0.6" bottom="1" header="0.5" footer="0.5"/>
  <pageSetup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>
    <tabColor rgb="FF92D050"/>
  </sheetPr>
  <dimension ref="C1:BJ40"/>
  <sheetViews>
    <sheetView showGridLines="0" zoomScale="85" zoomScaleNormal="85" workbookViewId="0"/>
  </sheetViews>
  <sheetFormatPr defaultColWidth="9.140625" defaultRowHeight="12.75" outlineLevelCol="2" x14ac:dyDescent="0.2"/>
  <cols>
    <col min="1" max="2" width="2.85546875" style="258" customWidth="1"/>
    <col min="3" max="3" width="2.7109375" style="258" customWidth="1"/>
    <col min="4" max="4" width="24.7109375" style="258" customWidth="1"/>
    <col min="5" max="5" width="6.7109375" style="258" hidden="1" customWidth="1" outlineLevel="1"/>
    <col min="6" max="6" width="5.85546875" style="258" hidden="1" customWidth="1" outlineLevel="1"/>
    <col min="7" max="7" width="4.5703125" style="258" hidden="1" customWidth="1" outlineLevel="1"/>
    <col min="8" max="8" width="6.7109375" style="258" hidden="1" customWidth="1" outlineLevel="1"/>
    <col min="9" max="9" width="5.85546875" style="258" hidden="1" customWidth="1" outlineLevel="1"/>
    <col min="10" max="10" width="4.5703125" style="258" hidden="1" customWidth="1" outlineLevel="1"/>
    <col min="11" max="11" width="6.7109375" style="258" hidden="1" customWidth="1" outlineLevel="1"/>
    <col min="12" max="12" width="5.85546875" style="258" hidden="1" customWidth="1" outlineLevel="1"/>
    <col min="13" max="13" width="4.5703125" style="258" hidden="1" customWidth="1" outlineLevel="1"/>
    <col min="14" max="14" width="6.7109375" style="258" customWidth="1" collapsed="1"/>
    <col min="15" max="15" width="5.85546875" style="258" customWidth="1"/>
    <col min="16" max="16" width="4.5703125" style="258" customWidth="1"/>
    <col min="17" max="17" width="6.7109375" style="258" customWidth="1"/>
    <col min="18" max="18" width="5.85546875" style="258" customWidth="1"/>
    <col min="19" max="19" width="4.5703125" style="258" customWidth="1"/>
    <col min="20" max="20" width="6.7109375" style="258" customWidth="1"/>
    <col min="21" max="21" width="5.85546875" style="258" customWidth="1"/>
    <col min="22" max="22" width="4.5703125" style="258" customWidth="1"/>
    <col min="23" max="23" width="6.7109375" style="258" customWidth="1"/>
    <col min="24" max="24" width="5.85546875" style="258" customWidth="1"/>
    <col min="25" max="25" width="4.5703125" style="258" customWidth="1"/>
    <col min="26" max="26" width="6.7109375" style="258" customWidth="1"/>
    <col min="27" max="27" width="5.85546875" style="258" customWidth="1"/>
    <col min="28" max="28" width="4.5703125" style="258" customWidth="1"/>
    <col min="29" max="29" width="6.7109375" style="258" customWidth="1"/>
    <col min="30" max="30" width="5.85546875" style="258" customWidth="1"/>
    <col min="31" max="31" width="4.5703125" style="258" customWidth="1"/>
    <col min="32" max="32" width="6.7109375" style="258" customWidth="1"/>
    <col min="33" max="33" width="5.85546875" style="258" customWidth="1"/>
    <col min="34" max="34" width="4.5703125" style="258" customWidth="1"/>
    <col min="35" max="35" width="6.7109375" style="258" customWidth="1"/>
    <col min="36" max="36" width="5.85546875" style="258" customWidth="1"/>
    <col min="37" max="37" width="4.5703125" style="258" customWidth="1"/>
    <col min="38" max="38" width="6.7109375" style="258" customWidth="1"/>
    <col min="39" max="39" width="5.85546875" style="258" customWidth="1"/>
    <col min="40" max="40" width="4.5703125" style="258" customWidth="1"/>
    <col min="41" max="41" width="6.7109375" style="258" customWidth="1"/>
    <col min="42" max="42" width="5.85546875" style="258" customWidth="1"/>
    <col min="43" max="43" width="4.5703125" style="258" customWidth="1"/>
    <col min="44" max="44" width="6.7109375" style="258" customWidth="1"/>
    <col min="45" max="45" width="5.85546875" style="258" customWidth="1"/>
    <col min="46" max="46" width="4.5703125" style="258" customWidth="1"/>
    <col min="47" max="47" width="6.7109375" style="258" customWidth="1"/>
    <col min="48" max="48" width="5.85546875" style="258" customWidth="1"/>
    <col min="49" max="49" width="4.5703125" style="258" customWidth="1"/>
    <col min="50" max="50" width="3.5703125" style="258" hidden="1" customWidth="1" outlineLevel="1"/>
    <col min="51" max="51" width="3.85546875" style="258" hidden="1" customWidth="1" outlineLevel="1"/>
    <col min="52" max="52" width="6.42578125" style="255" hidden="1" customWidth="1" outlineLevel="1"/>
    <col min="53" max="53" width="16.7109375" style="258" hidden="1" customWidth="1" outlineLevel="2"/>
    <col min="54" max="54" width="6.5703125" style="258" hidden="1" customWidth="1" outlineLevel="2"/>
    <col min="55" max="55" width="16.7109375" style="258" hidden="1" customWidth="1" outlineLevel="2"/>
    <col min="56" max="56" width="6.5703125" style="258" hidden="1" customWidth="1" outlineLevel="2"/>
    <col min="57" max="57" width="16.7109375" style="258" hidden="1" customWidth="1" outlineLevel="2"/>
    <col min="58" max="58" width="6.5703125" style="258" hidden="1" customWidth="1" outlineLevel="2"/>
    <col min="59" max="59" width="16.7109375" style="258" hidden="1" customWidth="1" outlineLevel="2"/>
    <col min="60" max="60" width="6.5703125" style="258" hidden="1" customWidth="1" outlineLevel="1" collapsed="1"/>
    <col min="61" max="61" width="16.7109375" style="258" hidden="1" customWidth="1" outlineLevel="1"/>
    <col min="62" max="62" width="9.140625" style="258" collapsed="1"/>
    <col min="63" max="16384" width="9.140625" style="258"/>
  </cols>
  <sheetData>
    <row r="1" spans="3:61" ht="18.75" x14ac:dyDescent="0.2">
      <c r="C1" s="233"/>
      <c r="D1" s="233" t="s">
        <v>340</v>
      </c>
    </row>
    <row r="4" spans="3:61" x14ac:dyDescent="0.2">
      <c r="C4" s="340"/>
      <c r="D4" s="340"/>
      <c r="E4" s="341"/>
      <c r="F4" s="341"/>
      <c r="G4" s="341"/>
      <c r="H4" s="341"/>
      <c r="I4" s="341"/>
      <c r="J4" s="341"/>
      <c r="K4" s="341"/>
    </row>
    <row r="5" spans="3:61" ht="20.100000000000001" customHeight="1" x14ac:dyDescent="0.2">
      <c r="C5" s="461" t="s">
        <v>142</v>
      </c>
      <c r="D5" s="462"/>
      <c r="E5" s="462"/>
      <c r="F5" s="462"/>
      <c r="G5" s="462"/>
      <c r="H5" s="462"/>
      <c r="I5" s="462"/>
      <c r="J5" s="462"/>
      <c r="K5" s="462"/>
      <c r="L5" s="462"/>
      <c r="M5" s="462"/>
      <c r="N5" s="462"/>
      <c r="O5" s="462"/>
      <c r="P5" s="462"/>
      <c r="Q5" s="462"/>
      <c r="R5" s="462"/>
      <c r="S5" s="342"/>
      <c r="T5" s="342"/>
      <c r="U5" s="342"/>
      <c r="V5" s="342"/>
      <c r="W5" s="343"/>
      <c r="X5" s="343"/>
      <c r="Y5" s="342"/>
      <c r="Z5" s="343"/>
      <c r="AA5" s="343"/>
      <c r="AB5" s="343"/>
      <c r="AC5" s="343"/>
      <c r="AD5" s="343"/>
      <c r="AE5" s="343"/>
      <c r="AF5" s="343"/>
      <c r="AG5" s="343"/>
      <c r="AH5" s="343"/>
      <c r="AI5" s="343"/>
      <c r="AJ5" s="343"/>
      <c r="AK5" s="343"/>
      <c r="AL5" s="343"/>
      <c r="AM5" s="343"/>
      <c r="AN5" s="343"/>
      <c r="AO5" s="343"/>
      <c r="AP5" s="343"/>
      <c r="AQ5" s="343"/>
      <c r="AR5" s="343"/>
      <c r="AS5" s="343"/>
      <c r="AT5" s="343"/>
      <c r="AU5" s="344"/>
      <c r="AV5" s="344"/>
      <c r="BA5" s="347" t="s">
        <v>488</v>
      </c>
      <c r="BB5" s="347"/>
      <c r="BC5" s="347" t="s">
        <v>495</v>
      </c>
      <c r="BD5" s="347"/>
      <c r="BE5" s="347" t="s">
        <v>510</v>
      </c>
      <c r="BF5" s="347"/>
      <c r="BG5" s="347" t="s">
        <v>529</v>
      </c>
      <c r="BH5" s="347"/>
      <c r="BI5" s="347" t="s">
        <v>546</v>
      </c>
    </row>
    <row r="6" spans="3:61" x14ac:dyDescent="0.2">
      <c r="AU6" s="345"/>
      <c r="AV6" s="345"/>
    </row>
    <row r="7" spans="3:61" s="279" customFormat="1" x14ac:dyDescent="0.2">
      <c r="E7" s="457">
        <v>37621</v>
      </c>
      <c r="F7" s="458"/>
      <c r="G7" s="404"/>
      <c r="H7" s="457">
        <v>37986</v>
      </c>
      <c r="I7" s="458"/>
      <c r="J7" s="365"/>
      <c r="K7" s="457">
        <v>38352</v>
      </c>
      <c r="L7" s="458"/>
      <c r="M7" s="404"/>
      <c r="N7" s="457">
        <v>38717</v>
      </c>
      <c r="O7" s="458"/>
      <c r="P7" s="260"/>
      <c r="Q7" s="457">
        <v>39082</v>
      </c>
      <c r="R7" s="458"/>
      <c r="S7" s="260"/>
      <c r="T7" s="457" t="s">
        <v>350</v>
      </c>
      <c r="U7" s="458"/>
      <c r="V7" s="260"/>
      <c r="W7" s="457" t="s">
        <v>345</v>
      </c>
      <c r="X7" s="458"/>
      <c r="Y7" s="260"/>
      <c r="Z7" s="457">
        <v>40178</v>
      </c>
      <c r="AA7" s="458"/>
      <c r="AB7" s="260"/>
      <c r="AC7" s="457">
        <v>40543</v>
      </c>
      <c r="AD7" s="458"/>
      <c r="AE7" s="260"/>
      <c r="AF7" s="457">
        <v>40908</v>
      </c>
      <c r="AG7" s="458"/>
      <c r="AH7" s="260"/>
      <c r="AI7" s="457">
        <v>41274</v>
      </c>
      <c r="AJ7" s="458"/>
      <c r="AK7" s="260"/>
      <c r="AL7" s="457" t="str">
        <f ca="1">INDIRECT( BC7 )</f>
        <v>2013 Q4</v>
      </c>
      <c r="AM7" s="458"/>
      <c r="AN7" s="433"/>
      <c r="AO7" s="457" t="str">
        <f ca="1">INDIRECT( BE7 )</f>
        <v>2014 Q4</v>
      </c>
      <c r="AP7" s="458"/>
      <c r="AQ7" s="446"/>
      <c r="AR7" s="457" t="str">
        <f ca="1">INDIRECT( BG7 )</f>
        <v>2015 Q4</v>
      </c>
      <c r="AS7" s="458"/>
      <c r="AT7" s="437"/>
      <c r="AU7" s="459" t="str">
        <f ca="1">INDIRECT( BI7 )</f>
        <v>2016 Q4</v>
      </c>
      <c r="AV7" s="460"/>
      <c r="AZ7" s="353" t="s">
        <v>492</v>
      </c>
      <c r="BA7" s="258" t="str">
        <f>BA$5 &amp; "!" &amp;$AZ7</f>
        <v>'Credit_2012Q4'!b6</v>
      </c>
      <c r="BC7" s="258" t="str">
        <f>BC$5 &amp; "!" &amp;$AZ7</f>
        <v>'Credit_2013Q4'!b6</v>
      </c>
      <c r="BE7" s="258" t="str">
        <f>BE$5 &amp; "!" &amp;$AZ7</f>
        <v>'Credit_2014Q4'!b6</v>
      </c>
      <c r="BG7" s="258" t="str">
        <f>BG$5 &amp; "!" &amp;$AZ7</f>
        <v>'Credit_2015Q4'!b6</v>
      </c>
      <c r="BI7" s="258" t="str">
        <f>BI$5 &amp; "!" &amp;$AZ7</f>
        <v>'Credit_2016Q4'!b6</v>
      </c>
    </row>
    <row r="8" spans="3:61" s="279" customFormat="1" x14ac:dyDescent="0.2">
      <c r="E8" s="255" t="s">
        <v>81</v>
      </c>
      <c r="F8" s="367" t="s">
        <v>82</v>
      </c>
      <c r="G8" s="255"/>
      <c r="H8" s="255" t="s">
        <v>81</v>
      </c>
      <c r="I8" s="367" t="s">
        <v>82</v>
      </c>
      <c r="J8" s="255"/>
      <c r="K8" s="255" t="s">
        <v>81</v>
      </c>
      <c r="L8" s="367" t="s">
        <v>82</v>
      </c>
      <c r="M8" s="255"/>
      <c r="N8" s="255" t="s">
        <v>81</v>
      </c>
      <c r="O8" s="367" t="s">
        <v>82</v>
      </c>
      <c r="P8" s="367"/>
      <c r="Q8" s="255" t="s">
        <v>81</v>
      </c>
      <c r="R8" s="255" t="s">
        <v>82</v>
      </c>
      <c r="S8" s="367"/>
      <c r="T8" s="255" t="s">
        <v>81</v>
      </c>
      <c r="U8" s="255" t="s">
        <v>82</v>
      </c>
      <c r="V8" s="367"/>
      <c r="W8" s="378" t="s">
        <v>81</v>
      </c>
      <c r="X8" s="346" t="s">
        <v>82</v>
      </c>
      <c r="Y8" s="367"/>
      <c r="Z8" s="378" t="s">
        <v>81</v>
      </c>
      <c r="AA8" s="346" t="s">
        <v>82</v>
      </c>
      <c r="AB8" s="367"/>
      <c r="AC8" s="378" t="s">
        <v>81</v>
      </c>
      <c r="AD8" s="346" t="s">
        <v>82</v>
      </c>
      <c r="AE8" s="367"/>
      <c r="AF8" s="378" t="s">
        <v>81</v>
      </c>
      <c r="AG8" s="346" t="s">
        <v>82</v>
      </c>
      <c r="AH8" s="367"/>
      <c r="AI8" s="378" t="s">
        <v>81</v>
      </c>
      <c r="AJ8" s="346" t="s">
        <v>82</v>
      </c>
      <c r="AK8" s="367"/>
      <c r="AL8" s="378" t="s">
        <v>81</v>
      </c>
      <c r="AM8" s="346" t="s">
        <v>82</v>
      </c>
      <c r="AN8" s="367"/>
      <c r="AO8" s="378" t="s">
        <v>81</v>
      </c>
      <c r="AP8" s="346" t="s">
        <v>82</v>
      </c>
      <c r="AQ8" s="367"/>
      <c r="AR8" s="378" t="s">
        <v>81</v>
      </c>
      <c r="AS8" s="346" t="s">
        <v>82</v>
      </c>
      <c r="AT8" s="367"/>
      <c r="AU8" s="379" t="s">
        <v>81</v>
      </c>
      <c r="AV8" s="380" t="s">
        <v>82</v>
      </c>
      <c r="AZ8" s="346"/>
    </row>
    <row r="9" spans="3:61" s="279" customFormat="1" x14ac:dyDescent="0.2">
      <c r="E9" s="255"/>
      <c r="F9" s="367"/>
      <c r="G9" s="255"/>
      <c r="H9" s="255"/>
      <c r="I9" s="367"/>
      <c r="J9" s="255"/>
      <c r="K9" s="255"/>
      <c r="L9" s="367"/>
      <c r="M9" s="255"/>
      <c r="N9" s="255"/>
      <c r="O9" s="367"/>
      <c r="P9" s="367"/>
      <c r="Q9" s="255"/>
      <c r="R9" s="255"/>
      <c r="S9" s="367"/>
      <c r="T9" s="255"/>
      <c r="U9" s="255"/>
      <c r="V9" s="367"/>
      <c r="W9" s="378"/>
      <c r="X9" s="346"/>
      <c r="Y9" s="367"/>
      <c r="Z9" s="378"/>
      <c r="AA9" s="346"/>
      <c r="AB9" s="367"/>
      <c r="AC9" s="378"/>
      <c r="AD9" s="346"/>
      <c r="AE9" s="367"/>
      <c r="AF9" s="378"/>
      <c r="AG9" s="346"/>
      <c r="AH9" s="367"/>
      <c r="AI9" s="378"/>
      <c r="AJ9" s="346"/>
      <c r="AK9" s="367"/>
      <c r="AL9" s="378"/>
      <c r="AM9" s="346"/>
      <c r="AN9" s="367"/>
      <c r="AO9" s="378"/>
      <c r="AP9" s="346"/>
      <c r="AQ9" s="367"/>
      <c r="AR9" s="378"/>
      <c r="AS9" s="346"/>
      <c r="AT9" s="367"/>
      <c r="AU9" s="379"/>
      <c r="AV9" s="380"/>
      <c r="AZ9" s="346"/>
      <c r="BA9" s="347"/>
      <c r="BB9" s="347"/>
      <c r="BC9" s="347"/>
      <c r="BD9" s="347"/>
      <c r="BE9" s="347"/>
      <c r="BF9" s="347"/>
      <c r="BG9" s="347"/>
      <c r="BH9" s="347"/>
      <c r="BI9" s="347"/>
    </row>
    <row r="10" spans="3:61" x14ac:dyDescent="0.2">
      <c r="C10" s="348"/>
      <c r="D10" s="348" t="s">
        <v>137</v>
      </c>
      <c r="E10" s="381"/>
      <c r="F10" s="368"/>
      <c r="G10" s="349"/>
      <c r="H10" s="381"/>
      <c r="I10" s="368"/>
      <c r="J10" s="349"/>
      <c r="K10" s="381"/>
      <c r="L10" s="368"/>
      <c r="M10" s="349"/>
      <c r="N10" s="381"/>
      <c r="O10" s="368"/>
      <c r="P10" s="368"/>
      <c r="Q10" s="382"/>
      <c r="R10" s="381"/>
      <c r="S10" s="368"/>
      <c r="T10" s="382"/>
      <c r="U10" s="381"/>
      <c r="V10" s="368"/>
      <c r="W10" s="383"/>
      <c r="X10" s="383"/>
      <c r="Y10" s="368"/>
      <c r="Z10" s="383"/>
      <c r="AA10" s="383"/>
      <c r="AB10" s="368"/>
      <c r="AC10" s="383"/>
      <c r="AD10" s="383"/>
      <c r="AE10" s="368"/>
      <c r="AF10" s="383"/>
      <c r="AG10" s="383"/>
      <c r="AH10" s="368"/>
      <c r="AI10" s="383"/>
      <c r="AJ10" s="383"/>
      <c r="AK10" s="368"/>
      <c r="AL10" s="383"/>
      <c r="AM10" s="383"/>
      <c r="AN10" s="368"/>
      <c r="AO10" s="383"/>
      <c r="AP10" s="383"/>
      <c r="AQ10" s="368"/>
      <c r="AR10" s="383"/>
      <c r="AS10" s="383"/>
      <c r="AT10" s="368"/>
      <c r="AU10" s="384"/>
      <c r="AV10" s="384"/>
    </row>
    <row r="11" spans="3:61" x14ac:dyDescent="0.2">
      <c r="C11" s="350"/>
      <c r="D11" s="350" t="s">
        <v>138</v>
      </c>
      <c r="E11" s="385">
        <v>6</v>
      </c>
      <c r="F11" s="369">
        <f t="shared" ref="F11:F16" si="0">E11/$E$17</f>
        <v>0.1875</v>
      </c>
      <c r="G11" s="351"/>
      <c r="H11" s="385">
        <v>6</v>
      </c>
      <c r="I11" s="369">
        <f t="shared" ref="I11:I16" si="1">H11/$H$17</f>
        <v>0.16666666666666666</v>
      </c>
      <c r="J11" s="351"/>
      <c r="K11" s="385">
        <v>7</v>
      </c>
      <c r="L11" s="369">
        <f t="shared" ref="L11:L16" si="2">K11/$K$17</f>
        <v>0.19444444444444445</v>
      </c>
      <c r="M11" s="351"/>
      <c r="N11" s="385">
        <v>7</v>
      </c>
      <c r="O11" s="369">
        <f t="shared" ref="O11:O16" si="3">N11/$N$17</f>
        <v>0.19444444444444445</v>
      </c>
      <c r="P11" s="369"/>
      <c r="Q11" s="385">
        <v>6</v>
      </c>
      <c r="R11" s="369">
        <f t="shared" ref="R11:R16" si="4">Q11/$Q$17</f>
        <v>0.1875</v>
      </c>
      <c r="S11" s="369"/>
      <c r="T11" s="385">
        <v>5</v>
      </c>
      <c r="U11" s="369">
        <f t="shared" ref="U11:U16" si="5">T11/$T$17</f>
        <v>0.13157894736842105</v>
      </c>
      <c r="V11" s="369"/>
      <c r="W11" s="293">
        <v>3</v>
      </c>
      <c r="X11" s="394">
        <f t="shared" ref="X11:X16" si="6">W11/$W$17</f>
        <v>7.6923076923076927E-2</v>
      </c>
      <c r="Y11" s="369"/>
      <c r="Z11" s="293">
        <v>3</v>
      </c>
      <c r="AA11" s="394">
        <f t="shared" ref="AA11:AA16" si="7">Z11/Z$17</f>
        <v>7.3170731707317069E-2</v>
      </c>
      <c r="AB11" s="369"/>
      <c r="AC11" s="293">
        <f>Credit_2010Q4!$AD8</f>
        <v>3</v>
      </c>
      <c r="AD11" s="394">
        <f t="shared" ref="AD11:AD16" si="8">AC11/AC$17</f>
        <v>8.5714285714285715E-2</v>
      </c>
      <c r="AE11" s="369"/>
      <c r="AF11" s="293">
        <f>Credit_2011Q4!$AD8</f>
        <v>3</v>
      </c>
      <c r="AG11" s="394">
        <f t="shared" ref="AG11:AG16" si="9">AF11/AF$17</f>
        <v>8.1081081081081086E-2</v>
      </c>
      <c r="AH11" s="369"/>
      <c r="AI11" s="293">
        <f t="shared" ref="AI11:AI16" ca="1" si="10">INDIRECT( BA11 &amp; $AY11 )</f>
        <v>2</v>
      </c>
      <c r="AJ11" s="394">
        <f t="shared" ref="AJ11:AJ16" ca="1" si="11">AI11/AI$17</f>
        <v>5.5555555555555552E-2</v>
      </c>
      <c r="AK11" s="369"/>
      <c r="AL11" s="293">
        <f t="shared" ref="AL11:AL16" ca="1" si="12">INDIRECT( BC11 &amp; $AY11 )</f>
        <v>1</v>
      </c>
      <c r="AM11" s="394">
        <f t="shared" ref="AM11:AM16" ca="1" si="13">AL11/AL$17</f>
        <v>2.8571428571428571E-2</v>
      </c>
      <c r="AN11" s="369"/>
      <c r="AO11" s="293">
        <f ca="1">INDIRECT( BE11 &amp; $AY11 )</f>
        <v>1</v>
      </c>
      <c r="AP11" s="394">
        <f t="shared" ref="AP11:AP16" ca="1" si="14">AO11/AO$17</f>
        <v>2.6315789473684209E-2</v>
      </c>
      <c r="AQ11" s="369"/>
      <c r="AR11" s="293">
        <f t="shared" ref="AR11:AR16" ca="1" si="15">INDIRECT( BG11 &amp; $AY11 )</f>
        <v>1</v>
      </c>
      <c r="AS11" s="394">
        <f t="shared" ref="AS11:AS16" ca="1" si="16">AR11/AR$17</f>
        <v>2.7777777777777776E-2</v>
      </c>
      <c r="AT11" s="369"/>
      <c r="AU11" s="386">
        <f t="shared" ref="AU11:AU16" ca="1" si="17">INDIRECT( BI11 &amp; $AY11 )</f>
        <v>2</v>
      </c>
      <c r="AV11" s="398">
        <f t="shared" ref="AV11:AV16" ca="1" si="18">AU11/AU$17</f>
        <v>5.4054054054054057E-2</v>
      </c>
      <c r="AY11" s="352">
        <v>8</v>
      </c>
      <c r="AZ11" s="353" t="s">
        <v>489</v>
      </c>
      <c r="BA11" s="258" t="str">
        <f t="shared" ref="BA11:BA16" si="19">BA$5 &amp; "!" &amp;$AZ11</f>
        <v>'Credit_2012Q4'!o</v>
      </c>
      <c r="BC11" s="258" t="str">
        <f t="shared" ref="BC11:BC16" si="20">BC$5 &amp; "!" &amp;$AZ11</f>
        <v>'Credit_2013Q4'!o</v>
      </c>
      <c r="BE11" s="258" t="str">
        <f t="shared" ref="BE11:BI16" si="21">BE$5 &amp; "!" &amp;$AZ11</f>
        <v>'Credit_2014Q4'!o</v>
      </c>
      <c r="BG11" s="258" t="str">
        <f t="shared" si="21"/>
        <v>'Credit_2015Q4'!o</v>
      </c>
      <c r="BI11" s="258" t="str">
        <f t="shared" si="21"/>
        <v>'Credit_2016Q4'!o</v>
      </c>
    </row>
    <row r="12" spans="3:61" x14ac:dyDescent="0.2">
      <c r="C12" s="354"/>
      <c r="D12" s="354" t="s">
        <v>10</v>
      </c>
      <c r="E12" s="387">
        <v>7</v>
      </c>
      <c r="F12" s="370">
        <f t="shared" si="0"/>
        <v>0.21875</v>
      </c>
      <c r="G12" s="355"/>
      <c r="H12" s="387">
        <v>5</v>
      </c>
      <c r="I12" s="370">
        <f t="shared" si="1"/>
        <v>0.1388888888888889</v>
      </c>
      <c r="J12" s="355"/>
      <c r="K12" s="387">
        <v>4</v>
      </c>
      <c r="L12" s="370">
        <f t="shared" si="2"/>
        <v>0.1111111111111111</v>
      </c>
      <c r="M12" s="355"/>
      <c r="N12" s="387">
        <v>3</v>
      </c>
      <c r="O12" s="370">
        <f t="shared" si="3"/>
        <v>8.3333333333333329E-2</v>
      </c>
      <c r="P12" s="370"/>
      <c r="Q12" s="387">
        <v>1</v>
      </c>
      <c r="R12" s="370">
        <f t="shared" si="4"/>
        <v>3.125E-2</v>
      </c>
      <c r="S12" s="370"/>
      <c r="T12" s="387">
        <v>2</v>
      </c>
      <c r="U12" s="370">
        <f t="shared" si="5"/>
        <v>5.2631578947368418E-2</v>
      </c>
      <c r="V12" s="370"/>
      <c r="W12" s="295">
        <v>4</v>
      </c>
      <c r="X12" s="395">
        <f t="shared" si="6"/>
        <v>0.10256410256410256</v>
      </c>
      <c r="Y12" s="370"/>
      <c r="Z12" s="295">
        <v>6</v>
      </c>
      <c r="AA12" s="395">
        <f t="shared" si="7"/>
        <v>0.14634146341463414</v>
      </c>
      <c r="AB12" s="370"/>
      <c r="AC12" s="295">
        <f>Credit_2010Q4!$AD9</f>
        <v>5</v>
      </c>
      <c r="AD12" s="395">
        <f t="shared" si="8"/>
        <v>0.14285714285714285</v>
      </c>
      <c r="AE12" s="370"/>
      <c r="AF12" s="295">
        <f>Credit_2011Q4!$AD9</f>
        <v>5</v>
      </c>
      <c r="AG12" s="395">
        <f t="shared" si="9"/>
        <v>0.13513513513513514</v>
      </c>
      <c r="AH12" s="370"/>
      <c r="AI12" s="295">
        <f t="shared" ca="1" si="10"/>
        <v>6</v>
      </c>
      <c r="AJ12" s="395">
        <f t="shared" ca="1" si="11"/>
        <v>0.16666666666666666</v>
      </c>
      <c r="AK12" s="370"/>
      <c r="AL12" s="295">
        <f t="shared" ca="1" si="12"/>
        <v>7</v>
      </c>
      <c r="AM12" s="395">
        <f t="shared" ca="1" si="13"/>
        <v>0.2</v>
      </c>
      <c r="AN12" s="370"/>
      <c r="AO12" s="295">
        <f t="shared" ref="AO12:AO16" ca="1" si="22">INDIRECT( BE12 &amp; $AY12 )</f>
        <v>8</v>
      </c>
      <c r="AP12" s="395">
        <f t="shared" ca="1" si="14"/>
        <v>0.21052631578947367</v>
      </c>
      <c r="AQ12" s="370"/>
      <c r="AR12" s="295">
        <f t="shared" ca="1" si="15"/>
        <v>8</v>
      </c>
      <c r="AS12" s="395">
        <f t="shared" ca="1" si="16"/>
        <v>0.22222222222222221</v>
      </c>
      <c r="AT12" s="370"/>
      <c r="AU12" s="388">
        <f t="shared" ca="1" si="17"/>
        <v>10</v>
      </c>
      <c r="AV12" s="399">
        <f t="shared" ca="1" si="18"/>
        <v>0.27027027027027029</v>
      </c>
      <c r="AY12" s="258">
        <f>AY11+1</f>
        <v>9</v>
      </c>
      <c r="AZ12" s="255" t="str">
        <f>AZ11</f>
        <v>o</v>
      </c>
      <c r="BA12" s="258" t="str">
        <f t="shared" si="19"/>
        <v>'Credit_2012Q4'!o</v>
      </c>
      <c r="BC12" s="258" t="str">
        <f t="shared" si="20"/>
        <v>'Credit_2013Q4'!o</v>
      </c>
      <c r="BE12" s="258" t="str">
        <f t="shared" si="21"/>
        <v>'Credit_2014Q4'!o</v>
      </c>
      <c r="BG12" s="258" t="str">
        <f t="shared" si="21"/>
        <v>'Credit_2015Q4'!o</v>
      </c>
      <c r="BI12" s="258" t="str">
        <f t="shared" si="21"/>
        <v>'Credit_2016Q4'!o</v>
      </c>
    </row>
    <row r="13" spans="3:61" x14ac:dyDescent="0.2">
      <c r="C13" s="354"/>
      <c r="D13" s="354" t="s">
        <v>16</v>
      </c>
      <c r="E13" s="387">
        <v>3</v>
      </c>
      <c r="F13" s="370">
        <f t="shared" si="0"/>
        <v>9.375E-2</v>
      </c>
      <c r="G13" s="355"/>
      <c r="H13" s="387">
        <v>6</v>
      </c>
      <c r="I13" s="370">
        <f t="shared" si="1"/>
        <v>0.16666666666666666</v>
      </c>
      <c r="J13" s="355"/>
      <c r="K13" s="387">
        <v>7</v>
      </c>
      <c r="L13" s="370">
        <f t="shared" si="2"/>
        <v>0.19444444444444445</v>
      </c>
      <c r="M13" s="355"/>
      <c r="N13" s="387">
        <v>8</v>
      </c>
      <c r="O13" s="370">
        <f t="shared" si="3"/>
        <v>0.22222222222222221</v>
      </c>
      <c r="P13" s="370"/>
      <c r="Q13" s="387">
        <v>7</v>
      </c>
      <c r="R13" s="370">
        <f t="shared" si="4"/>
        <v>0.21875</v>
      </c>
      <c r="S13" s="370"/>
      <c r="T13" s="387">
        <v>10</v>
      </c>
      <c r="U13" s="370">
        <f t="shared" si="5"/>
        <v>0.26315789473684209</v>
      </c>
      <c r="V13" s="370"/>
      <c r="W13" s="295">
        <v>9</v>
      </c>
      <c r="X13" s="395">
        <f t="shared" si="6"/>
        <v>0.23076923076923078</v>
      </c>
      <c r="Y13" s="370"/>
      <c r="Z13" s="295">
        <v>9</v>
      </c>
      <c r="AA13" s="395">
        <f t="shared" si="7"/>
        <v>0.21951219512195122</v>
      </c>
      <c r="AB13" s="370"/>
      <c r="AC13" s="295">
        <f>Credit_2010Q4!$AD10</f>
        <v>6</v>
      </c>
      <c r="AD13" s="395">
        <f t="shared" si="8"/>
        <v>0.17142857142857143</v>
      </c>
      <c r="AE13" s="370"/>
      <c r="AF13" s="295">
        <f>Credit_2011Q4!$AD10</f>
        <v>7</v>
      </c>
      <c r="AG13" s="395">
        <f t="shared" si="9"/>
        <v>0.1891891891891892</v>
      </c>
      <c r="AH13" s="370"/>
      <c r="AI13" s="295">
        <f t="shared" ca="1" si="10"/>
        <v>5</v>
      </c>
      <c r="AJ13" s="395">
        <f t="shared" ca="1" si="11"/>
        <v>0.1388888888888889</v>
      </c>
      <c r="AK13" s="370"/>
      <c r="AL13" s="295">
        <f t="shared" ca="1" si="12"/>
        <v>6</v>
      </c>
      <c r="AM13" s="395">
        <f t="shared" ca="1" si="13"/>
        <v>0.17142857142857143</v>
      </c>
      <c r="AN13" s="370"/>
      <c r="AO13" s="295">
        <f t="shared" ca="1" si="22"/>
        <v>12</v>
      </c>
      <c r="AP13" s="395">
        <f t="shared" ca="1" si="14"/>
        <v>0.31578947368421051</v>
      </c>
      <c r="AQ13" s="370"/>
      <c r="AR13" s="295">
        <f t="shared" ca="1" si="15"/>
        <v>12</v>
      </c>
      <c r="AS13" s="395">
        <f t="shared" ca="1" si="16"/>
        <v>0.33333333333333331</v>
      </c>
      <c r="AT13" s="370"/>
      <c r="AU13" s="388">
        <f t="shared" ca="1" si="17"/>
        <v>13</v>
      </c>
      <c r="AV13" s="399">
        <f t="shared" ca="1" si="18"/>
        <v>0.35135135135135137</v>
      </c>
      <c r="AY13" s="258">
        <f>AY12+1</f>
        <v>10</v>
      </c>
      <c r="AZ13" s="255" t="str">
        <f t="shared" ref="AZ13:AZ16" si="23">AZ12</f>
        <v>o</v>
      </c>
      <c r="BA13" s="258" t="str">
        <f t="shared" si="19"/>
        <v>'Credit_2012Q4'!o</v>
      </c>
      <c r="BC13" s="258" t="str">
        <f t="shared" si="20"/>
        <v>'Credit_2013Q4'!o</v>
      </c>
      <c r="BE13" s="258" t="str">
        <f t="shared" si="21"/>
        <v>'Credit_2014Q4'!o</v>
      </c>
      <c r="BG13" s="258" t="str">
        <f t="shared" si="21"/>
        <v>'Credit_2015Q4'!o</v>
      </c>
      <c r="BI13" s="258" t="str">
        <f t="shared" si="21"/>
        <v>'Credit_2016Q4'!o</v>
      </c>
    </row>
    <row r="14" spans="3:61" x14ac:dyDescent="0.2">
      <c r="C14" s="354"/>
      <c r="D14" s="354" t="s">
        <v>28</v>
      </c>
      <c r="E14" s="387">
        <v>6</v>
      </c>
      <c r="F14" s="370">
        <f t="shared" si="0"/>
        <v>0.1875</v>
      </c>
      <c r="G14" s="355"/>
      <c r="H14" s="387">
        <v>6</v>
      </c>
      <c r="I14" s="370">
        <f t="shared" si="1"/>
        <v>0.16666666666666666</v>
      </c>
      <c r="J14" s="355"/>
      <c r="K14" s="387">
        <v>8</v>
      </c>
      <c r="L14" s="370">
        <f t="shared" si="2"/>
        <v>0.22222222222222221</v>
      </c>
      <c r="M14" s="355"/>
      <c r="N14" s="387">
        <v>9</v>
      </c>
      <c r="O14" s="370">
        <f t="shared" si="3"/>
        <v>0.25</v>
      </c>
      <c r="P14" s="370"/>
      <c r="Q14" s="387">
        <v>9</v>
      </c>
      <c r="R14" s="370">
        <f t="shared" si="4"/>
        <v>0.28125</v>
      </c>
      <c r="S14" s="370"/>
      <c r="T14" s="387">
        <v>8</v>
      </c>
      <c r="U14" s="370">
        <f t="shared" si="5"/>
        <v>0.21052631578947367</v>
      </c>
      <c r="V14" s="370"/>
      <c r="W14" s="387">
        <v>9</v>
      </c>
      <c r="X14" s="395">
        <f t="shared" si="6"/>
        <v>0.23076923076923078</v>
      </c>
      <c r="Y14" s="370"/>
      <c r="Z14" s="387">
        <v>11</v>
      </c>
      <c r="AA14" s="395">
        <f t="shared" si="7"/>
        <v>0.26829268292682928</v>
      </c>
      <c r="AB14" s="370"/>
      <c r="AC14" s="387">
        <f>Credit_2010Q4!$AD11</f>
        <v>11</v>
      </c>
      <c r="AD14" s="395">
        <f t="shared" si="8"/>
        <v>0.31428571428571428</v>
      </c>
      <c r="AE14" s="370"/>
      <c r="AF14" s="387">
        <f>Credit_2011Q4!$AD11</f>
        <v>13</v>
      </c>
      <c r="AG14" s="395">
        <f t="shared" si="9"/>
        <v>0.35135135135135137</v>
      </c>
      <c r="AH14" s="370"/>
      <c r="AI14" s="387">
        <f t="shared" ca="1" si="10"/>
        <v>13</v>
      </c>
      <c r="AJ14" s="395">
        <f t="shared" ca="1" si="11"/>
        <v>0.3611111111111111</v>
      </c>
      <c r="AK14" s="370"/>
      <c r="AL14" s="387">
        <f t="shared" ca="1" si="12"/>
        <v>17</v>
      </c>
      <c r="AM14" s="395">
        <f t="shared" ca="1" si="13"/>
        <v>0.48571428571428571</v>
      </c>
      <c r="AN14" s="370"/>
      <c r="AO14" s="387">
        <f t="shared" ca="1" si="22"/>
        <v>14</v>
      </c>
      <c r="AP14" s="395">
        <f t="shared" ca="1" si="14"/>
        <v>0.36842105263157893</v>
      </c>
      <c r="AQ14" s="370"/>
      <c r="AR14" s="387">
        <f t="shared" ca="1" si="15"/>
        <v>12</v>
      </c>
      <c r="AS14" s="395">
        <f t="shared" ca="1" si="16"/>
        <v>0.33333333333333331</v>
      </c>
      <c r="AT14" s="370"/>
      <c r="AU14" s="388">
        <f t="shared" ca="1" si="17"/>
        <v>8</v>
      </c>
      <c r="AV14" s="399">
        <f t="shared" ca="1" si="18"/>
        <v>0.21621621621621623</v>
      </c>
      <c r="AY14" s="258">
        <f>AY13+1</f>
        <v>11</v>
      </c>
      <c r="AZ14" s="255" t="str">
        <f t="shared" si="23"/>
        <v>o</v>
      </c>
      <c r="BA14" s="258" t="str">
        <f t="shared" si="19"/>
        <v>'Credit_2012Q4'!o</v>
      </c>
      <c r="BC14" s="258" t="str">
        <f t="shared" si="20"/>
        <v>'Credit_2013Q4'!o</v>
      </c>
      <c r="BE14" s="258" t="str">
        <f t="shared" si="21"/>
        <v>'Credit_2014Q4'!o</v>
      </c>
      <c r="BG14" s="258" t="str">
        <f t="shared" si="21"/>
        <v>'Credit_2015Q4'!o</v>
      </c>
      <c r="BI14" s="258" t="str">
        <f t="shared" si="21"/>
        <v>'Credit_2016Q4'!o</v>
      </c>
    </row>
    <row r="15" spans="3:61" x14ac:dyDescent="0.2">
      <c r="C15" s="354"/>
      <c r="D15" s="354" t="s">
        <v>49</v>
      </c>
      <c r="E15" s="387">
        <v>4</v>
      </c>
      <c r="F15" s="370">
        <f t="shared" si="0"/>
        <v>0.125</v>
      </c>
      <c r="G15" s="355"/>
      <c r="H15" s="387">
        <v>5</v>
      </c>
      <c r="I15" s="370">
        <f t="shared" si="1"/>
        <v>0.1388888888888889</v>
      </c>
      <c r="J15" s="355"/>
      <c r="K15" s="387">
        <v>5</v>
      </c>
      <c r="L15" s="370">
        <f t="shared" si="2"/>
        <v>0.1388888888888889</v>
      </c>
      <c r="M15" s="355"/>
      <c r="N15" s="387">
        <v>3</v>
      </c>
      <c r="O15" s="370">
        <f t="shared" si="3"/>
        <v>8.3333333333333329E-2</v>
      </c>
      <c r="P15" s="370"/>
      <c r="Q15" s="387">
        <v>3</v>
      </c>
      <c r="R15" s="370">
        <f t="shared" si="4"/>
        <v>9.375E-2</v>
      </c>
      <c r="S15" s="370"/>
      <c r="T15" s="387">
        <v>7</v>
      </c>
      <c r="U15" s="370">
        <f t="shared" si="5"/>
        <v>0.18421052631578946</v>
      </c>
      <c r="V15" s="370"/>
      <c r="W15" s="387">
        <v>9</v>
      </c>
      <c r="X15" s="395">
        <f t="shared" si="6"/>
        <v>0.23076923076923078</v>
      </c>
      <c r="Y15" s="370"/>
      <c r="Z15" s="387">
        <v>8</v>
      </c>
      <c r="AA15" s="395">
        <f t="shared" si="7"/>
        <v>0.1951219512195122</v>
      </c>
      <c r="AB15" s="370"/>
      <c r="AC15" s="387">
        <f>Credit_2010Q4!$AD12</f>
        <v>6</v>
      </c>
      <c r="AD15" s="395">
        <f t="shared" si="8"/>
        <v>0.17142857142857143</v>
      </c>
      <c r="AE15" s="370"/>
      <c r="AF15" s="387">
        <f>Credit_2011Q4!$AD12</f>
        <v>5</v>
      </c>
      <c r="AG15" s="395">
        <f t="shared" si="9"/>
        <v>0.13513513513513514</v>
      </c>
      <c r="AH15" s="370"/>
      <c r="AI15" s="387">
        <f t="shared" ca="1" si="10"/>
        <v>6</v>
      </c>
      <c r="AJ15" s="395">
        <f t="shared" ca="1" si="11"/>
        <v>0.16666666666666666</v>
      </c>
      <c r="AK15" s="370"/>
      <c r="AL15" s="387">
        <f t="shared" ca="1" si="12"/>
        <v>2</v>
      </c>
      <c r="AM15" s="395">
        <f t="shared" ca="1" si="13"/>
        <v>5.7142857142857141E-2</v>
      </c>
      <c r="AN15" s="370"/>
      <c r="AO15" s="387">
        <f t="shared" ca="1" si="22"/>
        <v>1</v>
      </c>
      <c r="AP15" s="395">
        <f t="shared" ca="1" si="14"/>
        <v>2.6315789473684209E-2</v>
      </c>
      <c r="AQ15" s="370"/>
      <c r="AR15" s="387">
        <f t="shared" ca="1" si="15"/>
        <v>1</v>
      </c>
      <c r="AS15" s="395">
        <f t="shared" ca="1" si="16"/>
        <v>2.7777777777777776E-2</v>
      </c>
      <c r="AT15" s="370"/>
      <c r="AU15" s="388">
        <f t="shared" ca="1" si="17"/>
        <v>3</v>
      </c>
      <c r="AV15" s="399">
        <f t="shared" ca="1" si="18"/>
        <v>8.1081081081081086E-2</v>
      </c>
      <c r="AY15" s="258">
        <f>AY14+1</f>
        <v>12</v>
      </c>
      <c r="AZ15" s="255" t="str">
        <f t="shared" si="23"/>
        <v>o</v>
      </c>
      <c r="BA15" s="258" t="str">
        <f t="shared" si="19"/>
        <v>'Credit_2012Q4'!o</v>
      </c>
      <c r="BC15" s="258" t="str">
        <f t="shared" si="20"/>
        <v>'Credit_2013Q4'!o</v>
      </c>
      <c r="BE15" s="258" t="str">
        <f t="shared" si="21"/>
        <v>'Credit_2014Q4'!o</v>
      </c>
      <c r="BG15" s="258" t="str">
        <f t="shared" si="21"/>
        <v>'Credit_2015Q4'!o</v>
      </c>
      <c r="BI15" s="258" t="str">
        <f t="shared" si="21"/>
        <v>'Credit_2016Q4'!o</v>
      </c>
    </row>
    <row r="16" spans="3:61" x14ac:dyDescent="0.2">
      <c r="C16" s="356"/>
      <c r="D16" s="356" t="s">
        <v>79</v>
      </c>
      <c r="E16" s="389">
        <v>6</v>
      </c>
      <c r="F16" s="371">
        <f t="shared" si="0"/>
        <v>0.1875</v>
      </c>
      <c r="G16" s="357"/>
      <c r="H16" s="389">
        <v>8</v>
      </c>
      <c r="I16" s="371">
        <f t="shared" si="1"/>
        <v>0.22222222222222221</v>
      </c>
      <c r="J16" s="358"/>
      <c r="K16" s="389">
        <v>5</v>
      </c>
      <c r="L16" s="371">
        <f t="shared" si="2"/>
        <v>0.1388888888888889</v>
      </c>
      <c r="M16" s="357"/>
      <c r="N16" s="389">
        <v>6</v>
      </c>
      <c r="O16" s="371">
        <f t="shared" si="3"/>
        <v>0.16666666666666666</v>
      </c>
      <c r="P16" s="371"/>
      <c r="Q16" s="389">
        <v>6</v>
      </c>
      <c r="R16" s="371">
        <f t="shared" si="4"/>
        <v>0.1875</v>
      </c>
      <c r="S16" s="371"/>
      <c r="T16" s="389">
        <v>6</v>
      </c>
      <c r="U16" s="393">
        <f t="shared" si="5"/>
        <v>0.15789473684210525</v>
      </c>
      <c r="V16" s="371"/>
      <c r="W16" s="389">
        <v>5</v>
      </c>
      <c r="X16" s="371">
        <f t="shared" si="6"/>
        <v>0.12820512820512819</v>
      </c>
      <c r="Y16" s="371"/>
      <c r="Z16" s="389">
        <v>4</v>
      </c>
      <c r="AA16" s="371">
        <f t="shared" si="7"/>
        <v>9.7560975609756101E-2</v>
      </c>
      <c r="AB16" s="371"/>
      <c r="AC16" s="389">
        <f>Credit_2010Q4!$AD13</f>
        <v>4</v>
      </c>
      <c r="AD16" s="371">
        <f t="shared" si="8"/>
        <v>0.11428571428571428</v>
      </c>
      <c r="AE16" s="371"/>
      <c r="AF16" s="389">
        <f>Credit_2011Q4!$AD13</f>
        <v>4</v>
      </c>
      <c r="AG16" s="371">
        <f t="shared" si="9"/>
        <v>0.10810810810810811</v>
      </c>
      <c r="AH16" s="371"/>
      <c r="AI16" s="389">
        <f t="shared" ca="1" si="10"/>
        <v>4</v>
      </c>
      <c r="AJ16" s="371">
        <f t="shared" ca="1" si="11"/>
        <v>0.1111111111111111</v>
      </c>
      <c r="AK16" s="371"/>
      <c r="AL16" s="389">
        <f t="shared" ca="1" si="12"/>
        <v>2</v>
      </c>
      <c r="AM16" s="371">
        <f t="shared" ca="1" si="13"/>
        <v>5.7142857142857141E-2</v>
      </c>
      <c r="AN16" s="371"/>
      <c r="AO16" s="389">
        <f t="shared" ca="1" si="22"/>
        <v>2</v>
      </c>
      <c r="AP16" s="371">
        <f t="shared" ca="1" si="14"/>
        <v>5.2631578947368418E-2</v>
      </c>
      <c r="AQ16" s="371"/>
      <c r="AR16" s="389">
        <f t="shared" ca="1" si="15"/>
        <v>2</v>
      </c>
      <c r="AS16" s="371">
        <f t="shared" ca="1" si="16"/>
        <v>5.5555555555555552E-2</v>
      </c>
      <c r="AT16" s="371"/>
      <c r="AU16" s="390">
        <f t="shared" ca="1" si="17"/>
        <v>1</v>
      </c>
      <c r="AV16" s="400">
        <f t="shared" ca="1" si="18"/>
        <v>2.7027027027027029E-2</v>
      </c>
      <c r="AY16" s="258">
        <f>AY15+1</f>
        <v>13</v>
      </c>
      <c r="AZ16" s="255" t="str">
        <f t="shared" si="23"/>
        <v>o</v>
      </c>
      <c r="BA16" s="258" t="str">
        <f t="shared" si="19"/>
        <v>'Credit_2012Q4'!o</v>
      </c>
      <c r="BC16" s="258" t="str">
        <f t="shared" si="20"/>
        <v>'Credit_2013Q4'!o</v>
      </c>
      <c r="BE16" s="258" t="str">
        <f t="shared" si="21"/>
        <v>'Credit_2014Q4'!o</v>
      </c>
      <c r="BG16" s="258" t="str">
        <f t="shared" si="21"/>
        <v>'Credit_2015Q4'!o</v>
      </c>
      <c r="BI16" s="258" t="str">
        <f t="shared" si="21"/>
        <v>'Credit_2016Q4'!o</v>
      </c>
    </row>
    <row r="17" spans="3:61" x14ac:dyDescent="0.2">
      <c r="C17" s="359"/>
      <c r="D17" s="359" t="s">
        <v>80</v>
      </c>
      <c r="E17" s="391">
        <f t="shared" ref="E17:AA17" si="24">SUM(E11:E16)</f>
        <v>32</v>
      </c>
      <c r="F17" s="372">
        <f t="shared" si="24"/>
        <v>1</v>
      </c>
      <c r="G17" s="360"/>
      <c r="H17" s="391">
        <f t="shared" si="24"/>
        <v>36</v>
      </c>
      <c r="I17" s="372">
        <f t="shared" si="24"/>
        <v>0.99999999999999989</v>
      </c>
      <c r="J17" s="360"/>
      <c r="K17" s="391">
        <f t="shared" si="24"/>
        <v>36</v>
      </c>
      <c r="L17" s="372">
        <f t="shared" si="24"/>
        <v>1</v>
      </c>
      <c r="M17" s="360"/>
      <c r="N17" s="391">
        <f>SUM(N11:N16)</f>
        <v>36</v>
      </c>
      <c r="O17" s="372">
        <f>SUM(O11:O16)</f>
        <v>1</v>
      </c>
      <c r="P17" s="372"/>
      <c r="Q17" s="391">
        <f>SUM(Q11:Q16)</f>
        <v>32</v>
      </c>
      <c r="R17" s="372">
        <f t="shared" si="24"/>
        <v>1</v>
      </c>
      <c r="S17" s="372"/>
      <c r="T17" s="391">
        <f>SUM(T11:T16)</f>
        <v>38</v>
      </c>
      <c r="U17" s="372">
        <f t="shared" si="24"/>
        <v>1</v>
      </c>
      <c r="V17" s="372"/>
      <c r="W17" s="391">
        <f>SUM(W11:W16)</f>
        <v>39</v>
      </c>
      <c r="X17" s="372">
        <f t="shared" si="24"/>
        <v>1</v>
      </c>
      <c r="Y17" s="372"/>
      <c r="Z17" s="391">
        <f>SUM(Z11:Z16)</f>
        <v>41</v>
      </c>
      <c r="AA17" s="372">
        <f t="shared" si="24"/>
        <v>0.99999999999999989</v>
      </c>
      <c r="AB17" s="372"/>
      <c r="AC17" s="391">
        <f t="shared" ref="AC17:AF17" si="25">SUM(AC11:AC16)</f>
        <v>35</v>
      </c>
      <c r="AD17" s="372">
        <f t="shared" si="25"/>
        <v>1</v>
      </c>
      <c r="AE17" s="372"/>
      <c r="AF17" s="391">
        <f t="shared" si="25"/>
        <v>37</v>
      </c>
      <c r="AG17" s="372">
        <f t="shared" ref="AG17" si="26">SUM(AG11:AG16)</f>
        <v>1</v>
      </c>
      <c r="AH17" s="372"/>
      <c r="AI17" s="391">
        <f ca="1">SUM(AI11:AI16)</f>
        <v>36</v>
      </c>
      <c r="AJ17" s="372">
        <f t="shared" ref="AJ17" ca="1" si="27">SUM(AJ11:AJ16)</f>
        <v>1</v>
      </c>
      <c r="AK17" s="372"/>
      <c r="AL17" s="391">
        <f ca="1">SUM(AL11:AL16)</f>
        <v>35</v>
      </c>
      <c r="AM17" s="372">
        <f ca="1">SUM(AM11:AM16)</f>
        <v>1</v>
      </c>
      <c r="AN17" s="372"/>
      <c r="AO17" s="391">
        <f ca="1">SUM(AO11:AO16)</f>
        <v>38</v>
      </c>
      <c r="AP17" s="372">
        <f ca="1">SUM(AP11:AP16)</f>
        <v>1</v>
      </c>
      <c r="AQ17" s="372"/>
      <c r="AR17" s="391">
        <f ca="1">SUM(AR11:AR16)</f>
        <v>36</v>
      </c>
      <c r="AS17" s="372">
        <f ca="1">SUM(AS11:AS16)</f>
        <v>0.99999999999999989</v>
      </c>
      <c r="AT17" s="372"/>
      <c r="AU17" s="392">
        <f ca="1">SUM(AU11:AU16)</f>
        <v>37</v>
      </c>
      <c r="AV17" s="401">
        <f ca="1">SUM(AV11:AV16)</f>
        <v>1</v>
      </c>
    </row>
    <row r="18" spans="3:61" x14ac:dyDescent="0.2">
      <c r="C18" s="361"/>
      <c r="D18" s="361"/>
      <c r="E18" s="378"/>
      <c r="F18" s="373"/>
      <c r="G18" s="362"/>
      <c r="H18" s="378"/>
      <c r="I18" s="373"/>
      <c r="J18" s="362"/>
      <c r="K18" s="378"/>
      <c r="L18" s="373"/>
      <c r="M18" s="362"/>
      <c r="N18" s="378"/>
      <c r="O18" s="373"/>
      <c r="P18" s="373"/>
      <c r="Q18" s="378"/>
      <c r="R18" s="373"/>
      <c r="S18" s="373"/>
      <c r="T18" s="378"/>
      <c r="U18" s="373"/>
      <c r="V18" s="373"/>
      <c r="W18" s="378"/>
      <c r="X18" s="373"/>
      <c r="Y18" s="373"/>
      <c r="Z18" s="378"/>
      <c r="AA18" s="373"/>
      <c r="AB18" s="373"/>
      <c r="AC18" s="378"/>
      <c r="AD18" s="373"/>
      <c r="AE18" s="373"/>
      <c r="AF18" s="378"/>
      <c r="AG18" s="373"/>
      <c r="AH18" s="373"/>
      <c r="AI18" s="378"/>
      <c r="AJ18" s="373"/>
      <c r="AK18" s="373"/>
      <c r="AL18" s="378"/>
      <c r="AM18" s="373"/>
      <c r="AN18" s="373"/>
      <c r="AO18" s="378"/>
      <c r="AP18" s="373"/>
      <c r="AQ18" s="373"/>
      <c r="AR18" s="378"/>
      <c r="AS18" s="373"/>
      <c r="AT18" s="373"/>
      <c r="AU18" s="379"/>
      <c r="AV18" s="402"/>
    </row>
    <row r="19" spans="3:61" x14ac:dyDescent="0.2">
      <c r="C19" s="361"/>
      <c r="D19" s="361"/>
      <c r="E19" s="378"/>
      <c r="F19" s="373"/>
      <c r="G19" s="362"/>
      <c r="H19" s="378"/>
      <c r="I19" s="373"/>
      <c r="J19" s="362"/>
      <c r="K19" s="378"/>
      <c r="L19" s="373"/>
      <c r="M19" s="362"/>
      <c r="N19" s="378"/>
      <c r="O19" s="373"/>
      <c r="P19" s="373"/>
      <c r="Q19" s="378"/>
      <c r="R19" s="373"/>
      <c r="S19" s="373"/>
      <c r="T19" s="378"/>
      <c r="U19" s="373"/>
      <c r="V19" s="373"/>
      <c r="W19" s="378"/>
      <c r="X19" s="373"/>
      <c r="Y19" s="373"/>
      <c r="Z19" s="378"/>
      <c r="AA19" s="373"/>
      <c r="AB19" s="373"/>
      <c r="AC19" s="378"/>
      <c r="AD19" s="373"/>
      <c r="AE19" s="373"/>
      <c r="AF19" s="378"/>
      <c r="AG19" s="373"/>
      <c r="AH19" s="373"/>
      <c r="AI19" s="378"/>
      <c r="AJ19" s="373"/>
      <c r="AK19" s="373"/>
      <c r="AL19" s="378"/>
      <c r="AM19" s="373"/>
      <c r="AN19" s="373"/>
      <c r="AO19" s="378"/>
      <c r="AP19" s="373"/>
      <c r="AQ19" s="373"/>
      <c r="AR19" s="378"/>
      <c r="AS19" s="373"/>
      <c r="AT19" s="373"/>
      <c r="AU19" s="379"/>
      <c r="AV19" s="402"/>
    </row>
    <row r="20" spans="3:61" x14ac:dyDescent="0.2">
      <c r="C20" s="348"/>
      <c r="D20" s="348" t="s">
        <v>139</v>
      </c>
      <c r="E20" s="382"/>
      <c r="F20" s="374"/>
      <c r="G20" s="363"/>
      <c r="H20" s="382"/>
      <c r="I20" s="374"/>
      <c r="J20" s="363"/>
      <c r="K20" s="382"/>
      <c r="L20" s="374"/>
      <c r="M20" s="363"/>
      <c r="N20" s="382"/>
      <c r="O20" s="374"/>
      <c r="P20" s="374"/>
      <c r="Q20" s="382"/>
      <c r="R20" s="374"/>
      <c r="S20" s="374"/>
      <c r="T20" s="382"/>
      <c r="U20" s="374"/>
      <c r="V20" s="374"/>
      <c r="W20" s="383"/>
      <c r="X20" s="396"/>
      <c r="Y20" s="374"/>
      <c r="Z20" s="383"/>
      <c r="AA20" s="396"/>
      <c r="AB20" s="374"/>
      <c r="AC20" s="383"/>
      <c r="AD20" s="396"/>
      <c r="AE20" s="374"/>
      <c r="AF20" s="383"/>
      <c r="AG20" s="396"/>
      <c r="AH20" s="374"/>
      <c r="AI20" s="383"/>
      <c r="AJ20" s="396"/>
      <c r="AK20" s="374"/>
      <c r="AL20" s="383"/>
      <c r="AM20" s="396"/>
      <c r="AN20" s="374"/>
      <c r="AO20" s="383"/>
      <c r="AP20" s="396"/>
      <c r="AQ20" s="374"/>
      <c r="AR20" s="383"/>
      <c r="AS20" s="396"/>
      <c r="AT20" s="374"/>
      <c r="AU20" s="384"/>
      <c r="AV20" s="403"/>
    </row>
    <row r="21" spans="3:61" x14ac:dyDescent="0.2">
      <c r="C21" s="350"/>
      <c r="D21" s="350" t="s">
        <v>138</v>
      </c>
      <c r="E21" s="385">
        <v>5</v>
      </c>
      <c r="F21" s="369">
        <v>0.20833333333333334</v>
      </c>
      <c r="G21" s="351"/>
      <c r="H21" s="385">
        <v>3</v>
      </c>
      <c r="I21" s="369">
        <v>0.15</v>
      </c>
      <c r="J21" s="351"/>
      <c r="K21" s="385">
        <v>2</v>
      </c>
      <c r="L21" s="369">
        <v>8.6956521739130432E-2</v>
      </c>
      <c r="M21" s="351"/>
      <c r="N21" s="385">
        <v>2</v>
      </c>
      <c r="O21" s="369">
        <f t="shared" ref="O21:O26" si="28">N21/$N$27</f>
        <v>9.0909090909090912E-2</v>
      </c>
      <c r="P21" s="369"/>
      <c r="Q21" s="385">
        <v>1</v>
      </c>
      <c r="R21" s="369">
        <f t="shared" ref="R21:R26" si="29">Q21/$Q$27</f>
        <v>4.3478260869565216E-2</v>
      </c>
      <c r="S21" s="369"/>
      <c r="T21" s="293">
        <v>1</v>
      </c>
      <c r="U21" s="369">
        <f t="shared" ref="U21:U26" si="30">T21/$T$27</f>
        <v>5.2631578947368418E-2</v>
      </c>
      <c r="V21" s="369"/>
      <c r="W21" s="385">
        <v>1</v>
      </c>
      <c r="X21" s="394">
        <f t="shared" ref="X21:X26" si="31">W21/$W$27</f>
        <v>5.2631578947368418E-2</v>
      </c>
      <c r="Y21" s="369"/>
      <c r="Z21" s="385">
        <v>2</v>
      </c>
      <c r="AA21" s="394">
        <f t="shared" ref="AA21:AA26" si="32">Z21/Z$27</f>
        <v>0.10526315789473684</v>
      </c>
      <c r="AB21" s="369"/>
      <c r="AC21" s="385">
        <f>Credit_2010Q4!$AD19</f>
        <v>1</v>
      </c>
      <c r="AD21" s="394">
        <f t="shared" ref="AD21:AD26" si="33">AC21/AC$27</f>
        <v>0.05</v>
      </c>
      <c r="AE21" s="369"/>
      <c r="AF21" s="385">
        <f>Credit_2011Q4!$AD19</f>
        <v>1</v>
      </c>
      <c r="AG21" s="394">
        <f t="shared" ref="AG21:AG26" si="34">AF21/AF$27</f>
        <v>5.2631578947368418E-2</v>
      </c>
      <c r="AH21" s="369"/>
      <c r="AI21" s="293">
        <f t="shared" ref="AI21:AI26" ca="1" si="35">INDIRECT( BA21 &amp; $AY21 )</f>
        <v>1</v>
      </c>
      <c r="AJ21" s="394">
        <f t="shared" ref="AJ21:AJ26" ca="1" si="36">AI21/AI$27</f>
        <v>5.8823529411764705E-2</v>
      </c>
      <c r="AK21" s="369"/>
      <c r="AL21" s="293">
        <f t="shared" ref="AL21:AL26" ca="1" si="37">INDIRECT( BC21 &amp; $AY21 )</f>
        <v>1</v>
      </c>
      <c r="AM21" s="394">
        <f t="shared" ref="AM21:AM26" ca="1" si="38">AL21/AL$27</f>
        <v>5.8823529411764705E-2</v>
      </c>
      <c r="AN21" s="369"/>
      <c r="AO21" s="293">
        <f ca="1">INDIRECT( BE21 &amp; $AY21 )</f>
        <v>1</v>
      </c>
      <c r="AP21" s="394">
        <f t="shared" ref="AP21:AP26" ca="1" si="39">AO21/AO$27</f>
        <v>7.6923076923076927E-2</v>
      </c>
      <c r="AQ21" s="369"/>
      <c r="AR21" s="293">
        <f t="shared" ref="AR21:AR26" ca="1" si="40">INDIRECT( BG21 &amp; $AY21 )</f>
        <v>1</v>
      </c>
      <c r="AS21" s="394">
        <f t="shared" ref="AS21:AS26" ca="1" si="41">AR21/AR$27</f>
        <v>7.6923076923076927E-2</v>
      </c>
      <c r="AT21" s="369"/>
      <c r="AU21" s="386">
        <f t="shared" ref="AU21:AU26" ca="1" si="42">INDIRECT( BI21 &amp; $AY21 )</f>
        <v>1</v>
      </c>
      <c r="AV21" s="398">
        <f t="shared" ref="AV21:AV26" ca="1" si="43">AU21/AU$27</f>
        <v>9.0909090909090912E-2</v>
      </c>
      <c r="AY21" s="258">
        <f>AY11</f>
        <v>8</v>
      </c>
      <c r="AZ21" s="353" t="s">
        <v>490</v>
      </c>
      <c r="BA21" s="258" t="str">
        <f t="shared" ref="BA21:BA26" si="44">BA$5 &amp; "!" &amp;$AZ21</f>
        <v>'Credit_2012Q4'!r</v>
      </c>
      <c r="BC21" s="258" t="str">
        <f t="shared" ref="BC21:BC26" si="45">BC$5 &amp; "!" &amp;$AZ21</f>
        <v>'Credit_2013Q4'!r</v>
      </c>
      <c r="BE21" s="258" t="str">
        <f t="shared" ref="BE21:BI26" si="46">BE$5 &amp; "!" &amp;$AZ21</f>
        <v>'Credit_2014Q4'!r</v>
      </c>
      <c r="BG21" s="258" t="str">
        <f t="shared" si="46"/>
        <v>'Credit_2015Q4'!r</v>
      </c>
      <c r="BI21" s="258" t="str">
        <f t="shared" si="46"/>
        <v>'Credit_2016Q4'!r</v>
      </c>
    </row>
    <row r="22" spans="3:61" x14ac:dyDescent="0.2">
      <c r="C22" s="354"/>
      <c r="D22" s="354" t="s">
        <v>10</v>
      </c>
      <c r="E22" s="295">
        <v>3</v>
      </c>
      <c r="F22" s="395">
        <v>0.125</v>
      </c>
      <c r="G22" s="438"/>
      <c r="H22" s="295">
        <v>2</v>
      </c>
      <c r="I22" s="395">
        <v>0.1</v>
      </c>
      <c r="J22" s="355"/>
      <c r="K22" s="295">
        <v>1</v>
      </c>
      <c r="L22" s="395">
        <v>4.3478260869565216E-2</v>
      </c>
      <c r="M22" s="438"/>
      <c r="N22" s="295">
        <v>0</v>
      </c>
      <c r="O22" s="395">
        <f t="shared" si="28"/>
        <v>0</v>
      </c>
      <c r="P22" s="395"/>
      <c r="Q22" s="387">
        <v>2</v>
      </c>
      <c r="R22" s="370">
        <f t="shared" si="29"/>
        <v>8.6956521739130432E-2</v>
      </c>
      <c r="S22" s="395"/>
      <c r="T22" s="295">
        <v>3</v>
      </c>
      <c r="U22" s="370">
        <f t="shared" si="30"/>
        <v>0.15789473684210525</v>
      </c>
      <c r="V22" s="395"/>
      <c r="W22" s="387">
        <v>5</v>
      </c>
      <c r="X22" s="395">
        <f t="shared" si="31"/>
        <v>0.26315789473684209</v>
      </c>
      <c r="Y22" s="395"/>
      <c r="Z22" s="387">
        <v>2</v>
      </c>
      <c r="AA22" s="395">
        <f t="shared" si="32"/>
        <v>0.10526315789473684</v>
      </c>
      <c r="AB22" s="395"/>
      <c r="AC22" s="387">
        <f>Credit_2010Q4!$AD20</f>
        <v>3</v>
      </c>
      <c r="AD22" s="395">
        <f t="shared" si="33"/>
        <v>0.15</v>
      </c>
      <c r="AE22" s="395"/>
      <c r="AF22" s="387">
        <f>Credit_2011Q4!$AD20</f>
        <v>3</v>
      </c>
      <c r="AG22" s="395">
        <f t="shared" si="34"/>
        <v>0.15789473684210525</v>
      </c>
      <c r="AH22" s="395"/>
      <c r="AI22" s="295">
        <f t="shared" ca="1" si="35"/>
        <v>2</v>
      </c>
      <c r="AJ22" s="395">
        <f t="shared" ca="1" si="36"/>
        <v>0.11764705882352941</v>
      </c>
      <c r="AK22" s="395"/>
      <c r="AL22" s="295">
        <f t="shared" ca="1" si="37"/>
        <v>5</v>
      </c>
      <c r="AM22" s="395">
        <f t="shared" ca="1" si="38"/>
        <v>0.29411764705882354</v>
      </c>
      <c r="AN22" s="395"/>
      <c r="AO22" s="295">
        <f t="shared" ref="AO22:AO26" ca="1" si="47">INDIRECT( BE22 &amp; $AY22 )</f>
        <v>4</v>
      </c>
      <c r="AP22" s="395">
        <f t="shared" ca="1" si="39"/>
        <v>0.30769230769230771</v>
      </c>
      <c r="AQ22" s="395"/>
      <c r="AR22" s="295">
        <f t="shared" ca="1" si="40"/>
        <v>5</v>
      </c>
      <c r="AS22" s="395">
        <f t="shared" ca="1" si="41"/>
        <v>0.38461538461538464</v>
      </c>
      <c r="AT22" s="395"/>
      <c r="AU22" s="388">
        <f t="shared" ca="1" si="42"/>
        <v>2</v>
      </c>
      <c r="AV22" s="399">
        <f t="shared" ca="1" si="43"/>
        <v>0.18181818181818182</v>
      </c>
      <c r="AY22" s="258">
        <f t="shared" ref="AY22:AY26" si="48">AY12</f>
        <v>9</v>
      </c>
      <c r="AZ22" s="255" t="str">
        <f>AZ21</f>
        <v>r</v>
      </c>
      <c r="BA22" s="258" t="str">
        <f t="shared" si="44"/>
        <v>'Credit_2012Q4'!r</v>
      </c>
      <c r="BC22" s="258" t="str">
        <f t="shared" si="45"/>
        <v>'Credit_2013Q4'!r</v>
      </c>
      <c r="BE22" s="258" t="str">
        <f t="shared" si="46"/>
        <v>'Credit_2014Q4'!r</v>
      </c>
      <c r="BG22" s="258" t="str">
        <f t="shared" si="46"/>
        <v>'Credit_2015Q4'!r</v>
      </c>
      <c r="BI22" s="258" t="str">
        <f t="shared" si="46"/>
        <v>'Credit_2016Q4'!r</v>
      </c>
    </row>
    <row r="23" spans="3:61" x14ac:dyDescent="0.2">
      <c r="C23" s="354"/>
      <c r="D23" s="354" t="s">
        <v>16</v>
      </c>
      <c r="E23" s="295">
        <v>6</v>
      </c>
      <c r="F23" s="395">
        <v>0.25</v>
      </c>
      <c r="G23" s="438"/>
      <c r="H23" s="295">
        <v>5</v>
      </c>
      <c r="I23" s="395">
        <v>0.25</v>
      </c>
      <c r="J23" s="355"/>
      <c r="K23" s="295">
        <v>6</v>
      </c>
      <c r="L23" s="395">
        <v>0.2608695652173913</v>
      </c>
      <c r="M23" s="438"/>
      <c r="N23" s="295">
        <v>6</v>
      </c>
      <c r="O23" s="395">
        <f t="shared" si="28"/>
        <v>0.27272727272727271</v>
      </c>
      <c r="P23" s="395"/>
      <c r="Q23" s="387">
        <v>3</v>
      </c>
      <c r="R23" s="370">
        <f t="shared" si="29"/>
        <v>0.13043478260869565</v>
      </c>
      <c r="S23" s="395"/>
      <c r="T23" s="295">
        <v>4</v>
      </c>
      <c r="U23" s="370">
        <f t="shared" si="30"/>
        <v>0.21052631578947367</v>
      </c>
      <c r="V23" s="395"/>
      <c r="W23" s="387">
        <v>2</v>
      </c>
      <c r="X23" s="395">
        <f t="shared" si="31"/>
        <v>0.10526315789473684</v>
      </c>
      <c r="Y23" s="395"/>
      <c r="Z23" s="387">
        <v>5</v>
      </c>
      <c r="AA23" s="395">
        <f t="shared" si="32"/>
        <v>0.26315789473684209</v>
      </c>
      <c r="AB23" s="395"/>
      <c r="AC23" s="387">
        <f>Credit_2010Q4!$AD21</f>
        <v>6</v>
      </c>
      <c r="AD23" s="395">
        <f t="shared" si="33"/>
        <v>0.3</v>
      </c>
      <c r="AE23" s="395"/>
      <c r="AF23" s="387">
        <f>Credit_2011Q4!$AD21</f>
        <v>6</v>
      </c>
      <c r="AG23" s="395">
        <f t="shared" si="34"/>
        <v>0.31578947368421051</v>
      </c>
      <c r="AH23" s="395"/>
      <c r="AI23" s="295">
        <f t="shared" ca="1" si="35"/>
        <v>7</v>
      </c>
      <c r="AJ23" s="395">
        <f t="shared" ca="1" si="36"/>
        <v>0.41176470588235292</v>
      </c>
      <c r="AK23" s="395"/>
      <c r="AL23" s="295">
        <f t="shared" ca="1" si="37"/>
        <v>5</v>
      </c>
      <c r="AM23" s="395">
        <f t="shared" ca="1" si="38"/>
        <v>0.29411764705882354</v>
      </c>
      <c r="AN23" s="395"/>
      <c r="AO23" s="295">
        <f t="shared" ca="1" si="47"/>
        <v>4</v>
      </c>
      <c r="AP23" s="395">
        <f t="shared" ca="1" si="39"/>
        <v>0.30769230769230771</v>
      </c>
      <c r="AQ23" s="395"/>
      <c r="AR23" s="295">
        <f t="shared" ca="1" si="40"/>
        <v>5</v>
      </c>
      <c r="AS23" s="395">
        <f t="shared" ca="1" si="41"/>
        <v>0.38461538461538464</v>
      </c>
      <c r="AT23" s="395"/>
      <c r="AU23" s="388">
        <f t="shared" ca="1" si="42"/>
        <v>7</v>
      </c>
      <c r="AV23" s="399">
        <f t="shared" ca="1" si="43"/>
        <v>0.63636363636363635</v>
      </c>
      <c r="AY23" s="258">
        <f t="shared" si="48"/>
        <v>10</v>
      </c>
      <c r="AZ23" s="255" t="str">
        <f t="shared" ref="AZ23:AZ26" si="49">AZ22</f>
        <v>r</v>
      </c>
      <c r="BA23" s="258" t="str">
        <f t="shared" si="44"/>
        <v>'Credit_2012Q4'!r</v>
      </c>
      <c r="BC23" s="258" t="str">
        <f t="shared" si="45"/>
        <v>'Credit_2013Q4'!r</v>
      </c>
      <c r="BE23" s="258" t="str">
        <f t="shared" si="46"/>
        <v>'Credit_2014Q4'!r</v>
      </c>
      <c r="BG23" s="258" t="str">
        <f t="shared" si="46"/>
        <v>'Credit_2015Q4'!r</v>
      </c>
      <c r="BI23" s="258" t="str">
        <f t="shared" si="46"/>
        <v>'Credit_2016Q4'!r</v>
      </c>
    </row>
    <row r="24" spans="3:61" x14ac:dyDescent="0.2">
      <c r="C24" s="354"/>
      <c r="D24" s="354" t="s">
        <v>28</v>
      </c>
      <c r="E24" s="387">
        <v>4</v>
      </c>
      <c r="F24" s="395">
        <v>0.16666666666666666</v>
      </c>
      <c r="G24" s="438"/>
      <c r="H24" s="387">
        <v>4</v>
      </c>
      <c r="I24" s="395">
        <v>0.2</v>
      </c>
      <c r="J24" s="355"/>
      <c r="K24" s="387">
        <v>7</v>
      </c>
      <c r="L24" s="395">
        <v>0.30434782608695654</v>
      </c>
      <c r="M24" s="438"/>
      <c r="N24" s="387">
        <v>9</v>
      </c>
      <c r="O24" s="395">
        <f t="shared" si="28"/>
        <v>0.40909090909090912</v>
      </c>
      <c r="P24" s="395"/>
      <c r="Q24" s="387">
        <v>11</v>
      </c>
      <c r="R24" s="370">
        <f t="shared" si="29"/>
        <v>0.47826086956521741</v>
      </c>
      <c r="S24" s="395"/>
      <c r="T24" s="387">
        <v>6</v>
      </c>
      <c r="U24" s="370">
        <f t="shared" si="30"/>
        <v>0.31578947368421051</v>
      </c>
      <c r="V24" s="395"/>
      <c r="W24" s="387">
        <v>8</v>
      </c>
      <c r="X24" s="395">
        <f t="shared" si="31"/>
        <v>0.42105263157894735</v>
      </c>
      <c r="Y24" s="395"/>
      <c r="Z24" s="387">
        <v>6</v>
      </c>
      <c r="AA24" s="395">
        <f t="shared" si="32"/>
        <v>0.31578947368421051</v>
      </c>
      <c r="AB24" s="395"/>
      <c r="AC24" s="387">
        <f>Credit_2010Q4!$AD22</f>
        <v>4</v>
      </c>
      <c r="AD24" s="395">
        <f t="shared" si="33"/>
        <v>0.2</v>
      </c>
      <c r="AE24" s="395"/>
      <c r="AF24" s="387">
        <f>Credit_2011Q4!$AD22</f>
        <v>3</v>
      </c>
      <c r="AG24" s="395">
        <f t="shared" si="34"/>
        <v>0.15789473684210525</v>
      </c>
      <c r="AH24" s="395"/>
      <c r="AI24" s="387">
        <f t="shared" ca="1" si="35"/>
        <v>3</v>
      </c>
      <c r="AJ24" s="395">
        <f t="shared" ca="1" si="36"/>
        <v>0.17647058823529413</v>
      </c>
      <c r="AK24" s="395"/>
      <c r="AL24" s="387">
        <f t="shared" ca="1" si="37"/>
        <v>3</v>
      </c>
      <c r="AM24" s="395">
        <f t="shared" ca="1" si="38"/>
        <v>0.17647058823529413</v>
      </c>
      <c r="AN24" s="395"/>
      <c r="AO24" s="387">
        <f t="shared" ca="1" si="47"/>
        <v>2</v>
      </c>
      <c r="AP24" s="395">
        <f t="shared" ca="1" si="39"/>
        <v>0.15384615384615385</v>
      </c>
      <c r="AQ24" s="395"/>
      <c r="AR24" s="387">
        <f t="shared" ca="1" si="40"/>
        <v>1</v>
      </c>
      <c r="AS24" s="395">
        <f t="shared" ca="1" si="41"/>
        <v>7.6923076923076927E-2</v>
      </c>
      <c r="AT24" s="395"/>
      <c r="AU24" s="388">
        <f t="shared" ca="1" si="42"/>
        <v>0</v>
      </c>
      <c r="AV24" s="399">
        <f t="shared" ca="1" si="43"/>
        <v>0</v>
      </c>
      <c r="AY24" s="258">
        <f t="shared" si="48"/>
        <v>11</v>
      </c>
      <c r="AZ24" s="255" t="str">
        <f t="shared" si="49"/>
        <v>r</v>
      </c>
      <c r="BA24" s="258" t="str">
        <f t="shared" si="44"/>
        <v>'Credit_2012Q4'!r</v>
      </c>
      <c r="BC24" s="258" t="str">
        <f t="shared" si="45"/>
        <v>'Credit_2013Q4'!r</v>
      </c>
      <c r="BE24" s="258" t="str">
        <f t="shared" si="46"/>
        <v>'Credit_2014Q4'!r</v>
      </c>
      <c r="BG24" s="258" t="str">
        <f t="shared" si="46"/>
        <v>'Credit_2015Q4'!r</v>
      </c>
      <c r="BI24" s="258" t="str">
        <f t="shared" si="46"/>
        <v>'Credit_2016Q4'!r</v>
      </c>
    </row>
    <row r="25" spans="3:61" x14ac:dyDescent="0.2">
      <c r="C25" s="354"/>
      <c r="D25" s="354" t="s">
        <v>49</v>
      </c>
      <c r="E25" s="387">
        <v>2</v>
      </c>
      <c r="F25" s="395">
        <v>8.3333333333333329E-2</v>
      </c>
      <c r="G25" s="438"/>
      <c r="H25" s="387">
        <v>2</v>
      </c>
      <c r="I25" s="395">
        <v>0.1</v>
      </c>
      <c r="J25" s="355"/>
      <c r="K25" s="387">
        <v>7</v>
      </c>
      <c r="L25" s="395">
        <v>0.30434782608695654</v>
      </c>
      <c r="M25" s="438"/>
      <c r="N25" s="387">
        <v>0</v>
      </c>
      <c r="O25" s="395">
        <f t="shared" si="28"/>
        <v>0</v>
      </c>
      <c r="P25" s="395"/>
      <c r="Q25" s="387">
        <v>1</v>
      </c>
      <c r="R25" s="370">
        <f t="shared" si="29"/>
        <v>4.3478260869565216E-2</v>
      </c>
      <c r="S25" s="395"/>
      <c r="T25" s="387">
        <v>4</v>
      </c>
      <c r="U25" s="370">
        <f t="shared" si="30"/>
        <v>0.21052631578947367</v>
      </c>
      <c r="V25" s="395"/>
      <c r="W25" s="387">
        <v>3</v>
      </c>
      <c r="X25" s="395">
        <f t="shared" si="31"/>
        <v>0.15789473684210525</v>
      </c>
      <c r="Y25" s="395"/>
      <c r="Z25" s="387">
        <v>4</v>
      </c>
      <c r="AA25" s="395">
        <f t="shared" si="32"/>
        <v>0.21052631578947367</v>
      </c>
      <c r="AB25" s="395"/>
      <c r="AC25" s="387">
        <f>Credit_2010Q4!$AD23</f>
        <v>6</v>
      </c>
      <c r="AD25" s="395">
        <f t="shared" si="33"/>
        <v>0.3</v>
      </c>
      <c r="AE25" s="395"/>
      <c r="AF25" s="387">
        <f>Credit_2011Q4!$AD23</f>
        <v>6</v>
      </c>
      <c r="AG25" s="395">
        <f t="shared" si="34"/>
        <v>0.31578947368421051</v>
      </c>
      <c r="AH25" s="395"/>
      <c r="AI25" s="387">
        <f t="shared" ca="1" si="35"/>
        <v>4</v>
      </c>
      <c r="AJ25" s="395">
        <f t="shared" ca="1" si="36"/>
        <v>0.23529411764705882</v>
      </c>
      <c r="AK25" s="395"/>
      <c r="AL25" s="387">
        <f t="shared" ca="1" si="37"/>
        <v>3</v>
      </c>
      <c r="AM25" s="395">
        <f t="shared" ca="1" si="38"/>
        <v>0.17647058823529413</v>
      </c>
      <c r="AN25" s="395"/>
      <c r="AO25" s="387">
        <f t="shared" ca="1" si="47"/>
        <v>2</v>
      </c>
      <c r="AP25" s="395">
        <f t="shared" ca="1" si="39"/>
        <v>0.15384615384615385</v>
      </c>
      <c r="AQ25" s="395"/>
      <c r="AR25" s="387">
        <f t="shared" ca="1" si="40"/>
        <v>1</v>
      </c>
      <c r="AS25" s="395">
        <f t="shared" ca="1" si="41"/>
        <v>7.6923076923076927E-2</v>
      </c>
      <c r="AT25" s="395"/>
      <c r="AU25" s="388">
        <f t="shared" ca="1" si="42"/>
        <v>1</v>
      </c>
      <c r="AV25" s="399">
        <f t="shared" ca="1" si="43"/>
        <v>9.0909090909090912E-2</v>
      </c>
      <c r="AY25" s="258">
        <f t="shared" si="48"/>
        <v>12</v>
      </c>
      <c r="AZ25" s="255" t="str">
        <f t="shared" si="49"/>
        <v>r</v>
      </c>
      <c r="BA25" s="258" t="str">
        <f t="shared" si="44"/>
        <v>'Credit_2012Q4'!r</v>
      </c>
      <c r="BC25" s="258" t="str">
        <f t="shared" si="45"/>
        <v>'Credit_2013Q4'!r</v>
      </c>
      <c r="BE25" s="258" t="str">
        <f t="shared" si="46"/>
        <v>'Credit_2014Q4'!r</v>
      </c>
      <c r="BG25" s="258" t="str">
        <f t="shared" si="46"/>
        <v>'Credit_2015Q4'!r</v>
      </c>
      <c r="BI25" s="258" t="str">
        <f t="shared" si="46"/>
        <v>'Credit_2016Q4'!r</v>
      </c>
    </row>
    <row r="26" spans="3:61" x14ac:dyDescent="0.2">
      <c r="C26" s="356"/>
      <c r="D26" s="356" t="s">
        <v>79</v>
      </c>
      <c r="E26" s="389">
        <v>4</v>
      </c>
      <c r="F26" s="371">
        <v>0.16666666666666666</v>
      </c>
      <c r="G26" s="357"/>
      <c r="H26" s="389">
        <v>4</v>
      </c>
      <c r="I26" s="371">
        <v>0.2</v>
      </c>
      <c r="J26" s="358"/>
      <c r="K26" s="389">
        <v>0</v>
      </c>
      <c r="L26" s="371">
        <v>0</v>
      </c>
      <c r="M26" s="357"/>
      <c r="N26" s="389">
        <v>5</v>
      </c>
      <c r="O26" s="371">
        <f t="shared" si="28"/>
        <v>0.22727272727272727</v>
      </c>
      <c r="P26" s="371"/>
      <c r="Q26" s="389">
        <v>5</v>
      </c>
      <c r="R26" s="371">
        <f t="shared" si="29"/>
        <v>0.21739130434782608</v>
      </c>
      <c r="S26" s="371"/>
      <c r="T26" s="389">
        <v>1</v>
      </c>
      <c r="U26" s="393">
        <f t="shared" si="30"/>
        <v>5.2631578947368418E-2</v>
      </c>
      <c r="V26" s="371"/>
      <c r="W26" s="389">
        <v>0</v>
      </c>
      <c r="X26" s="371">
        <f t="shared" si="31"/>
        <v>0</v>
      </c>
      <c r="Y26" s="371"/>
      <c r="Z26" s="389">
        <v>0</v>
      </c>
      <c r="AA26" s="371">
        <f t="shared" si="32"/>
        <v>0</v>
      </c>
      <c r="AB26" s="371"/>
      <c r="AC26" s="389">
        <f>Credit_2010Q4!$AD24</f>
        <v>0</v>
      </c>
      <c r="AD26" s="371">
        <f t="shared" si="33"/>
        <v>0</v>
      </c>
      <c r="AE26" s="371"/>
      <c r="AF26" s="389">
        <f>Credit_2011Q4!$AD24</f>
        <v>0</v>
      </c>
      <c r="AG26" s="371">
        <f t="shared" si="34"/>
        <v>0</v>
      </c>
      <c r="AH26" s="371"/>
      <c r="AI26" s="389">
        <f t="shared" ca="1" si="35"/>
        <v>0</v>
      </c>
      <c r="AJ26" s="371">
        <f t="shared" ca="1" si="36"/>
        <v>0</v>
      </c>
      <c r="AK26" s="371"/>
      <c r="AL26" s="389">
        <f t="shared" ca="1" si="37"/>
        <v>0</v>
      </c>
      <c r="AM26" s="371">
        <f t="shared" ca="1" si="38"/>
        <v>0</v>
      </c>
      <c r="AN26" s="371"/>
      <c r="AO26" s="389">
        <f t="shared" ca="1" si="47"/>
        <v>0</v>
      </c>
      <c r="AP26" s="371">
        <f t="shared" ca="1" si="39"/>
        <v>0</v>
      </c>
      <c r="AQ26" s="371"/>
      <c r="AR26" s="389">
        <f t="shared" ca="1" si="40"/>
        <v>0</v>
      </c>
      <c r="AS26" s="371">
        <f t="shared" ca="1" si="41"/>
        <v>0</v>
      </c>
      <c r="AT26" s="371"/>
      <c r="AU26" s="390">
        <f t="shared" ca="1" si="42"/>
        <v>0</v>
      </c>
      <c r="AV26" s="400">
        <f t="shared" ca="1" si="43"/>
        <v>0</v>
      </c>
      <c r="AY26" s="258">
        <f t="shared" si="48"/>
        <v>13</v>
      </c>
      <c r="AZ26" s="255" t="str">
        <f t="shared" si="49"/>
        <v>r</v>
      </c>
      <c r="BA26" s="258" t="str">
        <f t="shared" si="44"/>
        <v>'Credit_2012Q4'!r</v>
      </c>
      <c r="BC26" s="258" t="str">
        <f t="shared" si="45"/>
        <v>'Credit_2013Q4'!r</v>
      </c>
      <c r="BE26" s="258" t="str">
        <f t="shared" si="46"/>
        <v>'Credit_2014Q4'!r</v>
      </c>
      <c r="BG26" s="258" t="str">
        <f t="shared" si="46"/>
        <v>'Credit_2015Q4'!r</v>
      </c>
      <c r="BI26" s="258" t="str">
        <f t="shared" si="46"/>
        <v>'Credit_2016Q4'!r</v>
      </c>
    </row>
    <row r="27" spans="3:61" s="365" customFormat="1" x14ac:dyDescent="0.2">
      <c r="C27" s="359"/>
      <c r="D27" s="359" t="s">
        <v>80</v>
      </c>
      <c r="E27" s="291">
        <f t="shared" ref="E27:AA27" si="50">SUM(E21:E26)</f>
        <v>24</v>
      </c>
      <c r="F27" s="376">
        <f t="shared" si="50"/>
        <v>1</v>
      </c>
      <c r="G27" s="366"/>
      <c r="H27" s="291">
        <f t="shared" si="50"/>
        <v>20</v>
      </c>
      <c r="I27" s="376">
        <f t="shared" si="50"/>
        <v>1</v>
      </c>
      <c r="J27" s="366"/>
      <c r="K27" s="291">
        <f t="shared" si="50"/>
        <v>23</v>
      </c>
      <c r="L27" s="376">
        <f t="shared" si="50"/>
        <v>1</v>
      </c>
      <c r="M27" s="366"/>
      <c r="N27" s="291">
        <f>SUM(N21:N26)</f>
        <v>22</v>
      </c>
      <c r="O27" s="376">
        <f>SUM(O21:O26)</f>
        <v>1</v>
      </c>
      <c r="P27" s="376"/>
      <c r="Q27" s="291">
        <f>SUM(Q21:Q26)</f>
        <v>23</v>
      </c>
      <c r="R27" s="376">
        <f t="shared" si="50"/>
        <v>0.99999999999999989</v>
      </c>
      <c r="S27" s="376"/>
      <c r="T27" s="291">
        <f>SUM(T21:T26)</f>
        <v>19</v>
      </c>
      <c r="U27" s="376">
        <f t="shared" si="50"/>
        <v>1</v>
      </c>
      <c r="V27" s="376"/>
      <c r="W27" s="291">
        <f>SUM(W21:W26)</f>
        <v>19</v>
      </c>
      <c r="X27" s="376">
        <f t="shared" si="50"/>
        <v>1</v>
      </c>
      <c r="Y27" s="376"/>
      <c r="Z27" s="291">
        <f>SUM(Z21:Z26)</f>
        <v>19</v>
      </c>
      <c r="AA27" s="376">
        <f t="shared" si="50"/>
        <v>1</v>
      </c>
      <c r="AB27" s="376"/>
      <c r="AC27" s="291">
        <f t="shared" ref="AC27:AF27" si="51">SUM(AC21:AC26)</f>
        <v>20</v>
      </c>
      <c r="AD27" s="376">
        <f t="shared" si="51"/>
        <v>1</v>
      </c>
      <c r="AE27" s="376"/>
      <c r="AF27" s="291">
        <f t="shared" si="51"/>
        <v>19</v>
      </c>
      <c r="AG27" s="376">
        <f t="shared" ref="AG27" si="52">SUM(AG21:AG26)</f>
        <v>0.99999999999999989</v>
      </c>
      <c r="AH27" s="376"/>
      <c r="AI27" s="291">
        <f ca="1">SUM(AI21:AI26)</f>
        <v>17</v>
      </c>
      <c r="AJ27" s="376">
        <f t="shared" ref="AJ27" ca="1" si="53">SUM(AJ21:AJ26)</f>
        <v>1</v>
      </c>
      <c r="AK27" s="376"/>
      <c r="AL27" s="291">
        <f ca="1">SUM(AL21:AL26)</f>
        <v>17</v>
      </c>
      <c r="AM27" s="376">
        <f ca="1">SUM(AM21:AM26)</f>
        <v>1</v>
      </c>
      <c r="AN27" s="376"/>
      <c r="AO27" s="391">
        <f ca="1">SUM(AO21:AO26)</f>
        <v>13</v>
      </c>
      <c r="AP27" s="376">
        <f ca="1">SUM(AP21:AP26)</f>
        <v>1</v>
      </c>
      <c r="AQ27" s="376"/>
      <c r="AR27" s="291">
        <f ca="1">SUM(AR21:AR26)</f>
        <v>13</v>
      </c>
      <c r="AS27" s="376">
        <f ca="1">SUM(AS21:AS26)</f>
        <v>1</v>
      </c>
      <c r="AT27" s="376"/>
      <c r="AU27" s="392">
        <f ca="1">SUM(AU21:AU26)</f>
        <v>11</v>
      </c>
      <c r="AV27" s="401">
        <f ca="1">SUM(AV21:AV26)</f>
        <v>1</v>
      </c>
      <c r="AZ27" s="260"/>
    </row>
    <row r="28" spans="3:61" x14ac:dyDescent="0.2">
      <c r="C28" s="361"/>
      <c r="D28" s="361"/>
      <c r="E28" s="255"/>
      <c r="F28" s="375"/>
      <c r="G28" s="364"/>
      <c r="H28" s="255"/>
      <c r="I28" s="375"/>
      <c r="J28" s="364"/>
      <c r="K28" s="255"/>
      <c r="L28" s="375"/>
      <c r="M28" s="364"/>
      <c r="N28" s="255"/>
      <c r="O28" s="375"/>
      <c r="P28" s="375"/>
      <c r="Q28" s="255"/>
      <c r="R28" s="375"/>
      <c r="S28" s="375"/>
      <c r="T28" s="255"/>
      <c r="U28" s="375"/>
      <c r="V28" s="375"/>
      <c r="W28" s="255"/>
      <c r="X28" s="375"/>
      <c r="Y28" s="375"/>
      <c r="Z28" s="255"/>
      <c r="AA28" s="375"/>
      <c r="AB28" s="375"/>
      <c r="AC28" s="255"/>
      <c r="AD28" s="375"/>
      <c r="AE28" s="375"/>
      <c r="AF28" s="255"/>
      <c r="AG28" s="375"/>
      <c r="AH28" s="375"/>
      <c r="AI28" s="255"/>
      <c r="AJ28" s="375"/>
      <c r="AK28" s="375"/>
      <c r="AL28" s="255"/>
      <c r="AM28" s="375"/>
      <c r="AN28" s="375"/>
      <c r="AO28" s="255"/>
      <c r="AP28" s="375"/>
      <c r="AQ28" s="375"/>
      <c r="AR28" s="255"/>
      <c r="AS28" s="375"/>
      <c r="AT28" s="375"/>
      <c r="AU28" s="379"/>
      <c r="AV28" s="402"/>
    </row>
    <row r="29" spans="3:61" x14ac:dyDescent="0.2">
      <c r="C29" s="361"/>
      <c r="D29" s="361"/>
      <c r="E29" s="255"/>
      <c r="F29" s="375"/>
      <c r="G29" s="364"/>
      <c r="H29" s="255"/>
      <c r="I29" s="375"/>
      <c r="J29" s="364"/>
      <c r="K29" s="255"/>
      <c r="L29" s="375"/>
      <c r="M29" s="364"/>
      <c r="N29" s="255"/>
      <c r="O29" s="375"/>
      <c r="P29" s="375"/>
      <c r="Q29" s="255"/>
      <c r="R29" s="375"/>
      <c r="S29" s="375"/>
      <c r="T29" s="255"/>
      <c r="U29" s="375"/>
      <c r="V29" s="375"/>
      <c r="W29" s="255"/>
      <c r="X29" s="375"/>
      <c r="Y29" s="375"/>
      <c r="Z29" s="255"/>
      <c r="AA29" s="375"/>
      <c r="AB29" s="375"/>
      <c r="AC29" s="255"/>
      <c r="AD29" s="375"/>
      <c r="AE29" s="375"/>
      <c r="AF29" s="255"/>
      <c r="AG29" s="375"/>
      <c r="AH29" s="375"/>
      <c r="AI29" s="255"/>
      <c r="AJ29" s="375"/>
      <c r="AK29" s="375"/>
      <c r="AL29" s="255"/>
      <c r="AM29" s="375"/>
      <c r="AN29" s="375"/>
      <c r="AO29" s="255"/>
      <c r="AP29" s="375"/>
      <c r="AQ29" s="375"/>
      <c r="AR29" s="255"/>
      <c r="AS29" s="375"/>
      <c r="AT29" s="375"/>
      <c r="AU29" s="379"/>
      <c r="AV29" s="402"/>
    </row>
    <row r="30" spans="3:61" x14ac:dyDescent="0.2">
      <c r="C30" s="348"/>
      <c r="D30" s="348" t="s">
        <v>140</v>
      </c>
      <c r="E30" s="382"/>
      <c r="F30" s="374"/>
      <c r="G30" s="363"/>
      <c r="H30" s="382"/>
      <c r="I30" s="374"/>
      <c r="J30" s="363"/>
      <c r="K30" s="382"/>
      <c r="L30" s="374"/>
      <c r="M30" s="363"/>
      <c r="N30" s="382"/>
      <c r="O30" s="374"/>
      <c r="P30" s="374"/>
      <c r="Q30" s="382"/>
      <c r="R30" s="374"/>
      <c r="S30" s="374"/>
      <c r="T30" s="382"/>
      <c r="U30" s="374"/>
      <c r="V30" s="374"/>
      <c r="W30" s="383"/>
      <c r="X30" s="396"/>
      <c r="Y30" s="374"/>
      <c r="Z30" s="383"/>
      <c r="AA30" s="396"/>
      <c r="AB30" s="374"/>
      <c r="AC30" s="383"/>
      <c r="AD30" s="396"/>
      <c r="AE30" s="374"/>
      <c r="AF30" s="383"/>
      <c r="AG30" s="396"/>
      <c r="AH30" s="374"/>
      <c r="AI30" s="383"/>
      <c r="AJ30" s="396"/>
      <c r="AK30" s="374"/>
      <c r="AL30" s="383"/>
      <c r="AM30" s="396"/>
      <c r="AN30" s="374"/>
      <c r="AO30" s="383"/>
      <c r="AP30" s="396"/>
      <c r="AQ30" s="374"/>
      <c r="AR30" s="383"/>
      <c r="AS30" s="396"/>
      <c r="AT30" s="374"/>
      <c r="AU30" s="384"/>
      <c r="AV30" s="403"/>
    </row>
    <row r="31" spans="3:61" x14ac:dyDescent="0.2">
      <c r="C31" s="350"/>
      <c r="D31" s="350" t="s">
        <v>138</v>
      </c>
      <c r="E31" s="293">
        <v>2</v>
      </c>
      <c r="F31" s="394">
        <v>0.14285714285714285</v>
      </c>
      <c r="G31" s="439"/>
      <c r="H31" s="293">
        <v>0</v>
      </c>
      <c r="I31" s="394">
        <v>0</v>
      </c>
      <c r="J31" s="440"/>
      <c r="K31" s="293">
        <v>0</v>
      </c>
      <c r="L31" s="394">
        <v>0</v>
      </c>
      <c r="M31" s="439"/>
      <c r="N31" s="293">
        <v>0</v>
      </c>
      <c r="O31" s="394">
        <f t="shared" ref="O31:O36" si="54">N31/$N$37</f>
        <v>0</v>
      </c>
      <c r="P31" s="394"/>
      <c r="Q31" s="293">
        <v>1</v>
      </c>
      <c r="R31" s="394">
        <f t="shared" ref="R31:R36" si="55">Q31/$Q$37</f>
        <v>9.0909090909090912E-2</v>
      </c>
      <c r="S31" s="394"/>
      <c r="T31" s="293">
        <v>0</v>
      </c>
      <c r="U31" s="369">
        <f t="shared" ref="U31:U36" si="56">T31/$T$37</f>
        <v>0</v>
      </c>
      <c r="V31" s="394"/>
      <c r="W31" s="385">
        <v>0</v>
      </c>
      <c r="X31" s="394">
        <f t="shared" ref="X31:X36" si="57">W31/$W$37</f>
        <v>0</v>
      </c>
      <c r="Y31" s="394"/>
      <c r="Z31" s="385">
        <v>0</v>
      </c>
      <c r="AA31" s="394">
        <f t="shared" ref="AA31:AA36" si="58">Z31/Z$37</f>
        <v>0</v>
      </c>
      <c r="AB31" s="394"/>
      <c r="AC31" s="385">
        <f>Credit_2010Q4!$AD30</f>
        <v>0</v>
      </c>
      <c r="AD31" s="394">
        <f t="shared" ref="AD31:AD36" si="59">AC31/AC$37</f>
        <v>0</v>
      </c>
      <c r="AE31" s="394"/>
      <c r="AF31" s="385">
        <f>Credit_2011Q4!$AD30</f>
        <v>0</v>
      </c>
      <c r="AG31" s="394">
        <f t="shared" ref="AG31:AG36" si="60">AF31/AF$37</f>
        <v>0</v>
      </c>
      <c r="AH31" s="394"/>
      <c r="AI31" s="293">
        <f t="shared" ref="AI31:AI36" ca="1" si="61">INDIRECT( BA31 &amp; $AY31 )</f>
        <v>0</v>
      </c>
      <c r="AJ31" s="394">
        <f t="shared" ref="AJ31:AJ36" ca="1" si="62">AI31/AI$37</f>
        <v>0</v>
      </c>
      <c r="AK31" s="394"/>
      <c r="AL31" s="293">
        <f t="shared" ref="AL31:AL36" ca="1" si="63">INDIRECT( BC31 &amp; $AY31 )</f>
        <v>0</v>
      </c>
      <c r="AM31" s="394">
        <f t="shared" ref="AM31:AM36" ca="1" si="64">AL31/AL$37</f>
        <v>0</v>
      </c>
      <c r="AN31" s="394"/>
      <c r="AO31" s="293">
        <f ca="1">INDIRECT( BE31 &amp; $AY31 )</f>
        <v>0</v>
      </c>
      <c r="AP31" s="394">
        <f t="shared" ref="AP31:AP36" ca="1" si="65">AO31/AO$37</f>
        <v>0</v>
      </c>
      <c r="AQ31" s="394"/>
      <c r="AR31" s="293">
        <f t="shared" ref="AR31:AR36" ca="1" si="66">INDIRECT( BG31 &amp; $AY31 )</f>
        <v>0</v>
      </c>
      <c r="AS31" s="394">
        <f t="shared" ref="AS31:AS36" ca="1" si="67">AR31/AR$37</f>
        <v>0</v>
      </c>
      <c r="AT31" s="394"/>
      <c r="AU31" s="386">
        <f t="shared" ref="AU31:AU36" ca="1" si="68">INDIRECT( BI31 &amp; $AY31 )</f>
        <v>0</v>
      </c>
      <c r="AV31" s="398">
        <f t="shared" ref="AV31:AV36" ca="1" si="69">AU31/AU$37</f>
        <v>0</v>
      </c>
      <c r="AY31" s="258">
        <f>AY21</f>
        <v>8</v>
      </c>
      <c r="AZ31" s="353" t="s">
        <v>491</v>
      </c>
      <c r="BA31" s="258" t="str">
        <f t="shared" ref="BA31:BA36" si="70">BA$5 &amp; "!" &amp;$AZ31</f>
        <v>'Credit_2012Q4'!u</v>
      </c>
      <c r="BC31" s="258" t="str">
        <f t="shared" ref="BC31:BC36" si="71">BC$5 &amp; "!" &amp;$AZ31</f>
        <v>'Credit_2013Q4'!u</v>
      </c>
      <c r="BE31" s="258" t="str">
        <f t="shared" ref="BE31:BI36" si="72">BE$5 &amp; "!" &amp;$AZ31</f>
        <v>'Credit_2014Q4'!u</v>
      </c>
      <c r="BG31" s="258" t="str">
        <f t="shared" si="72"/>
        <v>'Credit_2015Q4'!u</v>
      </c>
      <c r="BI31" s="258" t="str">
        <f t="shared" si="72"/>
        <v>'Credit_2016Q4'!u</v>
      </c>
    </row>
    <row r="32" spans="3:61" x14ac:dyDescent="0.2">
      <c r="C32" s="354"/>
      <c r="D32" s="354" t="s">
        <v>10</v>
      </c>
      <c r="E32" s="295">
        <v>1</v>
      </c>
      <c r="F32" s="395">
        <v>7.1428571428571425E-2</v>
      </c>
      <c r="G32" s="438"/>
      <c r="H32" s="295">
        <v>2</v>
      </c>
      <c r="I32" s="395">
        <v>0.13333333333333333</v>
      </c>
      <c r="J32" s="434"/>
      <c r="K32" s="295">
        <v>1</v>
      </c>
      <c r="L32" s="395">
        <v>9.0909090909090912E-2</v>
      </c>
      <c r="M32" s="438"/>
      <c r="N32" s="295">
        <v>1</v>
      </c>
      <c r="O32" s="395">
        <f t="shared" si="54"/>
        <v>9.0909090909090912E-2</v>
      </c>
      <c r="P32" s="395"/>
      <c r="Q32" s="295">
        <v>0</v>
      </c>
      <c r="R32" s="395">
        <f t="shared" si="55"/>
        <v>0</v>
      </c>
      <c r="S32" s="395"/>
      <c r="T32" s="295">
        <v>2</v>
      </c>
      <c r="U32" s="370">
        <f t="shared" si="56"/>
        <v>0.22222222222222221</v>
      </c>
      <c r="V32" s="395"/>
      <c r="W32" s="387">
        <v>0</v>
      </c>
      <c r="X32" s="395">
        <f t="shared" si="57"/>
        <v>0</v>
      </c>
      <c r="Y32" s="395"/>
      <c r="Z32" s="387">
        <v>0</v>
      </c>
      <c r="AA32" s="395">
        <f t="shared" si="58"/>
        <v>0</v>
      </c>
      <c r="AB32" s="395"/>
      <c r="AC32" s="387">
        <f>Credit_2010Q4!$AD31</f>
        <v>0</v>
      </c>
      <c r="AD32" s="395">
        <f t="shared" si="59"/>
        <v>0</v>
      </c>
      <c r="AE32" s="395"/>
      <c r="AF32" s="387">
        <f>Credit_2011Q4!$AD31</f>
        <v>0</v>
      </c>
      <c r="AG32" s="395">
        <f t="shared" si="60"/>
        <v>0</v>
      </c>
      <c r="AH32" s="395"/>
      <c r="AI32" s="295">
        <f t="shared" ca="1" si="61"/>
        <v>0</v>
      </c>
      <c r="AJ32" s="395">
        <f t="shared" ca="1" si="62"/>
        <v>0</v>
      </c>
      <c r="AK32" s="395"/>
      <c r="AL32" s="295">
        <f t="shared" ca="1" si="63"/>
        <v>0</v>
      </c>
      <c r="AM32" s="395">
        <f t="shared" ca="1" si="64"/>
        <v>0</v>
      </c>
      <c r="AN32" s="395"/>
      <c r="AO32" s="295">
        <f t="shared" ref="AO32:AO36" ca="1" si="73">INDIRECT( BE32 &amp; $AY32 )</f>
        <v>0</v>
      </c>
      <c r="AP32" s="395">
        <f t="shared" ca="1" si="65"/>
        <v>0</v>
      </c>
      <c r="AQ32" s="395"/>
      <c r="AR32" s="295">
        <f t="shared" ca="1" si="66"/>
        <v>0</v>
      </c>
      <c r="AS32" s="395">
        <f t="shared" ca="1" si="67"/>
        <v>0</v>
      </c>
      <c r="AT32" s="395"/>
      <c r="AU32" s="388">
        <f t="shared" ca="1" si="68"/>
        <v>0</v>
      </c>
      <c r="AV32" s="399">
        <f t="shared" ca="1" si="69"/>
        <v>0</v>
      </c>
      <c r="AY32" s="258">
        <f t="shared" ref="AY32:AY36" si="74">AY22</f>
        <v>9</v>
      </c>
      <c r="AZ32" s="255" t="str">
        <f>AZ31</f>
        <v>u</v>
      </c>
      <c r="BA32" s="258" t="str">
        <f t="shared" si="70"/>
        <v>'Credit_2012Q4'!u</v>
      </c>
      <c r="BC32" s="258" t="str">
        <f t="shared" si="71"/>
        <v>'Credit_2013Q4'!u</v>
      </c>
      <c r="BE32" s="258" t="str">
        <f t="shared" si="72"/>
        <v>'Credit_2014Q4'!u</v>
      </c>
      <c r="BG32" s="258" t="str">
        <f t="shared" si="72"/>
        <v>'Credit_2015Q4'!u</v>
      </c>
      <c r="BI32" s="258" t="str">
        <f t="shared" si="72"/>
        <v>'Credit_2016Q4'!u</v>
      </c>
    </row>
    <row r="33" spans="3:61" x14ac:dyDescent="0.2">
      <c r="C33" s="354"/>
      <c r="D33" s="354" t="s">
        <v>16</v>
      </c>
      <c r="E33" s="295">
        <v>2</v>
      </c>
      <c r="F33" s="395">
        <v>0.14285714285714285</v>
      </c>
      <c r="G33" s="438"/>
      <c r="H33" s="295">
        <v>4</v>
      </c>
      <c r="I33" s="395">
        <v>0.26666666666666666</v>
      </c>
      <c r="J33" s="434"/>
      <c r="K33" s="295">
        <v>3</v>
      </c>
      <c r="L33" s="395">
        <v>0.27272727272727271</v>
      </c>
      <c r="M33" s="438"/>
      <c r="N33" s="295">
        <v>2</v>
      </c>
      <c r="O33" s="395">
        <f t="shared" si="54"/>
        <v>0.18181818181818182</v>
      </c>
      <c r="P33" s="395"/>
      <c r="Q33" s="295">
        <v>4</v>
      </c>
      <c r="R33" s="395">
        <f t="shared" si="55"/>
        <v>0.36363636363636365</v>
      </c>
      <c r="S33" s="395"/>
      <c r="T33" s="295">
        <v>3</v>
      </c>
      <c r="U33" s="370">
        <f t="shared" si="56"/>
        <v>0.33333333333333331</v>
      </c>
      <c r="V33" s="395"/>
      <c r="W33" s="387">
        <v>2</v>
      </c>
      <c r="X33" s="395">
        <f t="shared" si="57"/>
        <v>0.2857142857142857</v>
      </c>
      <c r="Y33" s="395"/>
      <c r="Z33" s="387">
        <v>1</v>
      </c>
      <c r="AA33" s="395">
        <f t="shared" si="58"/>
        <v>0.16666666666666666</v>
      </c>
      <c r="AB33" s="395"/>
      <c r="AC33" s="387">
        <f>Credit_2010Q4!$AD32</f>
        <v>2</v>
      </c>
      <c r="AD33" s="395">
        <f t="shared" si="59"/>
        <v>0.4</v>
      </c>
      <c r="AE33" s="395"/>
      <c r="AF33" s="387">
        <f>Credit_2011Q4!$AD32</f>
        <v>1</v>
      </c>
      <c r="AG33" s="395">
        <f t="shared" si="60"/>
        <v>0.25</v>
      </c>
      <c r="AH33" s="395"/>
      <c r="AI33" s="295">
        <f t="shared" ca="1" si="61"/>
        <v>1</v>
      </c>
      <c r="AJ33" s="395">
        <f t="shared" ca="1" si="62"/>
        <v>0.33333333333333331</v>
      </c>
      <c r="AK33" s="395"/>
      <c r="AL33" s="295">
        <f t="shared" ca="1" si="63"/>
        <v>1</v>
      </c>
      <c r="AM33" s="395">
        <f t="shared" ca="1" si="64"/>
        <v>0.5</v>
      </c>
      <c r="AN33" s="395"/>
      <c r="AO33" s="295">
        <f t="shared" ca="1" si="73"/>
        <v>1</v>
      </c>
      <c r="AP33" s="395">
        <f t="shared" ca="1" si="65"/>
        <v>0.5</v>
      </c>
      <c r="AQ33" s="395"/>
      <c r="AR33" s="295">
        <f t="shared" ca="1" si="66"/>
        <v>1</v>
      </c>
      <c r="AS33" s="395">
        <f t="shared" ca="1" si="67"/>
        <v>0.5</v>
      </c>
      <c r="AT33" s="395"/>
      <c r="AU33" s="388">
        <f t="shared" ca="1" si="68"/>
        <v>0</v>
      </c>
      <c r="AV33" s="399">
        <f t="shared" ca="1" si="69"/>
        <v>0</v>
      </c>
      <c r="AY33" s="258">
        <f t="shared" si="74"/>
        <v>10</v>
      </c>
      <c r="AZ33" s="255" t="str">
        <f t="shared" ref="AZ33:AZ36" si="75">AZ32</f>
        <v>u</v>
      </c>
      <c r="BA33" s="258" t="str">
        <f t="shared" si="70"/>
        <v>'Credit_2012Q4'!u</v>
      </c>
      <c r="BC33" s="258" t="str">
        <f t="shared" si="71"/>
        <v>'Credit_2013Q4'!u</v>
      </c>
      <c r="BE33" s="258" t="str">
        <f t="shared" si="72"/>
        <v>'Credit_2014Q4'!u</v>
      </c>
      <c r="BG33" s="258" t="str">
        <f t="shared" si="72"/>
        <v>'Credit_2015Q4'!u</v>
      </c>
      <c r="BI33" s="258" t="str">
        <f t="shared" si="72"/>
        <v>'Credit_2016Q4'!u</v>
      </c>
    </row>
    <row r="34" spans="3:61" x14ac:dyDescent="0.2">
      <c r="C34" s="354"/>
      <c r="D34" s="354" t="s">
        <v>28</v>
      </c>
      <c r="E34" s="387">
        <v>7</v>
      </c>
      <c r="F34" s="395">
        <v>0.5</v>
      </c>
      <c r="G34" s="438"/>
      <c r="H34" s="387">
        <v>5</v>
      </c>
      <c r="I34" s="395">
        <v>0.33333333333333331</v>
      </c>
      <c r="J34" s="434"/>
      <c r="K34" s="387">
        <v>5</v>
      </c>
      <c r="L34" s="395">
        <v>0.45454545454545453</v>
      </c>
      <c r="M34" s="438"/>
      <c r="N34" s="387">
        <v>5</v>
      </c>
      <c r="O34" s="395">
        <f t="shared" si="54"/>
        <v>0.45454545454545453</v>
      </c>
      <c r="P34" s="395"/>
      <c r="Q34" s="387">
        <v>3</v>
      </c>
      <c r="R34" s="395">
        <f t="shared" si="55"/>
        <v>0.27272727272727271</v>
      </c>
      <c r="S34" s="395"/>
      <c r="T34" s="387">
        <v>1</v>
      </c>
      <c r="U34" s="370">
        <f t="shared" si="56"/>
        <v>0.1111111111111111</v>
      </c>
      <c r="V34" s="395"/>
      <c r="W34" s="387">
        <v>2</v>
      </c>
      <c r="X34" s="395">
        <f t="shared" si="57"/>
        <v>0.2857142857142857</v>
      </c>
      <c r="Y34" s="395"/>
      <c r="Z34" s="387">
        <v>2</v>
      </c>
      <c r="AA34" s="395">
        <f t="shared" si="58"/>
        <v>0.33333333333333331</v>
      </c>
      <c r="AB34" s="395"/>
      <c r="AC34" s="387">
        <f>Credit_2010Q4!$AD33</f>
        <v>0</v>
      </c>
      <c r="AD34" s="395">
        <f t="shared" si="59"/>
        <v>0</v>
      </c>
      <c r="AE34" s="395"/>
      <c r="AF34" s="387">
        <f>Credit_2011Q4!$AD33</f>
        <v>0</v>
      </c>
      <c r="AG34" s="395">
        <f t="shared" si="60"/>
        <v>0</v>
      </c>
      <c r="AH34" s="395"/>
      <c r="AI34" s="387">
        <f t="shared" ca="1" si="61"/>
        <v>0</v>
      </c>
      <c r="AJ34" s="395">
        <f t="shared" ca="1" si="62"/>
        <v>0</v>
      </c>
      <c r="AK34" s="395"/>
      <c r="AL34" s="387">
        <f t="shared" ca="1" si="63"/>
        <v>0</v>
      </c>
      <c r="AM34" s="395">
        <f t="shared" ca="1" si="64"/>
        <v>0</v>
      </c>
      <c r="AN34" s="395"/>
      <c r="AO34" s="387">
        <f t="shared" ca="1" si="73"/>
        <v>0</v>
      </c>
      <c r="AP34" s="395">
        <f t="shared" ca="1" si="65"/>
        <v>0</v>
      </c>
      <c r="AQ34" s="395"/>
      <c r="AR34" s="387">
        <f t="shared" ca="1" si="66"/>
        <v>0</v>
      </c>
      <c r="AS34" s="395">
        <f t="shared" ca="1" si="67"/>
        <v>0</v>
      </c>
      <c r="AT34" s="395"/>
      <c r="AU34" s="388">
        <f t="shared" ca="1" si="68"/>
        <v>1</v>
      </c>
      <c r="AV34" s="399">
        <f t="shared" ca="1" si="69"/>
        <v>0.5</v>
      </c>
      <c r="AY34" s="258">
        <f t="shared" si="74"/>
        <v>11</v>
      </c>
      <c r="AZ34" s="255" t="str">
        <f t="shared" si="75"/>
        <v>u</v>
      </c>
      <c r="BA34" s="258" t="str">
        <f t="shared" si="70"/>
        <v>'Credit_2012Q4'!u</v>
      </c>
      <c r="BC34" s="258" t="str">
        <f t="shared" si="71"/>
        <v>'Credit_2013Q4'!u</v>
      </c>
      <c r="BE34" s="258" t="str">
        <f t="shared" si="72"/>
        <v>'Credit_2014Q4'!u</v>
      </c>
      <c r="BG34" s="258" t="str">
        <f t="shared" si="72"/>
        <v>'Credit_2015Q4'!u</v>
      </c>
      <c r="BI34" s="258" t="str">
        <f t="shared" si="72"/>
        <v>'Credit_2016Q4'!u</v>
      </c>
    </row>
    <row r="35" spans="3:61" x14ac:dyDescent="0.2">
      <c r="C35" s="354"/>
      <c r="D35" s="354" t="s">
        <v>49</v>
      </c>
      <c r="E35" s="387">
        <v>0</v>
      </c>
      <c r="F35" s="395">
        <v>0</v>
      </c>
      <c r="G35" s="438"/>
      <c r="H35" s="387">
        <v>2</v>
      </c>
      <c r="I35" s="395">
        <v>0.13333333333333333</v>
      </c>
      <c r="J35" s="434"/>
      <c r="K35" s="387">
        <v>1</v>
      </c>
      <c r="L35" s="395">
        <v>9.0909090909090912E-2</v>
      </c>
      <c r="M35" s="438"/>
      <c r="N35" s="387">
        <v>2</v>
      </c>
      <c r="O35" s="395">
        <f t="shared" si="54"/>
        <v>0.18181818181818182</v>
      </c>
      <c r="P35" s="395"/>
      <c r="Q35" s="387">
        <v>2</v>
      </c>
      <c r="R35" s="395">
        <f t="shared" si="55"/>
        <v>0.18181818181818182</v>
      </c>
      <c r="S35" s="395"/>
      <c r="T35" s="387">
        <v>2</v>
      </c>
      <c r="U35" s="370">
        <f t="shared" si="56"/>
        <v>0.22222222222222221</v>
      </c>
      <c r="V35" s="395"/>
      <c r="W35" s="387">
        <v>2</v>
      </c>
      <c r="X35" s="395">
        <f t="shared" si="57"/>
        <v>0.2857142857142857</v>
      </c>
      <c r="Y35" s="395"/>
      <c r="Z35" s="387">
        <v>2</v>
      </c>
      <c r="AA35" s="395">
        <f t="shared" si="58"/>
        <v>0.33333333333333331</v>
      </c>
      <c r="AB35" s="395"/>
      <c r="AC35" s="387">
        <f>Credit_2010Q4!$AD34</f>
        <v>2</v>
      </c>
      <c r="AD35" s="395">
        <f t="shared" si="59"/>
        <v>0.4</v>
      </c>
      <c r="AE35" s="395"/>
      <c r="AF35" s="387">
        <f>Credit_2011Q4!$AD34</f>
        <v>2</v>
      </c>
      <c r="AG35" s="395">
        <f t="shared" si="60"/>
        <v>0.5</v>
      </c>
      <c r="AH35" s="395"/>
      <c r="AI35" s="387">
        <f t="shared" ca="1" si="61"/>
        <v>1</v>
      </c>
      <c r="AJ35" s="395">
        <f t="shared" ca="1" si="62"/>
        <v>0.33333333333333331</v>
      </c>
      <c r="AK35" s="395"/>
      <c r="AL35" s="387">
        <f t="shared" ca="1" si="63"/>
        <v>0</v>
      </c>
      <c r="AM35" s="395">
        <f t="shared" ca="1" si="64"/>
        <v>0</v>
      </c>
      <c r="AN35" s="395"/>
      <c r="AO35" s="387">
        <f t="shared" ca="1" si="73"/>
        <v>1</v>
      </c>
      <c r="AP35" s="395">
        <f t="shared" ca="1" si="65"/>
        <v>0.5</v>
      </c>
      <c r="AQ35" s="395"/>
      <c r="AR35" s="387">
        <f t="shared" ca="1" si="66"/>
        <v>1</v>
      </c>
      <c r="AS35" s="395">
        <f t="shared" ca="1" si="67"/>
        <v>0.5</v>
      </c>
      <c r="AT35" s="395"/>
      <c r="AU35" s="388">
        <f t="shared" ca="1" si="68"/>
        <v>1</v>
      </c>
      <c r="AV35" s="399">
        <f t="shared" ca="1" si="69"/>
        <v>0.5</v>
      </c>
      <c r="AY35" s="258">
        <f t="shared" si="74"/>
        <v>12</v>
      </c>
      <c r="AZ35" s="255" t="str">
        <f t="shared" si="75"/>
        <v>u</v>
      </c>
      <c r="BA35" s="258" t="str">
        <f t="shared" si="70"/>
        <v>'Credit_2012Q4'!u</v>
      </c>
      <c r="BC35" s="258" t="str">
        <f t="shared" si="71"/>
        <v>'Credit_2013Q4'!u</v>
      </c>
      <c r="BE35" s="258" t="str">
        <f t="shared" si="72"/>
        <v>'Credit_2014Q4'!u</v>
      </c>
      <c r="BG35" s="258" t="str">
        <f t="shared" si="72"/>
        <v>'Credit_2015Q4'!u</v>
      </c>
      <c r="BI35" s="258" t="str">
        <f t="shared" si="72"/>
        <v>'Credit_2016Q4'!u</v>
      </c>
    </row>
    <row r="36" spans="3:61" x14ac:dyDescent="0.2">
      <c r="C36" s="356"/>
      <c r="D36" s="356" t="s">
        <v>79</v>
      </c>
      <c r="E36" s="389">
        <v>2</v>
      </c>
      <c r="F36" s="371">
        <v>0.14285714285714285</v>
      </c>
      <c r="G36" s="357"/>
      <c r="H36" s="389">
        <v>2</v>
      </c>
      <c r="I36" s="371">
        <v>0.13333333333333333</v>
      </c>
      <c r="J36" s="358"/>
      <c r="K36" s="389">
        <v>1</v>
      </c>
      <c r="L36" s="371">
        <v>9.0909090909090912E-2</v>
      </c>
      <c r="M36" s="357"/>
      <c r="N36" s="389">
        <v>1</v>
      </c>
      <c r="O36" s="371">
        <f t="shared" si="54"/>
        <v>9.0909090909090912E-2</v>
      </c>
      <c r="P36" s="371"/>
      <c r="Q36" s="389">
        <v>1</v>
      </c>
      <c r="R36" s="371">
        <f t="shared" si="55"/>
        <v>9.0909090909090912E-2</v>
      </c>
      <c r="S36" s="371"/>
      <c r="T36" s="389">
        <v>1</v>
      </c>
      <c r="U36" s="393">
        <f t="shared" si="56"/>
        <v>0.1111111111111111</v>
      </c>
      <c r="V36" s="371"/>
      <c r="W36" s="389">
        <v>1</v>
      </c>
      <c r="X36" s="371">
        <f t="shared" si="57"/>
        <v>0.14285714285714285</v>
      </c>
      <c r="Y36" s="371"/>
      <c r="Z36" s="389">
        <v>1</v>
      </c>
      <c r="AA36" s="371">
        <f t="shared" si="58"/>
        <v>0.16666666666666666</v>
      </c>
      <c r="AB36" s="371"/>
      <c r="AC36" s="389">
        <f>Credit_2010Q4!$AD35</f>
        <v>1</v>
      </c>
      <c r="AD36" s="371">
        <f t="shared" si="59"/>
        <v>0.2</v>
      </c>
      <c r="AE36" s="371"/>
      <c r="AF36" s="389">
        <f>Credit_2011Q4!$AD35</f>
        <v>1</v>
      </c>
      <c r="AG36" s="371">
        <f t="shared" si="60"/>
        <v>0.25</v>
      </c>
      <c r="AH36" s="371"/>
      <c r="AI36" s="389">
        <f t="shared" ca="1" si="61"/>
        <v>1</v>
      </c>
      <c r="AJ36" s="371">
        <f t="shared" ca="1" si="62"/>
        <v>0.33333333333333331</v>
      </c>
      <c r="AK36" s="371"/>
      <c r="AL36" s="389">
        <f t="shared" ca="1" si="63"/>
        <v>1</v>
      </c>
      <c r="AM36" s="371">
        <f t="shared" ca="1" si="64"/>
        <v>0.5</v>
      </c>
      <c r="AN36" s="371"/>
      <c r="AO36" s="389">
        <f t="shared" ca="1" si="73"/>
        <v>0</v>
      </c>
      <c r="AP36" s="371">
        <f t="shared" ca="1" si="65"/>
        <v>0</v>
      </c>
      <c r="AQ36" s="371"/>
      <c r="AR36" s="389">
        <f t="shared" ca="1" si="66"/>
        <v>0</v>
      </c>
      <c r="AS36" s="371">
        <f t="shared" ca="1" si="67"/>
        <v>0</v>
      </c>
      <c r="AT36" s="371"/>
      <c r="AU36" s="390">
        <f t="shared" ca="1" si="68"/>
        <v>0</v>
      </c>
      <c r="AV36" s="400">
        <f t="shared" ca="1" si="69"/>
        <v>0</v>
      </c>
      <c r="AY36" s="258">
        <f t="shared" si="74"/>
        <v>13</v>
      </c>
      <c r="AZ36" s="255" t="str">
        <f t="shared" si="75"/>
        <v>u</v>
      </c>
      <c r="BA36" s="258" t="str">
        <f t="shared" si="70"/>
        <v>'Credit_2012Q4'!u</v>
      </c>
      <c r="BC36" s="258" t="str">
        <f t="shared" si="71"/>
        <v>'Credit_2013Q4'!u</v>
      </c>
      <c r="BE36" s="258" t="str">
        <f t="shared" si="72"/>
        <v>'Credit_2014Q4'!u</v>
      </c>
      <c r="BG36" s="258" t="str">
        <f t="shared" si="72"/>
        <v>'Credit_2015Q4'!u</v>
      </c>
      <c r="BI36" s="258" t="str">
        <f t="shared" si="72"/>
        <v>'Credit_2016Q4'!u</v>
      </c>
    </row>
    <row r="37" spans="3:61" s="365" customFormat="1" x14ac:dyDescent="0.2">
      <c r="C37" s="359"/>
      <c r="D37" s="359" t="s">
        <v>80</v>
      </c>
      <c r="E37" s="291">
        <f t="shared" ref="E37:AA37" si="76">SUM(E31:E36)</f>
        <v>14</v>
      </c>
      <c r="F37" s="376">
        <f t="shared" si="76"/>
        <v>1</v>
      </c>
      <c r="G37" s="366"/>
      <c r="H37" s="291">
        <f t="shared" si="76"/>
        <v>15</v>
      </c>
      <c r="I37" s="376">
        <f t="shared" si="76"/>
        <v>1</v>
      </c>
      <c r="J37" s="366"/>
      <c r="K37" s="291">
        <f t="shared" si="76"/>
        <v>11</v>
      </c>
      <c r="L37" s="376">
        <f t="shared" si="76"/>
        <v>1</v>
      </c>
      <c r="M37" s="366"/>
      <c r="N37" s="291">
        <f>SUM(N31:N36)</f>
        <v>11</v>
      </c>
      <c r="O37" s="376">
        <f>SUM(O31:O36)</f>
        <v>1</v>
      </c>
      <c r="P37" s="376"/>
      <c r="Q37" s="291">
        <f>SUM(Q31:Q36)</f>
        <v>11</v>
      </c>
      <c r="R37" s="376">
        <f t="shared" si="76"/>
        <v>1</v>
      </c>
      <c r="S37" s="376"/>
      <c r="T37" s="291">
        <f>SUM(T31:T36)</f>
        <v>9</v>
      </c>
      <c r="U37" s="376">
        <f t="shared" si="76"/>
        <v>1</v>
      </c>
      <c r="V37" s="376"/>
      <c r="W37" s="291">
        <f>SUM(W31:W36)</f>
        <v>7</v>
      </c>
      <c r="X37" s="376">
        <f t="shared" si="76"/>
        <v>1</v>
      </c>
      <c r="Y37" s="376"/>
      <c r="Z37" s="291">
        <f>SUM(Z31:Z36)</f>
        <v>6</v>
      </c>
      <c r="AA37" s="376">
        <f t="shared" si="76"/>
        <v>0.99999999999999989</v>
      </c>
      <c r="AB37" s="376"/>
      <c r="AC37" s="291">
        <f t="shared" ref="AC37:AF37" si="77">SUM(AC31:AC36)</f>
        <v>5</v>
      </c>
      <c r="AD37" s="376">
        <f t="shared" si="77"/>
        <v>1</v>
      </c>
      <c r="AE37" s="376"/>
      <c r="AF37" s="291">
        <f t="shared" si="77"/>
        <v>4</v>
      </c>
      <c r="AG37" s="376">
        <f t="shared" ref="AG37" si="78">SUM(AG31:AG36)</f>
        <v>1</v>
      </c>
      <c r="AH37" s="376"/>
      <c r="AI37" s="291">
        <f ca="1">SUM(AI31:AI36)</f>
        <v>3</v>
      </c>
      <c r="AJ37" s="376">
        <f t="shared" ref="AJ37" ca="1" si="79">SUM(AJ31:AJ36)</f>
        <v>1</v>
      </c>
      <c r="AK37" s="376"/>
      <c r="AL37" s="291">
        <f ca="1">SUM(AL31:AL36)</f>
        <v>2</v>
      </c>
      <c r="AM37" s="376">
        <f ca="1">SUM(AM31:AM36)</f>
        <v>1</v>
      </c>
      <c r="AN37" s="376"/>
      <c r="AO37" s="391">
        <f ca="1">SUM(AO31:AO36)</f>
        <v>2</v>
      </c>
      <c r="AP37" s="376">
        <f ca="1">SUM(AP31:AP36)</f>
        <v>1</v>
      </c>
      <c r="AQ37" s="376"/>
      <c r="AR37" s="291">
        <f ca="1">SUM(AR31:AR36)</f>
        <v>2</v>
      </c>
      <c r="AS37" s="376">
        <f ca="1">SUM(AS31:AS36)</f>
        <v>1</v>
      </c>
      <c r="AT37" s="376"/>
      <c r="AU37" s="392">
        <f ca="1">SUM(AU31:AU36)</f>
        <v>2</v>
      </c>
      <c r="AV37" s="401">
        <f ca="1">SUM(AV31:AV36)</f>
        <v>1</v>
      </c>
      <c r="AZ37" s="260"/>
    </row>
    <row r="38" spans="3:61" x14ac:dyDescent="0.2">
      <c r="AA38" s="397"/>
    </row>
    <row r="40" spans="3:61" x14ac:dyDescent="0.2">
      <c r="C40" s="279"/>
      <c r="D40" s="279" t="s">
        <v>548</v>
      </c>
    </row>
  </sheetData>
  <mergeCells count="16">
    <mergeCell ref="AR7:AS7"/>
    <mergeCell ref="AU7:AV7"/>
    <mergeCell ref="AO7:AP7"/>
    <mergeCell ref="C5:R5"/>
    <mergeCell ref="AL7:AM7"/>
    <mergeCell ref="T7:U7"/>
    <mergeCell ref="Q7:R7"/>
    <mergeCell ref="E7:F7"/>
    <mergeCell ref="H7:I7"/>
    <mergeCell ref="K7:L7"/>
    <mergeCell ref="N7:O7"/>
    <mergeCell ref="AI7:AJ7"/>
    <mergeCell ref="AF7:AG7"/>
    <mergeCell ref="AC7:AD7"/>
    <mergeCell ref="Z7:AA7"/>
    <mergeCell ref="W7:X7"/>
  </mergeCells>
  <phoneticPr fontId="3" type="noConversion"/>
  <printOptions gridLines="1"/>
  <pageMargins left="0.17" right="0.27" top="1" bottom="1" header="0.5" footer="0.5"/>
  <pageSetup scale="90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92D050"/>
  </sheetPr>
  <dimension ref="A1:D41"/>
  <sheetViews>
    <sheetView zoomScaleNormal="100" workbookViewId="0"/>
  </sheetViews>
  <sheetFormatPr defaultColWidth="9.140625" defaultRowHeight="12.75" x14ac:dyDescent="0.2"/>
  <cols>
    <col min="1" max="1" width="19.28515625" style="86" customWidth="1"/>
    <col min="2" max="2" width="9" style="118" customWidth="1"/>
    <col min="3" max="3" width="6.42578125" style="118" customWidth="1"/>
    <col min="4" max="4" width="8" style="118" customWidth="1"/>
    <col min="5" max="16384" width="9.140625" style="86"/>
  </cols>
  <sheetData>
    <row r="1" spans="1:4" ht="18.75" x14ac:dyDescent="0.3">
      <c r="A1" s="75" t="s">
        <v>245</v>
      </c>
    </row>
    <row r="4" spans="1:4" x14ac:dyDescent="0.2">
      <c r="A4" s="122" t="s">
        <v>246</v>
      </c>
      <c r="B4" s="205" t="s">
        <v>99</v>
      </c>
      <c r="C4" s="205" t="s">
        <v>90</v>
      </c>
      <c r="D4" s="205" t="s">
        <v>100</v>
      </c>
    </row>
    <row r="5" spans="1:4" x14ac:dyDescent="0.2">
      <c r="A5" s="123"/>
      <c r="B5" s="206" t="s">
        <v>101</v>
      </c>
      <c r="C5" s="206" t="s">
        <v>102</v>
      </c>
      <c r="D5" s="206" t="s">
        <v>102</v>
      </c>
    </row>
    <row r="6" spans="1:4" x14ac:dyDescent="0.2">
      <c r="A6" s="123"/>
      <c r="B6" s="206"/>
      <c r="C6" s="206"/>
      <c r="D6" s="206"/>
    </row>
    <row r="7" spans="1:4" x14ac:dyDescent="0.2">
      <c r="A7" s="124"/>
      <c r="B7" s="206" t="s">
        <v>103</v>
      </c>
      <c r="C7" s="206" t="s">
        <v>104</v>
      </c>
      <c r="D7" s="206" t="s">
        <v>104</v>
      </c>
    </row>
    <row r="8" spans="1:4" x14ac:dyDescent="0.2">
      <c r="A8" s="117"/>
      <c r="B8" s="206" t="s">
        <v>105</v>
      </c>
      <c r="C8" s="206" t="s">
        <v>106</v>
      </c>
      <c r="D8" s="206" t="s">
        <v>106</v>
      </c>
    </row>
    <row r="9" spans="1:4" x14ac:dyDescent="0.2">
      <c r="A9" s="117"/>
      <c r="B9" s="206" t="s">
        <v>107</v>
      </c>
      <c r="C9" s="206" t="s">
        <v>108</v>
      </c>
      <c r="D9" s="206" t="s">
        <v>108</v>
      </c>
    </row>
    <row r="10" spans="1:4" x14ac:dyDescent="0.2">
      <c r="A10" s="124"/>
      <c r="B10" s="206"/>
      <c r="C10" s="206"/>
      <c r="D10" s="206"/>
    </row>
    <row r="11" spans="1:4" x14ac:dyDescent="0.2">
      <c r="A11" s="124"/>
      <c r="B11" s="206" t="s">
        <v>109</v>
      </c>
      <c r="C11" s="206" t="s">
        <v>110</v>
      </c>
      <c r="D11" s="206" t="s">
        <v>110</v>
      </c>
    </row>
    <row r="12" spans="1:4" x14ac:dyDescent="0.2">
      <c r="A12" s="124"/>
      <c r="B12" s="206" t="s">
        <v>111</v>
      </c>
      <c r="C12" s="206" t="s">
        <v>2</v>
      </c>
      <c r="D12" s="206" t="s">
        <v>2</v>
      </c>
    </row>
    <row r="13" spans="1:4" x14ac:dyDescent="0.2">
      <c r="A13" s="124"/>
      <c r="B13" s="206" t="s">
        <v>112</v>
      </c>
      <c r="C13" s="206" t="s">
        <v>10</v>
      </c>
      <c r="D13" s="206" t="s">
        <v>10</v>
      </c>
    </row>
    <row r="14" spans="1:4" x14ac:dyDescent="0.2">
      <c r="A14" s="124"/>
      <c r="B14" s="206"/>
      <c r="C14" s="206"/>
      <c r="D14" s="206"/>
    </row>
    <row r="15" spans="1:4" x14ac:dyDescent="0.2">
      <c r="A15" s="124"/>
      <c r="B15" s="206" t="s">
        <v>113</v>
      </c>
      <c r="C15" s="206" t="s">
        <v>16</v>
      </c>
      <c r="D15" s="206" t="s">
        <v>16</v>
      </c>
    </row>
    <row r="16" spans="1:4" x14ac:dyDescent="0.2">
      <c r="A16" s="124"/>
      <c r="B16" s="206" t="s">
        <v>114</v>
      </c>
      <c r="C16" s="206" t="s">
        <v>28</v>
      </c>
      <c r="D16" s="206" t="s">
        <v>28</v>
      </c>
    </row>
    <row r="17" spans="1:4" x14ac:dyDescent="0.2">
      <c r="A17" s="124"/>
      <c r="B17" s="206" t="s">
        <v>115</v>
      </c>
      <c r="C17" s="206" t="s">
        <v>49</v>
      </c>
      <c r="D17" s="206" t="s">
        <v>49</v>
      </c>
    </row>
    <row r="18" spans="1:4" x14ac:dyDescent="0.2">
      <c r="A18" s="124"/>
      <c r="B18" s="206"/>
      <c r="C18" s="206"/>
      <c r="D18" s="206"/>
    </row>
    <row r="19" spans="1:4" x14ac:dyDescent="0.2">
      <c r="A19" s="122" t="s">
        <v>247</v>
      </c>
      <c r="B19" s="205" t="s">
        <v>99</v>
      </c>
      <c r="C19" s="205" t="s">
        <v>90</v>
      </c>
      <c r="D19" s="205" t="s">
        <v>100</v>
      </c>
    </row>
    <row r="20" spans="1:4" x14ac:dyDescent="0.2">
      <c r="A20" s="125"/>
      <c r="B20" s="123"/>
      <c r="C20" s="123"/>
      <c r="D20" s="123"/>
    </row>
    <row r="21" spans="1:4" x14ac:dyDescent="0.2">
      <c r="A21" s="124"/>
      <c r="B21" s="206" t="s">
        <v>116</v>
      </c>
      <c r="C21" s="206" t="s">
        <v>56</v>
      </c>
      <c r="D21" s="206" t="s">
        <v>56</v>
      </c>
    </row>
    <row r="22" spans="1:4" x14ac:dyDescent="0.2">
      <c r="A22" s="124"/>
      <c r="B22" s="206" t="s">
        <v>117</v>
      </c>
      <c r="C22" s="206" t="s">
        <v>61</v>
      </c>
      <c r="D22" s="206" t="s">
        <v>61</v>
      </c>
    </row>
    <row r="23" spans="1:4" x14ac:dyDescent="0.2">
      <c r="A23" s="124"/>
      <c r="B23" s="206" t="s">
        <v>118</v>
      </c>
      <c r="C23" s="206" t="s">
        <v>65</v>
      </c>
      <c r="D23" s="206" t="s">
        <v>65</v>
      </c>
    </row>
    <row r="24" spans="1:4" x14ac:dyDescent="0.2">
      <c r="A24" s="124"/>
      <c r="B24" s="206"/>
      <c r="C24" s="206"/>
      <c r="D24" s="206"/>
    </row>
    <row r="25" spans="1:4" x14ac:dyDescent="0.2">
      <c r="A25" s="123"/>
      <c r="B25" s="206" t="s">
        <v>119</v>
      </c>
      <c r="C25" s="206" t="s">
        <v>68</v>
      </c>
      <c r="D25" s="206" t="s">
        <v>68</v>
      </c>
    </row>
    <row r="26" spans="1:4" x14ac:dyDescent="0.2">
      <c r="A26" s="124"/>
      <c r="B26" s="206" t="s">
        <v>120</v>
      </c>
      <c r="C26" s="206" t="s">
        <v>78</v>
      </c>
      <c r="D26" s="206" t="s">
        <v>78</v>
      </c>
    </row>
    <row r="27" spans="1:4" x14ac:dyDescent="0.2">
      <c r="A27" s="124"/>
      <c r="B27" s="206" t="s">
        <v>121</v>
      </c>
      <c r="C27" s="206" t="s">
        <v>71</v>
      </c>
      <c r="D27" s="206" t="s">
        <v>71</v>
      </c>
    </row>
    <row r="28" spans="1:4" x14ac:dyDescent="0.2">
      <c r="A28" s="124"/>
      <c r="B28" s="206"/>
      <c r="C28" s="206"/>
      <c r="D28" s="206"/>
    </row>
    <row r="29" spans="1:4" x14ac:dyDescent="0.2">
      <c r="A29" s="124"/>
      <c r="B29" s="206" t="s">
        <v>122</v>
      </c>
      <c r="C29" s="206" t="s">
        <v>123</v>
      </c>
      <c r="D29" s="206" t="s">
        <v>123</v>
      </c>
    </row>
    <row r="30" spans="1:4" x14ac:dyDescent="0.2">
      <c r="A30" s="124"/>
      <c r="B30" s="206" t="s">
        <v>124</v>
      </c>
      <c r="C30" s="206" t="s">
        <v>125</v>
      </c>
      <c r="D30" s="206" t="s">
        <v>125</v>
      </c>
    </row>
    <row r="31" spans="1:4" x14ac:dyDescent="0.2">
      <c r="A31" s="124"/>
      <c r="B31" s="206" t="s">
        <v>126</v>
      </c>
      <c r="C31" s="206" t="s">
        <v>127</v>
      </c>
      <c r="D31" s="206" t="s">
        <v>127</v>
      </c>
    </row>
    <row r="32" spans="1:4" x14ac:dyDescent="0.2">
      <c r="A32" s="124"/>
      <c r="B32" s="206"/>
      <c r="C32" s="206"/>
      <c r="D32" s="206"/>
    </row>
    <row r="33" spans="1:4" x14ac:dyDescent="0.2">
      <c r="A33" s="124"/>
      <c r="B33" s="206" t="s">
        <v>128</v>
      </c>
      <c r="C33" s="206" t="s">
        <v>129</v>
      </c>
      <c r="D33" s="206" t="s">
        <v>129</v>
      </c>
    </row>
    <row r="34" spans="1:4" x14ac:dyDescent="0.2">
      <c r="A34" s="124"/>
      <c r="B34" s="206"/>
      <c r="C34" s="206"/>
      <c r="D34" s="206"/>
    </row>
    <row r="35" spans="1:4" x14ac:dyDescent="0.2">
      <c r="A35" s="124"/>
      <c r="B35" s="206" t="s">
        <v>130</v>
      </c>
      <c r="C35" s="206" t="s">
        <v>130</v>
      </c>
      <c r="D35" s="206" t="s">
        <v>130</v>
      </c>
    </row>
    <row r="36" spans="1:4" x14ac:dyDescent="0.2">
      <c r="A36" s="124"/>
      <c r="B36" s="206"/>
      <c r="C36" s="206"/>
      <c r="D36" s="206"/>
    </row>
    <row r="37" spans="1:4" x14ac:dyDescent="0.2">
      <c r="A37" s="122" t="s">
        <v>131</v>
      </c>
      <c r="B37" s="205" t="s">
        <v>99</v>
      </c>
      <c r="C37" s="205" t="s">
        <v>90</v>
      </c>
      <c r="D37" s="205" t="s">
        <v>100</v>
      </c>
    </row>
    <row r="38" spans="1:4" x14ac:dyDescent="0.2">
      <c r="A38" s="123"/>
      <c r="B38" s="206" t="s">
        <v>130</v>
      </c>
      <c r="C38" s="206" t="s">
        <v>86</v>
      </c>
      <c r="D38" s="206" t="s">
        <v>86</v>
      </c>
    </row>
    <row r="39" spans="1:4" x14ac:dyDescent="0.2">
      <c r="A39" s="85"/>
      <c r="B39" s="206"/>
      <c r="C39" s="206"/>
      <c r="D39" s="206"/>
    </row>
    <row r="41" spans="1:4" x14ac:dyDescent="0.2">
      <c r="A41" s="85" t="s">
        <v>132</v>
      </c>
    </row>
  </sheetData>
  <phoneticPr fontId="3" type="noConversion"/>
  <printOptions gridLines="1"/>
  <pageMargins left="0.75" right="0.75" top="0.2" bottom="1" header="0.2" footer="0.5"/>
  <pageSetup paperSize="13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BJ78"/>
  <sheetViews>
    <sheetView showGridLines="0" zoomScale="85" zoomScaleNormal="85" workbookViewId="0">
      <pane ySplit="6" topLeftCell="A7" activePane="bottomLeft" state="frozen"/>
      <selection activeCell="A7" sqref="A7"/>
      <selection pane="bottomLeft" activeCell="A7" sqref="A7"/>
    </sheetView>
  </sheetViews>
  <sheetFormatPr defaultColWidth="9.140625" defaultRowHeight="12.75" outlineLevelRow="1" outlineLevelCol="2" x14ac:dyDescent="0.2"/>
  <cols>
    <col min="1" max="1" width="35.140625" style="234" customWidth="1"/>
    <col min="2" max="2" width="9.140625" style="234"/>
    <col min="3" max="3" width="9.42578125" style="263" customWidth="1"/>
    <col min="4" max="4" width="9.140625" style="235" customWidth="1" outlineLevel="1"/>
    <col min="5" max="5" width="12.5703125" style="235" customWidth="1" outlineLevel="1"/>
    <col min="6" max="6" width="3.42578125" style="234" customWidth="1" outlineLevel="1"/>
    <col min="7" max="7" width="17.7109375" style="236" hidden="1" customWidth="1" outlineLevel="2"/>
    <col min="8" max="8" width="3.42578125" style="234" hidden="1" customWidth="1" outlineLevel="2" collapsed="1"/>
    <col min="9" max="9" width="3.28515625" style="234" customWidth="1" outlineLevel="1" collapsed="1"/>
    <col min="10" max="10" width="22" style="234" customWidth="1"/>
    <col min="11" max="11" width="2" style="234" customWidth="1"/>
    <col min="12" max="13" width="10.42578125" style="234" customWidth="1"/>
    <col min="14" max="14" width="2" style="234" customWidth="1"/>
    <col min="15" max="16" width="10.42578125" style="234" customWidth="1"/>
    <col min="17" max="17" width="2" style="234" customWidth="1"/>
    <col min="18" max="19" width="10.42578125" style="234" customWidth="1"/>
    <col min="20" max="20" width="2" style="236" customWidth="1"/>
    <col min="21" max="22" width="10.42578125" style="236" customWidth="1"/>
    <col min="23" max="23" width="2" style="234" customWidth="1"/>
    <col min="24" max="24" width="4.140625" style="234" customWidth="1"/>
    <col min="25" max="25" width="5.5703125" style="234" customWidth="1"/>
    <col min="26" max="26" width="2.42578125" style="234" customWidth="1"/>
    <col min="27" max="27" width="4.28515625" style="234" customWidth="1"/>
    <col min="28" max="30" width="2.42578125" style="234" hidden="1" customWidth="1" outlineLevel="1"/>
    <col min="31" max="31" width="4.42578125" style="234" hidden="1" customWidth="1" outlineLevel="1"/>
    <col min="32" max="32" width="6.5703125" style="236" hidden="1" customWidth="1" outlineLevel="1" collapsed="1"/>
    <col min="33" max="34" width="6.5703125" style="236" hidden="1" customWidth="1" outlineLevel="1"/>
    <col min="35" max="35" width="3.140625" style="234" hidden="1" customWidth="1" outlineLevel="1"/>
    <col min="36" max="36" width="15.85546875" style="236" hidden="1" customWidth="1" outlineLevel="1" collapsed="1"/>
    <col min="37" max="38" width="15.85546875" style="236" hidden="1" customWidth="1" outlineLevel="1"/>
    <col min="39" max="39" width="8.42578125" style="236" hidden="1" customWidth="1" outlineLevel="1"/>
    <col min="40" max="40" width="11.85546875" style="236" hidden="1" customWidth="1" outlineLevel="1"/>
    <col min="41" max="41" width="3.42578125" style="234" customWidth="1" collapsed="1"/>
    <col min="42" max="42" width="3.42578125" style="234" customWidth="1"/>
    <col min="43" max="43" width="29.7109375" style="234" hidden="1" customWidth="1" outlineLevel="1"/>
    <col min="44" max="44" width="6.42578125" style="234" hidden="1" customWidth="1" outlineLevel="1"/>
    <col min="45" max="45" width="6.7109375" style="234" hidden="1" customWidth="1" outlineLevel="1"/>
    <col min="46" max="46" width="8.7109375" style="234" hidden="1" customWidth="1" outlineLevel="1"/>
    <col min="47" max="47" width="3.140625" style="234" hidden="1" customWidth="1" outlineLevel="1"/>
    <col min="48" max="56" width="9.140625" style="234" hidden="1" customWidth="1" outlineLevel="2"/>
    <col min="57" max="57" width="5.42578125" style="234" hidden="1" customWidth="1" outlineLevel="1" collapsed="1"/>
    <col min="58" max="58" width="36.85546875" style="234" hidden="1" customWidth="1" outlineLevel="1"/>
    <col min="59" max="59" width="6.42578125" style="234" hidden="1" customWidth="1" outlineLevel="1"/>
    <col min="60" max="60" width="3.42578125" style="234" hidden="1" customWidth="1" outlineLevel="1"/>
    <col min="61" max="61" width="9.140625" style="234" hidden="1" customWidth="1" outlineLevel="1"/>
    <col min="62" max="62" width="9.140625" collapsed="1"/>
    <col min="63" max="16384" width="9.140625" style="234"/>
  </cols>
  <sheetData>
    <row r="1" spans="1:61" ht="18.75" x14ac:dyDescent="0.2">
      <c r="A1" s="323" t="str">
        <f>"I.  S&amp;P Utility Credit Ratings Distribution -- " &amp; B6</f>
        <v>I.  S&amp;P Utility Credit Ratings Distribution -- 2016 Q4</v>
      </c>
      <c r="G1" s="242" t="s">
        <v>506</v>
      </c>
      <c r="AF1" s="237" t="s">
        <v>420</v>
      </c>
      <c r="AG1" s="237" t="s">
        <v>421</v>
      </c>
      <c r="AH1" s="237" t="s">
        <v>422</v>
      </c>
      <c r="AJ1" s="237" t="s">
        <v>424</v>
      </c>
      <c r="AK1" s="237" t="s">
        <v>426</v>
      </c>
      <c r="AL1" s="237" t="s">
        <v>426</v>
      </c>
      <c r="AM1" s="237" t="s">
        <v>424</v>
      </c>
      <c r="AN1" s="237"/>
      <c r="AQ1" s="237" t="s">
        <v>497</v>
      </c>
    </row>
    <row r="2" spans="1:61" ht="18.75" hidden="1" outlineLevel="1" x14ac:dyDescent="0.2">
      <c r="A2" s="233"/>
      <c r="E2" s="238" t="str">
        <f>G2</f>
        <v>Reg_Percent_2015</v>
      </c>
      <c r="G2" s="239" t="s">
        <v>539</v>
      </c>
      <c r="AJ2" s="240" t="str">
        <f>AJ4 &amp; AJ3</f>
        <v>'Credit_2016Q3'!d:d</v>
      </c>
      <c r="AK2" s="240" t="str">
        <f>AK4 &amp; AK3</f>
        <v>'Credit_2016Q3'!b1</v>
      </c>
      <c r="AL2" s="240" t="str">
        <f>AL4 &amp; AL3</f>
        <v>'Credit_2016Q3'!c1</v>
      </c>
      <c r="AQ2" s="236"/>
    </row>
    <row r="3" spans="1:61" ht="18.75" hidden="1" outlineLevel="1" x14ac:dyDescent="0.2">
      <c r="A3" s="233"/>
      <c r="E3" s="241" t="str">
        <f>"'" &amp; E2 &amp; "'!"</f>
        <v>'Reg_Percent_2015'!</v>
      </c>
      <c r="G3" s="234" t="str">
        <f>"'" &amp; G2 &amp; "'!"</f>
        <v>'Reg_Percent_2015'!</v>
      </c>
      <c r="O3" s="242" t="s">
        <v>371</v>
      </c>
      <c r="P3" s="242"/>
      <c r="Q3" s="242"/>
      <c r="R3" s="242" t="s">
        <v>372</v>
      </c>
      <c r="T3" s="234"/>
      <c r="U3" s="242" t="s">
        <v>86</v>
      </c>
      <c r="V3" s="234"/>
      <c r="X3" s="242"/>
      <c r="Y3" s="242"/>
      <c r="Z3" s="242"/>
      <c r="AA3" s="242"/>
      <c r="AJ3" s="210" t="s">
        <v>438</v>
      </c>
      <c r="AK3" s="210" t="s">
        <v>427</v>
      </c>
      <c r="AL3" s="210" t="s">
        <v>453</v>
      </c>
      <c r="AQ3" s="236"/>
    </row>
    <row r="4" spans="1:61" ht="18.75" hidden="1" outlineLevel="1" x14ac:dyDescent="0.2">
      <c r="A4" s="233"/>
      <c r="E4" s="242" t="s">
        <v>439</v>
      </c>
      <c r="G4" s="242" t="s">
        <v>438</v>
      </c>
      <c r="O4" s="236"/>
      <c r="P4" s="236"/>
      <c r="Q4" s="236"/>
      <c r="T4" s="234"/>
      <c r="U4" s="234"/>
      <c r="V4" s="234"/>
      <c r="AJ4" s="236" t="str">
        <f>$AQ$5</f>
        <v>'Credit_2016Q3'!</v>
      </c>
      <c r="AK4" s="236" t="str">
        <f t="shared" ref="AK4:AL4" si="0">$AQ$5</f>
        <v>'Credit_2016Q3'!</v>
      </c>
      <c r="AL4" s="236" t="str">
        <f t="shared" si="0"/>
        <v>'Credit_2016Q3'!</v>
      </c>
      <c r="AQ4" s="236"/>
    </row>
    <row r="5" spans="1:61" collapsed="1" x14ac:dyDescent="0.2">
      <c r="E5" s="243" t="s">
        <v>436</v>
      </c>
      <c r="G5" s="237" t="s">
        <v>424</v>
      </c>
      <c r="I5" s="314"/>
      <c r="J5" s="466" t="s">
        <v>77</v>
      </c>
      <c r="K5" s="314"/>
      <c r="L5" s="468" t="str">
        <f>"All Companies" &amp; CHAR( 10 ) &amp; "("&amp; L14 &amp; ")"</f>
        <v>All Companies
(50)</v>
      </c>
      <c r="M5" s="468"/>
      <c r="N5" s="314"/>
      <c r="O5" s="466" t="str">
        <f ca="1">"Regulated" &amp; CHAR( 10 ) &amp; "(" &amp; O14 &amp; ")"</f>
        <v>Regulated
(37)</v>
      </c>
      <c r="P5" s="470"/>
      <c r="Q5" s="314"/>
      <c r="R5" s="466" t="str">
        <f ca="1">"Mostly Regulated" &amp; CHAR( 10 ) &amp; "(" &amp; R14 &amp; ")"</f>
        <v>Mostly Regulated
(11)</v>
      </c>
      <c r="S5" s="470"/>
      <c r="T5" s="314"/>
      <c r="U5" s="466" t="str">
        <f ca="1">"Diversified" &amp; CHAR( 10 ) &amp; "(" &amp; U14 &amp; ")"</f>
        <v>Diversified
(2)</v>
      </c>
      <c r="V5" s="470"/>
      <c r="W5" s="314"/>
      <c r="AE5" s="244"/>
      <c r="AF5" s="234"/>
      <c r="AG5" s="234"/>
      <c r="AH5" s="234"/>
      <c r="AJ5" s="234"/>
      <c r="AK5" s="234"/>
      <c r="AL5" s="234"/>
      <c r="AM5" s="234"/>
      <c r="AN5" s="234"/>
      <c r="AQ5" s="432" t="s">
        <v>545</v>
      </c>
    </row>
    <row r="6" spans="1:61" ht="28.5" customHeight="1" x14ac:dyDescent="0.2">
      <c r="A6" s="299" t="s">
        <v>0</v>
      </c>
      <c r="B6" s="300" t="s">
        <v>537</v>
      </c>
      <c r="C6" s="338" t="s">
        <v>471</v>
      </c>
      <c r="D6" s="301"/>
      <c r="E6" s="302">
        <f ca="1">INDIRECT( E3 &amp; G1 )</f>
        <v>42369</v>
      </c>
      <c r="I6" s="315"/>
      <c r="J6" s="467"/>
      <c r="K6" s="315"/>
      <c r="L6" s="469"/>
      <c r="M6" s="469"/>
      <c r="N6" s="315"/>
      <c r="O6" s="467"/>
      <c r="P6" s="467"/>
      <c r="Q6" s="315"/>
      <c r="R6" s="467" t="s">
        <v>137</v>
      </c>
      <c r="S6" s="467"/>
      <c r="T6" s="315"/>
      <c r="U6" s="467"/>
      <c r="V6" s="467"/>
      <c r="W6" s="315"/>
      <c r="AE6" s="245"/>
      <c r="AJ6" s="246"/>
    </row>
    <row r="7" spans="1:61" x14ac:dyDescent="0.2">
      <c r="A7" s="303" t="s">
        <v>501</v>
      </c>
      <c r="B7" s="304" t="s">
        <v>2</v>
      </c>
      <c r="C7" s="304">
        <v>21</v>
      </c>
      <c r="D7" s="304" t="s">
        <v>447</v>
      </c>
      <c r="E7" s="305" t="str">
        <f ca="1">IF( LEN( $G7 ) = 0, "", OFFSET( INDIRECT( E$3 &amp; E$4 ), $G7 - 1, 0 ) )</f>
        <v>R</v>
      </c>
      <c r="F7" s="306"/>
      <c r="G7" s="307">
        <f t="shared" ref="G7:G62" ca="1" si="1">IF( LEN( $D7 ) = 0, "", MATCH( $D7, INDIRECT( G$3 &amp; G$4 ), 0 ) )</f>
        <v>60</v>
      </c>
      <c r="H7" s="250"/>
      <c r="I7" s="316"/>
      <c r="J7" s="252"/>
      <c r="K7" s="316"/>
      <c r="L7" s="252" t="s">
        <v>81</v>
      </c>
      <c r="M7" s="252" t="s">
        <v>82</v>
      </c>
      <c r="N7" s="316"/>
      <c r="O7" s="252" t="s">
        <v>81</v>
      </c>
      <c r="P7" s="252" t="s">
        <v>82</v>
      </c>
      <c r="Q7" s="316"/>
      <c r="R7" s="252" t="s">
        <v>81</v>
      </c>
      <c r="S7" s="252" t="s">
        <v>82</v>
      </c>
      <c r="T7" s="316"/>
      <c r="U7" s="252" t="s">
        <v>81</v>
      </c>
      <c r="V7" s="252" t="s">
        <v>82</v>
      </c>
      <c r="W7" s="316"/>
      <c r="AE7" s="254"/>
      <c r="AF7" s="236">
        <f t="shared" ref="AF7:AF67" si="2">IF( LEN( C7 ) = 0, 0, IF( C7 = C6, AF6, IF( AF6 = 1, 0, 1 ) ) )</f>
        <v>1</v>
      </c>
      <c r="AG7" s="236" t="str">
        <f t="shared" ref="AG7:AG64" ca="1" si="3">IF( LEN( $C7 ) = 0, "", IF( $C7 &gt; $AL7, 1, "" ) )</f>
        <v/>
      </c>
      <c r="AH7" s="236" t="str">
        <f ca="1">IF( LEN( $C7 ) = 0, "", IF( $C7 &lt; $AL7, 1, "" ) )</f>
        <v/>
      </c>
      <c r="AJ7" s="236">
        <f ca="1">MATCH( $D7, INDIRECT( AJ$2 ), 0 )</f>
        <v>7</v>
      </c>
      <c r="AK7" s="236" t="str">
        <f ca="1">IF( ISNA( $AJ7 ), "", OFFSET( INDIRECT( AK$2 ), $AJ7-1, 0 ) )</f>
        <v>A</v>
      </c>
      <c r="AL7" s="236">
        <f ca="1">IF( ISNA( $AJ7 ), "", OFFSET( INDIRECT( AL$2 ), $AJ7-1, 0 ) )</f>
        <v>21</v>
      </c>
      <c r="AM7" s="236" t="str">
        <f t="shared" ref="AM7:AM67" ca="1" si="4">IF( B7 = AK7, "", "Change" )</f>
        <v/>
      </c>
      <c r="AQ7" s="286" t="s">
        <v>15</v>
      </c>
      <c r="AR7" s="286" t="s">
        <v>16</v>
      </c>
      <c r="AS7" s="286">
        <v>19</v>
      </c>
      <c r="AT7" s="286" t="s">
        <v>277</v>
      </c>
      <c r="AV7" s="234">
        <f>IF( LEN( AS7 ) = 0, 99, RANK( AS7, $AS$7:$AS$63 ) )</f>
        <v>15</v>
      </c>
      <c r="AW7" s="234">
        <f>COUNTIF( AV7:AV$7, AV7 )</f>
        <v>1</v>
      </c>
      <c r="AX7" s="287">
        <f>AV7 + AW7 / 10</f>
        <v>15.1</v>
      </c>
      <c r="AY7" s="234">
        <f>RANK( AX7, $AX$7:$AX$63, 1 )</f>
        <v>15</v>
      </c>
      <c r="AZ7" s="236"/>
      <c r="BA7" s="236"/>
      <c r="BC7" s="234">
        <f t="shared" ref="BC7" ca="1" si="5">OFFSET( BC7, -1, 0 ) + 1</f>
        <v>1</v>
      </c>
      <c r="BD7" s="288">
        <f t="shared" ref="BD7:BD62" ca="1" si="6">MATCH( BC7, $AY$7:$AY$63, 0 )</f>
        <v>7</v>
      </c>
      <c r="BF7" s="240" t="str">
        <f t="shared" ref="BF7:BI38" ca="1" si="7">OFFSET( AQ$6, $BD7, 0 )</f>
        <v>Berkshire Energy Holdings Company</v>
      </c>
      <c r="BG7" s="240" t="str">
        <f t="shared" ca="1" si="7"/>
        <v>A</v>
      </c>
      <c r="BH7" s="240">
        <f t="shared" ca="1" si="7"/>
        <v>21</v>
      </c>
      <c r="BI7" s="240" t="str">
        <f t="shared" ca="1" si="7"/>
        <v>**BRK</v>
      </c>
    </row>
    <row r="8" spans="1:61" x14ac:dyDescent="0.2">
      <c r="A8" s="303" t="s">
        <v>516</v>
      </c>
      <c r="B8" s="304" t="s">
        <v>2</v>
      </c>
      <c r="C8" s="304">
        <v>21</v>
      </c>
      <c r="D8" s="304" t="s">
        <v>512</v>
      </c>
      <c r="E8" s="305" t="str">
        <f t="shared" ref="E8:E62" ca="1" si="8">IF( LEN( $G8 ) = 0, "", OFFSET( INDIRECT( E$3 &amp; E$4 ), $G8 - 1, 0 ) )</f>
        <v>R</v>
      </c>
      <c r="F8" s="306"/>
      <c r="G8" s="307">
        <f t="shared" ca="1" si="1"/>
        <v>25</v>
      </c>
      <c r="H8" s="250"/>
      <c r="I8" s="317"/>
      <c r="J8" s="293" t="s">
        <v>138</v>
      </c>
      <c r="K8" s="317"/>
      <c r="L8" s="293">
        <f t="shared" ref="L8:L13" si="9">COUNTIF($C$7:$C$67,$X8)</f>
        <v>3</v>
      </c>
      <c r="M8" s="294">
        <f t="shared" ref="M8:M13" si="10">IF( L8 = 0, "", L8/L$14 )</f>
        <v>0.06</v>
      </c>
      <c r="N8" s="317"/>
      <c r="O8" s="293">
        <f t="shared" ref="O8:O13" ca="1" si="11">COUNTIFS( $E$7:$E$66, O$3, $C$7:$C$66, $X8 )</f>
        <v>2</v>
      </c>
      <c r="P8" s="294">
        <f t="shared" ref="P8:P13" ca="1" si="12">IF( O8 = 0, "", O8/O$14 )</f>
        <v>5.4054054054054057E-2</v>
      </c>
      <c r="Q8" s="317"/>
      <c r="R8" s="293">
        <f t="shared" ref="R8:R13" ca="1" si="13">COUNTIFS( $E$7:$E$66, R$3, $C$7:$C$66, $X8 )</f>
        <v>1</v>
      </c>
      <c r="S8" s="294">
        <f t="shared" ref="S8:S13" ca="1" si="14">IF( R8 = 0, "", R8/R$14 )</f>
        <v>9.0909090909090912E-2</v>
      </c>
      <c r="T8" s="317"/>
      <c r="U8" s="293">
        <f t="shared" ref="U8:U13" ca="1" si="15">COUNTIFS( $E$7:$E$66, U$3, $C$7:$C$66, $X8 )</f>
        <v>0</v>
      </c>
      <c r="V8" s="294" t="str">
        <f t="shared" ref="V8:V13" ca="1" si="16">IF( U8 = 0, "", U8/U$14 )</f>
        <v/>
      </c>
      <c r="W8" s="317"/>
      <c r="X8" s="256" t="s">
        <v>464</v>
      </c>
      <c r="Y8" s="256">
        <v>21</v>
      </c>
      <c r="Z8" s="256">
        <v>1</v>
      </c>
      <c r="AA8" s="255">
        <f t="shared" ref="AA8:AA13" ca="1" si="17">SUM(O8, R8, U8)</f>
        <v>3</v>
      </c>
      <c r="AC8" s="257"/>
      <c r="AE8" s="254"/>
      <c r="AF8" s="236">
        <f t="shared" si="2"/>
        <v>1</v>
      </c>
      <c r="AG8" s="236" t="str">
        <f t="shared" ca="1" si="3"/>
        <v/>
      </c>
      <c r="AH8" s="236" t="str">
        <f t="shared" ref="AH8:AH67" ca="1" si="18">IF( LEN( $C8 ) = 0, "", IF( $C8 &lt; $AL8, 1, "" ) )</f>
        <v/>
      </c>
      <c r="AJ8" s="236">
        <f t="shared" ref="AJ8:AJ67" ca="1" si="19">MATCH( $D8, INDIRECT( AJ$2 ), 0 )</f>
        <v>8</v>
      </c>
      <c r="AK8" s="236" t="str">
        <f t="shared" ref="AK8:AL67" ca="1" si="20">IF( ISNA( $AJ8 ), "", OFFSET( INDIRECT( AK$2 ), $AJ8-1, 0 ) )</f>
        <v>A</v>
      </c>
      <c r="AL8" s="236">
        <f t="shared" ca="1" si="20"/>
        <v>21</v>
      </c>
      <c r="AM8" s="236" t="str">
        <f t="shared" ca="1" si="4"/>
        <v/>
      </c>
      <c r="AQ8" s="286" t="s">
        <v>17</v>
      </c>
      <c r="AR8" s="286" t="s">
        <v>10</v>
      </c>
      <c r="AS8" s="286">
        <v>20</v>
      </c>
      <c r="AT8" s="286" t="s">
        <v>307</v>
      </c>
      <c r="AV8" s="234">
        <f t="shared" ref="AV8:AV63" si="21">IF( LEN( AS8 ) = 0, 99, RANK( AS8, $AS$7:$AS$63 ) )</f>
        <v>3</v>
      </c>
      <c r="AW8" s="234">
        <f>COUNTIF( AV$7:AV8, AV8 )</f>
        <v>1</v>
      </c>
      <c r="AX8" s="287">
        <f t="shared" ref="AX8:AX63" si="22">AV8 + AW8 / 10</f>
        <v>3.1</v>
      </c>
      <c r="AY8" s="234">
        <f t="shared" ref="AY8:AY63" si="23">RANK( AX8, $AX$7:$AX$63, 1 )</f>
        <v>3</v>
      </c>
      <c r="AZ8" s="236"/>
      <c r="BA8" s="236"/>
      <c r="BC8" s="234">
        <f ca="1">OFFSET( BC8, -1, 0 ) + 1</f>
        <v>2</v>
      </c>
      <c r="BD8" s="288">
        <f t="shared" ca="1" si="6"/>
        <v>21</v>
      </c>
      <c r="BF8" s="240" t="str">
        <f t="shared" ca="1" si="7"/>
        <v>Eversource Energy</v>
      </c>
      <c r="BG8" s="240" t="str">
        <f t="shared" ca="1" si="7"/>
        <v>A</v>
      </c>
      <c r="BH8" s="240">
        <f t="shared" ca="1" si="7"/>
        <v>21</v>
      </c>
      <c r="BI8" s="240" t="str">
        <f t="shared" ca="1" si="7"/>
        <v>ES</v>
      </c>
    </row>
    <row r="9" spans="1:61" x14ac:dyDescent="0.2">
      <c r="A9" s="303" t="s">
        <v>17</v>
      </c>
      <c r="B9" s="304" t="s">
        <v>10</v>
      </c>
      <c r="C9" s="304">
        <v>20</v>
      </c>
      <c r="D9" s="304" t="s">
        <v>307</v>
      </c>
      <c r="E9" s="305" t="str">
        <f t="shared" ca="1" si="8"/>
        <v>R</v>
      </c>
      <c r="F9" s="306"/>
      <c r="G9" s="307">
        <f t="shared" ca="1" si="1"/>
        <v>8</v>
      </c>
      <c r="H9" s="250"/>
      <c r="I9" s="318"/>
      <c r="J9" s="295" t="s">
        <v>10</v>
      </c>
      <c r="K9" s="318"/>
      <c r="L9" s="295">
        <f t="shared" si="9"/>
        <v>12</v>
      </c>
      <c r="M9" s="296">
        <f t="shared" si="10"/>
        <v>0.24</v>
      </c>
      <c r="N9" s="318"/>
      <c r="O9" s="295">
        <f t="shared" ca="1" si="11"/>
        <v>10</v>
      </c>
      <c r="P9" s="296">
        <f t="shared" ca="1" si="12"/>
        <v>0.27027027027027029</v>
      </c>
      <c r="Q9" s="318"/>
      <c r="R9" s="295">
        <f t="shared" ca="1" si="13"/>
        <v>2</v>
      </c>
      <c r="S9" s="296">
        <f t="shared" ca="1" si="14"/>
        <v>0.18181818181818182</v>
      </c>
      <c r="T9" s="318"/>
      <c r="U9" s="295">
        <f t="shared" ca="1" si="15"/>
        <v>0</v>
      </c>
      <c r="V9" s="296" t="str">
        <f t="shared" ca="1" si="16"/>
        <v/>
      </c>
      <c r="W9" s="318"/>
      <c r="X9" s="256" t="s">
        <v>465</v>
      </c>
      <c r="Y9" s="256">
        <v>20</v>
      </c>
      <c r="Z9" s="256">
        <v>1</v>
      </c>
      <c r="AA9" s="255">
        <f t="shared" ca="1" si="17"/>
        <v>12</v>
      </c>
      <c r="AC9" s="253"/>
      <c r="AE9" s="254"/>
      <c r="AF9" s="236">
        <f t="shared" si="2"/>
        <v>0</v>
      </c>
      <c r="AG9" s="236" t="str">
        <f t="shared" ca="1" si="3"/>
        <v/>
      </c>
      <c r="AH9" s="236" t="str">
        <f t="shared" ca="1" si="18"/>
        <v/>
      </c>
      <c r="AJ9" s="236">
        <f t="shared" ca="1" si="19"/>
        <v>9</v>
      </c>
      <c r="AK9" s="236" t="str">
        <f t="shared" ca="1" si="20"/>
        <v>A-</v>
      </c>
      <c r="AL9" s="236">
        <f t="shared" ca="1" si="20"/>
        <v>20</v>
      </c>
      <c r="AM9" s="236" t="str">
        <f t="shared" ca="1" si="4"/>
        <v/>
      </c>
      <c r="AQ9" s="286" t="s">
        <v>9</v>
      </c>
      <c r="AR9" s="286" t="s">
        <v>16</v>
      </c>
      <c r="AS9" s="286">
        <v>19</v>
      </c>
      <c r="AT9" s="286" t="s">
        <v>274</v>
      </c>
      <c r="AV9" s="234">
        <f t="shared" si="21"/>
        <v>15</v>
      </c>
      <c r="AW9" s="234">
        <f>COUNTIF( AV$7:AV9, AV9 )</f>
        <v>2</v>
      </c>
      <c r="AX9" s="287">
        <f t="shared" si="22"/>
        <v>15.2</v>
      </c>
      <c r="AY9" s="234">
        <f t="shared" si="23"/>
        <v>16</v>
      </c>
      <c r="AZ9" s="236"/>
      <c r="BA9" s="236"/>
      <c r="BC9" s="234">
        <f t="shared" ref="BC9:BC63" ca="1" si="24">OFFSET( BC9, -1, 0 ) + 1</f>
        <v>3</v>
      </c>
      <c r="BD9" s="288">
        <f t="shared" ca="1" si="6"/>
        <v>2</v>
      </c>
      <c r="BF9" s="240" t="str">
        <f t="shared" ca="1" si="7"/>
        <v>Alliant Energy Corporation</v>
      </c>
      <c r="BG9" s="240" t="str">
        <f t="shared" ca="1" si="7"/>
        <v>A-</v>
      </c>
      <c r="BH9" s="240">
        <f t="shared" ca="1" si="7"/>
        <v>20</v>
      </c>
      <c r="BI9" s="240" t="str">
        <f t="shared" ca="1" si="7"/>
        <v>LNT</v>
      </c>
    </row>
    <row r="10" spans="1:61" x14ac:dyDescent="0.2">
      <c r="A10" s="303" t="s">
        <v>29</v>
      </c>
      <c r="B10" s="304" t="s">
        <v>10</v>
      </c>
      <c r="C10" s="304">
        <v>20</v>
      </c>
      <c r="D10" s="304" t="s">
        <v>286</v>
      </c>
      <c r="E10" s="305" t="str">
        <f t="shared" ca="1" si="8"/>
        <v>MR</v>
      </c>
      <c r="F10" s="306"/>
      <c r="G10" s="307">
        <f t="shared" ca="1" si="1"/>
        <v>14</v>
      </c>
      <c r="H10" s="250"/>
      <c r="I10" s="318"/>
      <c r="J10" s="295" t="s">
        <v>16</v>
      </c>
      <c r="K10" s="318"/>
      <c r="L10" s="295">
        <f t="shared" si="9"/>
        <v>20</v>
      </c>
      <c r="M10" s="296">
        <f t="shared" si="10"/>
        <v>0.4</v>
      </c>
      <c r="N10" s="318"/>
      <c r="O10" s="295">
        <f t="shared" ca="1" si="11"/>
        <v>13</v>
      </c>
      <c r="P10" s="296">
        <f t="shared" ca="1" si="12"/>
        <v>0.35135135135135137</v>
      </c>
      <c r="Q10" s="318"/>
      <c r="R10" s="295">
        <f t="shared" ca="1" si="13"/>
        <v>7</v>
      </c>
      <c r="S10" s="296">
        <f t="shared" ca="1" si="14"/>
        <v>0.63636363636363635</v>
      </c>
      <c r="T10" s="318"/>
      <c r="U10" s="295">
        <f t="shared" ca="1" si="15"/>
        <v>0</v>
      </c>
      <c r="V10" s="296" t="str">
        <f t="shared" ca="1" si="16"/>
        <v/>
      </c>
      <c r="W10" s="318"/>
      <c r="X10" s="256" t="s">
        <v>466</v>
      </c>
      <c r="Y10" s="256">
        <v>19</v>
      </c>
      <c r="Z10" s="256">
        <v>1</v>
      </c>
      <c r="AA10" s="255">
        <f t="shared" ca="1" si="17"/>
        <v>20</v>
      </c>
      <c r="AE10" s="254"/>
      <c r="AF10" s="236">
        <f t="shared" si="2"/>
        <v>0</v>
      </c>
      <c r="AG10" s="236" t="str">
        <f t="shared" ca="1" si="3"/>
        <v/>
      </c>
      <c r="AH10" s="236" t="str">
        <f t="shared" ca="1" si="18"/>
        <v/>
      </c>
      <c r="AJ10" s="236">
        <f t="shared" ca="1" si="19"/>
        <v>10</v>
      </c>
      <c r="AK10" s="236" t="str">
        <f t="shared" ca="1" si="20"/>
        <v>A-</v>
      </c>
      <c r="AL10" s="236">
        <f t="shared" ca="1" si="20"/>
        <v>20</v>
      </c>
      <c r="AM10" s="236" t="str">
        <f t="shared" ca="1" si="4"/>
        <v/>
      </c>
      <c r="AQ10" s="286" t="s">
        <v>259</v>
      </c>
      <c r="AR10" s="286" t="s">
        <v>16</v>
      </c>
      <c r="AS10" s="286">
        <v>19</v>
      </c>
      <c r="AT10" s="286" t="s">
        <v>275</v>
      </c>
      <c r="AV10" s="234">
        <f t="shared" si="21"/>
        <v>15</v>
      </c>
      <c r="AW10" s="234">
        <f>COUNTIF( AV$7:AV10, AV10 )</f>
        <v>3</v>
      </c>
      <c r="AX10" s="287">
        <f t="shared" si="22"/>
        <v>15.3</v>
      </c>
      <c r="AY10" s="234">
        <f t="shared" si="23"/>
        <v>17</v>
      </c>
      <c r="AZ10" s="236"/>
      <c r="BA10" s="236"/>
      <c r="BC10" s="234">
        <f t="shared" ca="1" si="24"/>
        <v>4</v>
      </c>
      <c r="BD10" s="288">
        <f t="shared" ca="1" si="6"/>
        <v>9</v>
      </c>
      <c r="BF10" s="240" t="str">
        <f t="shared" ca="1" si="7"/>
        <v>CenterPoint Energy, Inc.</v>
      </c>
      <c r="BG10" s="240" t="str">
        <f t="shared" ca="1" si="7"/>
        <v>A-</v>
      </c>
      <c r="BH10" s="240">
        <f t="shared" ca="1" si="7"/>
        <v>20</v>
      </c>
      <c r="BI10" s="240" t="str">
        <f t="shared" ca="1" si="7"/>
        <v>CNP</v>
      </c>
    </row>
    <row r="11" spans="1:61" x14ac:dyDescent="0.2">
      <c r="A11" s="303" t="s">
        <v>3</v>
      </c>
      <c r="B11" s="304" t="s">
        <v>10</v>
      </c>
      <c r="C11" s="304">
        <v>20</v>
      </c>
      <c r="D11" s="304" t="s">
        <v>292</v>
      </c>
      <c r="E11" s="305" t="str">
        <f t="shared" ca="1" si="8"/>
        <v>R</v>
      </c>
      <c r="F11" s="306"/>
      <c r="G11" s="307">
        <f t="shared" ca="1" si="1"/>
        <v>17</v>
      </c>
      <c r="H11" s="250"/>
      <c r="I11" s="318"/>
      <c r="J11" s="295" t="s">
        <v>28</v>
      </c>
      <c r="K11" s="318"/>
      <c r="L11" s="295">
        <f t="shared" si="9"/>
        <v>9</v>
      </c>
      <c r="M11" s="296">
        <f t="shared" si="10"/>
        <v>0.18</v>
      </c>
      <c r="N11" s="318"/>
      <c r="O11" s="295">
        <f t="shared" ca="1" si="11"/>
        <v>8</v>
      </c>
      <c r="P11" s="296">
        <f t="shared" ca="1" si="12"/>
        <v>0.21621621621621623</v>
      </c>
      <c r="Q11" s="318"/>
      <c r="R11" s="295">
        <f t="shared" ca="1" si="13"/>
        <v>0</v>
      </c>
      <c r="S11" s="296" t="str">
        <f t="shared" ca="1" si="14"/>
        <v/>
      </c>
      <c r="T11" s="318"/>
      <c r="U11" s="295">
        <f t="shared" ca="1" si="15"/>
        <v>1</v>
      </c>
      <c r="V11" s="296">
        <f t="shared" ca="1" si="16"/>
        <v>0.5</v>
      </c>
      <c r="W11" s="318"/>
      <c r="X11" s="256" t="s">
        <v>467</v>
      </c>
      <c r="Y11" s="256">
        <v>18</v>
      </c>
      <c r="Z11" s="256">
        <v>1</v>
      </c>
      <c r="AA11" s="255">
        <f t="shared" ca="1" si="17"/>
        <v>9</v>
      </c>
      <c r="AE11" s="254"/>
      <c r="AF11" s="236">
        <f t="shared" si="2"/>
        <v>0</v>
      </c>
      <c r="AG11" s="236" t="str">
        <f t="shared" ca="1" si="3"/>
        <v/>
      </c>
      <c r="AH11" s="236" t="str">
        <f t="shared" ca="1" si="18"/>
        <v/>
      </c>
      <c r="AJ11" s="236">
        <f t="shared" ca="1" si="19"/>
        <v>11</v>
      </c>
      <c r="AK11" s="236" t="str">
        <f t="shared" ca="1" si="20"/>
        <v>A-</v>
      </c>
      <c r="AL11" s="236">
        <f t="shared" ca="1" si="20"/>
        <v>20</v>
      </c>
      <c r="AM11" s="236" t="str">
        <f t="shared" ca="1" si="4"/>
        <v/>
      </c>
      <c r="AQ11" s="286" t="s">
        <v>532</v>
      </c>
      <c r="AR11" s="286" t="s">
        <v>16</v>
      </c>
      <c r="AS11" s="286">
        <v>19</v>
      </c>
      <c r="AT11" s="286" t="s">
        <v>530</v>
      </c>
      <c r="AV11" s="234">
        <f t="shared" si="21"/>
        <v>15</v>
      </c>
      <c r="AW11" s="234">
        <f>COUNTIF( AV$7:AV11, AV11 )</f>
        <v>4</v>
      </c>
      <c r="AX11" s="287">
        <f t="shared" si="22"/>
        <v>15.4</v>
      </c>
      <c r="AY11" s="234">
        <f t="shared" si="23"/>
        <v>18</v>
      </c>
      <c r="AZ11" s="236"/>
      <c r="BA11" s="236"/>
      <c r="BC11" s="234">
        <f t="shared" ca="1" si="24"/>
        <v>5</v>
      </c>
      <c r="BD11" s="288">
        <f t="shared" ca="1" si="6"/>
        <v>12</v>
      </c>
      <c r="BF11" s="240" t="str">
        <f t="shared" ca="1" si="7"/>
        <v>Consolidated Edison, Inc.</v>
      </c>
      <c r="BG11" s="240" t="str">
        <f t="shared" ca="1" si="7"/>
        <v>A-</v>
      </c>
      <c r="BH11" s="240">
        <f t="shared" ca="1" si="7"/>
        <v>20</v>
      </c>
      <c r="BI11" s="240" t="str">
        <f t="shared" ca="1" si="7"/>
        <v>ED</v>
      </c>
    </row>
    <row r="12" spans="1:61" x14ac:dyDescent="0.2">
      <c r="A12" s="303" t="s">
        <v>32</v>
      </c>
      <c r="B12" s="304" t="s">
        <v>10</v>
      </c>
      <c r="C12" s="304">
        <v>20</v>
      </c>
      <c r="D12" s="304" t="s">
        <v>290</v>
      </c>
      <c r="E12" s="305" t="str">
        <f t="shared" ca="1" si="8"/>
        <v>R</v>
      </c>
      <c r="F12" s="306"/>
      <c r="G12" s="307">
        <f t="shared" ca="1" si="1"/>
        <v>20</v>
      </c>
      <c r="H12" s="250"/>
      <c r="I12" s="318"/>
      <c r="J12" s="295" t="s">
        <v>49</v>
      </c>
      <c r="K12" s="318"/>
      <c r="L12" s="295">
        <f t="shared" si="9"/>
        <v>5</v>
      </c>
      <c r="M12" s="296">
        <f t="shared" si="10"/>
        <v>0.1</v>
      </c>
      <c r="N12" s="318"/>
      <c r="O12" s="295">
        <f t="shared" ca="1" si="11"/>
        <v>3</v>
      </c>
      <c r="P12" s="296">
        <f t="shared" ca="1" si="12"/>
        <v>8.1081081081081086E-2</v>
      </c>
      <c r="Q12" s="318"/>
      <c r="R12" s="295">
        <f t="shared" ca="1" si="13"/>
        <v>1</v>
      </c>
      <c r="S12" s="296">
        <f t="shared" ca="1" si="14"/>
        <v>9.0909090909090912E-2</v>
      </c>
      <c r="T12" s="318"/>
      <c r="U12" s="295">
        <f t="shared" ca="1" si="15"/>
        <v>1</v>
      </c>
      <c r="V12" s="296">
        <f t="shared" ca="1" si="16"/>
        <v>0.5</v>
      </c>
      <c r="W12" s="318"/>
      <c r="X12" s="256" t="s">
        <v>468</v>
      </c>
      <c r="Y12" s="256">
        <v>17</v>
      </c>
      <c r="Z12" s="256">
        <v>1</v>
      </c>
      <c r="AA12" s="255">
        <f t="shared" ca="1" si="17"/>
        <v>5</v>
      </c>
      <c r="AE12" s="254"/>
      <c r="AF12" s="236">
        <f t="shared" si="2"/>
        <v>0</v>
      </c>
      <c r="AG12" s="236" t="str">
        <f t="shared" ca="1" si="3"/>
        <v/>
      </c>
      <c r="AH12" s="236" t="str">
        <f t="shared" ca="1" si="18"/>
        <v/>
      </c>
      <c r="AJ12" s="236">
        <f t="shared" ca="1" si="19"/>
        <v>12</v>
      </c>
      <c r="AK12" s="236" t="str">
        <f t="shared" ca="1" si="20"/>
        <v>A-</v>
      </c>
      <c r="AL12" s="236">
        <f t="shared" ca="1" si="20"/>
        <v>20</v>
      </c>
      <c r="AM12" s="236" t="str">
        <f t="shared" ca="1" si="4"/>
        <v/>
      </c>
      <c r="AQ12" s="286" t="s">
        <v>55</v>
      </c>
      <c r="AR12" s="286" t="s">
        <v>28</v>
      </c>
      <c r="AS12" s="286">
        <v>18</v>
      </c>
      <c r="AT12" s="286" t="s">
        <v>278</v>
      </c>
      <c r="AV12" s="234">
        <f t="shared" si="21"/>
        <v>35</v>
      </c>
      <c r="AW12" s="234">
        <f>COUNTIF( AV$7:AV12, AV12 )</f>
        <v>1</v>
      </c>
      <c r="AX12" s="287">
        <f t="shared" si="22"/>
        <v>35.1</v>
      </c>
      <c r="AY12" s="234">
        <f t="shared" si="23"/>
        <v>35</v>
      </c>
      <c r="AZ12" s="236"/>
      <c r="BA12" s="236"/>
      <c r="BC12" s="234">
        <f t="shared" ca="1" si="24"/>
        <v>6</v>
      </c>
      <c r="BD12" s="288">
        <f t="shared" ca="1" si="6"/>
        <v>16</v>
      </c>
      <c r="BF12" s="240" t="str">
        <f t="shared" ca="1" si="7"/>
        <v>Duke Energy Corporation</v>
      </c>
      <c r="BG12" s="240" t="str">
        <f t="shared" ca="1" si="7"/>
        <v>A-</v>
      </c>
      <c r="BH12" s="240">
        <f t="shared" ca="1" si="7"/>
        <v>20</v>
      </c>
      <c r="BI12" s="240" t="str">
        <f t="shared" ca="1" si="7"/>
        <v>DUK</v>
      </c>
    </row>
    <row r="13" spans="1:61" x14ac:dyDescent="0.2">
      <c r="A13" s="303" t="s">
        <v>370</v>
      </c>
      <c r="B13" s="304" t="s">
        <v>10</v>
      </c>
      <c r="C13" s="304">
        <v>20</v>
      </c>
      <c r="D13" s="304" t="s">
        <v>369</v>
      </c>
      <c r="E13" s="305" t="str">
        <f t="shared" ca="1" si="8"/>
        <v>MR</v>
      </c>
      <c r="F13" s="306"/>
      <c r="G13" s="307">
        <f t="shared" ca="1" si="1"/>
        <v>33</v>
      </c>
      <c r="H13" s="250"/>
      <c r="I13" s="319"/>
      <c r="J13" s="297" t="s">
        <v>79</v>
      </c>
      <c r="K13" s="319"/>
      <c r="L13" s="297">
        <f t="shared" si="9"/>
        <v>1</v>
      </c>
      <c r="M13" s="298">
        <f t="shared" si="10"/>
        <v>0.02</v>
      </c>
      <c r="N13" s="319"/>
      <c r="O13" s="297">
        <f t="shared" ca="1" si="11"/>
        <v>1</v>
      </c>
      <c r="P13" s="298">
        <f t="shared" ca="1" si="12"/>
        <v>2.7027027027027029E-2</v>
      </c>
      <c r="Q13" s="319"/>
      <c r="R13" s="297">
        <f t="shared" ca="1" si="13"/>
        <v>0</v>
      </c>
      <c r="S13" s="298" t="str">
        <f t="shared" ca="1" si="14"/>
        <v/>
      </c>
      <c r="T13" s="319"/>
      <c r="U13" s="297">
        <f t="shared" ca="1" si="15"/>
        <v>0</v>
      </c>
      <c r="V13" s="298" t="str">
        <f t="shared" ca="1" si="16"/>
        <v/>
      </c>
      <c r="W13" s="319"/>
      <c r="X13" s="256" t="s">
        <v>469</v>
      </c>
      <c r="Y13" s="256">
        <v>16</v>
      </c>
      <c r="Z13" s="256">
        <v>1</v>
      </c>
      <c r="AA13" s="259">
        <f t="shared" ca="1" si="17"/>
        <v>1</v>
      </c>
      <c r="AE13" s="254"/>
      <c r="AF13" s="236">
        <f t="shared" si="2"/>
        <v>0</v>
      </c>
      <c r="AG13" s="236" t="str">
        <f t="shared" ca="1" si="3"/>
        <v/>
      </c>
      <c r="AH13" s="236" t="str">
        <f t="shared" ca="1" si="18"/>
        <v/>
      </c>
      <c r="AJ13" s="236">
        <f t="shared" ca="1" si="19"/>
        <v>13</v>
      </c>
      <c r="AK13" s="236" t="str">
        <f t="shared" ca="1" si="20"/>
        <v>A-</v>
      </c>
      <c r="AL13" s="236">
        <f t="shared" ca="1" si="20"/>
        <v>20</v>
      </c>
      <c r="AM13" s="236" t="str">
        <f t="shared" ca="1" si="4"/>
        <v/>
      </c>
      <c r="AQ13" s="286" t="s">
        <v>501</v>
      </c>
      <c r="AR13" s="286" t="s">
        <v>2</v>
      </c>
      <c r="AS13" s="286">
        <v>21</v>
      </c>
      <c r="AT13" s="286" t="s">
        <v>447</v>
      </c>
      <c r="AV13" s="234">
        <f t="shared" si="21"/>
        <v>1</v>
      </c>
      <c r="AW13" s="234">
        <f>COUNTIF( AV$7:AV13, AV13 )</f>
        <v>1</v>
      </c>
      <c r="AX13" s="287">
        <f t="shared" si="22"/>
        <v>1.1000000000000001</v>
      </c>
      <c r="AY13" s="234">
        <f t="shared" si="23"/>
        <v>1</v>
      </c>
      <c r="AZ13" s="236"/>
      <c r="BA13" s="236"/>
      <c r="BC13" s="234">
        <f t="shared" ca="1" si="24"/>
        <v>7</v>
      </c>
      <c r="BD13" s="288">
        <f t="shared" ca="1" si="6"/>
        <v>29</v>
      </c>
      <c r="BF13" s="240" t="str">
        <f t="shared" ca="1" si="7"/>
        <v>NextEra Energy, Inc.</v>
      </c>
      <c r="BG13" s="240" t="str">
        <f t="shared" ca="1" si="7"/>
        <v>A-</v>
      </c>
      <c r="BH13" s="240">
        <f t="shared" ca="1" si="7"/>
        <v>20</v>
      </c>
      <c r="BI13" s="240" t="str">
        <f t="shared" ca="1" si="7"/>
        <v>NEE</v>
      </c>
    </row>
    <row r="14" spans="1:61" x14ac:dyDescent="0.2">
      <c r="A14" s="303" t="s">
        <v>21</v>
      </c>
      <c r="B14" s="304" t="s">
        <v>10</v>
      </c>
      <c r="C14" s="304">
        <v>20</v>
      </c>
      <c r="D14" s="304" t="s">
        <v>316</v>
      </c>
      <c r="E14" s="305" t="str">
        <f t="shared" ca="1" si="8"/>
        <v>R</v>
      </c>
      <c r="F14" s="306"/>
      <c r="G14" s="307">
        <f t="shared" ca="1" si="1"/>
        <v>36</v>
      </c>
      <c r="H14" s="250"/>
      <c r="I14" s="320"/>
      <c r="J14" s="291" t="s">
        <v>80</v>
      </c>
      <c r="K14" s="320"/>
      <c r="L14" s="291">
        <f>SUM(L8:L13)</f>
        <v>50</v>
      </c>
      <c r="M14" s="292">
        <f>L14/L$14</f>
        <v>1</v>
      </c>
      <c r="N14" s="320"/>
      <c r="O14" s="291">
        <f ca="1">SUM(O8:O13)</f>
        <v>37</v>
      </c>
      <c r="P14" s="292">
        <f ca="1">O14/O$14</f>
        <v>1</v>
      </c>
      <c r="Q14" s="320"/>
      <c r="R14" s="291">
        <f ca="1">SUM(R8:R13)</f>
        <v>11</v>
      </c>
      <c r="S14" s="292">
        <f ca="1">R14/R$14</f>
        <v>1</v>
      </c>
      <c r="T14" s="320"/>
      <c r="U14" s="291">
        <f ca="1">SUM(U8:U13)</f>
        <v>2</v>
      </c>
      <c r="V14" s="292">
        <f ca="1">U14/U$14</f>
        <v>1</v>
      </c>
      <c r="W14" s="320"/>
      <c r="Y14" s="261">
        <f>SUMPRODUCT( L8:L13, Y8:Y13 ) / L14</f>
        <v>18.920000000000002</v>
      </c>
      <c r="Z14" s="261"/>
      <c r="AA14" s="453">
        <f ca="1">SUM(AA8:AA13)</f>
        <v>50</v>
      </c>
      <c r="AE14" s="254"/>
      <c r="AF14" s="236">
        <f t="shared" si="2"/>
        <v>0</v>
      </c>
      <c r="AG14" s="236" t="str">
        <f t="shared" ca="1" si="3"/>
        <v/>
      </c>
      <c r="AH14" s="236" t="str">
        <f t="shared" ca="1" si="18"/>
        <v/>
      </c>
      <c r="AJ14" s="236">
        <f t="shared" ca="1" si="19"/>
        <v>14</v>
      </c>
      <c r="AK14" s="236" t="str">
        <f t="shared" ca="1" si="20"/>
        <v>A-</v>
      </c>
      <c r="AL14" s="236">
        <f t="shared" ca="1" si="20"/>
        <v>20</v>
      </c>
      <c r="AM14" s="236" t="str">
        <f t="shared" ca="1" si="4"/>
        <v/>
      </c>
      <c r="AQ14" s="286" t="s">
        <v>48</v>
      </c>
      <c r="AR14" s="286" t="s">
        <v>28</v>
      </c>
      <c r="AS14" s="286">
        <v>18</v>
      </c>
      <c r="AT14" s="286" t="s">
        <v>280</v>
      </c>
      <c r="AV14" s="234">
        <f>IF( LEN( AS14 ) = 0, 99, RANK( AS14, $AS$7:$AS$63 ) )</f>
        <v>35</v>
      </c>
      <c r="AW14" s="234">
        <f>COUNTIF( AV$7:AV14, AV14 )</f>
        <v>2</v>
      </c>
      <c r="AX14" s="287">
        <f t="shared" si="22"/>
        <v>35.200000000000003</v>
      </c>
      <c r="AY14" s="234">
        <f t="shared" si="23"/>
        <v>36</v>
      </c>
      <c r="AZ14" s="236"/>
      <c r="BA14" s="236"/>
      <c r="BC14" s="234">
        <f t="shared" ca="1" si="24"/>
        <v>8</v>
      </c>
      <c r="BD14" s="288">
        <f t="shared" ca="1" si="6"/>
        <v>32</v>
      </c>
      <c r="BF14" s="240" t="str">
        <f t="shared" ca="1" si="7"/>
        <v>OGE Energy Corp.</v>
      </c>
      <c r="BG14" s="240" t="str">
        <f t="shared" ca="1" si="7"/>
        <v>A-</v>
      </c>
      <c r="BH14" s="240">
        <f t="shared" ca="1" si="7"/>
        <v>20</v>
      </c>
      <c r="BI14" s="240" t="str">
        <f t="shared" ca="1" si="7"/>
        <v>OGE</v>
      </c>
    </row>
    <row r="15" spans="1:61" x14ac:dyDescent="0.2">
      <c r="A15" s="303" t="s">
        <v>41</v>
      </c>
      <c r="B15" s="304" t="s">
        <v>10</v>
      </c>
      <c r="C15" s="304">
        <v>20</v>
      </c>
      <c r="D15" s="304" t="s">
        <v>322</v>
      </c>
      <c r="E15" s="305" t="str">
        <f t="shared" ca="1" si="8"/>
        <v>R</v>
      </c>
      <c r="F15" s="306"/>
      <c r="G15" s="307">
        <f t="shared" ca="1" si="1"/>
        <v>39</v>
      </c>
      <c r="H15" s="250"/>
      <c r="I15" s="321"/>
      <c r="K15" s="321"/>
      <c r="N15" s="321"/>
      <c r="Q15" s="321"/>
      <c r="T15" s="321"/>
      <c r="W15" s="321"/>
      <c r="X15" s="240"/>
      <c r="AA15" s="240"/>
      <c r="AE15" s="254"/>
      <c r="AF15" s="236">
        <f t="shared" si="2"/>
        <v>0</v>
      </c>
      <c r="AG15" s="236" t="str">
        <f t="shared" ca="1" si="3"/>
        <v/>
      </c>
      <c r="AH15" s="236" t="str">
        <f t="shared" ca="1" si="18"/>
        <v/>
      </c>
      <c r="AJ15" s="236">
        <f t="shared" ca="1" si="19"/>
        <v>15</v>
      </c>
      <c r="AK15" s="236" t="str">
        <f t="shared" ca="1" si="20"/>
        <v>A-</v>
      </c>
      <c r="AL15" s="236">
        <f t="shared" ca="1" si="20"/>
        <v>20</v>
      </c>
      <c r="AM15" s="236" t="str">
        <f t="shared" ca="1" si="4"/>
        <v/>
      </c>
      <c r="AQ15" s="286" t="s">
        <v>29</v>
      </c>
      <c r="AR15" s="286" t="s">
        <v>10</v>
      </c>
      <c r="AS15" s="286">
        <v>20</v>
      </c>
      <c r="AT15" s="286" t="s">
        <v>286</v>
      </c>
      <c r="AV15" s="234">
        <f t="shared" si="21"/>
        <v>3</v>
      </c>
      <c r="AW15" s="234">
        <f>COUNTIF( AV$7:AV15, AV15 )</f>
        <v>2</v>
      </c>
      <c r="AX15" s="287">
        <f t="shared" si="22"/>
        <v>3.2</v>
      </c>
      <c r="AY15" s="234">
        <f t="shared" si="23"/>
        <v>4</v>
      </c>
      <c r="AZ15" s="236"/>
      <c r="BA15" s="236"/>
      <c r="BC15" s="234">
        <f t="shared" ca="1" si="24"/>
        <v>9</v>
      </c>
      <c r="BD15" s="288">
        <f t="shared" ca="1" si="6"/>
        <v>35</v>
      </c>
      <c r="BF15" s="240" t="str">
        <f t="shared" ca="1" si="7"/>
        <v>Pinnacle West Capital Corporation</v>
      </c>
      <c r="BG15" s="240" t="str">
        <f t="shared" ca="1" si="7"/>
        <v>A-</v>
      </c>
      <c r="BH15" s="240">
        <f t="shared" ca="1" si="7"/>
        <v>20</v>
      </c>
      <c r="BI15" s="240" t="str">
        <f t="shared" ca="1" si="7"/>
        <v>PNW</v>
      </c>
    </row>
    <row r="16" spans="1:61" x14ac:dyDescent="0.2">
      <c r="A16" s="303" t="s">
        <v>43</v>
      </c>
      <c r="B16" s="304" t="s">
        <v>10</v>
      </c>
      <c r="C16" s="304">
        <v>20</v>
      </c>
      <c r="D16" s="304" t="s">
        <v>325</v>
      </c>
      <c r="E16" s="305" t="str">
        <f t="shared" ca="1" si="8"/>
        <v>R</v>
      </c>
      <c r="F16" s="306"/>
      <c r="G16" s="307">
        <f t="shared" ca="1" si="1"/>
        <v>42</v>
      </c>
      <c r="H16" s="250"/>
      <c r="I16" s="316"/>
      <c r="J16" s="290" t="s">
        <v>450</v>
      </c>
      <c r="K16" s="316"/>
      <c r="L16" s="463">
        <f t="array" ref="L16">SUM( IF( LEN( $C$7:$C$65 ) = 0, 0, $C$7:$C$65 ) ) / SUM( IF( LEN( $C$7:$C$65 ) = 0, 0, 1  ) )</f>
        <v>18.940000000000001</v>
      </c>
      <c r="M16" s="464"/>
      <c r="N16" s="316"/>
      <c r="O16" s="463">
        <f t="array" aca="1" ref="O16" ca="1">SUM( IF( LEN( $C$7:$C$65 ) = 0, 0, IF( $E$7:$E$65 = O3, $C$7:$C$65, 0 ) ) ) / SUM( IF( LEN( $C$7:$C$65 ) = 0, 0, IF( $E$7:$E$65 = O3, 1, 0 ) ) )</f>
        <v>18.891891891891891</v>
      </c>
      <c r="P16" s="464"/>
      <c r="Q16" s="316"/>
      <c r="R16" s="463">
        <f t="array" aca="1" ref="R16" ca="1">SUM( IF( LEN( $C$7:$C$65 ) = 0, 0, IF( $E$7:$E$65 = R3, $C$7:$C$65, 0 ) ) ) / SUM( IF( LEN( $C$7:$C$65 ) = 0, 0, IF( $E$7:$E$65 = R3, 1, 0 ) ) )</f>
        <v>19.363636363636363</v>
      </c>
      <c r="S16" s="464"/>
      <c r="T16" s="316"/>
      <c r="U16" s="463">
        <f t="array" aca="1" ref="U16" ca="1">SUM( IF( LEN( $C$7:$C$65 ) = 0, 0, IF( $E$7:$E$65 = U3, $C$7:$C$65, 0 ) ) ) / SUM( IF( LEN( $C$7:$C$65 ) = 0, 0, IF( $E$7:$E$65 = U3, 1, 0 ) ) )</f>
        <v>17.5</v>
      </c>
      <c r="V16" s="465"/>
      <c r="W16" s="316"/>
      <c r="AE16" s="254"/>
      <c r="AF16" s="236">
        <f t="shared" si="2"/>
        <v>0</v>
      </c>
      <c r="AG16" s="236" t="str">
        <f t="shared" ca="1" si="3"/>
        <v/>
      </c>
      <c r="AH16" s="236" t="str">
        <f t="shared" ca="1" si="18"/>
        <v/>
      </c>
      <c r="AJ16" s="236">
        <f t="shared" ca="1" si="19"/>
        <v>16</v>
      </c>
      <c r="AK16" s="236" t="str">
        <f t="shared" ca="1" si="20"/>
        <v>A-</v>
      </c>
      <c r="AL16" s="236">
        <f t="shared" ca="1" si="20"/>
        <v>20</v>
      </c>
      <c r="AM16" s="236" t="str">
        <f t="shared" ca="1" si="4"/>
        <v/>
      </c>
      <c r="AQ16" s="286" t="s">
        <v>30</v>
      </c>
      <c r="AR16" s="286" t="s">
        <v>49</v>
      </c>
      <c r="AS16" s="286">
        <v>17</v>
      </c>
      <c r="AT16" s="289" t="s">
        <v>541</v>
      </c>
      <c r="AV16" s="234">
        <f t="shared" si="21"/>
        <v>44</v>
      </c>
      <c r="AW16" s="234">
        <f>COUNTIF( AV$7:AV16, AV16 )</f>
        <v>1</v>
      </c>
      <c r="AX16" s="287">
        <f t="shared" si="22"/>
        <v>44.1</v>
      </c>
      <c r="AY16" s="234">
        <f t="shared" si="23"/>
        <v>44</v>
      </c>
      <c r="AZ16" s="236"/>
      <c r="BA16" s="236"/>
      <c r="BC16" s="234">
        <f t="shared" ca="1" si="24"/>
        <v>10</v>
      </c>
      <c r="BD16" s="288">
        <f t="shared" ca="1" si="6"/>
        <v>38</v>
      </c>
      <c r="BF16" s="240" t="str">
        <f t="shared" ca="1" si="7"/>
        <v>PPL Corporation</v>
      </c>
      <c r="BG16" s="240" t="str">
        <f t="shared" ca="1" si="7"/>
        <v>A-</v>
      </c>
      <c r="BH16" s="240">
        <f t="shared" ca="1" si="7"/>
        <v>20</v>
      </c>
      <c r="BI16" s="240" t="str">
        <f t="shared" ca="1" si="7"/>
        <v>PPL</v>
      </c>
    </row>
    <row r="17" spans="1:61" x14ac:dyDescent="0.2">
      <c r="A17" s="303" t="s">
        <v>7</v>
      </c>
      <c r="B17" s="304" t="s">
        <v>10</v>
      </c>
      <c r="C17" s="304">
        <v>20</v>
      </c>
      <c r="D17" s="304" t="s">
        <v>328</v>
      </c>
      <c r="E17" s="305" t="str">
        <f t="shared" ca="1" si="8"/>
        <v>R</v>
      </c>
      <c r="F17" s="306"/>
      <c r="G17" s="307">
        <f t="shared" ca="1" si="1"/>
        <v>46</v>
      </c>
      <c r="H17" s="250"/>
      <c r="I17" s="321"/>
      <c r="K17" s="321"/>
      <c r="N17" s="321"/>
      <c r="O17" s="240"/>
      <c r="Q17" s="321"/>
      <c r="T17" s="321"/>
      <c r="W17" s="321"/>
      <c r="AE17" s="245"/>
      <c r="AF17" s="236">
        <f t="shared" si="2"/>
        <v>0</v>
      </c>
      <c r="AG17" s="236" t="str">
        <f t="shared" ca="1" si="3"/>
        <v/>
      </c>
      <c r="AH17" s="236" t="str">
        <f t="shared" ca="1" si="18"/>
        <v/>
      </c>
      <c r="AJ17" s="236">
        <f t="shared" ca="1" si="19"/>
        <v>17</v>
      </c>
      <c r="AK17" s="236" t="str">
        <f t="shared" ca="1" si="20"/>
        <v>A-</v>
      </c>
      <c r="AL17" s="236">
        <f t="shared" ca="1" si="20"/>
        <v>20</v>
      </c>
      <c r="AM17" s="236" t="str">
        <f t="shared" ca="1" si="4"/>
        <v/>
      </c>
      <c r="AQ17" s="286" t="s">
        <v>60</v>
      </c>
      <c r="AR17" s="286" t="s">
        <v>16</v>
      </c>
      <c r="AS17" s="286">
        <v>19</v>
      </c>
      <c r="AT17" s="286" t="s">
        <v>284</v>
      </c>
      <c r="AV17" s="234">
        <f t="shared" si="21"/>
        <v>15</v>
      </c>
      <c r="AW17" s="234">
        <f>COUNTIF( AV$7:AV17, AV17 )</f>
        <v>5</v>
      </c>
      <c r="AX17" s="287">
        <f t="shared" si="22"/>
        <v>15.5</v>
      </c>
      <c r="AY17" s="234">
        <f t="shared" si="23"/>
        <v>19</v>
      </c>
      <c r="AZ17" s="236"/>
      <c r="BA17" s="236"/>
      <c r="BC17" s="234">
        <f t="shared" ca="1" si="24"/>
        <v>11</v>
      </c>
      <c r="BD17" s="288">
        <f t="shared" ca="1" si="6"/>
        <v>43</v>
      </c>
      <c r="BF17" s="240" t="str">
        <f t="shared" ca="1" si="7"/>
        <v>Southern Company</v>
      </c>
      <c r="BG17" s="240" t="str">
        <f t="shared" ca="1" si="7"/>
        <v>A-</v>
      </c>
      <c r="BH17" s="240">
        <f t="shared" ca="1" si="7"/>
        <v>20</v>
      </c>
      <c r="BI17" s="240" t="str">
        <f t="shared" ca="1" si="7"/>
        <v>SO</v>
      </c>
    </row>
    <row r="18" spans="1:61" x14ac:dyDescent="0.2">
      <c r="A18" s="303" t="s">
        <v>14</v>
      </c>
      <c r="B18" s="304" t="s">
        <v>10</v>
      </c>
      <c r="C18" s="304">
        <v>20</v>
      </c>
      <c r="D18" s="304" t="s">
        <v>335</v>
      </c>
      <c r="E18" s="305" t="str">
        <f t="shared" ca="1" si="8"/>
        <v>R</v>
      </c>
      <c r="F18" s="306"/>
      <c r="G18" s="307">
        <f t="shared" ca="1" si="1"/>
        <v>49</v>
      </c>
      <c r="H18" s="250"/>
      <c r="I18" s="321"/>
      <c r="K18" s="321"/>
      <c r="N18" s="321"/>
      <c r="O18" s="240"/>
      <c r="Q18" s="321"/>
      <c r="T18" s="321"/>
      <c r="W18" s="321"/>
      <c r="AE18" s="254"/>
      <c r="AF18" s="236">
        <f t="shared" si="2"/>
        <v>0</v>
      </c>
      <c r="AG18" s="236" t="str">
        <f t="shared" ca="1" si="3"/>
        <v/>
      </c>
      <c r="AH18" s="236" t="str">
        <f t="shared" ca="1" si="18"/>
        <v/>
      </c>
      <c r="AJ18" s="236">
        <f t="shared" ca="1" si="19"/>
        <v>18</v>
      </c>
      <c r="AK18" s="236" t="str">
        <f t="shared" ca="1" si="20"/>
        <v>A-</v>
      </c>
      <c r="AL18" s="236">
        <f t="shared" ca="1" si="20"/>
        <v>20</v>
      </c>
      <c r="AM18" s="236" t="str">
        <f t="shared" ca="1" si="4"/>
        <v/>
      </c>
      <c r="AQ18" s="286" t="s">
        <v>3</v>
      </c>
      <c r="AR18" s="286" t="s">
        <v>10</v>
      </c>
      <c r="AS18" s="286">
        <v>20</v>
      </c>
      <c r="AT18" s="286" t="s">
        <v>292</v>
      </c>
      <c r="AV18" s="234">
        <f t="shared" si="21"/>
        <v>3</v>
      </c>
      <c r="AW18" s="234">
        <f>COUNTIF( AV$7:AV18, AV18 )</f>
        <v>3</v>
      </c>
      <c r="AX18" s="287">
        <f t="shared" si="22"/>
        <v>3.3</v>
      </c>
      <c r="AY18" s="234">
        <f t="shared" si="23"/>
        <v>5</v>
      </c>
      <c r="AZ18" s="236"/>
      <c r="BA18" s="236"/>
      <c r="BC18" s="234">
        <f t="shared" ca="1" si="24"/>
        <v>12</v>
      </c>
      <c r="BD18" s="288">
        <f t="shared" ca="1" si="6"/>
        <v>46</v>
      </c>
      <c r="BF18" s="240" t="str">
        <f t="shared" ca="1" si="7"/>
        <v>Vectren Corporation</v>
      </c>
      <c r="BG18" s="240" t="str">
        <f t="shared" ca="1" si="7"/>
        <v>A-</v>
      </c>
      <c r="BH18" s="240">
        <f t="shared" ca="1" si="7"/>
        <v>20</v>
      </c>
      <c r="BI18" s="240" t="str">
        <f t="shared" ca="1" si="7"/>
        <v>VVC</v>
      </c>
    </row>
    <row r="19" spans="1:61" x14ac:dyDescent="0.2">
      <c r="A19" s="303" t="s">
        <v>26</v>
      </c>
      <c r="B19" s="304" t="s">
        <v>10</v>
      </c>
      <c r="C19" s="304">
        <v>20</v>
      </c>
      <c r="D19" s="304" t="s">
        <v>336</v>
      </c>
      <c r="E19" s="305" t="str">
        <f t="shared" ca="1" si="8"/>
        <v>R</v>
      </c>
      <c r="F19" s="306"/>
      <c r="G19" s="307">
        <f t="shared" ca="1" si="1"/>
        <v>50</v>
      </c>
      <c r="H19" s="250"/>
      <c r="I19" s="321"/>
      <c r="K19" s="321"/>
      <c r="N19" s="321"/>
      <c r="O19" s="240"/>
      <c r="Q19" s="321"/>
      <c r="T19" s="321"/>
      <c r="W19" s="321"/>
      <c r="AE19" s="254"/>
      <c r="AF19" s="236">
        <f t="shared" si="2"/>
        <v>0</v>
      </c>
      <c r="AG19" s="236" t="str">
        <f t="shared" ca="1" si="3"/>
        <v/>
      </c>
      <c r="AH19" s="236" t="str">
        <f t="shared" ca="1" si="18"/>
        <v/>
      </c>
      <c r="AJ19" s="236">
        <f t="shared" ca="1" si="19"/>
        <v>19</v>
      </c>
      <c r="AK19" s="236" t="str">
        <f t="shared" ca="1" si="20"/>
        <v>A-</v>
      </c>
      <c r="AL19" s="236">
        <f t="shared" ca="1" si="20"/>
        <v>20</v>
      </c>
      <c r="AM19" s="236" t="str">
        <f t="shared" ca="1" si="4"/>
        <v/>
      </c>
      <c r="AQ19" s="286" t="s">
        <v>18</v>
      </c>
      <c r="AR19" s="286" t="s">
        <v>16</v>
      </c>
      <c r="AS19" s="286">
        <v>19</v>
      </c>
      <c r="AT19" s="286" t="s">
        <v>86</v>
      </c>
      <c r="AV19" s="234">
        <f t="shared" si="21"/>
        <v>15</v>
      </c>
      <c r="AW19" s="234">
        <f>COUNTIF( AV$7:AV19, AV19 )</f>
        <v>6</v>
      </c>
      <c r="AX19" s="287">
        <f t="shared" si="22"/>
        <v>15.6</v>
      </c>
      <c r="AY19" s="234">
        <f t="shared" si="23"/>
        <v>20</v>
      </c>
      <c r="AZ19" s="236"/>
      <c r="BA19" s="236"/>
      <c r="BC19" s="234">
        <f t="shared" ca="1" si="24"/>
        <v>13</v>
      </c>
      <c r="BD19" s="288">
        <f t="shared" ca="1" si="6"/>
        <v>48</v>
      </c>
      <c r="BF19" s="240" t="str">
        <f t="shared" ca="1" si="7"/>
        <v>Wisconsin Energy Corporation</v>
      </c>
      <c r="BG19" s="240" t="str">
        <f t="shared" ca="1" si="7"/>
        <v>A-</v>
      </c>
      <c r="BH19" s="240">
        <f t="shared" ca="1" si="7"/>
        <v>20</v>
      </c>
      <c r="BI19" s="240" t="str">
        <f t="shared" ca="1" si="7"/>
        <v>WEC</v>
      </c>
    </row>
    <row r="20" spans="1:61" x14ac:dyDescent="0.2">
      <c r="A20" s="303" t="s">
        <v>258</v>
      </c>
      <c r="B20" s="304" t="s">
        <v>10</v>
      </c>
      <c r="C20" s="304">
        <v>20</v>
      </c>
      <c r="D20" s="304" t="s">
        <v>338</v>
      </c>
      <c r="E20" s="305" t="str">
        <f t="shared" ca="1" si="8"/>
        <v>R</v>
      </c>
      <c r="F20" s="306"/>
      <c r="G20" s="307">
        <f t="shared" ca="1" si="1"/>
        <v>52</v>
      </c>
      <c r="H20" s="250"/>
      <c r="I20" s="322"/>
      <c r="K20" s="322"/>
      <c r="N20" s="322"/>
      <c r="O20" s="240"/>
      <c r="Q20" s="322"/>
      <c r="T20" s="322"/>
      <c r="W20" s="322"/>
      <c r="AE20" s="254"/>
      <c r="AF20" s="236">
        <f t="shared" si="2"/>
        <v>0</v>
      </c>
      <c r="AG20" s="236" t="str">
        <f t="shared" ca="1" si="3"/>
        <v/>
      </c>
      <c r="AH20" s="236" t="str">
        <f t="shared" ca="1" si="18"/>
        <v/>
      </c>
      <c r="AJ20" s="236">
        <f t="shared" ca="1" si="19"/>
        <v>20</v>
      </c>
      <c r="AK20" s="236" t="str">
        <f t="shared" ca="1" si="20"/>
        <v>A-</v>
      </c>
      <c r="AL20" s="236">
        <f t="shared" ca="1" si="20"/>
        <v>20</v>
      </c>
      <c r="AM20" s="236" t="str">
        <f t="shared" ca="1" si="4"/>
        <v/>
      </c>
      <c r="AQ20" s="286" t="s">
        <v>64</v>
      </c>
      <c r="AR20" s="286" t="s">
        <v>61</v>
      </c>
      <c r="AS20" s="286">
        <v>15</v>
      </c>
      <c r="AT20" s="286" t="s">
        <v>443</v>
      </c>
      <c r="AV20" s="234">
        <f t="shared" si="21"/>
        <v>49</v>
      </c>
      <c r="AW20" s="234">
        <f>COUNTIF( AV$7:AV20, AV20 )</f>
        <v>1</v>
      </c>
      <c r="AX20" s="287">
        <f t="shared" si="22"/>
        <v>49.1</v>
      </c>
      <c r="AY20" s="234">
        <f t="shared" si="23"/>
        <v>49</v>
      </c>
      <c r="AZ20" s="236"/>
      <c r="BA20" s="236"/>
      <c r="BC20" s="234">
        <f t="shared" ca="1" si="24"/>
        <v>14</v>
      </c>
      <c r="BD20" s="288">
        <f t="shared" ca="1" si="6"/>
        <v>49</v>
      </c>
      <c r="BF20" s="240" t="str">
        <f t="shared" ca="1" si="7"/>
        <v>Xcel Energy Inc.</v>
      </c>
      <c r="BG20" s="240" t="str">
        <f t="shared" ca="1" si="7"/>
        <v>A-</v>
      </c>
      <c r="BH20" s="240">
        <f t="shared" ca="1" si="7"/>
        <v>20</v>
      </c>
      <c r="BI20" s="240" t="str">
        <f t="shared" ca="1" si="7"/>
        <v>XEL</v>
      </c>
    </row>
    <row r="21" spans="1:61" x14ac:dyDescent="0.2">
      <c r="A21" s="303" t="s">
        <v>15</v>
      </c>
      <c r="B21" s="304" t="s">
        <v>16</v>
      </c>
      <c r="C21" s="304">
        <v>19</v>
      </c>
      <c r="D21" s="304" t="s">
        <v>277</v>
      </c>
      <c r="E21" s="305" t="str">
        <f t="shared" ca="1" si="8"/>
        <v>MR</v>
      </c>
      <c r="F21" s="306"/>
      <c r="G21" s="307">
        <f t="shared" ca="1" si="1"/>
        <v>7</v>
      </c>
      <c r="H21" s="250"/>
      <c r="I21" s="321"/>
      <c r="K21" s="321"/>
      <c r="N21" s="321"/>
      <c r="Q21" s="321"/>
      <c r="T21" s="321"/>
      <c r="W21" s="321"/>
      <c r="AE21" s="254"/>
      <c r="AF21" s="236">
        <f t="shared" si="2"/>
        <v>1</v>
      </c>
      <c r="AG21" s="236" t="str">
        <f t="shared" ca="1" si="3"/>
        <v/>
      </c>
      <c r="AH21" s="236" t="str">
        <f t="shared" ca="1" si="18"/>
        <v/>
      </c>
      <c r="AJ21" s="236">
        <f t="shared" ca="1" si="19"/>
        <v>21</v>
      </c>
      <c r="AK21" s="236" t="str">
        <f t="shared" ca="1" si="20"/>
        <v>BBB+</v>
      </c>
      <c r="AL21" s="236">
        <f t="shared" ca="1" si="20"/>
        <v>19</v>
      </c>
      <c r="AM21" s="236" t="str">
        <f t="shared" ca="1" si="4"/>
        <v/>
      </c>
      <c r="AQ21" s="286" t="s">
        <v>31</v>
      </c>
      <c r="AR21" s="286" t="s">
        <v>16</v>
      </c>
      <c r="AS21" s="286">
        <v>19</v>
      </c>
      <c r="AT21" s="286" t="s">
        <v>289</v>
      </c>
      <c r="AV21" s="234">
        <f t="shared" si="21"/>
        <v>15</v>
      </c>
      <c r="AW21" s="234">
        <f>COUNTIF( AV$7:AV21, AV21 )</f>
        <v>7</v>
      </c>
      <c r="AX21" s="287">
        <f t="shared" si="22"/>
        <v>15.7</v>
      </c>
      <c r="AY21" s="234">
        <f t="shared" si="23"/>
        <v>21</v>
      </c>
      <c r="AZ21" s="236"/>
      <c r="BA21" s="236"/>
      <c r="BC21" s="234">
        <f t="shared" ca="1" si="24"/>
        <v>15</v>
      </c>
      <c r="BD21" s="288">
        <f t="shared" ca="1" si="6"/>
        <v>1</v>
      </c>
      <c r="BF21" s="240" t="str">
        <f t="shared" ca="1" si="7"/>
        <v>ALLETE, Inc.</v>
      </c>
      <c r="BG21" s="240" t="str">
        <f t="shared" ca="1" si="7"/>
        <v>BBB+</v>
      </c>
      <c r="BH21" s="240">
        <f t="shared" ca="1" si="7"/>
        <v>19</v>
      </c>
      <c r="BI21" s="240" t="str">
        <f t="shared" ca="1" si="7"/>
        <v>ALE</v>
      </c>
    </row>
    <row r="22" spans="1:61" x14ac:dyDescent="0.2">
      <c r="A22" s="303" t="s">
        <v>9</v>
      </c>
      <c r="B22" s="304" t="s">
        <v>16</v>
      </c>
      <c r="C22" s="304">
        <v>19</v>
      </c>
      <c r="D22" s="304" t="s">
        <v>274</v>
      </c>
      <c r="E22" s="305" t="str">
        <f t="shared" ca="1" si="8"/>
        <v>R</v>
      </c>
      <c r="F22" s="306"/>
      <c r="G22" s="307">
        <f t="shared" ca="1" si="1"/>
        <v>9</v>
      </c>
      <c r="H22" s="250"/>
      <c r="I22" s="321"/>
      <c r="K22" s="321"/>
      <c r="N22" s="321"/>
      <c r="Q22" s="321"/>
      <c r="T22" s="321"/>
      <c r="W22" s="321"/>
      <c r="AE22" s="254"/>
      <c r="AF22" s="236">
        <f t="shared" si="2"/>
        <v>1</v>
      </c>
      <c r="AG22" s="236" t="str">
        <f t="shared" ca="1" si="3"/>
        <v/>
      </c>
      <c r="AH22" s="236" t="str">
        <f t="shared" ca="1" si="18"/>
        <v/>
      </c>
      <c r="AJ22" s="236">
        <f t="shared" ca="1" si="19"/>
        <v>22</v>
      </c>
      <c r="AK22" s="236" t="str">
        <f t="shared" ca="1" si="20"/>
        <v>BBB+</v>
      </c>
      <c r="AL22" s="236">
        <f t="shared" ca="1" si="20"/>
        <v>19</v>
      </c>
      <c r="AM22" s="236" t="str">
        <f t="shared" ca="1" si="4"/>
        <v/>
      </c>
      <c r="AQ22" s="286" t="s">
        <v>32</v>
      </c>
      <c r="AR22" s="286" t="s">
        <v>10</v>
      </c>
      <c r="AS22" s="286">
        <v>20</v>
      </c>
      <c r="AT22" s="286" t="s">
        <v>290</v>
      </c>
      <c r="AV22" s="234">
        <f t="shared" si="21"/>
        <v>3</v>
      </c>
      <c r="AW22" s="234">
        <f>COUNTIF( AV$7:AV22, AV22 )</f>
        <v>4</v>
      </c>
      <c r="AX22" s="287">
        <f t="shared" si="22"/>
        <v>3.4</v>
      </c>
      <c r="AY22" s="234">
        <f t="shared" si="23"/>
        <v>6</v>
      </c>
      <c r="AZ22" s="236"/>
      <c r="BA22" s="236"/>
      <c r="BC22" s="234">
        <f t="shared" ca="1" si="24"/>
        <v>16</v>
      </c>
      <c r="BD22" s="288">
        <f t="shared" ca="1" si="6"/>
        <v>3</v>
      </c>
      <c r="BF22" s="240" t="str">
        <f t="shared" ca="1" si="7"/>
        <v>Ameren Corporation</v>
      </c>
      <c r="BG22" s="240" t="str">
        <f t="shared" ca="1" si="7"/>
        <v>BBB+</v>
      </c>
      <c r="BH22" s="240">
        <f t="shared" ca="1" si="7"/>
        <v>19</v>
      </c>
      <c r="BI22" s="240" t="str">
        <f t="shared" ca="1" si="7"/>
        <v>AEE</v>
      </c>
    </row>
    <row r="23" spans="1:61" x14ac:dyDescent="0.2">
      <c r="A23" s="303" t="s">
        <v>259</v>
      </c>
      <c r="B23" s="304" t="s">
        <v>16</v>
      </c>
      <c r="C23" s="304">
        <v>19</v>
      </c>
      <c r="D23" s="304" t="s">
        <v>275</v>
      </c>
      <c r="E23" s="305" t="str">
        <f t="shared" ca="1" si="8"/>
        <v>R</v>
      </c>
      <c r="F23" s="306"/>
      <c r="G23" s="307">
        <f t="shared" ca="1" si="1"/>
        <v>10</v>
      </c>
      <c r="H23" s="250"/>
      <c r="I23" s="321"/>
      <c r="K23" s="321"/>
      <c r="N23" s="321"/>
      <c r="Q23" s="321"/>
      <c r="T23" s="321"/>
      <c r="W23" s="321"/>
      <c r="AE23" s="254"/>
      <c r="AF23" s="236">
        <f t="shared" si="2"/>
        <v>1</v>
      </c>
      <c r="AG23" s="236" t="str">
        <f t="shared" ca="1" si="3"/>
        <v/>
      </c>
      <c r="AH23" s="236" t="str">
        <f t="shared" ca="1" si="18"/>
        <v/>
      </c>
      <c r="AJ23" s="236">
        <f t="shared" ca="1" si="19"/>
        <v>23</v>
      </c>
      <c r="AK23" s="236" t="str">
        <f t="shared" ca="1" si="20"/>
        <v>BBB+</v>
      </c>
      <c r="AL23" s="236">
        <f t="shared" ca="1" si="20"/>
        <v>19</v>
      </c>
      <c r="AM23" s="236" t="str">
        <f t="shared" ca="1" si="4"/>
        <v/>
      </c>
      <c r="AQ23" s="286" t="s">
        <v>57</v>
      </c>
      <c r="AR23" s="286" t="s">
        <v>16</v>
      </c>
      <c r="AS23" s="286">
        <v>19</v>
      </c>
      <c r="AT23" s="286" t="s">
        <v>296</v>
      </c>
      <c r="AV23" s="234">
        <f t="shared" si="21"/>
        <v>15</v>
      </c>
      <c r="AW23" s="234">
        <f>COUNTIF( AV$7:AV23, AV23 )</f>
        <v>8</v>
      </c>
      <c r="AX23" s="287">
        <f t="shared" si="22"/>
        <v>15.8</v>
      </c>
      <c r="AY23" s="234">
        <f t="shared" si="23"/>
        <v>22</v>
      </c>
      <c r="AZ23" s="236"/>
      <c r="BA23" s="236"/>
      <c r="BC23" s="234">
        <f t="shared" ca="1" si="24"/>
        <v>17</v>
      </c>
      <c r="BD23" s="288">
        <f t="shared" ca="1" si="6"/>
        <v>4</v>
      </c>
      <c r="BF23" s="240" t="str">
        <f t="shared" ca="1" si="7"/>
        <v>American Electric Power Company, Inc.</v>
      </c>
      <c r="BG23" s="240" t="str">
        <f t="shared" ca="1" si="7"/>
        <v>BBB+</v>
      </c>
      <c r="BH23" s="240">
        <f t="shared" ca="1" si="7"/>
        <v>19</v>
      </c>
      <c r="BI23" s="240" t="str">
        <f t="shared" ca="1" si="7"/>
        <v>AEP</v>
      </c>
    </row>
    <row r="24" spans="1:61" x14ac:dyDescent="0.2">
      <c r="A24" s="303" t="s">
        <v>532</v>
      </c>
      <c r="B24" s="304" t="s">
        <v>16</v>
      </c>
      <c r="C24" s="304">
        <v>19</v>
      </c>
      <c r="D24" s="304" t="s">
        <v>530</v>
      </c>
      <c r="E24" s="305" t="str">
        <f t="shared" ca="1" si="8"/>
        <v>MR</v>
      </c>
      <c r="F24" s="306"/>
      <c r="G24" s="307">
        <f t="shared" ca="1" si="1"/>
        <v>11</v>
      </c>
      <c r="H24" s="250"/>
      <c r="I24" s="321"/>
      <c r="J24" s="262"/>
      <c r="K24" s="321"/>
      <c r="N24" s="321"/>
      <c r="Q24" s="321"/>
      <c r="T24" s="321"/>
      <c r="W24" s="321"/>
      <c r="AE24" s="254"/>
      <c r="AF24" s="236">
        <f t="shared" si="2"/>
        <v>1</v>
      </c>
      <c r="AG24" s="236" t="str">
        <f t="shared" ca="1" si="3"/>
        <v/>
      </c>
      <c r="AH24" s="236" t="str">
        <f t="shared" ca="1" si="18"/>
        <v/>
      </c>
      <c r="AJ24" s="236">
        <f t="shared" ca="1" si="19"/>
        <v>24</v>
      </c>
      <c r="AK24" s="236" t="str">
        <f t="shared" ca="1" si="20"/>
        <v>BBB+</v>
      </c>
      <c r="AL24" s="236">
        <f t="shared" ca="1" si="20"/>
        <v>19</v>
      </c>
      <c r="AM24" s="236" t="str">
        <f t="shared" ca="1" si="4"/>
        <v/>
      </c>
      <c r="AQ24" s="286" t="s">
        <v>34</v>
      </c>
      <c r="AR24" s="286" t="s">
        <v>28</v>
      </c>
      <c r="AS24" s="286">
        <v>18</v>
      </c>
      <c r="AT24" s="286" t="s">
        <v>294</v>
      </c>
      <c r="AV24" s="234">
        <f t="shared" si="21"/>
        <v>35</v>
      </c>
      <c r="AW24" s="234">
        <f>COUNTIF( AV$7:AV24, AV24 )</f>
        <v>3</v>
      </c>
      <c r="AX24" s="287">
        <f t="shared" si="22"/>
        <v>35.299999999999997</v>
      </c>
      <c r="AY24" s="234">
        <f t="shared" si="23"/>
        <v>37</v>
      </c>
      <c r="AZ24" s="236"/>
      <c r="BA24" s="236"/>
      <c r="BC24" s="234">
        <f t="shared" ca="1" si="24"/>
        <v>18</v>
      </c>
      <c r="BD24" s="288">
        <f t="shared" ca="1" si="6"/>
        <v>5</v>
      </c>
      <c r="BF24" s="240" t="str">
        <f t="shared" ca="1" si="7"/>
        <v>AVANGRID, Inc.</v>
      </c>
      <c r="BG24" s="240" t="str">
        <f t="shared" ca="1" si="7"/>
        <v>BBB+</v>
      </c>
      <c r="BH24" s="240">
        <f t="shared" ca="1" si="7"/>
        <v>19</v>
      </c>
      <c r="BI24" s="240" t="str">
        <f t="shared" ca="1" si="7"/>
        <v>AGR</v>
      </c>
    </row>
    <row r="25" spans="1:61" x14ac:dyDescent="0.2">
      <c r="A25" s="303" t="s">
        <v>60</v>
      </c>
      <c r="B25" s="304" t="s">
        <v>16</v>
      </c>
      <c r="C25" s="304">
        <v>19</v>
      </c>
      <c r="D25" s="304" t="s">
        <v>284</v>
      </c>
      <c r="E25" s="305" t="str">
        <f t="shared" ca="1" si="8"/>
        <v>R</v>
      </c>
      <c r="F25" s="306"/>
      <c r="G25" s="307">
        <f t="shared" ca="1" si="1"/>
        <v>16</v>
      </c>
      <c r="H25" s="250"/>
      <c r="I25" s="321"/>
      <c r="J25" s="262"/>
      <c r="K25" s="321"/>
      <c r="N25" s="321"/>
      <c r="Q25" s="321"/>
      <c r="T25" s="321"/>
      <c r="W25" s="321"/>
      <c r="AE25" s="254"/>
      <c r="AF25" s="236">
        <f t="shared" si="2"/>
        <v>1</v>
      </c>
      <c r="AG25" s="236" t="str">
        <f t="shared" ca="1" si="3"/>
        <v/>
      </c>
      <c r="AH25" s="236" t="str">
        <f t="shared" ca="1" si="18"/>
        <v/>
      </c>
      <c r="AJ25" s="236">
        <f t="shared" ca="1" si="19"/>
        <v>25</v>
      </c>
      <c r="AK25" s="236" t="str">
        <f t="shared" ca="1" si="20"/>
        <v>BBB+</v>
      </c>
      <c r="AL25" s="236">
        <f t="shared" ca="1" si="20"/>
        <v>19</v>
      </c>
      <c r="AM25" s="236" t="str">
        <f t="shared" ca="1" si="4"/>
        <v/>
      </c>
      <c r="AQ25" s="286" t="s">
        <v>35</v>
      </c>
      <c r="AR25" s="286" t="s">
        <v>28</v>
      </c>
      <c r="AS25" s="286">
        <v>18</v>
      </c>
      <c r="AT25" s="286" t="s">
        <v>293</v>
      </c>
      <c r="AV25" s="234">
        <f t="shared" si="21"/>
        <v>35</v>
      </c>
      <c r="AW25" s="234">
        <f>COUNTIF( AV$7:AV25, AV25 )</f>
        <v>4</v>
      </c>
      <c r="AX25" s="287">
        <f t="shared" si="22"/>
        <v>35.4</v>
      </c>
      <c r="AY25" s="234">
        <f t="shared" si="23"/>
        <v>38</v>
      </c>
      <c r="AZ25" s="236"/>
      <c r="BA25" s="236"/>
      <c r="BC25" s="234">
        <f t="shared" ca="1" si="24"/>
        <v>19</v>
      </c>
      <c r="BD25" s="288">
        <f t="shared" ca="1" si="6"/>
        <v>11</v>
      </c>
      <c r="BF25" s="240" t="str">
        <f t="shared" ca="1" si="7"/>
        <v>CMS Energy Corporation</v>
      </c>
      <c r="BG25" s="240" t="str">
        <f t="shared" ca="1" si="7"/>
        <v>BBB+</v>
      </c>
      <c r="BH25" s="240">
        <f t="shared" ca="1" si="7"/>
        <v>19</v>
      </c>
      <c r="BI25" s="240" t="str">
        <f t="shared" ca="1" si="7"/>
        <v>CMS</v>
      </c>
    </row>
    <row r="26" spans="1:61" x14ac:dyDescent="0.2">
      <c r="A26" s="303" t="s">
        <v>18</v>
      </c>
      <c r="B26" s="304" t="s">
        <v>16</v>
      </c>
      <c r="C26" s="304">
        <v>19</v>
      </c>
      <c r="D26" s="304" t="s">
        <v>86</v>
      </c>
      <c r="E26" s="305" t="str">
        <f t="shared" ca="1" si="8"/>
        <v>MR</v>
      </c>
      <c r="F26" s="306"/>
      <c r="G26" s="307">
        <f t="shared" ca="1" si="1"/>
        <v>18</v>
      </c>
      <c r="H26" s="250"/>
      <c r="I26" s="321"/>
      <c r="J26" s="262"/>
      <c r="K26" s="321"/>
      <c r="N26" s="321"/>
      <c r="Q26" s="321"/>
      <c r="T26" s="321"/>
      <c r="W26" s="321"/>
      <c r="AE26" s="254"/>
      <c r="AF26" s="236">
        <f t="shared" si="2"/>
        <v>1</v>
      </c>
      <c r="AG26" s="236" t="str">
        <f t="shared" ca="1" si="3"/>
        <v/>
      </c>
      <c r="AH26" s="236" t="str">
        <f t="shared" ca="1" si="18"/>
        <v/>
      </c>
      <c r="AJ26" s="236">
        <f t="shared" ca="1" si="19"/>
        <v>26</v>
      </c>
      <c r="AK26" s="236" t="str">
        <f t="shared" ca="1" si="20"/>
        <v>BBB+</v>
      </c>
      <c r="AL26" s="236">
        <f t="shared" ca="1" si="20"/>
        <v>19</v>
      </c>
      <c r="AM26" s="236" t="str">
        <f t="shared" ca="1" si="4"/>
        <v/>
      </c>
      <c r="AQ26" s="286" t="s">
        <v>36</v>
      </c>
      <c r="AR26" s="286" t="s">
        <v>16</v>
      </c>
      <c r="AS26" s="286">
        <v>19</v>
      </c>
      <c r="AT26" s="286" t="s">
        <v>297</v>
      </c>
      <c r="AV26" s="234">
        <f t="shared" si="21"/>
        <v>15</v>
      </c>
      <c r="AW26" s="234">
        <f>COUNTIF( AV$7:AV26, AV26 )</f>
        <v>9</v>
      </c>
      <c r="AX26" s="287">
        <f t="shared" si="22"/>
        <v>15.9</v>
      </c>
      <c r="AY26" s="234">
        <f t="shared" si="23"/>
        <v>23</v>
      </c>
      <c r="AZ26" s="236"/>
      <c r="BA26" s="236"/>
      <c r="BC26" s="234">
        <f t="shared" ca="1" si="24"/>
        <v>20</v>
      </c>
      <c r="BD26" s="288">
        <f t="shared" ca="1" si="6"/>
        <v>13</v>
      </c>
      <c r="BF26" s="240" t="str">
        <f t="shared" ca="1" si="7"/>
        <v>Dominion Resources, Inc.</v>
      </c>
      <c r="BG26" s="240" t="str">
        <f t="shared" ca="1" si="7"/>
        <v>BBB+</v>
      </c>
      <c r="BH26" s="240">
        <f t="shared" ca="1" si="7"/>
        <v>19</v>
      </c>
      <c r="BI26" s="240" t="str">
        <f t="shared" ca="1" si="7"/>
        <v>D</v>
      </c>
    </row>
    <row r="27" spans="1:61" x14ac:dyDescent="0.2">
      <c r="A27" s="303" t="s">
        <v>31</v>
      </c>
      <c r="B27" s="304" t="s">
        <v>16</v>
      </c>
      <c r="C27" s="304">
        <v>19</v>
      </c>
      <c r="D27" s="304" t="s">
        <v>289</v>
      </c>
      <c r="E27" s="305" t="str">
        <f t="shared" ca="1" si="8"/>
        <v>R</v>
      </c>
      <c r="F27" s="306"/>
      <c r="G27" s="307">
        <f t="shared" ca="1" si="1"/>
        <v>19</v>
      </c>
      <c r="H27" s="250"/>
      <c r="I27" s="321"/>
      <c r="J27" s="262"/>
      <c r="K27" s="321"/>
      <c r="N27" s="321"/>
      <c r="Q27" s="321"/>
      <c r="T27" s="321"/>
      <c r="W27" s="321"/>
      <c r="AE27" s="254"/>
      <c r="AF27" s="236">
        <f t="shared" si="2"/>
        <v>1</v>
      </c>
      <c r="AG27" s="236" t="str">
        <f t="shared" ca="1" si="3"/>
        <v/>
      </c>
      <c r="AH27" s="236" t="str">
        <f t="shared" ca="1" si="18"/>
        <v/>
      </c>
      <c r="AJ27" s="236">
        <f t="shared" ca="1" si="19"/>
        <v>27</v>
      </c>
      <c r="AK27" s="236" t="str">
        <f t="shared" ca="1" si="20"/>
        <v>BBB+</v>
      </c>
      <c r="AL27" s="236">
        <f t="shared" ca="1" si="20"/>
        <v>19</v>
      </c>
      <c r="AM27" s="236" t="str">
        <f t="shared" ca="1" si="4"/>
        <v/>
      </c>
      <c r="AQ27" s="286" t="s">
        <v>516</v>
      </c>
      <c r="AR27" s="286" t="s">
        <v>2</v>
      </c>
      <c r="AS27" s="286">
        <v>21</v>
      </c>
      <c r="AT27" s="286" t="s">
        <v>512</v>
      </c>
      <c r="AV27" s="234">
        <f t="shared" si="21"/>
        <v>1</v>
      </c>
      <c r="AW27" s="234">
        <f>COUNTIF( AV$7:AV27, AV27 )</f>
        <v>2</v>
      </c>
      <c r="AX27" s="287">
        <f t="shared" si="22"/>
        <v>1.2</v>
      </c>
      <c r="AY27" s="234">
        <f t="shared" si="23"/>
        <v>2</v>
      </c>
      <c r="AZ27" s="236"/>
      <c r="BA27" s="236"/>
      <c r="BC27" s="234">
        <f t="shared" ca="1" si="24"/>
        <v>21</v>
      </c>
      <c r="BD27" s="288">
        <f t="shared" ca="1" si="6"/>
        <v>15</v>
      </c>
      <c r="BF27" s="240" t="str">
        <f t="shared" ca="1" si="7"/>
        <v>DTE Energy Company</v>
      </c>
      <c r="BG27" s="240" t="str">
        <f t="shared" ca="1" si="7"/>
        <v>BBB+</v>
      </c>
      <c r="BH27" s="240">
        <f t="shared" ca="1" si="7"/>
        <v>19</v>
      </c>
      <c r="BI27" s="240" t="str">
        <f t="shared" ca="1" si="7"/>
        <v>DTE</v>
      </c>
    </row>
    <row r="28" spans="1:61" x14ac:dyDescent="0.2">
      <c r="A28" s="303" t="s">
        <v>57</v>
      </c>
      <c r="B28" s="304" t="s">
        <v>16</v>
      </c>
      <c r="C28" s="304">
        <v>19</v>
      </c>
      <c r="D28" s="304" t="s">
        <v>296</v>
      </c>
      <c r="E28" s="305" t="str">
        <f t="shared" ca="1" si="8"/>
        <v>R</v>
      </c>
      <c r="F28" s="306"/>
      <c r="G28" s="307">
        <f t="shared" ca="1" si="1"/>
        <v>21</v>
      </c>
      <c r="H28" s="250"/>
      <c r="I28" s="321"/>
      <c r="J28" s="262"/>
      <c r="K28" s="321"/>
      <c r="N28" s="321"/>
      <c r="Q28" s="321"/>
      <c r="T28" s="321"/>
      <c r="W28" s="321"/>
      <c r="AE28" s="245"/>
      <c r="AF28" s="236">
        <f t="shared" si="2"/>
        <v>1</v>
      </c>
      <c r="AG28" s="236" t="str">
        <f t="shared" ca="1" si="3"/>
        <v/>
      </c>
      <c r="AH28" s="236" t="str">
        <f t="shared" ca="1" si="18"/>
        <v/>
      </c>
      <c r="AJ28" s="236">
        <f t="shared" ca="1" si="19"/>
        <v>28</v>
      </c>
      <c r="AK28" s="236" t="str">
        <f t="shared" ca="1" si="20"/>
        <v>BBB+</v>
      </c>
      <c r="AL28" s="236">
        <f t="shared" ca="1" si="20"/>
        <v>19</v>
      </c>
      <c r="AM28" s="236" t="str">
        <f t="shared" ca="1" si="4"/>
        <v/>
      </c>
      <c r="AQ28" s="286" t="s">
        <v>11</v>
      </c>
      <c r="AR28" s="286" t="s">
        <v>28</v>
      </c>
      <c r="AS28" s="286">
        <v>18</v>
      </c>
      <c r="AT28" s="286" t="s">
        <v>298</v>
      </c>
      <c r="AV28" s="234">
        <f t="shared" si="21"/>
        <v>35</v>
      </c>
      <c r="AW28" s="234">
        <f>COUNTIF( AV$7:AV28, AV28 )</f>
        <v>5</v>
      </c>
      <c r="AX28" s="287">
        <f t="shared" si="22"/>
        <v>35.5</v>
      </c>
      <c r="AY28" s="234">
        <f t="shared" si="23"/>
        <v>39</v>
      </c>
      <c r="AZ28" s="236"/>
      <c r="BA28" s="236"/>
      <c r="BC28" s="234">
        <f t="shared" ca="1" si="24"/>
        <v>22</v>
      </c>
      <c r="BD28" s="288">
        <f t="shared" ca="1" si="6"/>
        <v>17</v>
      </c>
      <c r="BF28" s="240" t="str">
        <f t="shared" ca="1" si="7"/>
        <v>Edison International</v>
      </c>
      <c r="BG28" s="240" t="str">
        <f t="shared" ca="1" si="7"/>
        <v>BBB+</v>
      </c>
      <c r="BH28" s="240">
        <f t="shared" ca="1" si="7"/>
        <v>19</v>
      </c>
      <c r="BI28" s="240" t="str">
        <f t="shared" ca="1" si="7"/>
        <v>EIX</v>
      </c>
    </row>
    <row r="29" spans="1:61" x14ac:dyDescent="0.2">
      <c r="A29" s="303" t="s">
        <v>36</v>
      </c>
      <c r="B29" s="304" t="s">
        <v>16</v>
      </c>
      <c r="C29" s="304">
        <v>19</v>
      </c>
      <c r="D29" s="304" t="s">
        <v>297</v>
      </c>
      <c r="E29" s="305" t="str">
        <f t="shared" ca="1" si="8"/>
        <v>R</v>
      </c>
      <c r="F29" s="306"/>
      <c r="G29" s="307">
        <f t="shared" ca="1" si="1"/>
        <v>24</v>
      </c>
      <c r="H29" s="250"/>
      <c r="I29" s="321"/>
      <c r="J29" s="262"/>
      <c r="K29" s="321"/>
      <c r="N29" s="321"/>
      <c r="Q29" s="321"/>
      <c r="T29" s="321"/>
      <c r="W29" s="321"/>
      <c r="AF29" s="236">
        <f t="shared" si="2"/>
        <v>1</v>
      </c>
      <c r="AG29" s="236" t="str">
        <f t="shared" ca="1" si="3"/>
        <v/>
      </c>
      <c r="AH29" s="236" t="str">
        <f t="shared" ca="1" si="18"/>
        <v/>
      </c>
      <c r="AJ29" s="236">
        <f t="shared" ca="1" si="19"/>
        <v>29</v>
      </c>
      <c r="AK29" s="236" t="str">
        <f t="shared" ca="1" si="20"/>
        <v>BBB+</v>
      </c>
      <c r="AL29" s="236">
        <f t="shared" ca="1" si="20"/>
        <v>19</v>
      </c>
      <c r="AM29" s="236" t="str">
        <f t="shared" ca="1" si="4"/>
        <v/>
      </c>
      <c r="AQ29" s="286" t="s">
        <v>51</v>
      </c>
      <c r="AR29" s="286" t="s">
        <v>49</v>
      </c>
      <c r="AS29" s="286">
        <v>17</v>
      </c>
      <c r="AT29" s="286" t="s">
        <v>299</v>
      </c>
      <c r="AV29" s="234">
        <f t="shared" si="21"/>
        <v>44</v>
      </c>
      <c r="AW29" s="234">
        <f>COUNTIF( AV$7:AV29, AV29 )</f>
        <v>2</v>
      </c>
      <c r="AX29" s="287">
        <f t="shared" si="22"/>
        <v>44.2</v>
      </c>
      <c r="AY29" s="234">
        <f t="shared" si="23"/>
        <v>45</v>
      </c>
      <c r="AZ29" s="236"/>
      <c r="BA29" s="236"/>
      <c r="BC29" s="234">
        <f t="shared" ca="1" si="24"/>
        <v>23</v>
      </c>
      <c r="BD29" s="288">
        <f t="shared" ca="1" si="6"/>
        <v>20</v>
      </c>
      <c r="BF29" s="240" t="str">
        <f t="shared" ca="1" si="7"/>
        <v>Entergy Corporation</v>
      </c>
      <c r="BG29" s="240" t="str">
        <f t="shared" ca="1" si="7"/>
        <v>BBB+</v>
      </c>
      <c r="BH29" s="240">
        <f t="shared" ca="1" si="7"/>
        <v>19</v>
      </c>
      <c r="BI29" s="240" t="str">
        <f t="shared" ca="1" si="7"/>
        <v>ETR</v>
      </c>
    </row>
    <row r="30" spans="1:61" x14ac:dyDescent="0.2">
      <c r="A30" s="303" t="s">
        <v>261</v>
      </c>
      <c r="B30" s="304" t="s">
        <v>16</v>
      </c>
      <c r="C30" s="304">
        <v>19</v>
      </c>
      <c r="D30" s="304" t="s">
        <v>301</v>
      </c>
      <c r="E30" s="305" t="str">
        <f t="shared" ca="1" si="8"/>
        <v>R</v>
      </c>
      <c r="F30" s="306"/>
      <c r="G30" s="307">
        <f t="shared" ca="1" si="1"/>
        <v>28</v>
      </c>
      <c r="H30" s="250"/>
      <c r="I30" s="321"/>
      <c r="J30" s="262"/>
      <c r="K30" s="321"/>
      <c r="N30" s="321"/>
      <c r="Q30" s="321"/>
      <c r="T30" s="321"/>
      <c r="W30" s="321"/>
      <c r="AF30" s="236">
        <f t="shared" si="2"/>
        <v>1</v>
      </c>
      <c r="AG30" s="236" t="str">
        <f t="shared" ca="1" si="3"/>
        <v/>
      </c>
      <c r="AH30" s="236" t="str">
        <f t="shared" ca="1" si="18"/>
        <v/>
      </c>
      <c r="AJ30" s="236">
        <f t="shared" ca="1" si="19"/>
        <v>30</v>
      </c>
      <c r="AK30" s="236" t="str">
        <f t="shared" ca="1" si="20"/>
        <v>BBB+</v>
      </c>
      <c r="AL30" s="236">
        <f t="shared" ca="1" si="20"/>
        <v>19</v>
      </c>
      <c r="AM30" s="236" t="str">
        <f t="shared" ca="1" si="4"/>
        <v/>
      </c>
      <c r="AQ30" s="286" t="s">
        <v>261</v>
      </c>
      <c r="AR30" s="286" t="s">
        <v>16</v>
      </c>
      <c r="AS30" s="286">
        <v>19</v>
      </c>
      <c r="AT30" s="286" t="s">
        <v>301</v>
      </c>
      <c r="AV30" s="234">
        <f t="shared" si="21"/>
        <v>15</v>
      </c>
      <c r="AW30" s="234">
        <f>COUNTIF( AV$7:AV30, AV30 )</f>
        <v>10</v>
      </c>
      <c r="AX30" s="287">
        <f t="shared" si="22"/>
        <v>16</v>
      </c>
      <c r="AY30" s="234">
        <f t="shared" si="23"/>
        <v>24</v>
      </c>
      <c r="AZ30" s="236"/>
      <c r="BA30" s="236"/>
      <c r="BC30" s="234">
        <f t="shared" ca="1" si="24"/>
        <v>24</v>
      </c>
      <c r="BD30" s="288">
        <f t="shared" ca="1" si="6"/>
        <v>24</v>
      </c>
      <c r="BF30" s="240" t="str">
        <f t="shared" ca="1" si="7"/>
        <v>Great Plains Energy Inc.</v>
      </c>
      <c r="BG30" s="240" t="str">
        <f t="shared" ca="1" si="7"/>
        <v>BBB+</v>
      </c>
      <c r="BH30" s="240">
        <f t="shared" ca="1" si="7"/>
        <v>19</v>
      </c>
      <c r="BI30" s="240" t="str">
        <f t="shared" ca="1" si="7"/>
        <v>GXP</v>
      </c>
    </row>
    <row r="31" spans="1:61" x14ac:dyDescent="0.2">
      <c r="A31" s="303" t="s">
        <v>12</v>
      </c>
      <c r="B31" s="304" t="s">
        <v>16</v>
      </c>
      <c r="C31" s="304">
        <v>19</v>
      </c>
      <c r="D31" s="304" t="s">
        <v>309</v>
      </c>
      <c r="E31" s="305" t="str">
        <f t="shared" ca="1" si="8"/>
        <v>MR</v>
      </c>
      <c r="F31" s="306"/>
      <c r="G31" s="307">
        <f t="shared" ca="1" si="1"/>
        <v>31</v>
      </c>
      <c r="H31" s="250"/>
      <c r="I31" s="321"/>
      <c r="J31" s="262"/>
      <c r="K31" s="321"/>
      <c r="N31" s="321"/>
      <c r="O31" s="253"/>
      <c r="Q31" s="321"/>
      <c r="T31" s="321"/>
      <c r="W31" s="321"/>
      <c r="AF31" s="236">
        <f t="shared" si="2"/>
        <v>1</v>
      </c>
      <c r="AG31" s="236" t="str">
        <f t="shared" ca="1" si="3"/>
        <v/>
      </c>
      <c r="AH31" s="236" t="str">
        <f t="shared" ca="1" si="18"/>
        <v/>
      </c>
      <c r="AJ31" s="236">
        <f t="shared" ca="1" si="19"/>
        <v>31</v>
      </c>
      <c r="AK31" s="236" t="str">
        <f t="shared" ca="1" si="20"/>
        <v>BBB+</v>
      </c>
      <c r="AL31" s="236">
        <f t="shared" ca="1" si="20"/>
        <v>19</v>
      </c>
      <c r="AM31" s="236" t="str">
        <f t="shared" ca="1" si="4"/>
        <v/>
      </c>
      <c r="AQ31" s="286" t="s">
        <v>39</v>
      </c>
      <c r="AR31" s="286" t="s">
        <v>49</v>
      </c>
      <c r="AS31" s="286">
        <v>17</v>
      </c>
      <c r="AT31" s="286" t="s">
        <v>302</v>
      </c>
      <c r="AV31" s="234">
        <f t="shared" si="21"/>
        <v>44</v>
      </c>
      <c r="AW31" s="234">
        <f>COUNTIF( AV$7:AV31, AV31 )</f>
        <v>3</v>
      </c>
      <c r="AX31" s="287">
        <f t="shared" si="22"/>
        <v>44.3</v>
      </c>
      <c r="AY31" s="234">
        <f t="shared" si="23"/>
        <v>46</v>
      </c>
      <c r="AZ31" s="236"/>
      <c r="BA31" s="236"/>
      <c r="BC31" s="234">
        <f t="shared" ca="1" si="24"/>
        <v>25</v>
      </c>
      <c r="BD31" s="288">
        <f t="shared" ca="1" si="6"/>
        <v>28</v>
      </c>
      <c r="BF31" s="240" t="str">
        <f t="shared" ca="1" si="7"/>
        <v>MDU Resources Group, Inc.</v>
      </c>
      <c r="BG31" s="240" t="str">
        <f t="shared" ca="1" si="7"/>
        <v>BBB+</v>
      </c>
      <c r="BH31" s="240">
        <f t="shared" ca="1" si="7"/>
        <v>19</v>
      </c>
      <c r="BI31" s="240" t="str">
        <f t="shared" ca="1" si="7"/>
        <v>MDU</v>
      </c>
    </row>
    <row r="32" spans="1:61" x14ac:dyDescent="0.2">
      <c r="A32" s="303" t="s">
        <v>40</v>
      </c>
      <c r="B32" s="304" t="s">
        <v>16</v>
      </c>
      <c r="C32" s="304">
        <v>19</v>
      </c>
      <c r="D32" s="304" t="s">
        <v>311</v>
      </c>
      <c r="E32" s="305" t="str">
        <f t="shared" ca="1" si="8"/>
        <v>R</v>
      </c>
      <c r="F32" s="306"/>
      <c r="G32" s="307">
        <f t="shared" ca="1" si="1"/>
        <v>34</v>
      </c>
      <c r="H32" s="250"/>
      <c r="I32" s="321"/>
      <c r="J32" s="262"/>
      <c r="K32" s="321"/>
      <c r="N32" s="321"/>
      <c r="Q32" s="321"/>
      <c r="T32" s="321"/>
      <c r="W32" s="321"/>
      <c r="AF32" s="236">
        <f t="shared" si="2"/>
        <v>1</v>
      </c>
      <c r="AG32" s="236" t="str">
        <f t="shared" ca="1" si="3"/>
        <v/>
      </c>
      <c r="AH32" s="236" t="str">
        <f t="shared" ca="1" si="18"/>
        <v/>
      </c>
      <c r="AJ32" s="236">
        <f t="shared" ca="1" si="19"/>
        <v>32</v>
      </c>
      <c r="AK32" s="236" t="str">
        <f t="shared" ca="1" si="20"/>
        <v>BBB+</v>
      </c>
      <c r="AL32" s="236">
        <f t="shared" ca="1" si="20"/>
        <v>19</v>
      </c>
      <c r="AM32" s="236" t="str">
        <f t="shared" ca="1" si="4"/>
        <v/>
      </c>
      <c r="AQ32" s="286" t="s">
        <v>20</v>
      </c>
      <c r="AR32" s="286" t="s">
        <v>28</v>
      </c>
      <c r="AS32" s="286">
        <v>18</v>
      </c>
      <c r="AT32" s="286" t="s">
        <v>303</v>
      </c>
      <c r="AV32" s="234">
        <f t="shared" si="21"/>
        <v>35</v>
      </c>
      <c r="AW32" s="234">
        <f>COUNTIF( AV$7:AV32, AV32 )</f>
        <v>6</v>
      </c>
      <c r="AX32" s="287">
        <f t="shared" si="22"/>
        <v>35.6</v>
      </c>
      <c r="AY32" s="234">
        <f t="shared" si="23"/>
        <v>40</v>
      </c>
      <c r="AZ32" s="236"/>
      <c r="BA32" s="236"/>
      <c r="BC32" s="234">
        <f t="shared" ca="1" si="24"/>
        <v>26</v>
      </c>
      <c r="BD32" s="288">
        <f t="shared" ca="1" si="6"/>
        <v>30</v>
      </c>
      <c r="BF32" s="240" t="str">
        <f t="shared" ca="1" si="7"/>
        <v>NiSource Inc.</v>
      </c>
      <c r="BG32" s="240" t="str">
        <f t="shared" ca="1" si="7"/>
        <v>BBB+</v>
      </c>
      <c r="BH32" s="240">
        <f t="shared" ca="1" si="7"/>
        <v>19</v>
      </c>
      <c r="BI32" s="240" t="str">
        <f t="shared" ca="1" si="7"/>
        <v>NI</v>
      </c>
    </row>
    <row r="33" spans="1:61" x14ac:dyDescent="0.2">
      <c r="A33" s="303" t="s">
        <v>53</v>
      </c>
      <c r="B33" s="304" t="s">
        <v>16</v>
      </c>
      <c r="C33" s="304">
        <v>19</v>
      </c>
      <c r="D33" s="304" t="s">
        <v>318</v>
      </c>
      <c r="E33" s="305" t="str">
        <f t="shared" ca="1" si="8"/>
        <v>R</v>
      </c>
      <c r="F33" s="306"/>
      <c r="G33" s="307">
        <f t="shared" ca="1" si="1"/>
        <v>38</v>
      </c>
      <c r="H33" s="250"/>
      <c r="I33" s="321"/>
      <c r="J33" s="262"/>
      <c r="K33" s="321"/>
      <c r="N33" s="321"/>
      <c r="Q33" s="321"/>
      <c r="T33" s="321"/>
      <c r="W33" s="321"/>
      <c r="AF33" s="236">
        <f t="shared" si="2"/>
        <v>1</v>
      </c>
      <c r="AG33" s="236" t="str">
        <f t="shared" ca="1" si="3"/>
        <v/>
      </c>
      <c r="AH33" s="236" t="str">
        <f t="shared" ca="1" si="18"/>
        <v/>
      </c>
      <c r="AJ33" s="236">
        <f t="shared" ca="1" si="19"/>
        <v>33</v>
      </c>
      <c r="AK33" s="236" t="str">
        <f t="shared" ca="1" si="20"/>
        <v>BBB+</v>
      </c>
      <c r="AL33" s="236">
        <f t="shared" ca="1" si="20"/>
        <v>19</v>
      </c>
      <c r="AM33" s="236" t="str">
        <f t="shared" ca="1" si="4"/>
        <v/>
      </c>
      <c r="AQ33" s="286" t="s">
        <v>58</v>
      </c>
      <c r="AR33" s="286" t="s">
        <v>49</v>
      </c>
      <c r="AS33" s="286">
        <v>17</v>
      </c>
      <c r="AT33" s="286" t="s">
        <v>446</v>
      </c>
      <c r="AV33" s="234">
        <f t="shared" si="21"/>
        <v>44</v>
      </c>
      <c r="AW33" s="234">
        <f>COUNTIF( AV$7:AV33, AV33 )</f>
        <v>4</v>
      </c>
      <c r="AX33" s="287">
        <f t="shared" si="22"/>
        <v>44.4</v>
      </c>
      <c r="AY33" s="234">
        <f t="shared" si="23"/>
        <v>47</v>
      </c>
      <c r="AZ33" s="236"/>
      <c r="BA33" s="236"/>
      <c r="BC33" s="234">
        <f t="shared" ca="1" si="24"/>
        <v>27</v>
      </c>
      <c r="BD33" s="288">
        <f t="shared" ca="1" si="6"/>
        <v>34</v>
      </c>
      <c r="BF33" s="240" t="str">
        <f t="shared" ca="1" si="7"/>
        <v>PG&amp;E Corporation</v>
      </c>
      <c r="BG33" s="240" t="str">
        <f t="shared" ca="1" si="7"/>
        <v>BBB+</v>
      </c>
      <c r="BH33" s="240">
        <f t="shared" ca="1" si="7"/>
        <v>19</v>
      </c>
      <c r="BI33" s="240" t="str">
        <f t="shared" ca="1" si="7"/>
        <v>PCG</v>
      </c>
    </row>
    <row r="34" spans="1:61" x14ac:dyDescent="0.2">
      <c r="A34" s="303" t="s">
        <v>42</v>
      </c>
      <c r="B34" s="304" t="s">
        <v>16</v>
      </c>
      <c r="C34" s="304">
        <v>19</v>
      </c>
      <c r="D34" s="304" t="s">
        <v>321</v>
      </c>
      <c r="E34" s="305" t="str">
        <f t="shared" ca="1" si="8"/>
        <v>R</v>
      </c>
      <c r="F34" s="306"/>
      <c r="G34" s="307">
        <f t="shared" ca="1" si="1"/>
        <v>40</v>
      </c>
      <c r="H34" s="250"/>
      <c r="I34" s="321"/>
      <c r="J34" s="262"/>
      <c r="K34" s="321"/>
      <c r="L34" s="235"/>
      <c r="M34" s="235"/>
      <c r="N34" s="321"/>
      <c r="Q34" s="321"/>
      <c r="T34" s="321"/>
      <c r="W34" s="321"/>
      <c r="AF34" s="236">
        <f t="shared" si="2"/>
        <v>1</v>
      </c>
      <c r="AG34" s="236" t="str">
        <f t="shared" ca="1" si="3"/>
        <v/>
      </c>
      <c r="AH34" s="236" t="str">
        <f t="shared" ca="1" si="18"/>
        <v/>
      </c>
      <c r="AJ34" s="236">
        <f t="shared" ca="1" si="19"/>
        <v>34</v>
      </c>
      <c r="AK34" s="236" t="str">
        <f t="shared" ca="1" si="20"/>
        <v>BBB+</v>
      </c>
      <c r="AL34" s="236">
        <f t="shared" ca="1" si="20"/>
        <v>19</v>
      </c>
      <c r="AM34" s="236" t="str">
        <f t="shared" ca="1" si="4"/>
        <v/>
      </c>
      <c r="AQ34" s="286" t="s">
        <v>12</v>
      </c>
      <c r="AR34" s="286" t="s">
        <v>16</v>
      </c>
      <c r="AS34" s="286">
        <v>19</v>
      </c>
      <c r="AT34" s="286" t="s">
        <v>309</v>
      </c>
      <c r="AV34" s="234">
        <f t="shared" si="21"/>
        <v>15</v>
      </c>
      <c r="AW34" s="234">
        <f>COUNTIF( AV$7:AV34, AV34 )</f>
        <v>11</v>
      </c>
      <c r="AX34" s="287">
        <f t="shared" si="22"/>
        <v>16.100000000000001</v>
      </c>
      <c r="AY34" s="234">
        <f t="shared" si="23"/>
        <v>25</v>
      </c>
      <c r="AZ34" s="236"/>
      <c r="BA34" s="236"/>
      <c r="BC34" s="234">
        <f t="shared" ca="1" si="24"/>
        <v>28</v>
      </c>
      <c r="BD34" s="288">
        <f t="shared" ca="1" si="6"/>
        <v>36</v>
      </c>
      <c r="BF34" s="240" t="str">
        <f t="shared" ca="1" si="7"/>
        <v>PNM Resources, Inc.</v>
      </c>
      <c r="BG34" s="240" t="str">
        <f t="shared" ca="1" si="7"/>
        <v>BBB+</v>
      </c>
      <c r="BH34" s="240">
        <f t="shared" ca="1" si="7"/>
        <v>19</v>
      </c>
      <c r="BI34" s="240" t="str">
        <f t="shared" ca="1" si="7"/>
        <v>PNM</v>
      </c>
    </row>
    <row r="35" spans="1:61" x14ac:dyDescent="0.2">
      <c r="A35" s="303" t="s">
        <v>45</v>
      </c>
      <c r="B35" s="304" t="s">
        <v>16</v>
      </c>
      <c r="C35" s="304">
        <v>19</v>
      </c>
      <c r="D35" s="304" t="s">
        <v>319</v>
      </c>
      <c r="E35" s="305" t="str">
        <f t="shared" ca="1" si="8"/>
        <v>MR</v>
      </c>
      <c r="F35" s="306"/>
      <c r="G35" s="307">
        <f t="shared" ca="1" si="1"/>
        <v>43</v>
      </c>
      <c r="H35" s="250"/>
      <c r="I35" s="321"/>
      <c r="K35" s="321"/>
      <c r="L35" s="235"/>
      <c r="M35" s="235"/>
      <c r="N35" s="321"/>
      <c r="Q35" s="321"/>
      <c r="T35" s="321"/>
      <c r="W35" s="321"/>
      <c r="AF35" s="236">
        <f t="shared" si="2"/>
        <v>1</v>
      </c>
      <c r="AG35" s="236" t="str">
        <f t="shared" ca="1" si="3"/>
        <v/>
      </c>
      <c r="AH35" s="236" t="str">
        <f t="shared" ca="1" si="18"/>
        <v/>
      </c>
      <c r="AJ35" s="236">
        <f t="shared" ca="1" si="19"/>
        <v>35</v>
      </c>
      <c r="AK35" s="236" t="str">
        <f t="shared" ca="1" si="20"/>
        <v>BBB+</v>
      </c>
      <c r="AL35" s="236">
        <f t="shared" ca="1" si="20"/>
        <v>19</v>
      </c>
      <c r="AM35" s="236" t="str">
        <f t="shared" ca="1" si="4"/>
        <v/>
      </c>
      <c r="AQ35" s="286" t="s">
        <v>370</v>
      </c>
      <c r="AR35" s="286" t="s">
        <v>10</v>
      </c>
      <c r="AS35" s="286">
        <v>20</v>
      </c>
      <c r="AT35" s="286" t="s">
        <v>369</v>
      </c>
      <c r="AV35" s="234">
        <f t="shared" si="21"/>
        <v>3</v>
      </c>
      <c r="AW35" s="234">
        <f>COUNTIF( AV$7:AV35, AV35 )</f>
        <v>5</v>
      </c>
      <c r="AX35" s="287">
        <f t="shared" si="22"/>
        <v>3.5</v>
      </c>
      <c r="AY35" s="234">
        <f t="shared" si="23"/>
        <v>7</v>
      </c>
      <c r="AZ35" s="236"/>
      <c r="BA35" s="236"/>
      <c r="BC35" s="234">
        <f t="shared" ca="1" si="24"/>
        <v>29</v>
      </c>
      <c r="BD35" s="288">
        <f t="shared" ca="1" si="6"/>
        <v>39</v>
      </c>
      <c r="BF35" s="240" t="str">
        <f t="shared" ca="1" si="7"/>
        <v>Public Service Enterprise Group Incorporated</v>
      </c>
      <c r="BG35" s="240" t="str">
        <f t="shared" ca="1" si="7"/>
        <v>BBB+</v>
      </c>
      <c r="BH35" s="240">
        <f t="shared" ca="1" si="7"/>
        <v>19</v>
      </c>
      <c r="BI35" s="240" t="str">
        <f t="shared" ca="1" si="7"/>
        <v>PEG</v>
      </c>
    </row>
    <row r="36" spans="1:61" x14ac:dyDescent="0.2">
      <c r="A36" s="303" t="s">
        <v>13</v>
      </c>
      <c r="B36" s="304" t="s">
        <v>16</v>
      </c>
      <c r="C36" s="304">
        <v>19</v>
      </c>
      <c r="D36" s="304" t="s">
        <v>327</v>
      </c>
      <c r="E36" s="305" t="str">
        <f t="shared" ca="1" si="8"/>
        <v>MR</v>
      </c>
      <c r="F36" s="306"/>
      <c r="G36" s="307">
        <f t="shared" ca="1" si="1"/>
        <v>44</v>
      </c>
      <c r="H36" s="250"/>
      <c r="I36" s="321"/>
      <c r="J36" s="262"/>
      <c r="K36" s="321"/>
      <c r="L36" s="263"/>
      <c r="M36" s="263"/>
      <c r="N36" s="321"/>
      <c r="Q36" s="321"/>
      <c r="T36" s="321"/>
      <c r="W36" s="321"/>
      <c r="AF36" s="236">
        <f t="shared" si="2"/>
        <v>1</v>
      </c>
      <c r="AG36" s="236" t="str">
        <f t="shared" ca="1" si="3"/>
        <v/>
      </c>
      <c r="AH36" s="236" t="str">
        <f t="shared" ca="1" si="18"/>
        <v/>
      </c>
      <c r="AJ36" s="236">
        <f t="shared" ca="1" si="19"/>
        <v>36</v>
      </c>
      <c r="AK36" s="236" t="str">
        <f t="shared" ca="1" si="20"/>
        <v>BBB+</v>
      </c>
      <c r="AL36" s="236">
        <f t="shared" ca="1" si="20"/>
        <v>19</v>
      </c>
      <c r="AM36" s="236" t="str">
        <f t="shared" ca="1" si="4"/>
        <v/>
      </c>
      <c r="AQ36" s="286" t="s">
        <v>40</v>
      </c>
      <c r="AR36" s="286" t="s">
        <v>16</v>
      </c>
      <c r="AS36" s="286">
        <v>19</v>
      </c>
      <c r="AT36" s="286" t="s">
        <v>311</v>
      </c>
      <c r="AV36" s="234">
        <f t="shared" si="21"/>
        <v>15</v>
      </c>
      <c r="AW36" s="234">
        <f>COUNTIF( AV$7:AV36, AV36 )</f>
        <v>12</v>
      </c>
      <c r="AX36" s="287">
        <f t="shared" si="22"/>
        <v>16.2</v>
      </c>
      <c r="AY36" s="234">
        <f t="shared" si="23"/>
        <v>26</v>
      </c>
      <c r="AZ36" s="236"/>
      <c r="BA36" s="236"/>
      <c r="BC36" s="234">
        <f t="shared" ca="1" si="24"/>
        <v>30</v>
      </c>
      <c r="BD36" s="288">
        <f t="shared" ca="1" si="6"/>
        <v>41</v>
      </c>
      <c r="BF36" s="240" t="str">
        <f t="shared" ca="1" si="7"/>
        <v>SCANA Corporation</v>
      </c>
      <c r="BG36" s="240" t="str">
        <f t="shared" ca="1" si="7"/>
        <v>BBB+</v>
      </c>
      <c r="BH36" s="240">
        <f t="shared" ca="1" si="7"/>
        <v>19</v>
      </c>
      <c r="BI36" s="240" t="str">
        <f t="shared" ca="1" si="7"/>
        <v>SCG</v>
      </c>
    </row>
    <row r="37" spans="1:61" x14ac:dyDescent="0.2">
      <c r="A37" s="303" t="s">
        <v>25</v>
      </c>
      <c r="B37" s="304" t="s">
        <v>16</v>
      </c>
      <c r="C37" s="304">
        <v>19</v>
      </c>
      <c r="D37" s="304" t="s">
        <v>329</v>
      </c>
      <c r="E37" s="305" t="str">
        <f t="shared" ca="1" si="8"/>
        <v>MR</v>
      </c>
      <c r="F37" s="306"/>
      <c r="G37" s="307">
        <f t="shared" ca="1" si="1"/>
        <v>45</v>
      </c>
      <c r="H37" s="250"/>
      <c r="I37" s="321"/>
      <c r="K37" s="321"/>
      <c r="L37" s="264"/>
      <c r="M37" s="235"/>
      <c r="N37" s="321"/>
      <c r="Q37" s="321"/>
      <c r="T37" s="321"/>
      <c r="W37" s="321"/>
      <c r="AF37" s="236">
        <f t="shared" si="2"/>
        <v>1</v>
      </c>
      <c r="AG37" s="236" t="str">
        <f t="shared" ca="1" si="3"/>
        <v/>
      </c>
      <c r="AH37" s="236" t="str">
        <f t="shared" ca="1" si="18"/>
        <v/>
      </c>
      <c r="AJ37" s="236">
        <f t="shared" ca="1" si="19"/>
        <v>37</v>
      </c>
      <c r="AK37" s="236" t="str">
        <f t="shared" ca="1" si="20"/>
        <v>BBB+</v>
      </c>
      <c r="AL37" s="236">
        <f t="shared" ca="1" si="20"/>
        <v>19</v>
      </c>
      <c r="AM37" s="236" t="str">
        <f t="shared" ca="1" si="4"/>
        <v/>
      </c>
      <c r="AQ37" s="286" t="s">
        <v>66</v>
      </c>
      <c r="AR37" s="286" t="s">
        <v>28</v>
      </c>
      <c r="AS37" s="286">
        <v>18</v>
      </c>
      <c r="AT37" s="286" t="s">
        <v>315</v>
      </c>
      <c r="AV37" s="234">
        <f t="shared" si="21"/>
        <v>35</v>
      </c>
      <c r="AW37" s="234">
        <f>COUNTIF( AV$7:AV37, AV37 )</f>
        <v>7</v>
      </c>
      <c r="AX37" s="287">
        <f t="shared" si="22"/>
        <v>35.700000000000003</v>
      </c>
      <c r="AY37" s="234">
        <f t="shared" si="23"/>
        <v>41</v>
      </c>
      <c r="AZ37" s="236"/>
      <c r="BA37" s="236"/>
      <c r="BC37" s="234">
        <f t="shared" ca="1" si="24"/>
        <v>31</v>
      </c>
      <c r="BD37" s="288">
        <f t="shared" ca="1" si="6"/>
        <v>42</v>
      </c>
      <c r="BF37" s="240" t="str">
        <f t="shared" ca="1" si="7"/>
        <v>Sempra Energy</v>
      </c>
      <c r="BG37" s="240" t="str">
        <f t="shared" ca="1" si="7"/>
        <v>BBB+</v>
      </c>
      <c r="BH37" s="240">
        <f t="shared" ca="1" si="7"/>
        <v>19</v>
      </c>
      <c r="BI37" s="240" t="str">
        <f t="shared" ca="1" si="7"/>
        <v>SRE</v>
      </c>
    </row>
    <row r="38" spans="1:61" x14ac:dyDescent="0.2">
      <c r="A38" s="303" t="s">
        <v>62</v>
      </c>
      <c r="B38" s="304" t="s">
        <v>16</v>
      </c>
      <c r="C38" s="304">
        <v>19</v>
      </c>
      <c r="D38" s="304" t="s">
        <v>544</v>
      </c>
      <c r="E38" s="305" t="str">
        <f t="shared" ca="1" si="8"/>
        <v>R</v>
      </c>
      <c r="F38" s="306"/>
      <c r="G38" s="307">
        <f t="shared" ca="1" si="1"/>
        <v>19</v>
      </c>
      <c r="H38" s="250"/>
      <c r="I38" s="321"/>
      <c r="J38" s="262"/>
      <c r="K38" s="321"/>
      <c r="L38" s="264"/>
      <c r="M38" s="235"/>
      <c r="N38" s="321"/>
      <c r="Q38" s="321"/>
      <c r="T38" s="321"/>
      <c r="W38" s="321"/>
      <c r="AF38" s="236">
        <f t="shared" si="2"/>
        <v>1</v>
      </c>
      <c r="AG38" s="236" t="str">
        <f t="shared" ca="1" si="3"/>
        <v/>
      </c>
      <c r="AH38" s="236" t="str">
        <f t="shared" ca="1" si="18"/>
        <v/>
      </c>
      <c r="AJ38" s="236">
        <f t="shared" ca="1" si="19"/>
        <v>27</v>
      </c>
      <c r="AK38" s="236" t="str">
        <f t="shared" ca="1" si="20"/>
        <v>BBB+</v>
      </c>
      <c r="AL38" s="236">
        <f t="shared" ca="1" si="20"/>
        <v>19</v>
      </c>
      <c r="AM38" s="236" t="str">
        <f t="shared" ca="1" si="4"/>
        <v/>
      </c>
      <c r="AQ38" s="286" t="s">
        <v>21</v>
      </c>
      <c r="AR38" s="286" t="s">
        <v>10</v>
      </c>
      <c r="AS38" s="286">
        <v>20</v>
      </c>
      <c r="AT38" s="289" t="s">
        <v>316</v>
      </c>
      <c r="AV38" s="234">
        <f t="shared" si="21"/>
        <v>3</v>
      </c>
      <c r="AW38" s="234">
        <f>COUNTIF( AV$7:AV38, AV38 )</f>
        <v>6</v>
      </c>
      <c r="AX38" s="287">
        <f t="shared" si="22"/>
        <v>3.6</v>
      </c>
      <c r="AY38" s="234">
        <f t="shared" si="23"/>
        <v>8</v>
      </c>
      <c r="AZ38" s="236"/>
      <c r="BA38" s="236"/>
      <c r="BC38" s="234">
        <f t="shared" ca="1" si="24"/>
        <v>32</v>
      </c>
      <c r="BD38" s="288">
        <f t="shared" ca="1" si="6"/>
        <v>44</v>
      </c>
      <c r="BF38" s="240" t="str">
        <f t="shared" ca="1" si="7"/>
        <v>TECO Energy, Inc.</v>
      </c>
      <c r="BG38" s="240" t="str">
        <f t="shared" ca="1" si="7"/>
        <v>BBB+</v>
      </c>
      <c r="BH38" s="240">
        <f t="shared" ca="1" si="7"/>
        <v>19</v>
      </c>
      <c r="BI38" s="240" t="str">
        <f t="shared" ca="1" si="7"/>
        <v>**TE</v>
      </c>
    </row>
    <row r="39" spans="1:61" x14ac:dyDescent="0.2">
      <c r="A39" s="303" t="s">
        <v>76</v>
      </c>
      <c r="B39" s="304" t="s">
        <v>16</v>
      </c>
      <c r="C39" s="304">
        <v>19</v>
      </c>
      <c r="D39" s="304" t="s">
        <v>334</v>
      </c>
      <c r="E39" s="305" t="str">
        <f t="shared" ca="1" si="8"/>
        <v>R</v>
      </c>
      <c r="F39" s="306"/>
      <c r="G39" s="307">
        <f t="shared" ca="1" si="1"/>
        <v>48</v>
      </c>
      <c r="H39" s="250"/>
      <c r="I39" s="321"/>
      <c r="K39" s="321"/>
      <c r="L39" s="264"/>
      <c r="M39" s="235"/>
      <c r="N39" s="321"/>
      <c r="Q39" s="321"/>
      <c r="T39" s="321"/>
      <c r="W39" s="321"/>
      <c r="AF39" s="236">
        <f t="shared" si="2"/>
        <v>1</v>
      </c>
      <c r="AG39" s="236" t="str">
        <f t="shared" ca="1" si="3"/>
        <v/>
      </c>
      <c r="AH39" s="236" t="str">
        <f t="shared" ca="1" si="18"/>
        <v/>
      </c>
      <c r="AJ39" s="236">
        <f t="shared" ca="1" si="19"/>
        <v>39</v>
      </c>
      <c r="AK39" s="236" t="str">
        <f t="shared" ca="1" si="20"/>
        <v>BBB+</v>
      </c>
      <c r="AL39" s="236">
        <f t="shared" ca="1" si="20"/>
        <v>19</v>
      </c>
      <c r="AM39" s="236" t="str">
        <f t="shared" ca="1" si="4"/>
        <v/>
      </c>
      <c r="AQ39" s="286" t="s">
        <v>22</v>
      </c>
      <c r="AR39" s="286" t="s">
        <v>28</v>
      </c>
      <c r="AS39" s="286">
        <v>18</v>
      </c>
      <c r="AT39" s="286" t="s">
        <v>317</v>
      </c>
      <c r="AV39" s="234">
        <f t="shared" si="21"/>
        <v>35</v>
      </c>
      <c r="AW39" s="234">
        <f>COUNTIF( AV$7:AV39, AV39 )</f>
        <v>8</v>
      </c>
      <c r="AX39" s="287">
        <f t="shared" si="22"/>
        <v>35.799999999999997</v>
      </c>
      <c r="AY39" s="234">
        <f t="shared" si="23"/>
        <v>42</v>
      </c>
      <c r="AZ39" s="236"/>
      <c r="BA39" s="236"/>
      <c r="BC39" s="234">
        <f t="shared" ca="1" si="24"/>
        <v>33</v>
      </c>
      <c r="BD39" s="288">
        <f t="shared" ca="1" si="6"/>
        <v>45</v>
      </c>
      <c r="BF39" s="240" t="str">
        <f t="shared" ref="BF39:BI63" ca="1" si="25">OFFSET( AQ$6, $BD39, 0 )</f>
        <v>Unitil Corporation</v>
      </c>
      <c r="BG39" s="240" t="str">
        <f t="shared" ca="1" si="25"/>
        <v>BBB+</v>
      </c>
      <c r="BH39" s="240">
        <f t="shared" ca="1" si="25"/>
        <v>19</v>
      </c>
      <c r="BI39" s="240" t="str">
        <f t="shared" ca="1" si="25"/>
        <v>UTL</v>
      </c>
    </row>
    <row r="40" spans="1:61" x14ac:dyDescent="0.2">
      <c r="A40" s="303" t="s">
        <v>59</v>
      </c>
      <c r="B40" s="304" t="s">
        <v>16</v>
      </c>
      <c r="C40" s="304">
        <v>19</v>
      </c>
      <c r="D40" s="304" t="s">
        <v>337</v>
      </c>
      <c r="E40" s="305" t="str">
        <f t="shared" ca="1" si="8"/>
        <v>R</v>
      </c>
      <c r="F40" s="306"/>
      <c r="G40" s="307">
        <f t="shared" ca="1" si="1"/>
        <v>51</v>
      </c>
      <c r="H40" s="250"/>
      <c r="I40" s="321"/>
      <c r="J40" s="262"/>
      <c r="K40" s="321"/>
      <c r="L40" s="264"/>
      <c r="M40" s="235"/>
      <c r="N40" s="321"/>
      <c r="Q40" s="321"/>
      <c r="T40" s="321"/>
      <c r="W40" s="321"/>
      <c r="AF40" s="236">
        <f t="shared" si="2"/>
        <v>1</v>
      </c>
      <c r="AG40" s="236" t="str">
        <f t="shared" ca="1" si="3"/>
        <v/>
      </c>
      <c r="AH40" s="236" t="str">
        <f t="shared" ca="1" si="18"/>
        <v/>
      </c>
      <c r="AJ40" s="236">
        <f t="shared" ca="1" si="19"/>
        <v>40</v>
      </c>
      <c r="AK40" s="236" t="str">
        <f t="shared" ca="1" si="20"/>
        <v>BBB+</v>
      </c>
      <c r="AL40" s="236">
        <f t="shared" ca="1" si="20"/>
        <v>19</v>
      </c>
      <c r="AM40" s="236" t="str">
        <f t="shared" ca="1" si="4"/>
        <v/>
      </c>
      <c r="AQ40" s="286" t="s">
        <v>53</v>
      </c>
      <c r="AR40" s="286" t="s">
        <v>16</v>
      </c>
      <c r="AS40" s="286">
        <v>19</v>
      </c>
      <c r="AT40" s="286" t="s">
        <v>318</v>
      </c>
      <c r="AV40" s="234">
        <f t="shared" si="21"/>
        <v>15</v>
      </c>
      <c r="AW40" s="234">
        <f>COUNTIF( AV$7:AV40, AV40 )</f>
        <v>13</v>
      </c>
      <c r="AX40" s="287">
        <f t="shared" si="22"/>
        <v>16.3</v>
      </c>
      <c r="AY40" s="234">
        <f t="shared" si="23"/>
        <v>27</v>
      </c>
      <c r="AZ40" s="236"/>
      <c r="BA40" s="236"/>
      <c r="BC40" s="234">
        <f t="shared" ca="1" si="24"/>
        <v>34</v>
      </c>
      <c r="BD40" s="288">
        <f t="shared" ca="1" si="6"/>
        <v>47</v>
      </c>
      <c r="BF40" s="240" t="str">
        <f t="shared" ca="1" si="25"/>
        <v>Westar Energy, Inc.</v>
      </c>
      <c r="BG40" s="240" t="str">
        <f t="shared" ca="1" si="25"/>
        <v>BBB+</v>
      </c>
      <c r="BH40" s="240">
        <f t="shared" ca="1" si="25"/>
        <v>19</v>
      </c>
      <c r="BI40" s="240" t="str">
        <f t="shared" ca="1" si="25"/>
        <v>WR</v>
      </c>
    </row>
    <row r="41" spans="1:61" x14ac:dyDescent="0.2">
      <c r="A41" s="303" t="s">
        <v>55</v>
      </c>
      <c r="B41" s="304" t="s">
        <v>28</v>
      </c>
      <c r="C41" s="304">
        <v>18</v>
      </c>
      <c r="D41" s="304" t="s">
        <v>278</v>
      </c>
      <c r="E41" s="305" t="str">
        <f t="shared" ca="1" si="8"/>
        <v>R</v>
      </c>
      <c r="F41" s="306"/>
      <c r="G41" s="307">
        <f t="shared" ca="1" si="1"/>
        <v>12</v>
      </c>
      <c r="H41" s="250"/>
      <c r="I41" s="321"/>
      <c r="J41" s="262"/>
      <c r="K41" s="321"/>
      <c r="L41" s="264"/>
      <c r="M41" s="235"/>
      <c r="N41" s="321"/>
      <c r="Q41" s="321"/>
      <c r="T41" s="321"/>
      <c r="W41" s="321"/>
      <c r="AF41" s="236">
        <f t="shared" si="2"/>
        <v>0</v>
      </c>
      <c r="AG41" s="236" t="str">
        <f t="shared" ca="1" si="3"/>
        <v/>
      </c>
      <c r="AH41" s="236" t="str">
        <f t="shared" ca="1" si="18"/>
        <v/>
      </c>
      <c r="AJ41" s="236">
        <f t="shared" ca="1" si="19"/>
        <v>41</v>
      </c>
      <c r="AK41" s="236" t="str">
        <f t="shared" ca="1" si="20"/>
        <v>BBB</v>
      </c>
      <c r="AL41" s="236">
        <f t="shared" ca="1" si="20"/>
        <v>18</v>
      </c>
      <c r="AM41" s="236" t="str">
        <f t="shared" ca="1" si="4"/>
        <v/>
      </c>
      <c r="AQ41" s="286" t="s">
        <v>41</v>
      </c>
      <c r="AR41" s="286" t="s">
        <v>10</v>
      </c>
      <c r="AS41" s="286">
        <v>20</v>
      </c>
      <c r="AT41" s="286" t="s">
        <v>322</v>
      </c>
      <c r="AV41" s="234">
        <f t="shared" si="21"/>
        <v>3</v>
      </c>
      <c r="AW41" s="234">
        <f>COUNTIF( AV$7:AV41, AV41 )</f>
        <v>7</v>
      </c>
      <c r="AX41" s="287">
        <f t="shared" si="22"/>
        <v>3.7</v>
      </c>
      <c r="AY41" s="234">
        <f t="shared" si="23"/>
        <v>9</v>
      </c>
      <c r="AZ41" s="236"/>
      <c r="BA41" s="236"/>
      <c r="BC41" s="234">
        <f t="shared" ca="1" si="24"/>
        <v>35</v>
      </c>
      <c r="BD41" s="288">
        <f t="shared" ca="1" si="6"/>
        <v>6</v>
      </c>
      <c r="BF41" s="240" t="str">
        <f t="shared" ca="1" si="25"/>
        <v>Avista Corporation</v>
      </c>
      <c r="BG41" s="240" t="str">
        <f t="shared" ca="1" si="25"/>
        <v>BBB</v>
      </c>
      <c r="BH41" s="240">
        <f t="shared" ca="1" si="25"/>
        <v>18</v>
      </c>
      <c r="BI41" s="240" t="str">
        <f t="shared" ca="1" si="25"/>
        <v>AVA</v>
      </c>
    </row>
    <row r="42" spans="1:61" x14ac:dyDescent="0.2">
      <c r="A42" s="303" t="s">
        <v>48</v>
      </c>
      <c r="B42" s="304" t="s">
        <v>28</v>
      </c>
      <c r="C42" s="304">
        <v>18</v>
      </c>
      <c r="D42" s="304" t="s">
        <v>280</v>
      </c>
      <c r="E42" s="305" t="str">
        <f t="shared" ca="1" si="8"/>
        <v>R</v>
      </c>
      <c r="F42" s="306"/>
      <c r="G42" s="307">
        <f t="shared" ca="1" si="1"/>
        <v>13</v>
      </c>
      <c r="H42" s="250"/>
      <c r="I42" s="321"/>
      <c r="J42" s="262"/>
      <c r="K42" s="321"/>
      <c r="L42" s="264"/>
      <c r="M42" s="235"/>
      <c r="N42" s="321"/>
      <c r="Q42" s="321"/>
      <c r="T42" s="321"/>
      <c r="W42" s="321"/>
      <c r="AF42" s="236">
        <f t="shared" si="2"/>
        <v>0</v>
      </c>
      <c r="AG42" s="236" t="str">
        <f t="shared" ca="1" si="3"/>
        <v/>
      </c>
      <c r="AH42" s="236" t="str">
        <f t="shared" ca="1" si="18"/>
        <v/>
      </c>
      <c r="AJ42" s="236">
        <f t="shared" ca="1" si="19"/>
        <v>42</v>
      </c>
      <c r="AK42" s="236" t="str">
        <f t="shared" ca="1" si="20"/>
        <v>BBB</v>
      </c>
      <c r="AL42" s="236">
        <f t="shared" ca="1" si="20"/>
        <v>18</v>
      </c>
      <c r="AM42" s="236" t="str">
        <f t="shared" ca="1" si="4"/>
        <v/>
      </c>
      <c r="AQ42" s="286" t="s">
        <v>42</v>
      </c>
      <c r="AR42" s="286" t="s">
        <v>16</v>
      </c>
      <c r="AS42" s="286">
        <v>19</v>
      </c>
      <c r="AT42" s="286" t="s">
        <v>321</v>
      </c>
      <c r="AV42" s="234">
        <f t="shared" si="21"/>
        <v>15</v>
      </c>
      <c r="AW42" s="234">
        <f>COUNTIF( AV$7:AV42, AV42 )</f>
        <v>14</v>
      </c>
      <c r="AX42" s="287">
        <f t="shared" si="22"/>
        <v>16.399999999999999</v>
      </c>
      <c r="AY42" s="234">
        <f t="shared" si="23"/>
        <v>28</v>
      </c>
      <c r="AZ42" s="236"/>
      <c r="BA42" s="236"/>
      <c r="BC42" s="234">
        <f t="shared" ca="1" si="24"/>
        <v>36</v>
      </c>
      <c r="BD42" s="288">
        <f t="shared" ca="1" si="6"/>
        <v>8</v>
      </c>
      <c r="BF42" s="240" t="str">
        <f t="shared" ca="1" si="25"/>
        <v>Black Hills Corporation</v>
      </c>
      <c r="BG42" s="240" t="str">
        <f t="shared" ca="1" si="25"/>
        <v>BBB</v>
      </c>
      <c r="BH42" s="240">
        <f t="shared" ca="1" si="25"/>
        <v>18</v>
      </c>
      <c r="BI42" s="240" t="str">
        <f t="shared" ca="1" si="25"/>
        <v>BKH</v>
      </c>
    </row>
    <row r="43" spans="1:61" x14ac:dyDescent="0.2">
      <c r="A43" s="303" t="s">
        <v>34</v>
      </c>
      <c r="B43" s="304" t="s">
        <v>28</v>
      </c>
      <c r="C43" s="304">
        <v>18</v>
      </c>
      <c r="D43" s="304" t="s">
        <v>294</v>
      </c>
      <c r="E43" s="305" t="str">
        <f t="shared" ca="1" si="8"/>
        <v>R</v>
      </c>
      <c r="F43" s="306"/>
      <c r="G43" s="307">
        <f t="shared" ca="1" si="1"/>
        <v>22</v>
      </c>
      <c r="H43" s="250"/>
      <c r="I43" s="321"/>
      <c r="J43" s="262"/>
      <c r="K43" s="321"/>
      <c r="L43" s="235"/>
      <c r="M43" s="235"/>
      <c r="N43" s="321"/>
      <c r="Q43" s="321"/>
      <c r="T43" s="321"/>
      <c r="W43" s="321"/>
      <c r="AF43" s="236">
        <f t="shared" si="2"/>
        <v>0</v>
      </c>
      <c r="AG43" s="236" t="str">
        <f t="shared" ca="1" si="3"/>
        <v/>
      </c>
      <c r="AH43" s="236" t="str">
        <f t="shared" ca="1" si="18"/>
        <v/>
      </c>
      <c r="AJ43" s="236">
        <f t="shared" ca="1" si="19"/>
        <v>43</v>
      </c>
      <c r="AK43" s="236" t="str">
        <f t="shared" ca="1" si="20"/>
        <v>BBB</v>
      </c>
      <c r="AL43" s="236">
        <f t="shared" ca="1" si="20"/>
        <v>18</v>
      </c>
      <c r="AM43" s="236" t="str">
        <f t="shared" ca="1" si="4"/>
        <v/>
      </c>
      <c r="AQ43" s="286" t="s">
        <v>24</v>
      </c>
      <c r="AR43" s="286" t="s">
        <v>28</v>
      </c>
      <c r="AS43" s="286">
        <v>18</v>
      </c>
      <c r="AT43" s="286" t="s">
        <v>324</v>
      </c>
      <c r="AV43" s="234">
        <f t="shared" si="21"/>
        <v>35</v>
      </c>
      <c r="AW43" s="234">
        <f>COUNTIF( AV$7:AV43, AV43 )</f>
        <v>9</v>
      </c>
      <c r="AX43" s="287">
        <f t="shared" si="22"/>
        <v>35.9</v>
      </c>
      <c r="AY43" s="234">
        <f t="shared" si="23"/>
        <v>43</v>
      </c>
      <c r="AZ43" s="236"/>
      <c r="BA43" s="236"/>
      <c r="BC43" s="234">
        <f t="shared" ca="1" si="24"/>
        <v>37</v>
      </c>
      <c r="BD43" s="288">
        <f t="shared" ca="1" si="6"/>
        <v>18</v>
      </c>
      <c r="BF43" s="240" t="str">
        <f t="shared" ca="1" si="25"/>
        <v>El Paso Electric Company</v>
      </c>
      <c r="BG43" s="240" t="str">
        <f t="shared" ca="1" si="25"/>
        <v>BBB</v>
      </c>
      <c r="BH43" s="240">
        <f t="shared" ca="1" si="25"/>
        <v>18</v>
      </c>
      <c r="BI43" s="240" t="str">
        <f t="shared" ca="1" si="25"/>
        <v>EE</v>
      </c>
    </row>
    <row r="44" spans="1:61" x14ac:dyDescent="0.2">
      <c r="A44" s="303" t="s">
        <v>35</v>
      </c>
      <c r="B44" s="304" t="s">
        <v>28</v>
      </c>
      <c r="C44" s="304">
        <v>18</v>
      </c>
      <c r="D44" s="304" t="s">
        <v>293</v>
      </c>
      <c r="E44" s="305" t="str">
        <f t="shared" ca="1" si="8"/>
        <v>R</v>
      </c>
      <c r="F44" s="306"/>
      <c r="G44" s="307">
        <f t="shared" ca="1" si="1"/>
        <v>23</v>
      </c>
      <c r="H44" s="250"/>
      <c r="I44" s="321"/>
      <c r="J44" s="262"/>
      <c r="K44" s="321"/>
      <c r="L44" s="235"/>
      <c r="M44" s="235"/>
      <c r="N44" s="321"/>
      <c r="Q44" s="321"/>
      <c r="T44" s="321"/>
      <c r="W44" s="321"/>
      <c r="AF44" s="236">
        <f t="shared" si="2"/>
        <v>0</v>
      </c>
      <c r="AG44" s="236" t="str">
        <f t="shared" ca="1" si="3"/>
        <v/>
      </c>
      <c r="AH44" s="236" t="str">
        <f t="shared" ca="1" si="18"/>
        <v/>
      </c>
      <c r="AJ44" s="236">
        <f t="shared" ca="1" si="19"/>
        <v>44</v>
      </c>
      <c r="AK44" s="236" t="str">
        <f t="shared" ca="1" si="20"/>
        <v>BBB</v>
      </c>
      <c r="AL44" s="236">
        <f t="shared" ca="1" si="20"/>
        <v>18</v>
      </c>
      <c r="AM44" s="236" t="str">
        <f t="shared" ca="1" si="4"/>
        <v/>
      </c>
      <c r="AQ44" s="286" t="s">
        <v>43</v>
      </c>
      <c r="AR44" s="286" t="s">
        <v>10</v>
      </c>
      <c r="AS44" s="286">
        <v>20</v>
      </c>
      <c r="AT44" s="286" t="s">
        <v>325</v>
      </c>
      <c r="AV44" s="234">
        <f t="shared" si="21"/>
        <v>3</v>
      </c>
      <c r="AW44" s="234">
        <f>COUNTIF( AV$7:AV44, AV44 )</f>
        <v>8</v>
      </c>
      <c r="AX44" s="287">
        <f t="shared" si="22"/>
        <v>3.8</v>
      </c>
      <c r="AY44" s="234">
        <f t="shared" si="23"/>
        <v>10</v>
      </c>
      <c r="AZ44" s="236"/>
      <c r="BA44" s="236"/>
      <c r="BC44" s="234">
        <f t="shared" ca="1" si="24"/>
        <v>38</v>
      </c>
      <c r="BD44" s="288">
        <f t="shared" ca="1" si="6"/>
        <v>19</v>
      </c>
      <c r="BF44" s="240" t="str">
        <f t="shared" ca="1" si="25"/>
        <v>Empire District Electric Company</v>
      </c>
      <c r="BG44" s="240" t="str">
        <f t="shared" ca="1" si="25"/>
        <v>BBB</v>
      </c>
      <c r="BH44" s="240">
        <f t="shared" ca="1" si="25"/>
        <v>18</v>
      </c>
      <c r="BI44" s="240" t="str">
        <f t="shared" ca="1" si="25"/>
        <v>EDE</v>
      </c>
    </row>
    <row r="45" spans="1:61" x14ac:dyDescent="0.2">
      <c r="A45" s="303" t="s">
        <v>11</v>
      </c>
      <c r="B45" s="304" t="s">
        <v>28</v>
      </c>
      <c r="C45" s="304">
        <v>18</v>
      </c>
      <c r="D45" s="304" t="s">
        <v>298</v>
      </c>
      <c r="E45" s="305" t="str">
        <f t="shared" ca="1" si="8"/>
        <v>D</v>
      </c>
      <c r="F45" s="306"/>
      <c r="G45" s="307">
        <f t="shared" ca="1" si="1"/>
        <v>26</v>
      </c>
      <c r="H45" s="250"/>
      <c r="I45" s="321"/>
      <c r="J45" s="262"/>
      <c r="K45" s="321"/>
      <c r="L45" s="235"/>
      <c r="M45" s="235"/>
      <c r="N45" s="321"/>
      <c r="Q45" s="321"/>
      <c r="T45" s="321"/>
      <c r="W45" s="321"/>
      <c r="AF45" s="236">
        <f t="shared" si="2"/>
        <v>0</v>
      </c>
      <c r="AG45" s="236" t="str">
        <f t="shared" ca="1" si="3"/>
        <v/>
      </c>
      <c r="AH45" s="236" t="str">
        <f t="shared" ca="1" si="18"/>
        <v/>
      </c>
      <c r="AJ45" s="236">
        <f t="shared" ca="1" si="19"/>
        <v>45</v>
      </c>
      <c r="AK45" s="236" t="str">
        <f t="shared" ca="1" si="20"/>
        <v>BBB</v>
      </c>
      <c r="AL45" s="236">
        <f t="shared" ca="1" si="20"/>
        <v>18</v>
      </c>
      <c r="AM45" s="236" t="str">
        <f t="shared" ca="1" si="4"/>
        <v/>
      </c>
      <c r="AQ45" s="286" t="s">
        <v>45</v>
      </c>
      <c r="AR45" s="286" t="s">
        <v>16</v>
      </c>
      <c r="AS45" s="286">
        <v>19</v>
      </c>
      <c r="AT45" s="286" t="s">
        <v>319</v>
      </c>
      <c r="AV45" s="234">
        <f t="shared" si="21"/>
        <v>15</v>
      </c>
      <c r="AW45" s="234">
        <f>COUNTIF( AV$7:AV45, AV45 )</f>
        <v>15</v>
      </c>
      <c r="AX45" s="287">
        <f t="shared" si="22"/>
        <v>16.5</v>
      </c>
      <c r="AY45" s="234">
        <f t="shared" si="23"/>
        <v>29</v>
      </c>
      <c r="AZ45" s="236"/>
      <c r="BA45" s="236"/>
      <c r="BC45" s="234">
        <f t="shared" ca="1" si="24"/>
        <v>39</v>
      </c>
      <c r="BD45" s="288">
        <f t="shared" ca="1" si="6"/>
        <v>22</v>
      </c>
      <c r="BF45" s="240" t="str">
        <f t="shared" ca="1" si="25"/>
        <v>Exelon Corporation</v>
      </c>
      <c r="BG45" s="240" t="str">
        <f t="shared" ca="1" si="25"/>
        <v>BBB</v>
      </c>
      <c r="BH45" s="240">
        <f t="shared" ca="1" si="25"/>
        <v>18</v>
      </c>
      <c r="BI45" s="240" t="str">
        <f t="shared" ca="1" si="25"/>
        <v>EXC</v>
      </c>
    </row>
    <row r="46" spans="1:61" x14ac:dyDescent="0.2">
      <c r="A46" s="303" t="s">
        <v>20</v>
      </c>
      <c r="B46" s="304" t="s">
        <v>28</v>
      </c>
      <c r="C46" s="304">
        <v>18</v>
      </c>
      <c r="D46" s="304" t="s">
        <v>303</v>
      </c>
      <c r="E46" s="305" t="str">
        <f t="shared" ca="1" si="8"/>
        <v>R</v>
      </c>
      <c r="F46" s="306"/>
      <c r="G46" s="307">
        <f t="shared" ca="1" si="1"/>
        <v>30</v>
      </c>
      <c r="H46" s="250"/>
      <c r="I46" s="262"/>
      <c r="K46" s="262"/>
      <c r="N46" s="257"/>
      <c r="W46" s="262"/>
      <c r="AF46" s="236">
        <f t="shared" si="2"/>
        <v>0</v>
      </c>
      <c r="AG46" s="236" t="str">
        <f t="shared" ca="1" si="3"/>
        <v/>
      </c>
      <c r="AH46" s="236" t="str">
        <f t="shared" ca="1" si="18"/>
        <v/>
      </c>
      <c r="AJ46" s="236">
        <f t="shared" ca="1" si="19"/>
        <v>46</v>
      </c>
      <c r="AK46" s="236" t="str">
        <f t="shared" ca="1" si="20"/>
        <v>BBB</v>
      </c>
      <c r="AL46" s="236">
        <f t="shared" ca="1" si="20"/>
        <v>18</v>
      </c>
      <c r="AM46" s="236" t="str">
        <f t="shared" ca="1" si="4"/>
        <v/>
      </c>
      <c r="AQ46" s="286" t="s">
        <v>54</v>
      </c>
      <c r="AR46" s="286" t="s">
        <v>49</v>
      </c>
      <c r="AS46" s="286">
        <v>17</v>
      </c>
      <c r="AT46" s="286" t="s">
        <v>449</v>
      </c>
      <c r="AV46" s="234">
        <f t="shared" si="21"/>
        <v>44</v>
      </c>
      <c r="AW46" s="234">
        <f>COUNTIF( AV$7:AV46, AV46 )</f>
        <v>5</v>
      </c>
      <c r="AX46" s="287">
        <f t="shared" si="22"/>
        <v>44.5</v>
      </c>
      <c r="AY46" s="234">
        <f t="shared" si="23"/>
        <v>48</v>
      </c>
      <c r="AZ46" s="236"/>
      <c r="BA46" s="236"/>
      <c r="BC46" s="234">
        <f t="shared" ca="1" si="24"/>
        <v>40</v>
      </c>
      <c r="BD46" s="288">
        <f t="shared" ca="1" si="6"/>
        <v>26</v>
      </c>
      <c r="BF46" s="240" t="str">
        <f t="shared" ca="1" si="25"/>
        <v>IDACORP, Inc.</v>
      </c>
      <c r="BG46" s="240" t="str">
        <f t="shared" ca="1" si="25"/>
        <v>BBB</v>
      </c>
      <c r="BH46" s="240">
        <f t="shared" ca="1" si="25"/>
        <v>18</v>
      </c>
      <c r="BI46" s="240" t="str">
        <f t="shared" ca="1" si="25"/>
        <v>IDA</v>
      </c>
    </row>
    <row r="47" spans="1:61" x14ac:dyDescent="0.2">
      <c r="A47" s="303" t="s">
        <v>66</v>
      </c>
      <c r="B47" s="304" t="s">
        <v>28</v>
      </c>
      <c r="C47" s="304">
        <v>18</v>
      </c>
      <c r="D47" s="304" t="s">
        <v>315</v>
      </c>
      <c r="E47" s="305" t="str">
        <f t="shared" ca="1" si="8"/>
        <v>R</v>
      </c>
      <c r="F47" s="306"/>
      <c r="G47" s="307">
        <f t="shared" ca="1" si="1"/>
        <v>35</v>
      </c>
      <c r="H47" s="250"/>
      <c r="I47" s="250"/>
      <c r="J47" s="258" t="s">
        <v>547</v>
      </c>
      <c r="K47" s="262"/>
      <c r="M47" s="253"/>
      <c r="N47" s="253"/>
      <c r="AF47" s="236">
        <f t="shared" si="2"/>
        <v>0</v>
      </c>
      <c r="AG47" s="236" t="str">
        <f t="shared" ca="1" si="3"/>
        <v/>
      </c>
      <c r="AH47" s="236" t="str">
        <f t="shared" ca="1" si="18"/>
        <v/>
      </c>
      <c r="AJ47" s="236">
        <f t="shared" ca="1" si="19"/>
        <v>47</v>
      </c>
      <c r="AK47" s="236" t="str">
        <f t="shared" ca="1" si="20"/>
        <v>BBB</v>
      </c>
      <c r="AL47" s="236">
        <f t="shared" ca="1" si="20"/>
        <v>18</v>
      </c>
      <c r="AM47" s="236" t="str">
        <f t="shared" ca="1" si="4"/>
        <v/>
      </c>
      <c r="AQ47" s="286" t="s">
        <v>13</v>
      </c>
      <c r="AR47" s="286" t="s">
        <v>16</v>
      </c>
      <c r="AS47" s="286">
        <v>19</v>
      </c>
      <c r="AT47" s="286" t="s">
        <v>327</v>
      </c>
      <c r="AV47" s="234">
        <f t="shared" si="21"/>
        <v>15</v>
      </c>
      <c r="AW47" s="234">
        <f>COUNTIF( AV$7:AV47, AV47 )</f>
        <v>16</v>
      </c>
      <c r="AX47" s="287">
        <f t="shared" si="22"/>
        <v>16.600000000000001</v>
      </c>
      <c r="AY47" s="234">
        <f t="shared" si="23"/>
        <v>30</v>
      </c>
      <c r="AZ47" s="236"/>
      <c r="BA47" s="236"/>
      <c r="BC47" s="234">
        <f t="shared" ca="1" si="24"/>
        <v>41</v>
      </c>
      <c r="BD47" s="288">
        <f t="shared" ca="1" si="6"/>
        <v>31</v>
      </c>
      <c r="BF47" s="240" t="str">
        <f t="shared" ca="1" si="25"/>
        <v>NorthWestern Corporation</v>
      </c>
      <c r="BG47" s="240" t="str">
        <f t="shared" ca="1" si="25"/>
        <v>BBB</v>
      </c>
      <c r="BH47" s="240">
        <f t="shared" ca="1" si="25"/>
        <v>18</v>
      </c>
      <c r="BI47" s="240" t="str">
        <f t="shared" ca="1" si="25"/>
        <v>NWE</v>
      </c>
    </row>
    <row r="48" spans="1:61" x14ac:dyDescent="0.2">
      <c r="A48" s="303" t="s">
        <v>22</v>
      </c>
      <c r="B48" s="304" t="s">
        <v>28</v>
      </c>
      <c r="C48" s="304">
        <v>18</v>
      </c>
      <c r="D48" s="304" t="s">
        <v>317</v>
      </c>
      <c r="E48" s="305" t="str">
        <f t="shared" ca="1" si="8"/>
        <v>R</v>
      </c>
      <c r="F48" s="306"/>
      <c r="G48" s="307">
        <f t="shared" ca="1" si="1"/>
        <v>37</v>
      </c>
      <c r="H48" s="250"/>
      <c r="I48" s="250"/>
      <c r="K48" s="262"/>
      <c r="M48" s="253"/>
      <c r="N48" s="253"/>
      <c r="AF48" s="236">
        <f t="shared" si="2"/>
        <v>0</v>
      </c>
      <c r="AG48" s="236" t="str">
        <f t="shared" ca="1" si="3"/>
        <v/>
      </c>
      <c r="AH48" s="236" t="str">
        <f t="shared" ca="1" si="18"/>
        <v/>
      </c>
      <c r="AJ48" s="236">
        <f t="shared" ca="1" si="19"/>
        <v>48</v>
      </c>
      <c r="AK48" s="236" t="str">
        <f t="shared" ca="1" si="20"/>
        <v>BBB</v>
      </c>
      <c r="AL48" s="236">
        <f t="shared" ca="1" si="20"/>
        <v>18</v>
      </c>
      <c r="AM48" s="236" t="str">
        <f t="shared" ca="1" si="4"/>
        <v/>
      </c>
      <c r="AQ48" s="286" t="s">
        <v>25</v>
      </c>
      <c r="AR48" s="286" t="s">
        <v>16</v>
      </c>
      <c r="AS48" s="286">
        <v>19</v>
      </c>
      <c r="AT48" s="286" t="s">
        <v>329</v>
      </c>
      <c r="AV48" s="234">
        <f t="shared" si="21"/>
        <v>15</v>
      </c>
      <c r="AW48" s="234">
        <f>COUNTIF( AV$7:AV48, AV48 )</f>
        <v>17</v>
      </c>
      <c r="AX48" s="287">
        <f t="shared" si="22"/>
        <v>16.7</v>
      </c>
      <c r="AY48" s="234">
        <f t="shared" si="23"/>
        <v>31</v>
      </c>
      <c r="AZ48" s="236"/>
      <c r="BA48" s="236"/>
      <c r="BC48" s="234">
        <f t="shared" ca="1" si="24"/>
        <v>42</v>
      </c>
      <c r="BD48" s="288">
        <f t="shared" ca="1" si="6"/>
        <v>33</v>
      </c>
      <c r="BF48" s="240" t="str">
        <f t="shared" ca="1" si="25"/>
        <v>Otter Tail Corporation</v>
      </c>
      <c r="BG48" s="240" t="str">
        <f t="shared" ca="1" si="25"/>
        <v>BBB</v>
      </c>
      <c r="BH48" s="240">
        <f t="shared" ca="1" si="25"/>
        <v>18</v>
      </c>
      <c r="BI48" s="240" t="str">
        <f t="shared" ca="1" si="25"/>
        <v>OTTR</v>
      </c>
    </row>
    <row r="49" spans="1:61" x14ac:dyDescent="0.2">
      <c r="A49" s="303" t="s">
        <v>24</v>
      </c>
      <c r="B49" s="304" t="s">
        <v>28</v>
      </c>
      <c r="C49" s="304">
        <v>18</v>
      </c>
      <c r="D49" s="304" t="s">
        <v>324</v>
      </c>
      <c r="E49" s="305" t="str">
        <f t="shared" ca="1" si="8"/>
        <v>R</v>
      </c>
      <c r="F49" s="306"/>
      <c r="G49" s="307">
        <f t="shared" ca="1" si="1"/>
        <v>41</v>
      </c>
      <c r="H49" s="250"/>
      <c r="I49" s="250"/>
      <c r="J49" s="262"/>
      <c r="K49" s="262"/>
      <c r="M49" s="253"/>
      <c r="N49" s="253"/>
      <c r="AF49" s="236">
        <f t="shared" si="2"/>
        <v>0</v>
      </c>
      <c r="AG49" s="236" t="str">
        <f t="shared" ca="1" si="3"/>
        <v/>
      </c>
      <c r="AH49" s="236" t="str">
        <f t="shared" ca="1" si="18"/>
        <v/>
      </c>
      <c r="AJ49" s="236">
        <f t="shared" ca="1" si="19"/>
        <v>49</v>
      </c>
      <c r="AK49" s="236" t="str">
        <f t="shared" ca="1" si="20"/>
        <v>BBB</v>
      </c>
      <c r="AL49" s="236">
        <f t="shared" ca="1" si="20"/>
        <v>18</v>
      </c>
      <c r="AM49" s="236" t="str">
        <f t="shared" ca="1" si="4"/>
        <v/>
      </c>
      <c r="AQ49" s="286" t="s">
        <v>7</v>
      </c>
      <c r="AR49" s="286" t="s">
        <v>10</v>
      </c>
      <c r="AS49" s="286">
        <v>20</v>
      </c>
      <c r="AT49" s="286" t="s">
        <v>328</v>
      </c>
      <c r="AV49" s="234">
        <f t="shared" si="21"/>
        <v>3</v>
      </c>
      <c r="AW49" s="234">
        <f>COUNTIF( AV$7:AV49, AV49 )</f>
        <v>9</v>
      </c>
      <c r="AX49" s="287">
        <f t="shared" si="22"/>
        <v>3.9</v>
      </c>
      <c r="AY49" s="234">
        <f t="shared" si="23"/>
        <v>11</v>
      </c>
      <c r="AZ49" s="236"/>
      <c r="BA49" s="236"/>
      <c r="BC49" s="234">
        <f t="shared" ca="1" si="24"/>
        <v>43</v>
      </c>
      <c r="BD49" s="288">
        <f t="shared" ca="1" si="6"/>
        <v>37</v>
      </c>
      <c r="BF49" s="240" t="str">
        <f t="shared" ca="1" si="25"/>
        <v>Portland General Electric Company</v>
      </c>
      <c r="BG49" s="240" t="str">
        <f t="shared" ca="1" si="25"/>
        <v>BBB</v>
      </c>
      <c r="BH49" s="240">
        <f t="shared" ca="1" si="25"/>
        <v>18</v>
      </c>
      <c r="BI49" s="240" t="str">
        <f t="shared" ca="1" si="25"/>
        <v>POR</v>
      </c>
    </row>
    <row r="50" spans="1:61" x14ac:dyDescent="0.2">
      <c r="A50" s="303" t="s">
        <v>30</v>
      </c>
      <c r="B50" s="304" t="s">
        <v>49</v>
      </c>
      <c r="C50" s="304">
        <v>17</v>
      </c>
      <c r="D50" s="304" t="s">
        <v>541</v>
      </c>
      <c r="E50" s="305" t="str">
        <f t="shared" ca="1" si="8"/>
        <v>R</v>
      </c>
      <c r="F50" s="306"/>
      <c r="G50" s="307">
        <f t="shared" ca="1" si="1"/>
        <v>15</v>
      </c>
      <c r="H50" s="250"/>
      <c r="I50" s="250"/>
      <c r="J50" s="262"/>
      <c r="K50" s="262"/>
      <c r="L50" s="235"/>
      <c r="M50" s="257"/>
      <c r="N50" s="257"/>
      <c r="AF50" s="236">
        <f t="shared" si="2"/>
        <v>1</v>
      </c>
      <c r="AG50" s="236" t="str">
        <f t="shared" ca="1" si="3"/>
        <v/>
      </c>
      <c r="AH50" s="236" t="str">
        <f t="shared" ca="1" si="18"/>
        <v/>
      </c>
      <c r="AJ50" s="236">
        <f t="shared" ca="1" si="19"/>
        <v>50</v>
      </c>
      <c r="AK50" s="236" t="str">
        <f t="shared" ca="1" si="20"/>
        <v>BBB-</v>
      </c>
      <c r="AL50" s="236">
        <f t="shared" ca="1" si="20"/>
        <v>17</v>
      </c>
      <c r="AM50" s="236" t="str">
        <f t="shared" ca="1" si="4"/>
        <v/>
      </c>
      <c r="AQ50" s="286" t="s">
        <v>62</v>
      </c>
      <c r="AR50" s="286" t="s">
        <v>16</v>
      </c>
      <c r="AS50" s="286">
        <v>19</v>
      </c>
      <c r="AT50" s="286" t="s">
        <v>544</v>
      </c>
      <c r="AV50" s="234">
        <f t="shared" si="21"/>
        <v>15</v>
      </c>
      <c r="AW50" s="234">
        <f>COUNTIF( AV$7:AV50, AV50 )</f>
        <v>18</v>
      </c>
      <c r="AX50" s="287">
        <f t="shared" si="22"/>
        <v>16.8</v>
      </c>
      <c r="AY50" s="234">
        <f t="shared" si="23"/>
        <v>32</v>
      </c>
      <c r="AZ50" s="236"/>
      <c r="BA50" s="236"/>
      <c r="BC50" s="234">
        <f t="shared" ca="1" si="24"/>
        <v>44</v>
      </c>
      <c r="BD50" s="288">
        <f t="shared" ca="1" si="6"/>
        <v>10</v>
      </c>
      <c r="BF50" s="240" t="str">
        <f t="shared" ca="1" si="25"/>
        <v>Cleco Corporation</v>
      </c>
      <c r="BG50" s="240" t="str">
        <f t="shared" ca="1" si="25"/>
        <v>BBB-</v>
      </c>
      <c r="BH50" s="240">
        <f t="shared" ca="1" si="25"/>
        <v>17</v>
      </c>
      <c r="BI50" s="240" t="str">
        <f t="shared" ca="1" si="25"/>
        <v>**CNL</v>
      </c>
    </row>
    <row r="51" spans="1:61" x14ac:dyDescent="0.2">
      <c r="A51" s="303" t="s">
        <v>51</v>
      </c>
      <c r="B51" s="304" t="s">
        <v>49</v>
      </c>
      <c r="C51" s="304">
        <v>17</v>
      </c>
      <c r="D51" s="304" t="s">
        <v>299</v>
      </c>
      <c r="E51" s="305" t="str">
        <f t="shared" ca="1" si="8"/>
        <v>MR</v>
      </c>
      <c r="F51" s="306"/>
      <c r="G51" s="307">
        <f t="shared" ca="1" si="1"/>
        <v>27</v>
      </c>
      <c r="H51" s="250"/>
      <c r="I51" s="250"/>
      <c r="J51" s="262"/>
      <c r="K51" s="262"/>
      <c r="L51" s="235"/>
      <c r="M51" s="257"/>
      <c r="N51" s="257"/>
      <c r="AF51" s="236">
        <f t="shared" si="2"/>
        <v>1</v>
      </c>
      <c r="AG51" s="236" t="str">
        <f t="shared" ca="1" si="3"/>
        <v/>
      </c>
      <c r="AH51" s="236" t="str">
        <f t="shared" ca="1" si="18"/>
        <v/>
      </c>
      <c r="AJ51" s="236">
        <f t="shared" ca="1" si="19"/>
        <v>51</v>
      </c>
      <c r="AK51" s="236" t="str">
        <f t="shared" ca="1" si="20"/>
        <v>BBB-</v>
      </c>
      <c r="AL51" s="236">
        <f t="shared" ca="1" si="20"/>
        <v>17</v>
      </c>
      <c r="AM51" s="236" t="str">
        <f t="shared" ca="1" si="4"/>
        <v/>
      </c>
      <c r="AQ51" s="286" t="s">
        <v>76</v>
      </c>
      <c r="AR51" s="286" t="s">
        <v>16</v>
      </c>
      <c r="AS51" s="286">
        <v>19</v>
      </c>
      <c r="AT51" s="286" t="s">
        <v>334</v>
      </c>
      <c r="AV51" s="234">
        <f t="shared" si="21"/>
        <v>15</v>
      </c>
      <c r="AW51" s="234">
        <f>COUNTIF( AV$7:AV51, AV51 )</f>
        <v>19</v>
      </c>
      <c r="AX51" s="287">
        <f t="shared" si="22"/>
        <v>16.899999999999999</v>
      </c>
      <c r="AY51" s="234">
        <f t="shared" si="23"/>
        <v>33</v>
      </c>
      <c r="AZ51" s="236"/>
      <c r="BA51" s="236"/>
      <c r="BC51" s="234">
        <f t="shared" ca="1" si="24"/>
        <v>45</v>
      </c>
      <c r="BD51" s="288">
        <f t="shared" ca="1" si="6"/>
        <v>23</v>
      </c>
      <c r="BF51" s="240" t="str">
        <f t="shared" ca="1" si="25"/>
        <v>FirstEnergy Corp.</v>
      </c>
      <c r="BG51" s="240" t="str">
        <f t="shared" ca="1" si="25"/>
        <v>BBB-</v>
      </c>
      <c r="BH51" s="240">
        <f t="shared" ca="1" si="25"/>
        <v>17</v>
      </c>
      <c r="BI51" s="240" t="str">
        <f t="shared" ca="1" si="25"/>
        <v>FE</v>
      </c>
    </row>
    <row r="52" spans="1:61" x14ac:dyDescent="0.2">
      <c r="A52" s="303" t="s">
        <v>39</v>
      </c>
      <c r="B52" s="304" t="s">
        <v>49</v>
      </c>
      <c r="C52" s="304">
        <v>17</v>
      </c>
      <c r="D52" s="304" t="s">
        <v>302</v>
      </c>
      <c r="E52" s="305" t="str">
        <f t="shared" ca="1" si="8"/>
        <v>D</v>
      </c>
      <c r="F52" s="306"/>
      <c r="G52" s="307">
        <f t="shared" ca="1" si="1"/>
        <v>29</v>
      </c>
      <c r="H52" s="250"/>
      <c r="I52" s="250"/>
      <c r="J52" s="262"/>
      <c r="K52" s="262"/>
      <c r="AF52" s="236">
        <f t="shared" si="2"/>
        <v>1</v>
      </c>
      <c r="AG52" s="236" t="str">
        <f t="shared" ca="1" si="3"/>
        <v/>
      </c>
      <c r="AH52" s="236" t="str">
        <f t="shared" ca="1" si="18"/>
        <v/>
      </c>
      <c r="AJ52" s="236">
        <f t="shared" ca="1" si="19"/>
        <v>52</v>
      </c>
      <c r="AK52" s="236" t="str">
        <f t="shared" ca="1" si="20"/>
        <v>BBB-</v>
      </c>
      <c r="AL52" s="236">
        <f t="shared" ca="1" si="20"/>
        <v>17</v>
      </c>
      <c r="AM52" s="236" t="str">
        <f t="shared" ca="1" si="4"/>
        <v/>
      </c>
      <c r="AQ52" s="286" t="s">
        <v>14</v>
      </c>
      <c r="AR52" s="286" t="s">
        <v>10</v>
      </c>
      <c r="AS52" s="286">
        <v>20</v>
      </c>
      <c r="AT52" s="286" t="s">
        <v>335</v>
      </c>
      <c r="AV52" s="234">
        <f t="shared" si="21"/>
        <v>3</v>
      </c>
      <c r="AW52" s="234">
        <f>COUNTIF( AV$7:AV52, AV52 )</f>
        <v>10</v>
      </c>
      <c r="AX52" s="287">
        <f t="shared" si="22"/>
        <v>4</v>
      </c>
      <c r="AY52" s="234">
        <f t="shared" si="23"/>
        <v>12</v>
      </c>
      <c r="AZ52" s="236"/>
      <c r="BA52" s="236"/>
      <c r="BC52" s="234">
        <f t="shared" ca="1" si="24"/>
        <v>46</v>
      </c>
      <c r="BD52" s="288">
        <f t="shared" ca="1" si="6"/>
        <v>25</v>
      </c>
      <c r="BF52" s="240" t="str">
        <f t="shared" ca="1" si="25"/>
        <v>Hawaiian Electric Industries, Inc.</v>
      </c>
      <c r="BG52" s="240" t="str">
        <f t="shared" ca="1" si="25"/>
        <v>BBB-</v>
      </c>
      <c r="BH52" s="240">
        <f t="shared" ca="1" si="25"/>
        <v>17</v>
      </c>
      <c r="BI52" s="240" t="str">
        <f t="shared" ca="1" si="25"/>
        <v>HE</v>
      </c>
    </row>
    <row r="53" spans="1:61" x14ac:dyDescent="0.2">
      <c r="A53" s="303" t="s">
        <v>58</v>
      </c>
      <c r="B53" s="304" t="s">
        <v>49</v>
      </c>
      <c r="C53" s="304">
        <v>17</v>
      </c>
      <c r="D53" s="304" t="s">
        <v>446</v>
      </c>
      <c r="E53" s="305" t="str">
        <f t="shared" ca="1" si="8"/>
        <v>R</v>
      </c>
      <c r="F53" s="306"/>
      <c r="G53" s="307">
        <f t="shared" ca="1" si="1"/>
        <v>59</v>
      </c>
      <c r="H53" s="250"/>
      <c r="I53" s="250"/>
      <c r="J53" s="262"/>
      <c r="K53" s="262"/>
      <c r="AF53" s="236">
        <f t="shared" si="2"/>
        <v>1</v>
      </c>
      <c r="AG53" s="236" t="str">
        <f t="shared" ca="1" si="3"/>
        <v/>
      </c>
      <c r="AH53" s="236" t="str">
        <f t="shared" ca="1" si="18"/>
        <v/>
      </c>
      <c r="AJ53" s="236">
        <f t="shared" ca="1" si="19"/>
        <v>53</v>
      </c>
      <c r="AK53" s="236" t="str">
        <f t="shared" ca="1" si="20"/>
        <v>BBB-</v>
      </c>
      <c r="AL53" s="236">
        <f t="shared" ca="1" si="20"/>
        <v>17</v>
      </c>
      <c r="AM53" s="236" t="str">
        <f t="shared" ca="1" si="4"/>
        <v/>
      </c>
      <c r="AQ53" s="286" t="s">
        <v>59</v>
      </c>
      <c r="AR53" s="286" t="s">
        <v>16</v>
      </c>
      <c r="AS53" s="286">
        <v>19</v>
      </c>
      <c r="AT53" s="286" t="s">
        <v>337</v>
      </c>
      <c r="AV53" s="234">
        <f t="shared" si="21"/>
        <v>15</v>
      </c>
      <c r="AW53" s="234">
        <f>COUNTIF( AV$7:AV53, AV53 )</f>
        <v>20</v>
      </c>
      <c r="AX53" s="287">
        <f t="shared" si="22"/>
        <v>17</v>
      </c>
      <c r="AY53" s="234">
        <f t="shared" si="23"/>
        <v>34</v>
      </c>
      <c r="AZ53" s="236"/>
      <c r="BA53" s="236"/>
      <c r="BC53" s="234">
        <f t="shared" ca="1" si="24"/>
        <v>47</v>
      </c>
      <c r="BD53" s="288">
        <f t="shared" ca="1" si="6"/>
        <v>27</v>
      </c>
      <c r="BF53" s="240" t="str">
        <f t="shared" ca="1" si="25"/>
        <v>IPALCO Enterprises, Inc.</v>
      </c>
      <c r="BG53" s="240" t="str">
        <f t="shared" ca="1" si="25"/>
        <v>BBB-</v>
      </c>
      <c r="BH53" s="240">
        <f t="shared" ca="1" si="25"/>
        <v>17</v>
      </c>
      <c r="BI53" s="240" t="str">
        <f t="shared" ca="1" si="25"/>
        <v>**IPALCO</v>
      </c>
    </row>
    <row r="54" spans="1:61" x14ac:dyDescent="0.2">
      <c r="A54" s="303" t="s">
        <v>54</v>
      </c>
      <c r="B54" s="304" t="s">
        <v>49</v>
      </c>
      <c r="C54" s="304">
        <v>17</v>
      </c>
      <c r="D54" s="304" t="s">
        <v>449</v>
      </c>
      <c r="E54" s="305" t="str">
        <f t="shared" ca="1" si="8"/>
        <v>R</v>
      </c>
      <c r="F54" s="306"/>
      <c r="G54" s="307">
        <f t="shared" ca="1" si="1"/>
        <v>61</v>
      </c>
      <c r="H54" s="250"/>
      <c r="I54" s="250"/>
      <c r="J54" s="262"/>
      <c r="K54" s="262"/>
      <c r="AF54" s="236">
        <f t="shared" si="2"/>
        <v>1</v>
      </c>
      <c r="AG54" s="236" t="str">
        <f t="shared" ca="1" si="3"/>
        <v/>
      </c>
      <c r="AH54" s="236" t="str">
        <f t="shared" ca="1" si="18"/>
        <v/>
      </c>
      <c r="AJ54" s="236">
        <f t="shared" ca="1" si="19"/>
        <v>54</v>
      </c>
      <c r="AK54" s="236" t="str">
        <f t="shared" ca="1" si="20"/>
        <v>BBB-</v>
      </c>
      <c r="AL54" s="236">
        <f t="shared" ca="1" si="20"/>
        <v>17</v>
      </c>
      <c r="AM54" s="236" t="str">
        <f t="shared" ca="1" si="4"/>
        <v/>
      </c>
      <c r="AQ54" s="286" t="s">
        <v>26</v>
      </c>
      <c r="AR54" s="286" t="s">
        <v>10</v>
      </c>
      <c r="AS54" s="286">
        <v>20</v>
      </c>
      <c r="AT54" s="286" t="s">
        <v>336</v>
      </c>
      <c r="AV54" s="234">
        <f t="shared" si="21"/>
        <v>3</v>
      </c>
      <c r="AW54" s="234">
        <f>COUNTIF( AV$7:AV54, AV54 )</f>
        <v>11</v>
      </c>
      <c r="AX54" s="287">
        <f t="shared" si="22"/>
        <v>4.0999999999999996</v>
      </c>
      <c r="AY54" s="234">
        <f t="shared" si="23"/>
        <v>13</v>
      </c>
      <c r="AZ54" s="236"/>
      <c r="BA54" s="236"/>
      <c r="BC54" s="234">
        <f t="shared" ca="1" si="24"/>
        <v>48</v>
      </c>
      <c r="BD54" s="288">
        <f t="shared" ca="1" si="6"/>
        <v>40</v>
      </c>
      <c r="BF54" s="240" t="str">
        <f t="shared" ca="1" si="25"/>
        <v>Puget Energy, Inc.</v>
      </c>
      <c r="BG54" s="240" t="str">
        <f t="shared" ca="1" si="25"/>
        <v>BBB-</v>
      </c>
      <c r="BH54" s="240">
        <f t="shared" ca="1" si="25"/>
        <v>17</v>
      </c>
      <c r="BI54" s="240" t="str">
        <f t="shared" ca="1" si="25"/>
        <v>**PSD</v>
      </c>
    </row>
    <row r="55" spans="1:61" x14ac:dyDescent="0.2">
      <c r="A55" s="303" t="s">
        <v>64</v>
      </c>
      <c r="B55" s="304" t="s">
        <v>61</v>
      </c>
      <c r="C55" s="304">
        <v>15</v>
      </c>
      <c r="D55" s="304" t="s">
        <v>443</v>
      </c>
      <c r="E55" s="305" t="str">
        <f t="shared" ca="1" si="8"/>
        <v>R</v>
      </c>
      <c r="F55" s="306"/>
      <c r="G55" s="307">
        <f t="shared" ca="1" si="1"/>
        <v>57</v>
      </c>
      <c r="H55" s="250"/>
      <c r="I55" s="250"/>
      <c r="J55" s="262"/>
      <c r="K55" s="262"/>
      <c r="AF55" s="236">
        <f t="shared" si="2"/>
        <v>0</v>
      </c>
      <c r="AG55" s="236" t="str">
        <f t="shared" ca="1" si="3"/>
        <v/>
      </c>
      <c r="AH55" s="236" t="str">
        <f t="shared" ca="1" si="18"/>
        <v/>
      </c>
      <c r="AJ55" s="236">
        <f t="shared" ca="1" si="19"/>
        <v>55</v>
      </c>
      <c r="AK55" s="236" t="str">
        <f t="shared" ca="1" si="20"/>
        <v>BB</v>
      </c>
      <c r="AL55" s="236">
        <f t="shared" ca="1" si="20"/>
        <v>15</v>
      </c>
      <c r="AM55" s="236" t="str">
        <f t="shared" ca="1" si="4"/>
        <v/>
      </c>
      <c r="AQ55" s="286" t="s">
        <v>258</v>
      </c>
      <c r="AR55" s="286" t="s">
        <v>10</v>
      </c>
      <c r="AS55" s="286">
        <v>20</v>
      </c>
      <c r="AT55" s="286" t="s">
        <v>338</v>
      </c>
      <c r="AV55" s="234">
        <f t="shared" si="21"/>
        <v>3</v>
      </c>
      <c r="AW55" s="234">
        <f>COUNTIF( AV$7:AV55, AV55 )</f>
        <v>12</v>
      </c>
      <c r="AX55" s="287">
        <f t="shared" si="22"/>
        <v>4.2</v>
      </c>
      <c r="AY55" s="234">
        <f t="shared" si="23"/>
        <v>14</v>
      </c>
      <c r="AZ55" s="236"/>
      <c r="BA55" s="236"/>
      <c r="BC55" s="234">
        <f t="shared" ca="1" si="24"/>
        <v>49</v>
      </c>
      <c r="BD55" s="288">
        <f t="shared" ca="1" si="6"/>
        <v>14</v>
      </c>
      <c r="BF55" s="240" t="str">
        <f t="shared" ca="1" si="25"/>
        <v>DPL Inc.</v>
      </c>
      <c r="BG55" s="240" t="str">
        <f t="shared" ca="1" si="25"/>
        <v>BB</v>
      </c>
      <c r="BH55" s="240">
        <f t="shared" ca="1" si="25"/>
        <v>15</v>
      </c>
      <c r="BI55" s="240" t="str">
        <f t="shared" ca="1" si="25"/>
        <v>**DPL</v>
      </c>
    </row>
    <row r="56" spans="1:61" x14ac:dyDescent="0.2">
      <c r="A56" s="303"/>
      <c r="B56" s="304"/>
      <c r="C56" s="304"/>
      <c r="D56" s="304"/>
      <c r="E56" s="305"/>
      <c r="F56" s="306"/>
      <c r="G56" s="307" t="str">
        <f t="shared" ca="1" si="1"/>
        <v/>
      </c>
      <c r="H56" s="250"/>
      <c r="I56" s="250"/>
      <c r="J56" s="262"/>
      <c r="K56" s="262"/>
      <c r="AF56" s="236">
        <f t="shared" si="2"/>
        <v>0</v>
      </c>
      <c r="AG56" s="236" t="str">
        <f t="shared" si="3"/>
        <v/>
      </c>
      <c r="AH56" s="236" t="str">
        <f t="shared" si="18"/>
        <v/>
      </c>
      <c r="AJ56" s="236" t="e">
        <f t="shared" ca="1" si="19"/>
        <v>#N/A</v>
      </c>
      <c r="AK56" s="236" t="str">
        <f t="shared" ca="1" si="20"/>
        <v/>
      </c>
      <c r="AL56" s="236" t="str">
        <f t="shared" ca="1" si="20"/>
        <v/>
      </c>
      <c r="AM56" s="236" t="str">
        <f t="shared" ca="1" si="4"/>
        <v/>
      </c>
      <c r="AQ56" s="286"/>
      <c r="AR56" s="286"/>
      <c r="AS56" s="286"/>
      <c r="AT56" s="286"/>
      <c r="AV56" s="234">
        <f t="shared" si="21"/>
        <v>99</v>
      </c>
      <c r="AW56" s="234">
        <f>COUNTIF( AV$7:AV56, AV56 )</f>
        <v>1</v>
      </c>
      <c r="AX56" s="287">
        <f t="shared" si="22"/>
        <v>99.1</v>
      </c>
      <c r="AY56" s="234">
        <f t="shared" si="23"/>
        <v>50</v>
      </c>
      <c r="AZ56" s="236"/>
      <c r="BA56" s="236"/>
      <c r="BC56" s="234">
        <f t="shared" ca="1" si="24"/>
        <v>50</v>
      </c>
      <c r="BD56" s="288">
        <f t="shared" ca="1" si="6"/>
        <v>50</v>
      </c>
      <c r="BF56" s="240">
        <f t="shared" ca="1" si="25"/>
        <v>0</v>
      </c>
      <c r="BG56" s="240">
        <f t="shared" ca="1" si="25"/>
        <v>0</v>
      </c>
      <c r="BH56" s="240">
        <f t="shared" ca="1" si="25"/>
        <v>0</v>
      </c>
      <c r="BI56" s="240">
        <f t="shared" ca="1" si="25"/>
        <v>0</v>
      </c>
    </row>
    <row r="57" spans="1:61" x14ac:dyDescent="0.2">
      <c r="A57" s="303"/>
      <c r="B57" s="304"/>
      <c r="C57" s="304"/>
      <c r="D57" s="304"/>
      <c r="E57" s="305"/>
      <c r="F57" s="306"/>
      <c r="G57" s="307" t="str">
        <f t="shared" ca="1" si="1"/>
        <v/>
      </c>
      <c r="H57" s="250"/>
      <c r="I57" s="250"/>
      <c r="J57" s="262"/>
      <c r="K57" s="262"/>
      <c r="AF57" s="236">
        <f t="shared" si="2"/>
        <v>0</v>
      </c>
      <c r="AG57" s="236" t="str">
        <f t="shared" si="3"/>
        <v/>
      </c>
      <c r="AH57" s="236" t="str">
        <f t="shared" si="18"/>
        <v/>
      </c>
      <c r="AJ57" s="236" t="e">
        <f t="shared" ca="1" si="19"/>
        <v>#N/A</v>
      </c>
      <c r="AK57" s="236" t="str">
        <f t="shared" ca="1" si="20"/>
        <v/>
      </c>
      <c r="AL57" s="236" t="str">
        <f t="shared" ca="1" si="20"/>
        <v/>
      </c>
      <c r="AM57" s="236" t="str">
        <f t="shared" ca="1" si="4"/>
        <v/>
      </c>
      <c r="AQ57" s="286"/>
      <c r="AR57" s="286"/>
      <c r="AS57" s="286"/>
      <c r="AT57" s="286"/>
      <c r="AV57" s="234">
        <f t="shared" si="21"/>
        <v>99</v>
      </c>
      <c r="AW57" s="234">
        <f>COUNTIF( AV$7:AV57, AV57 )</f>
        <v>2</v>
      </c>
      <c r="AX57" s="287">
        <f t="shared" si="22"/>
        <v>99.2</v>
      </c>
      <c r="AY57" s="234">
        <f t="shared" si="23"/>
        <v>51</v>
      </c>
      <c r="AZ57" s="236"/>
      <c r="BA57" s="236"/>
      <c r="BC57" s="234">
        <f t="shared" ca="1" si="24"/>
        <v>51</v>
      </c>
      <c r="BD57" s="288">
        <f t="shared" ca="1" si="6"/>
        <v>51</v>
      </c>
      <c r="BF57" s="240">
        <f t="shared" ca="1" si="25"/>
        <v>0</v>
      </c>
      <c r="BG57" s="240">
        <f t="shared" ca="1" si="25"/>
        <v>0</v>
      </c>
      <c r="BH57" s="240">
        <f t="shared" ca="1" si="25"/>
        <v>0</v>
      </c>
      <c r="BI57" s="240">
        <f t="shared" ca="1" si="25"/>
        <v>0</v>
      </c>
    </row>
    <row r="58" spans="1:61" x14ac:dyDescent="0.2">
      <c r="A58" s="303"/>
      <c r="B58" s="304"/>
      <c r="C58" s="304"/>
      <c r="D58" s="304"/>
      <c r="E58" s="305"/>
      <c r="F58" s="306"/>
      <c r="G58" s="307" t="str">
        <f t="shared" ca="1" si="1"/>
        <v/>
      </c>
      <c r="H58" s="250"/>
      <c r="I58" s="250"/>
      <c r="J58" s="262"/>
      <c r="K58" s="262"/>
      <c r="AF58" s="236">
        <f t="shared" si="2"/>
        <v>0</v>
      </c>
      <c r="AG58" s="236" t="str">
        <f t="shared" si="3"/>
        <v/>
      </c>
      <c r="AH58" s="236" t="str">
        <f t="shared" si="18"/>
        <v/>
      </c>
      <c r="AJ58" s="236" t="e">
        <f t="shared" ca="1" si="19"/>
        <v>#N/A</v>
      </c>
      <c r="AK58" s="236" t="str">
        <f t="shared" ca="1" si="20"/>
        <v/>
      </c>
      <c r="AL58" s="236" t="str">
        <f t="shared" ca="1" si="20"/>
        <v/>
      </c>
      <c r="AM58" s="236" t="str">
        <f t="shared" ca="1" si="4"/>
        <v/>
      </c>
      <c r="AQ58" s="286"/>
      <c r="AR58" s="286"/>
      <c r="AS58" s="286"/>
      <c r="AT58" s="286"/>
      <c r="AV58" s="234">
        <f t="shared" si="21"/>
        <v>99</v>
      </c>
      <c r="AW58" s="234">
        <f>COUNTIF( AV$7:AV58, AV58 )</f>
        <v>3</v>
      </c>
      <c r="AX58" s="287">
        <f t="shared" si="22"/>
        <v>99.3</v>
      </c>
      <c r="AY58" s="234">
        <f t="shared" si="23"/>
        <v>52</v>
      </c>
      <c r="AZ58" s="236"/>
      <c r="BA58" s="236"/>
      <c r="BC58" s="234">
        <f t="shared" ca="1" si="24"/>
        <v>52</v>
      </c>
      <c r="BD58" s="288">
        <f t="shared" ca="1" si="6"/>
        <v>52</v>
      </c>
      <c r="BF58" s="240">
        <f t="shared" ca="1" si="25"/>
        <v>0</v>
      </c>
      <c r="BG58" s="240">
        <f t="shared" ca="1" si="25"/>
        <v>0</v>
      </c>
      <c r="BH58" s="240">
        <f t="shared" ca="1" si="25"/>
        <v>0</v>
      </c>
      <c r="BI58" s="240">
        <f t="shared" ca="1" si="25"/>
        <v>0</v>
      </c>
    </row>
    <row r="59" spans="1:61" x14ac:dyDescent="0.2">
      <c r="A59" s="303"/>
      <c r="B59" s="304"/>
      <c r="C59" s="304"/>
      <c r="D59" s="304"/>
      <c r="E59" s="305" t="str">
        <f t="shared" ca="1" si="8"/>
        <v/>
      </c>
      <c r="F59" s="306"/>
      <c r="G59" s="307" t="str">
        <f t="shared" ca="1" si="1"/>
        <v/>
      </c>
      <c r="H59" s="250"/>
      <c r="I59" s="250"/>
      <c r="J59" s="262"/>
      <c r="K59" s="262"/>
      <c r="AF59" s="236">
        <f t="shared" si="2"/>
        <v>0</v>
      </c>
      <c r="AG59" s="236" t="str">
        <f t="shared" si="3"/>
        <v/>
      </c>
      <c r="AH59" s="236" t="str">
        <f t="shared" si="18"/>
        <v/>
      </c>
      <c r="AJ59" s="236" t="e">
        <f t="shared" ca="1" si="19"/>
        <v>#N/A</v>
      </c>
      <c r="AK59" s="236" t="str">
        <f t="shared" ca="1" si="20"/>
        <v/>
      </c>
      <c r="AL59" s="236" t="str">
        <f t="shared" ca="1" si="20"/>
        <v/>
      </c>
      <c r="AM59" s="236" t="str">
        <f t="shared" ca="1" si="4"/>
        <v/>
      </c>
      <c r="AQ59" s="286"/>
      <c r="AR59" s="286"/>
      <c r="AS59" s="286"/>
      <c r="AT59" s="286"/>
      <c r="AV59" s="234">
        <f t="shared" si="21"/>
        <v>99</v>
      </c>
      <c r="AW59" s="234">
        <f>COUNTIF( AV$7:AV59, AV59 )</f>
        <v>4</v>
      </c>
      <c r="AX59" s="287">
        <f t="shared" si="22"/>
        <v>99.4</v>
      </c>
      <c r="AY59" s="234">
        <f t="shared" si="23"/>
        <v>53</v>
      </c>
      <c r="AZ59" s="236"/>
      <c r="BA59" s="236"/>
      <c r="BC59" s="234">
        <f t="shared" ca="1" si="24"/>
        <v>53</v>
      </c>
      <c r="BD59" s="288">
        <f t="shared" ca="1" si="6"/>
        <v>53</v>
      </c>
      <c r="BF59" s="240">
        <f t="shared" ca="1" si="25"/>
        <v>0</v>
      </c>
      <c r="BG59" s="240">
        <f t="shared" ca="1" si="25"/>
        <v>0</v>
      </c>
      <c r="BH59" s="240">
        <f t="shared" ca="1" si="25"/>
        <v>0</v>
      </c>
      <c r="BI59" s="240">
        <f t="shared" ca="1" si="25"/>
        <v>0</v>
      </c>
    </row>
    <row r="60" spans="1:61" ht="13.5" thickBot="1" x14ac:dyDescent="0.25">
      <c r="A60" s="265"/>
      <c r="B60" s="266"/>
      <c r="C60" s="266"/>
      <c r="D60" s="266"/>
      <c r="E60" s="267" t="str">
        <f t="shared" ca="1" si="8"/>
        <v/>
      </c>
      <c r="F60" s="250"/>
      <c r="G60" s="251" t="str">
        <f t="shared" ca="1" si="1"/>
        <v/>
      </c>
      <c r="H60" s="250"/>
      <c r="I60" s="250"/>
      <c r="AF60" s="236">
        <f t="shared" si="2"/>
        <v>0</v>
      </c>
      <c r="AG60" s="236" t="str">
        <f t="shared" si="3"/>
        <v/>
      </c>
      <c r="AH60" s="236" t="str">
        <f t="shared" si="18"/>
        <v/>
      </c>
      <c r="AJ60" s="236" t="e">
        <f t="shared" ca="1" si="19"/>
        <v>#N/A</v>
      </c>
      <c r="AK60" s="236" t="str">
        <f t="shared" ca="1" si="20"/>
        <v/>
      </c>
      <c r="AL60" s="236" t="str">
        <f t="shared" ca="1" si="20"/>
        <v/>
      </c>
      <c r="AM60" s="236" t="str">
        <f t="shared" ca="1" si="4"/>
        <v/>
      </c>
      <c r="AQ60" s="286"/>
      <c r="AR60" s="286"/>
      <c r="AS60" s="286"/>
      <c r="AT60" s="286"/>
      <c r="AV60" s="234">
        <f t="shared" si="21"/>
        <v>99</v>
      </c>
      <c r="AW60" s="234">
        <f>COUNTIF( AV$7:AV60, AV60 )</f>
        <v>5</v>
      </c>
      <c r="AX60" s="287">
        <f t="shared" si="22"/>
        <v>99.5</v>
      </c>
      <c r="AY60" s="234">
        <f t="shared" si="23"/>
        <v>54</v>
      </c>
      <c r="AZ60" s="236"/>
      <c r="BA60" s="236"/>
      <c r="BC60" s="234">
        <f t="shared" ca="1" si="24"/>
        <v>54</v>
      </c>
      <c r="BD60" s="288">
        <f t="shared" ca="1" si="6"/>
        <v>54</v>
      </c>
      <c r="BF60" s="240">
        <f t="shared" ca="1" si="25"/>
        <v>0</v>
      </c>
      <c r="BG60" s="240">
        <f t="shared" ca="1" si="25"/>
        <v>0</v>
      </c>
      <c r="BH60" s="240">
        <f t="shared" ca="1" si="25"/>
        <v>0</v>
      </c>
      <c r="BI60" s="240">
        <f t="shared" ca="1" si="25"/>
        <v>0</v>
      </c>
    </row>
    <row r="61" spans="1:61" x14ac:dyDescent="0.2">
      <c r="A61" s="308" t="s">
        <v>74</v>
      </c>
      <c r="B61" s="309" t="s">
        <v>108</v>
      </c>
      <c r="C61" s="309">
        <v>23</v>
      </c>
      <c r="D61" s="309" t="s">
        <v>440</v>
      </c>
      <c r="E61" s="310" t="str">
        <f t="shared" ca="1" si="8"/>
        <v>MR</v>
      </c>
      <c r="F61" s="311"/>
      <c r="G61" s="312">
        <f t="shared" ca="1" si="1"/>
        <v>32</v>
      </c>
      <c r="H61" s="250"/>
      <c r="I61" s="250"/>
      <c r="AF61" s="236">
        <f t="shared" si="2"/>
        <v>1</v>
      </c>
      <c r="AG61" s="236" t="str">
        <f t="shared" ca="1" si="3"/>
        <v/>
      </c>
      <c r="AH61" s="236" t="str">
        <f t="shared" ca="1" si="18"/>
        <v/>
      </c>
      <c r="AJ61" s="236">
        <f t="shared" ca="1" si="19"/>
        <v>61</v>
      </c>
      <c r="AK61" s="236" t="str">
        <f t="shared" ca="1" si="20"/>
        <v>AA-</v>
      </c>
      <c r="AL61" s="236">
        <f t="shared" ca="1" si="20"/>
        <v>23</v>
      </c>
      <c r="AM61" s="236" t="str">
        <f t="shared" ca="1" si="4"/>
        <v/>
      </c>
      <c r="AQ61" s="286"/>
      <c r="AR61" s="286"/>
      <c r="AS61" s="286"/>
      <c r="AT61" s="286"/>
      <c r="AV61" s="234">
        <f t="shared" si="21"/>
        <v>99</v>
      </c>
      <c r="AW61" s="234">
        <f>COUNTIF( AV$7:AV61, AV61 )</f>
        <v>6</v>
      </c>
      <c r="AX61" s="287">
        <f t="shared" si="22"/>
        <v>99.6</v>
      </c>
      <c r="AY61" s="234">
        <f t="shared" si="23"/>
        <v>55</v>
      </c>
      <c r="AZ61" s="236"/>
      <c r="BA61" s="236"/>
      <c r="BC61" s="234">
        <f t="shared" ca="1" si="24"/>
        <v>55</v>
      </c>
      <c r="BD61" s="288">
        <f t="shared" ca="1" si="6"/>
        <v>55</v>
      </c>
      <c r="BF61" s="240">
        <f t="shared" ca="1" si="25"/>
        <v>0</v>
      </c>
      <c r="BG61" s="240">
        <f t="shared" ca="1" si="25"/>
        <v>0</v>
      </c>
      <c r="BH61" s="240">
        <f t="shared" ca="1" si="25"/>
        <v>0</v>
      </c>
      <c r="BI61" s="240">
        <f t="shared" ca="1" si="25"/>
        <v>0</v>
      </c>
    </row>
    <row r="62" spans="1:61" x14ac:dyDescent="0.2">
      <c r="A62" s="303" t="s">
        <v>249</v>
      </c>
      <c r="B62" s="304"/>
      <c r="C62" s="304"/>
      <c r="D62" s="304" t="s">
        <v>445</v>
      </c>
      <c r="E62" s="305" t="str">
        <f t="shared" ca="1" si="8"/>
        <v>D</v>
      </c>
      <c r="F62" s="306"/>
      <c r="G62" s="307">
        <f t="shared" ca="1" si="1"/>
        <v>58</v>
      </c>
      <c r="H62" s="250"/>
      <c r="I62" s="250"/>
      <c r="AF62" s="236">
        <f t="shared" si="2"/>
        <v>0</v>
      </c>
      <c r="AG62" s="236" t="str">
        <f t="shared" si="3"/>
        <v/>
      </c>
      <c r="AH62" s="236" t="str">
        <f t="shared" si="18"/>
        <v/>
      </c>
      <c r="AJ62" s="236">
        <f t="shared" ca="1" si="19"/>
        <v>62</v>
      </c>
      <c r="AK62" s="236">
        <f t="shared" ca="1" si="20"/>
        <v>0</v>
      </c>
      <c r="AL62" s="236">
        <f t="shared" ca="1" si="20"/>
        <v>0</v>
      </c>
      <c r="AM62" s="236" t="str">
        <f t="shared" ca="1" si="4"/>
        <v/>
      </c>
      <c r="AQ62" s="286"/>
      <c r="AR62" s="286"/>
      <c r="AS62" s="286"/>
      <c r="AT62" s="286"/>
      <c r="AV62" s="234">
        <f t="shared" si="21"/>
        <v>99</v>
      </c>
      <c r="AW62" s="234">
        <f>COUNTIF( AV$7:AV62, AV62 )</f>
        <v>7</v>
      </c>
      <c r="AX62" s="287">
        <f t="shared" si="22"/>
        <v>99.7</v>
      </c>
      <c r="AY62" s="234">
        <f t="shared" si="23"/>
        <v>56</v>
      </c>
      <c r="AZ62" s="236"/>
      <c r="BA62" s="236"/>
      <c r="BC62" s="234">
        <f t="shared" ca="1" si="24"/>
        <v>56</v>
      </c>
      <c r="BD62" s="288">
        <f t="shared" ca="1" si="6"/>
        <v>56</v>
      </c>
      <c r="BF62" s="240">
        <f t="shared" ca="1" si="25"/>
        <v>0</v>
      </c>
      <c r="BG62" s="240">
        <f t="shared" ca="1" si="25"/>
        <v>0</v>
      </c>
      <c r="BH62" s="240">
        <f t="shared" ca="1" si="25"/>
        <v>0</v>
      </c>
      <c r="BI62" s="240">
        <f t="shared" ca="1" si="25"/>
        <v>0</v>
      </c>
    </row>
    <row r="63" spans="1:61" x14ac:dyDescent="0.2">
      <c r="A63" s="303"/>
      <c r="B63" s="313"/>
      <c r="C63" s="304"/>
      <c r="D63" s="304"/>
      <c r="E63" s="305"/>
      <c r="F63" s="306"/>
      <c r="G63" s="307"/>
      <c r="H63" s="250"/>
      <c r="I63" s="250"/>
      <c r="AF63" s="236">
        <f t="shared" si="2"/>
        <v>0</v>
      </c>
      <c r="AG63" s="236" t="str">
        <f t="shared" si="3"/>
        <v/>
      </c>
      <c r="AH63" s="236" t="str">
        <f t="shared" si="18"/>
        <v/>
      </c>
      <c r="AJ63" s="236" t="e">
        <f t="shared" ca="1" si="19"/>
        <v>#N/A</v>
      </c>
      <c r="AK63" s="236" t="str">
        <f t="shared" ca="1" si="20"/>
        <v/>
      </c>
      <c r="AL63" s="236" t="str">
        <f t="shared" ca="1" si="20"/>
        <v/>
      </c>
      <c r="AM63" s="236" t="str">
        <f t="shared" ca="1" si="4"/>
        <v/>
      </c>
      <c r="AQ63" s="286"/>
      <c r="AR63" s="286"/>
      <c r="AS63" s="286"/>
      <c r="AT63" s="286"/>
      <c r="AU63" s="286"/>
      <c r="AV63" s="234">
        <f t="shared" si="21"/>
        <v>99</v>
      </c>
      <c r="AW63" s="234">
        <f>COUNTIF( AV$7:AV63, AV63 )</f>
        <v>8</v>
      </c>
      <c r="AX63" s="287">
        <f t="shared" si="22"/>
        <v>99.8</v>
      </c>
      <c r="AY63" s="234">
        <f t="shared" si="23"/>
        <v>57</v>
      </c>
      <c r="AZ63" s="236"/>
      <c r="BA63" s="236"/>
      <c r="BC63" s="234">
        <f t="shared" ca="1" si="24"/>
        <v>57</v>
      </c>
      <c r="BD63" s="288">
        <f ca="1">MATCH( BC63, $AY$7:$AY$63, 0 )</f>
        <v>57</v>
      </c>
      <c r="BF63" s="240">
        <f t="shared" ca="1" si="25"/>
        <v>0</v>
      </c>
      <c r="BG63" s="240">
        <f t="shared" ca="1" si="25"/>
        <v>0</v>
      </c>
      <c r="BH63" s="240">
        <f t="shared" ca="1" si="25"/>
        <v>0</v>
      </c>
      <c r="BI63" s="240">
        <f t="shared" ca="1" si="25"/>
        <v>0</v>
      </c>
    </row>
    <row r="64" spans="1:61" x14ac:dyDescent="0.2">
      <c r="A64" s="303"/>
      <c r="B64" s="313"/>
      <c r="C64" s="304"/>
      <c r="D64" s="304"/>
      <c r="E64" s="305"/>
      <c r="F64" s="306"/>
      <c r="G64" s="307"/>
      <c r="H64" s="250"/>
      <c r="I64" s="250"/>
      <c r="AF64" s="236">
        <f t="shared" si="2"/>
        <v>0</v>
      </c>
      <c r="AG64" s="236" t="str">
        <f t="shared" si="3"/>
        <v/>
      </c>
      <c r="AH64" s="236" t="str">
        <f t="shared" si="18"/>
        <v/>
      </c>
      <c r="AJ64" s="236" t="e">
        <f t="shared" ca="1" si="19"/>
        <v>#N/A</v>
      </c>
      <c r="AK64" s="236" t="str">
        <f t="shared" ca="1" si="20"/>
        <v/>
      </c>
      <c r="AL64" s="236" t="str">
        <f t="shared" ca="1" si="20"/>
        <v/>
      </c>
      <c r="AM64" s="236" t="str">
        <f t="shared" ca="1" si="4"/>
        <v/>
      </c>
      <c r="AQ64" s="286" t="s">
        <v>74</v>
      </c>
      <c r="AR64" s="286" t="s">
        <v>108</v>
      </c>
      <c r="AS64" s="286">
        <v>23</v>
      </c>
      <c r="AT64" s="289" t="s">
        <v>440</v>
      </c>
      <c r="AU64" s="286"/>
      <c r="AZ64" s="236"/>
      <c r="BA64" s="236"/>
      <c r="BF64" s="236"/>
    </row>
    <row r="65" spans="1:58" x14ac:dyDescent="0.2">
      <c r="A65" s="303"/>
      <c r="B65" s="313"/>
      <c r="C65" s="304"/>
      <c r="D65" s="304"/>
      <c r="E65" s="305"/>
      <c r="F65" s="306"/>
      <c r="G65" s="307"/>
      <c r="H65" s="250"/>
      <c r="I65" s="250"/>
      <c r="N65" s="234" t="s">
        <v>73</v>
      </c>
      <c r="AF65" s="236">
        <f t="shared" si="2"/>
        <v>0</v>
      </c>
      <c r="AG65" s="236" t="str">
        <f>IF( LEN( $C65 ) = 0, "", IF( $C65 &gt; $AL65, 1, "" ) )</f>
        <v/>
      </c>
      <c r="AH65" s="236" t="str">
        <f t="shared" si="18"/>
        <v/>
      </c>
      <c r="AJ65" s="236" t="e">
        <f t="shared" ca="1" si="19"/>
        <v>#N/A</v>
      </c>
      <c r="AK65" s="236" t="str">
        <f t="shared" ca="1" si="20"/>
        <v/>
      </c>
      <c r="AL65" s="236" t="str">
        <f t="shared" ca="1" si="20"/>
        <v/>
      </c>
      <c r="AM65" s="236" t="str">
        <f t="shared" ca="1" si="4"/>
        <v/>
      </c>
      <c r="AQ65" s="286" t="s">
        <v>249</v>
      </c>
      <c r="AR65" s="286"/>
      <c r="AS65" s="286"/>
      <c r="AT65" s="286" t="s">
        <v>445</v>
      </c>
      <c r="AU65" s="286"/>
      <c r="AZ65" s="236"/>
      <c r="BA65" s="236"/>
      <c r="BF65" s="236"/>
    </row>
    <row r="66" spans="1:58" x14ac:dyDescent="0.2">
      <c r="A66" s="268"/>
      <c r="B66" s="269"/>
      <c r="C66" s="270"/>
      <c r="D66" s="270"/>
      <c r="E66" s="249"/>
      <c r="F66" s="250"/>
      <c r="H66" s="250"/>
      <c r="I66" s="250"/>
      <c r="AF66" s="236">
        <f t="shared" si="2"/>
        <v>0</v>
      </c>
      <c r="AG66" s="236" t="str">
        <f t="shared" ref="AG66:AG67" si="26">IF( LEN( $C66 ) = 0, "", IF( $C66 &gt; $AL66, 1, "" ) )</f>
        <v/>
      </c>
      <c r="AH66" s="236" t="str">
        <f t="shared" si="18"/>
        <v/>
      </c>
      <c r="AJ66" s="236" t="e">
        <f t="shared" ca="1" si="19"/>
        <v>#N/A</v>
      </c>
      <c r="AK66" s="236" t="str">
        <f t="shared" ca="1" si="20"/>
        <v/>
      </c>
      <c r="AL66" s="236" t="str">
        <f t="shared" ca="1" si="20"/>
        <v/>
      </c>
      <c r="AM66" s="236" t="str">
        <f t="shared" ca="1" si="4"/>
        <v/>
      </c>
      <c r="AU66" s="286"/>
      <c r="AX66" s="287"/>
      <c r="AZ66" s="236"/>
      <c r="BA66" s="236"/>
      <c r="BD66" s="288"/>
      <c r="BF66" s="236"/>
    </row>
    <row r="67" spans="1:58" ht="13.5" thickBot="1" x14ac:dyDescent="0.25">
      <c r="A67" s="271"/>
      <c r="B67" s="272"/>
      <c r="C67" s="337"/>
      <c r="D67" s="272"/>
      <c r="E67" s="273"/>
      <c r="F67" s="250"/>
      <c r="H67" s="250"/>
      <c r="I67" s="250"/>
      <c r="AF67" s="236">
        <f t="shared" si="2"/>
        <v>0</v>
      </c>
      <c r="AG67" s="236" t="str">
        <f t="shared" si="26"/>
        <v/>
      </c>
      <c r="AH67" s="236" t="str">
        <f t="shared" si="18"/>
        <v/>
      </c>
      <c r="AJ67" s="236" t="e">
        <f t="shared" ca="1" si="19"/>
        <v>#N/A</v>
      </c>
      <c r="AK67" s="236" t="str">
        <f t="shared" ca="1" si="20"/>
        <v/>
      </c>
      <c r="AL67" s="236" t="str">
        <f t="shared" ca="1" si="20"/>
        <v/>
      </c>
      <c r="AM67" s="236" t="str">
        <f t="shared" ca="1" si="4"/>
        <v/>
      </c>
      <c r="AX67" s="287"/>
      <c r="AZ67" s="236"/>
      <c r="BA67" s="236"/>
      <c r="BD67" s="288"/>
      <c r="BF67" s="236"/>
    </row>
    <row r="68" spans="1:58" x14ac:dyDescent="0.2">
      <c r="A68" s="274" t="s">
        <v>135</v>
      </c>
      <c r="B68" s="275" t="str">
        <f ca="1">OFFSET( Scale!$H$5, ROUND( C68, 0 ) - 1, 1 )</f>
        <v>BBB+</v>
      </c>
      <c r="C68" s="276">
        <f>AVERAGE(C7:C65)</f>
        <v>18.940000000000001</v>
      </c>
      <c r="D68" s="276"/>
      <c r="E68" s="276"/>
      <c r="F68" s="250"/>
      <c r="H68" s="250"/>
      <c r="I68" s="250"/>
      <c r="J68" s="253"/>
      <c r="K68" s="253"/>
      <c r="AX68" s="287"/>
      <c r="AZ68" s="236"/>
      <c r="BA68" s="236"/>
      <c r="BD68" s="288"/>
      <c r="BF68" s="236"/>
    </row>
    <row r="69" spans="1:58" x14ac:dyDescent="0.2">
      <c r="A69" s="277"/>
      <c r="B69" s="278"/>
      <c r="F69" s="250"/>
      <c r="H69" s="250"/>
      <c r="I69" s="250"/>
      <c r="AX69" s="287"/>
      <c r="AZ69" s="236"/>
      <c r="BA69" s="236"/>
      <c r="BD69" s="288"/>
      <c r="BF69" s="236"/>
    </row>
    <row r="70" spans="1:58" x14ac:dyDescent="0.2">
      <c r="A70" s="277"/>
      <c r="B70" s="278"/>
      <c r="F70" s="240"/>
      <c r="H70" s="240"/>
      <c r="I70" s="240"/>
      <c r="J70" s="253"/>
      <c r="K70" s="253"/>
    </row>
    <row r="71" spans="1:58" x14ac:dyDescent="0.2">
      <c r="A71" s="279" t="s">
        <v>267</v>
      </c>
      <c r="F71" s="240"/>
      <c r="H71" s="240"/>
      <c r="I71" s="240"/>
    </row>
    <row r="72" spans="1:58" x14ac:dyDescent="0.2">
      <c r="A72" s="279" t="s">
        <v>366</v>
      </c>
      <c r="B72" s="240"/>
      <c r="D72" s="264"/>
      <c r="E72" s="264"/>
      <c r="F72" s="280"/>
      <c r="H72" s="280"/>
      <c r="I72" s="280"/>
    </row>
    <row r="73" spans="1:58" x14ac:dyDescent="0.2">
      <c r="A73" s="281" t="s">
        <v>357</v>
      </c>
      <c r="B73" s="240"/>
      <c r="D73" s="264"/>
      <c r="E73" s="264"/>
      <c r="F73" s="280"/>
      <c r="H73" s="280"/>
      <c r="I73" s="280"/>
    </row>
    <row r="74" spans="1:58" x14ac:dyDescent="0.2">
      <c r="A74" s="279" t="s">
        <v>359</v>
      </c>
      <c r="D74" s="280"/>
      <c r="E74" s="234"/>
      <c r="F74" s="282"/>
      <c r="H74" s="282"/>
      <c r="I74" s="282"/>
      <c r="AQ74" s="286"/>
      <c r="AR74" s="286"/>
      <c r="AS74" s="286"/>
    </row>
    <row r="75" spans="1:58" x14ac:dyDescent="0.2">
      <c r="A75" s="279" t="s">
        <v>507</v>
      </c>
      <c r="D75" s="280"/>
      <c r="E75" s="234"/>
      <c r="F75" s="282"/>
      <c r="H75" s="282"/>
      <c r="I75" s="282"/>
      <c r="AQ75" s="286"/>
      <c r="AR75" s="286"/>
      <c r="AS75" s="286"/>
    </row>
    <row r="76" spans="1:58" x14ac:dyDescent="0.2">
      <c r="A76" s="279"/>
      <c r="AQ76" s="286"/>
      <c r="AR76" s="286"/>
      <c r="AS76" s="286"/>
    </row>
    <row r="77" spans="1:58" x14ac:dyDescent="0.2">
      <c r="C77" s="339">
        <f>SUMPRODUCT( L8:L13, Y8:Y13 ) / L14</f>
        <v>18.920000000000002</v>
      </c>
      <c r="E77" s="283"/>
      <c r="G77" s="251"/>
      <c r="J77" s="240"/>
      <c r="K77" s="240"/>
      <c r="AQ77" s="286"/>
      <c r="AR77" s="286"/>
      <c r="AS77" s="286"/>
    </row>
    <row r="78" spans="1:58" s="240" customFormat="1" x14ac:dyDescent="0.2">
      <c r="A78" s="284"/>
      <c r="B78" s="285"/>
      <c r="C78" s="285"/>
      <c r="D78" s="285"/>
      <c r="E78" s="249"/>
      <c r="F78" s="234"/>
      <c r="G78" s="236"/>
      <c r="H78" s="234"/>
      <c r="I78" s="234"/>
      <c r="Q78" s="234"/>
      <c r="T78" s="236"/>
      <c r="U78" s="236"/>
      <c r="V78" s="236"/>
      <c r="AF78" s="236"/>
      <c r="AG78" s="236"/>
      <c r="AH78" s="236"/>
      <c r="AJ78" s="236"/>
      <c r="AK78" s="236"/>
      <c r="AL78" s="236"/>
      <c r="AM78" s="236"/>
      <c r="AN78" s="236"/>
      <c r="AQ78" s="286"/>
      <c r="AR78" s="286"/>
      <c r="AS78" s="286"/>
    </row>
  </sheetData>
  <sortState ref="AQ7:AT55">
    <sortCondition ref="AQ7"/>
  </sortState>
  <mergeCells count="9">
    <mergeCell ref="L16:M16"/>
    <mergeCell ref="O16:P16"/>
    <mergeCell ref="R16:S16"/>
    <mergeCell ref="U16:V16"/>
    <mergeCell ref="J5:J6"/>
    <mergeCell ref="L5:M6"/>
    <mergeCell ref="O5:P6"/>
    <mergeCell ref="R5:S6"/>
    <mergeCell ref="U5:V6"/>
  </mergeCells>
  <conditionalFormatting sqref="A60:E61 E62:E65 E7:E59">
    <cfRule type="expression" dxfId="806" priority="28" stopIfTrue="1">
      <formula>IF( $AH7 = 1, TRUE, FALSE )</formula>
    </cfRule>
    <cfRule type="expression" dxfId="805" priority="29" stopIfTrue="1">
      <formula>IF( $AG7 = 1, TRUE, FALSE )</formula>
    </cfRule>
    <cfRule type="expression" dxfId="804" priority="30" stopIfTrue="1">
      <formula>IF( $AF7 = 1, TRUE, FALSE )</formula>
    </cfRule>
  </conditionalFormatting>
  <conditionalFormatting sqref="A67:E67">
    <cfRule type="expression" dxfId="803" priority="31" stopIfTrue="1">
      <formula>IF( $AH67 = 1, TRUE, FALSE )</formula>
    </cfRule>
    <cfRule type="expression" dxfId="802" priority="32" stopIfTrue="1">
      <formula>IF( $AG67 = 1, TRUE, FALSE )</formula>
    </cfRule>
    <cfRule type="expression" dxfId="801" priority="33" stopIfTrue="1">
      <formula>IF( $AF67 = 1, TRUE, FALSE )</formula>
    </cfRule>
  </conditionalFormatting>
  <conditionalFormatting sqref="A66:E66">
    <cfRule type="expression" dxfId="800" priority="25" stopIfTrue="1">
      <formula>IF( $AH66 = 1, TRUE, FALSE )</formula>
    </cfRule>
    <cfRule type="expression" dxfId="799" priority="26" stopIfTrue="1">
      <formula>IF( $AG66 = 1, TRUE, FALSE )</formula>
    </cfRule>
    <cfRule type="expression" dxfId="798" priority="27" stopIfTrue="1">
      <formula>IF( $AF66 = 1, TRUE, FALSE )</formula>
    </cfRule>
  </conditionalFormatting>
  <conditionalFormatting sqref="A8:D58 B7:D7">
    <cfRule type="expression" dxfId="797" priority="22" stopIfTrue="1">
      <formula>IF( $AH7 = 1, TRUE, FALSE )</formula>
    </cfRule>
    <cfRule type="expression" dxfId="796" priority="23" stopIfTrue="1">
      <formula>IF( $AG7 = 1, TRUE, FALSE )</formula>
    </cfRule>
    <cfRule type="expression" dxfId="795" priority="24" stopIfTrue="1">
      <formula>IF( $AF7 = 1, TRUE, FALSE )</formula>
    </cfRule>
  </conditionalFormatting>
  <conditionalFormatting sqref="A59:D59">
    <cfRule type="expression" dxfId="794" priority="19" stopIfTrue="1">
      <formula>IF( $AH59 = 1, TRUE, FALSE )</formula>
    </cfRule>
    <cfRule type="expression" dxfId="793" priority="20" stopIfTrue="1">
      <formula>IF( $AG59 = 1, TRUE, FALSE )</formula>
    </cfRule>
    <cfRule type="expression" dxfId="792" priority="21" stopIfTrue="1">
      <formula>IF( $AF59 = 1, TRUE, FALSE )</formula>
    </cfRule>
  </conditionalFormatting>
  <conditionalFormatting sqref="A61:D65">
    <cfRule type="expression" dxfId="791" priority="16" stopIfTrue="1">
      <formula>IF( $AH61 = 1, TRUE, FALSE )</formula>
    </cfRule>
    <cfRule type="expression" dxfId="790" priority="17" stopIfTrue="1">
      <formula>IF( $AG61 = 1, TRUE, FALSE )</formula>
    </cfRule>
    <cfRule type="expression" dxfId="789" priority="18" stopIfTrue="1">
      <formula>IF( $AF61 = 1, TRUE, FALSE )</formula>
    </cfRule>
  </conditionalFormatting>
  <conditionalFormatting sqref="U8:U12">
    <cfRule type="cellIs" dxfId="788" priority="15" operator="equal">
      <formula>0</formula>
    </cfRule>
  </conditionalFormatting>
  <conditionalFormatting sqref="O8:O12 Q8:Q12">
    <cfRule type="cellIs" dxfId="787" priority="14" operator="equal">
      <formula>0</formula>
    </cfRule>
  </conditionalFormatting>
  <conditionalFormatting sqref="V8:V12">
    <cfRule type="cellIs" dxfId="786" priority="13" operator="equal">
      <formula>0</formula>
    </cfRule>
  </conditionalFormatting>
  <conditionalFormatting sqref="S8:S12">
    <cfRule type="cellIs" dxfId="785" priority="11" operator="equal">
      <formula>0</formula>
    </cfRule>
  </conditionalFormatting>
  <conditionalFormatting sqref="R8:R12">
    <cfRule type="cellIs" dxfId="784" priority="12" operator="equal">
      <formula>0</formula>
    </cfRule>
  </conditionalFormatting>
  <conditionalFormatting sqref="P8:P12">
    <cfRule type="cellIs" dxfId="783" priority="10" operator="equal">
      <formula>0</formula>
    </cfRule>
  </conditionalFormatting>
  <conditionalFormatting sqref="M8:M12">
    <cfRule type="cellIs" dxfId="782" priority="9" operator="equal">
      <formula>0</formula>
    </cfRule>
  </conditionalFormatting>
  <conditionalFormatting sqref="T8:T12">
    <cfRule type="cellIs" dxfId="781" priority="8" operator="equal">
      <formula>0</formula>
    </cfRule>
  </conditionalFormatting>
  <conditionalFormatting sqref="N8:N12">
    <cfRule type="cellIs" dxfId="780" priority="7" operator="equal">
      <formula>0</formula>
    </cfRule>
  </conditionalFormatting>
  <conditionalFormatting sqref="K8:K12">
    <cfRule type="cellIs" dxfId="779" priority="6" operator="equal">
      <formula>0</formula>
    </cfRule>
  </conditionalFormatting>
  <conditionalFormatting sqref="I8:I12">
    <cfRule type="cellIs" dxfId="778" priority="5" operator="equal">
      <formula>0</formula>
    </cfRule>
  </conditionalFormatting>
  <conditionalFormatting sqref="W8:W12">
    <cfRule type="cellIs" dxfId="777" priority="4" operator="equal">
      <formula>0</formula>
    </cfRule>
  </conditionalFormatting>
  <conditionalFormatting sqref="A7">
    <cfRule type="expression" dxfId="776" priority="1" stopIfTrue="1">
      <formula>IF( $AH7 = 1, TRUE, FALSE )</formula>
    </cfRule>
    <cfRule type="expression" dxfId="775" priority="2" stopIfTrue="1">
      <formula>IF( $AG7 = 1, TRUE, FALSE )</formula>
    </cfRule>
    <cfRule type="expression" dxfId="774" priority="3" stopIfTrue="1">
      <formula>IF( $AF7 = 1, TRUE, FALSE )</formula>
    </cfRule>
  </conditionalFormatting>
  <pageMargins left="0.17" right="0.18" top="0.28000000000000003" bottom="0.17" header="0.3" footer="0.3"/>
  <pageSetup scale="19" orientation="portrait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BJ78"/>
  <sheetViews>
    <sheetView showGridLines="0" zoomScale="85" zoomScaleNormal="85" workbookViewId="0">
      <pane ySplit="6" topLeftCell="A7" activePane="bottomLeft" state="frozen"/>
      <selection activeCell="A7" sqref="A7"/>
      <selection pane="bottomLeft" activeCell="A7" sqref="A7"/>
    </sheetView>
  </sheetViews>
  <sheetFormatPr defaultColWidth="9.140625" defaultRowHeight="12.75" outlineLevelRow="1" outlineLevelCol="2" x14ac:dyDescent="0.2"/>
  <cols>
    <col min="1" max="1" width="35.140625" style="234" customWidth="1"/>
    <col min="2" max="2" width="9.140625" style="234"/>
    <col min="3" max="3" width="9.42578125" style="263" customWidth="1"/>
    <col min="4" max="4" width="9.140625" style="235" customWidth="1" outlineLevel="1"/>
    <col min="5" max="5" width="12.5703125" style="235" customWidth="1" outlineLevel="1"/>
    <col min="6" max="6" width="3.42578125" style="234" customWidth="1" outlineLevel="1"/>
    <col min="7" max="7" width="17.7109375" style="236" hidden="1" customWidth="1" outlineLevel="2"/>
    <col min="8" max="8" width="3.42578125" style="234" hidden="1" customWidth="1" outlineLevel="2" collapsed="1"/>
    <col min="9" max="9" width="3.28515625" style="234" customWidth="1" outlineLevel="1" collapsed="1"/>
    <col min="10" max="10" width="22" style="234" customWidth="1"/>
    <col min="11" max="11" width="2" style="234" customWidth="1"/>
    <col min="12" max="13" width="10.42578125" style="234" customWidth="1"/>
    <col min="14" max="14" width="2" style="234" customWidth="1"/>
    <col min="15" max="16" width="10.42578125" style="234" customWidth="1"/>
    <col min="17" max="17" width="2" style="234" customWidth="1"/>
    <col min="18" max="19" width="10.42578125" style="234" customWidth="1"/>
    <col min="20" max="20" width="2" style="236" customWidth="1"/>
    <col min="21" max="22" width="10.42578125" style="236" customWidth="1"/>
    <col min="23" max="23" width="2" style="234" customWidth="1"/>
    <col min="24" max="24" width="4.140625" style="234" customWidth="1"/>
    <col min="25" max="25" width="5.5703125" style="234" customWidth="1"/>
    <col min="26" max="26" width="2.42578125" style="234" customWidth="1"/>
    <col min="27" max="27" width="4.28515625" style="234" customWidth="1"/>
    <col min="28" max="30" width="2.42578125" style="234" hidden="1" customWidth="1" outlineLevel="1"/>
    <col min="31" max="31" width="4.42578125" style="234" hidden="1" customWidth="1" outlineLevel="1"/>
    <col min="32" max="32" width="6.5703125" style="236" hidden="1" customWidth="1" outlineLevel="1" collapsed="1"/>
    <col min="33" max="34" width="6.5703125" style="236" hidden="1" customWidth="1" outlineLevel="1"/>
    <col min="35" max="35" width="3.140625" style="234" hidden="1" customWidth="1" outlineLevel="1"/>
    <col min="36" max="36" width="15.85546875" style="236" hidden="1" customWidth="1" outlineLevel="1" collapsed="1"/>
    <col min="37" max="38" width="15.85546875" style="236" hidden="1" customWidth="1" outlineLevel="1"/>
    <col min="39" max="39" width="8.42578125" style="236" hidden="1" customWidth="1" outlineLevel="1"/>
    <col min="40" max="40" width="11.85546875" style="236" hidden="1" customWidth="1" outlineLevel="1"/>
    <col min="41" max="41" width="3.42578125" style="234" customWidth="1" collapsed="1"/>
    <col min="42" max="42" width="3.42578125" style="234" customWidth="1"/>
    <col min="43" max="43" width="29.7109375" style="234" hidden="1" customWidth="1" outlineLevel="1"/>
    <col min="44" max="44" width="6.42578125" style="234" hidden="1" customWidth="1" outlineLevel="1"/>
    <col min="45" max="45" width="6.7109375" style="234" hidden="1" customWidth="1" outlineLevel="1"/>
    <col min="46" max="46" width="8.7109375" style="234" hidden="1" customWidth="1" outlineLevel="1"/>
    <col min="47" max="47" width="3.140625" style="234" hidden="1" customWidth="1" outlineLevel="1"/>
    <col min="48" max="56" width="9.140625" style="234" hidden="1" customWidth="1" outlineLevel="2"/>
    <col min="57" max="57" width="5.42578125" style="234" hidden="1" customWidth="1" outlineLevel="1" collapsed="1"/>
    <col min="58" max="58" width="36.85546875" style="234" hidden="1" customWidth="1" outlineLevel="1"/>
    <col min="59" max="59" width="6.42578125" style="234" hidden="1" customWidth="1" outlineLevel="1"/>
    <col min="60" max="60" width="3.42578125" style="234" hidden="1" customWidth="1" outlineLevel="1"/>
    <col min="61" max="61" width="9.140625" style="234" hidden="1" customWidth="1" outlineLevel="1"/>
    <col min="62" max="62" width="9.140625" collapsed="1"/>
    <col min="63" max="16384" width="9.140625" style="234"/>
  </cols>
  <sheetData>
    <row r="1" spans="1:61" ht="18.75" x14ac:dyDescent="0.2">
      <c r="A1" s="323" t="str">
        <f>"I.  S&amp;P Utility Credit Ratings Distribution -- " &amp; B6</f>
        <v>I.  S&amp;P Utility Credit Ratings Distribution -- 2016 Q3</v>
      </c>
      <c r="G1" s="242" t="s">
        <v>506</v>
      </c>
      <c r="AF1" s="237" t="s">
        <v>420</v>
      </c>
      <c r="AG1" s="237" t="s">
        <v>421</v>
      </c>
      <c r="AH1" s="237" t="s">
        <v>422</v>
      </c>
      <c r="AJ1" s="237" t="s">
        <v>424</v>
      </c>
      <c r="AK1" s="237" t="s">
        <v>426</v>
      </c>
      <c r="AL1" s="237" t="s">
        <v>426</v>
      </c>
      <c r="AM1" s="237" t="s">
        <v>424</v>
      </c>
      <c r="AN1" s="237"/>
      <c r="AQ1" s="237" t="s">
        <v>497</v>
      </c>
    </row>
    <row r="2" spans="1:61" ht="18.75" hidden="1" outlineLevel="1" x14ac:dyDescent="0.2">
      <c r="A2" s="233"/>
      <c r="E2" s="238" t="str">
        <f>G2</f>
        <v>Reg_Percent_2015</v>
      </c>
      <c r="G2" s="239" t="s">
        <v>539</v>
      </c>
      <c r="AJ2" s="240" t="str">
        <f>AJ4 &amp; AJ3</f>
        <v>'Credit_2016Q2'!d:d</v>
      </c>
      <c r="AK2" s="240" t="str">
        <f>AK4 &amp; AK3</f>
        <v>'Credit_2016Q2'!b1</v>
      </c>
      <c r="AL2" s="240" t="str">
        <f>AL4 &amp; AL3</f>
        <v>'Credit_2016Q2'!c1</v>
      </c>
      <c r="AQ2" s="236"/>
    </row>
    <row r="3" spans="1:61" ht="18.75" hidden="1" outlineLevel="1" x14ac:dyDescent="0.2">
      <c r="A3" s="233"/>
      <c r="E3" s="241" t="str">
        <f>"'" &amp; E2 &amp; "'!"</f>
        <v>'Reg_Percent_2015'!</v>
      </c>
      <c r="G3" s="234" t="str">
        <f>"'" &amp; G2 &amp; "'!"</f>
        <v>'Reg_Percent_2015'!</v>
      </c>
      <c r="O3" s="242" t="s">
        <v>371</v>
      </c>
      <c r="P3" s="242"/>
      <c r="Q3" s="242"/>
      <c r="R3" s="242" t="s">
        <v>372</v>
      </c>
      <c r="T3" s="234"/>
      <c r="U3" s="242" t="s">
        <v>86</v>
      </c>
      <c r="V3" s="234"/>
      <c r="X3" s="242"/>
      <c r="Y3" s="242"/>
      <c r="Z3" s="242"/>
      <c r="AA3" s="242"/>
      <c r="AJ3" s="210" t="s">
        <v>438</v>
      </c>
      <c r="AK3" s="210" t="s">
        <v>427</v>
      </c>
      <c r="AL3" s="210" t="s">
        <v>453</v>
      </c>
      <c r="AQ3" s="236"/>
    </row>
    <row r="4" spans="1:61" ht="18.75" hidden="1" outlineLevel="1" x14ac:dyDescent="0.2">
      <c r="A4" s="233"/>
      <c r="E4" s="242" t="s">
        <v>439</v>
      </c>
      <c r="G4" s="242" t="s">
        <v>438</v>
      </c>
      <c r="O4" s="236"/>
      <c r="P4" s="236"/>
      <c r="Q4" s="236"/>
      <c r="T4" s="234"/>
      <c r="U4" s="234"/>
      <c r="V4" s="234"/>
      <c r="AJ4" s="236" t="str">
        <f>$AQ$5</f>
        <v>'Credit_2016Q2'!</v>
      </c>
      <c r="AK4" s="236" t="str">
        <f t="shared" ref="AK4:AL4" si="0">$AQ$5</f>
        <v>'Credit_2016Q2'!</v>
      </c>
      <c r="AL4" s="236" t="str">
        <f t="shared" si="0"/>
        <v>'Credit_2016Q2'!</v>
      </c>
      <c r="AQ4" s="236"/>
    </row>
    <row r="5" spans="1:61" collapsed="1" x14ac:dyDescent="0.2">
      <c r="E5" s="243" t="s">
        <v>436</v>
      </c>
      <c r="G5" s="237" t="s">
        <v>424</v>
      </c>
      <c r="I5" s="314"/>
      <c r="J5" s="466" t="s">
        <v>77</v>
      </c>
      <c r="K5" s="314"/>
      <c r="L5" s="468" t="str">
        <f>"All Companies" &amp; CHAR( 10 ) &amp; "("&amp; L14 &amp; ")"</f>
        <v>All Companies
(50)</v>
      </c>
      <c r="M5" s="468"/>
      <c r="N5" s="314"/>
      <c r="O5" s="466" t="str">
        <f ca="1">"Regulated" &amp; CHAR( 10 ) &amp; "(" &amp; O14 &amp; ")"</f>
        <v>Regulated
(37)</v>
      </c>
      <c r="P5" s="470"/>
      <c r="Q5" s="314"/>
      <c r="R5" s="466" t="str">
        <f ca="1">"Mostly Regulated" &amp; CHAR( 10 ) &amp; "(" &amp; R14 &amp; ")"</f>
        <v>Mostly Regulated
(11)</v>
      </c>
      <c r="S5" s="470"/>
      <c r="T5" s="314"/>
      <c r="U5" s="466" t="str">
        <f ca="1">"Diversified" &amp; CHAR( 10 ) &amp; "(" &amp; U14 &amp; ")"</f>
        <v>Diversified
(2)</v>
      </c>
      <c r="V5" s="470"/>
      <c r="W5" s="314"/>
      <c r="AE5" s="244"/>
      <c r="AF5" s="234"/>
      <c r="AG5" s="234"/>
      <c r="AH5" s="234"/>
      <c r="AJ5" s="234"/>
      <c r="AK5" s="234"/>
      <c r="AL5" s="234"/>
      <c r="AM5" s="234"/>
      <c r="AN5" s="234"/>
      <c r="AQ5" s="432" t="s">
        <v>543</v>
      </c>
    </row>
    <row r="6" spans="1:61" ht="28.5" customHeight="1" x14ac:dyDescent="0.2">
      <c r="A6" s="299" t="s">
        <v>0</v>
      </c>
      <c r="B6" s="300" t="s">
        <v>536</v>
      </c>
      <c r="C6" s="338" t="s">
        <v>471</v>
      </c>
      <c r="D6" s="301"/>
      <c r="E6" s="302">
        <f ca="1">INDIRECT( E3 &amp; G1 )</f>
        <v>42369</v>
      </c>
      <c r="I6" s="315"/>
      <c r="J6" s="467"/>
      <c r="K6" s="315"/>
      <c r="L6" s="469"/>
      <c r="M6" s="469"/>
      <c r="N6" s="315"/>
      <c r="O6" s="467"/>
      <c r="P6" s="467"/>
      <c r="Q6" s="315"/>
      <c r="R6" s="467" t="s">
        <v>137</v>
      </c>
      <c r="S6" s="467"/>
      <c r="T6" s="315"/>
      <c r="U6" s="467"/>
      <c r="V6" s="467"/>
      <c r="W6" s="315"/>
      <c r="AE6" s="245"/>
      <c r="AJ6" s="246"/>
    </row>
    <row r="7" spans="1:61" x14ac:dyDescent="0.2">
      <c r="A7" s="303" t="s">
        <v>501</v>
      </c>
      <c r="B7" s="304" t="s">
        <v>2</v>
      </c>
      <c r="C7" s="304">
        <v>21</v>
      </c>
      <c r="D7" s="304" t="s">
        <v>447</v>
      </c>
      <c r="E7" s="305" t="str">
        <f ca="1">IF( LEN( $G7 ) = 0, "", OFFSET( INDIRECT( E$3 &amp; E$4 ), $G7 - 1, 0 ) )</f>
        <v>R</v>
      </c>
      <c r="F7" s="306"/>
      <c r="G7" s="307">
        <f t="shared" ref="G7:G62" ca="1" si="1">IF( LEN( $D7 ) = 0, "", MATCH( $D7, INDIRECT( G$3 &amp; G$4 ), 0 ) )</f>
        <v>60</v>
      </c>
      <c r="H7" s="250"/>
      <c r="I7" s="316"/>
      <c r="J7" s="252"/>
      <c r="K7" s="316"/>
      <c r="L7" s="252" t="s">
        <v>81</v>
      </c>
      <c r="M7" s="252" t="s">
        <v>82</v>
      </c>
      <c r="N7" s="316"/>
      <c r="O7" s="252" t="s">
        <v>81</v>
      </c>
      <c r="P7" s="252" t="s">
        <v>82</v>
      </c>
      <c r="Q7" s="316"/>
      <c r="R7" s="252" t="s">
        <v>81</v>
      </c>
      <c r="S7" s="252" t="s">
        <v>82</v>
      </c>
      <c r="T7" s="316"/>
      <c r="U7" s="252" t="s">
        <v>81</v>
      </c>
      <c r="V7" s="252" t="s">
        <v>82</v>
      </c>
      <c r="W7" s="316"/>
      <c r="AE7" s="254"/>
      <c r="AF7" s="236">
        <f t="shared" ref="AF7:AF67" si="2">IF( LEN( C7 ) = 0, 0, IF( C7 = C6, AF6, IF( AF6 = 1, 0, 1 ) ) )</f>
        <v>1</v>
      </c>
      <c r="AG7" s="236" t="str">
        <f t="shared" ref="AG7:AG64" ca="1" si="3">IF( LEN( $C7 ) = 0, "", IF( $C7 &gt; $AL7, 1, "" ) )</f>
        <v/>
      </c>
      <c r="AH7" s="236" t="str">
        <f ca="1">IF( LEN( $C7 ) = 0, "", IF( $C7 &lt; $AL7, 1, "" ) )</f>
        <v/>
      </c>
      <c r="AJ7" s="236">
        <f ca="1">MATCH( $D7, INDIRECT( AJ$2 ), 0 )</f>
        <v>7</v>
      </c>
      <c r="AK7" s="236" t="str">
        <f ca="1">IF( ISNA( $AJ7 ), "", OFFSET( INDIRECT( AK$2 ), $AJ7-1, 0 ) )</f>
        <v>A</v>
      </c>
      <c r="AL7" s="236">
        <f ca="1">IF( ISNA( $AJ7 ), "", OFFSET( INDIRECT( AL$2 ), $AJ7-1, 0 ) )</f>
        <v>21</v>
      </c>
      <c r="AM7" s="236" t="str">
        <f t="shared" ref="AM7:AM67" ca="1" si="4">IF( B7 = AK7, "", "Change" )</f>
        <v/>
      </c>
      <c r="AQ7" s="286" t="s">
        <v>15</v>
      </c>
      <c r="AR7" s="286" t="s">
        <v>16</v>
      </c>
      <c r="AS7" s="286">
        <v>19</v>
      </c>
      <c r="AT7" s="286" t="s">
        <v>277</v>
      </c>
      <c r="AV7" s="234">
        <f>IF( LEN( AS7 ) = 0, 99, RANK( AS7, $AS$7:$AS$63 ) )</f>
        <v>15</v>
      </c>
      <c r="AW7" s="234">
        <f>COUNTIF( AV7:AV$7, AV7 )</f>
        <v>1</v>
      </c>
      <c r="AX7" s="287">
        <f>AV7 + AW7 / 10</f>
        <v>15.1</v>
      </c>
      <c r="AY7" s="234">
        <f>RANK( AX7, $AX$7:$AX$63, 1 )</f>
        <v>15</v>
      </c>
      <c r="AZ7" s="236"/>
      <c r="BA7" s="236"/>
      <c r="BC7" s="234">
        <f t="shared" ref="BC7" ca="1" si="5">OFFSET( BC7, -1, 0 ) + 1</f>
        <v>1</v>
      </c>
      <c r="BD7" s="288">
        <f t="shared" ref="BD7:BD62" ca="1" si="6">MATCH( BC7, $AY$7:$AY$63, 0 )</f>
        <v>7</v>
      </c>
      <c r="BF7" s="240" t="str">
        <f t="shared" ref="BF7:BI38" ca="1" si="7">OFFSET( AQ$6, $BD7, 0 )</f>
        <v>Berkshire Energy Holdings Company</v>
      </c>
      <c r="BG7" s="240" t="str">
        <f t="shared" ca="1" si="7"/>
        <v>A</v>
      </c>
      <c r="BH7" s="240">
        <f t="shared" ca="1" si="7"/>
        <v>21</v>
      </c>
      <c r="BI7" s="240" t="str">
        <f t="shared" ca="1" si="7"/>
        <v>**BRK</v>
      </c>
    </row>
    <row r="8" spans="1:61" x14ac:dyDescent="0.2">
      <c r="A8" s="303" t="s">
        <v>516</v>
      </c>
      <c r="B8" s="304" t="s">
        <v>2</v>
      </c>
      <c r="C8" s="304">
        <v>21</v>
      </c>
      <c r="D8" s="304" t="s">
        <v>512</v>
      </c>
      <c r="E8" s="305" t="str">
        <f t="shared" ref="E8:E62" ca="1" si="8">IF( LEN( $G8 ) = 0, "", OFFSET( INDIRECT( E$3 &amp; E$4 ), $G8 - 1, 0 ) )</f>
        <v>R</v>
      </c>
      <c r="F8" s="306"/>
      <c r="G8" s="307">
        <f t="shared" ca="1" si="1"/>
        <v>25</v>
      </c>
      <c r="H8" s="250"/>
      <c r="I8" s="317"/>
      <c r="J8" s="293" t="s">
        <v>138</v>
      </c>
      <c r="K8" s="317"/>
      <c r="L8" s="293">
        <f t="shared" ref="L8:L13" si="9">COUNTIF($C$7:$C$67,$X8)</f>
        <v>3</v>
      </c>
      <c r="M8" s="294">
        <f t="shared" ref="M8:M13" si="10">IF( L8 = 0, "", L8/L$14 )</f>
        <v>0.06</v>
      </c>
      <c r="N8" s="317"/>
      <c r="O8" s="293">
        <f t="shared" ref="O8:O13" ca="1" si="11">COUNTIFS( $E$7:$E$66, O$3, $C$7:$C$66, $X8 )</f>
        <v>2</v>
      </c>
      <c r="P8" s="294">
        <f t="shared" ref="P8:P13" ca="1" si="12">IF( O8 = 0, "", O8/O$14 )</f>
        <v>5.4054054054054057E-2</v>
      </c>
      <c r="Q8" s="317"/>
      <c r="R8" s="293">
        <f t="shared" ref="R8:R13" ca="1" si="13">COUNTIFS( $E$7:$E$66, R$3, $C$7:$C$66, $X8 )</f>
        <v>1</v>
      </c>
      <c r="S8" s="294">
        <f t="shared" ref="S8:S13" ca="1" si="14">IF( R8 = 0, "", R8/R$14 )</f>
        <v>9.0909090909090912E-2</v>
      </c>
      <c r="T8" s="317"/>
      <c r="U8" s="293">
        <f t="shared" ref="U8:U13" ca="1" si="15">COUNTIFS( $E$7:$E$66, U$3, $C$7:$C$66, $X8 )</f>
        <v>0</v>
      </c>
      <c r="V8" s="294" t="str">
        <f t="shared" ref="V8:V13" ca="1" si="16">IF( U8 = 0, "", U8/U$14 )</f>
        <v/>
      </c>
      <c r="W8" s="317"/>
      <c r="X8" s="256" t="s">
        <v>464</v>
      </c>
      <c r="Y8" s="256">
        <v>21</v>
      </c>
      <c r="Z8" s="256">
        <v>1</v>
      </c>
      <c r="AA8" s="255">
        <f t="shared" ref="AA8:AA13" ca="1" si="17">SUM(O8, R8, U8)</f>
        <v>3</v>
      </c>
      <c r="AC8" s="257"/>
      <c r="AE8" s="254"/>
      <c r="AF8" s="236">
        <f t="shared" si="2"/>
        <v>1</v>
      </c>
      <c r="AG8" s="236" t="str">
        <f t="shared" ca="1" si="3"/>
        <v/>
      </c>
      <c r="AH8" s="236" t="str">
        <f t="shared" ref="AH8:AH67" ca="1" si="18">IF( LEN( $C8 ) = 0, "", IF( $C8 &lt; $AL8, 1, "" ) )</f>
        <v/>
      </c>
      <c r="AJ8" s="236">
        <f t="shared" ref="AJ8:AJ67" ca="1" si="19">MATCH( $D8, INDIRECT( AJ$2 ), 0 )</f>
        <v>8</v>
      </c>
      <c r="AK8" s="236" t="str">
        <f t="shared" ref="AK8:AL67" ca="1" si="20">IF( ISNA( $AJ8 ), "", OFFSET( INDIRECT( AK$2 ), $AJ8-1, 0 ) )</f>
        <v>A</v>
      </c>
      <c r="AL8" s="236">
        <f t="shared" ca="1" si="20"/>
        <v>21</v>
      </c>
      <c r="AM8" s="236" t="str">
        <f t="shared" ca="1" si="4"/>
        <v/>
      </c>
      <c r="AQ8" s="286" t="s">
        <v>17</v>
      </c>
      <c r="AR8" s="286" t="s">
        <v>10</v>
      </c>
      <c r="AS8" s="286">
        <v>20</v>
      </c>
      <c r="AT8" s="286" t="s">
        <v>307</v>
      </c>
      <c r="AV8" s="234">
        <f t="shared" ref="AV8:AV63" si="21">IF( LEN( AS8 ) = 0, 99, RANK( AS8, $AS$7:$AS$63 ) )</f>
        <v>3</v>
      </c>
      <c r="AW8" s="234">
        <f>COUNTIF( AV$7:AV8, AV8 )</f>
        <v>1</v>
      </c>
      <c r="AX8" s="287">
        <f t="shared" ref="AX8:AX63" si="22">AV8 + AW8 / 10</f>
        <v>3.1</v>
      </c>
      <c r="AY8" s="234">
        <f t="shared" ref="AY8:AY63" si="23">RANK( AX8, $AX$7:$AX$63, 1 )</f>
        <v>3</v>
      </c>
      <c r="AZ8" s="236"/>
      <c r="BA8" s="236"/>
      <c r="BC8" s="234">
        <f ca="1">OFFSET( BC8, -1, 0 ) + 1</f>
        <v>2</v>
      </c>
      <c r="BD8" s="288">
        <f t="shared" ca="1" si="6"/>
        <v>21</v>
      </c>
      <c r="BF8" s="240" t="str">
        <f t="shared" ca="1" si="7"/>
        <v>Eversource Energy</v>
      </c>
      <c r="BG8" s="240" t="str">
        <f t="shared" ca="1" si="7"/>
        <v>A</v>
      </c>
      <c r="BH8" s="240">
        <f t="shared" ca="1" si="7"/>
        <v>21</v>
      </c>
      <c r="BI8" s="240" t="str">
        <f t="shared" ca="1" si="7"/>
        <v>ES</v>
      </c>
    </row>
    <row r="9" spans="1:61" x14ac:dyDescent="0.2">
      <c r="A9" s="303" t="s">
        <v>17</v>
      </c>
      <c r="B9" s="304" t="s">
        <v>10</v>
      </c>
      <c r="C9" s="304">
        <v>20</v>
      </c>
      <c r="D9" s="304" t="s">
        <v>307</v>
      </c>
      <c r="E9" s="305" t="str">
        <f t="shared" ca="1" si="8"/>
        <v>R</v>
      </c>
      <c r="F9" s="306"/>
      <c r="G9" s="307">
        <f t="shared" ca="1" si="1"/>
        <v>8</v>
      </c>
      <c r="H9" s="250"/>
      <c r="I9" s="318"/>
      <c r="J9" s="295" t="s">
        <v>10</v>
      </c>
      <c r="K9" s="318"/>
      <c r="L9" s="295">
        <f t="shared" si="9"/>
        <v>12</v>
      </c>
      <c r="M9" s="296">
        <f t="shared" si="10"/>
        <v>0.24</v>
      </c>
      <c r="N9" s="318"/>
      <c r="O9" s="295">
        <f t="shared" ca="1" si="11"/>
        <v>10</v>
      </c>
      <c r="P9" s="296">
        <f t="shared" ca="1" si="12"/>
        <v>0.27027027027027029</v>
      </c>
      <c r="Q9" s="318"/>
      <c r="R9" s="295">
        <f t="shared" ca="1" si="13"/>
        <v>2</v>
      </c>
      <c r="S9" s="296">
        <f t="shared" ca="1" si="14"/>
        <v>0.18181818181818182</v>
      </c>
      <c r="T9" s="318"/>
      <c r="U9" s="295">
        <f t="shared" ca="1" si="15"/>
        <v>0</v>
      </c>
      <c r="V9" s="296" t="str">
        <f t="shared" ca="1" si="16"/>
        <v/>
      </c>
      <c r="W9" s="318"/>
      <c r="X9" s="256" t="s">
        <v>465</v>
      </c>
      <c r="Y9" s="256">
        <v>20</v>
      </c>
      <c r="Z9" s="256">
        <v>1</v>
      </c>
      <c r="AA9" s="255">
        <f t="shared" ca="1" si="17"/>
        <v>12</v>
      </c>
      <c r="AC9" s="253"/>
      <c r="AE9" s="254"/>
      <c r="AF9" s="236">
        <f t="shared" si="2"/>
        <v>0</v>
      </c>
      <c r="AG9" s="236" t="str">
        <f t="shared" ca="1" si="3"/>
        <v/>
      </c>
      <c r="AH9" s="236" t="str">
        <f t="shared" ca="1" si="18"/>
        <v/>
      </c>
      <c r="AJ9" s="236">
        <f t="shared" ca="1" si="19"/>
        <v>9</v>
      </c>
      <c r="AK9" s="236" t="str">
        <f t="shared" ca="1" si="20"/>
        <v>A-</v>
      </c>
      <c r="AL9" s="236">
        <f t="shared" ca="1" si="20"/>
        <v>20</v>
      </c>
      <c r="AM9" s="236" t="str">
        <f t="shared" ca="1" si="4"/>
        <v/>
      </c>
      <c r="AQ9" s="286" t="s">
        <v>9</v>
      </c>
      <c r="AR9" s="286" t="s">
        <v>16</v>
      </c>
      <c r="AS9" s="286">
        <v>19</v>
      </c>
      <c r="AT9" s="286" t="s">
        <v>274</v>
      </c>
      <c r="AV9" s="234">
        <f t="shared" si="21"/>
        <v>15</v>
      </c>
      <c r="AW9" s="234">
        <f>COUNTIF( AV$7:AV9, AV9 )</f>
        <v>2</v>
      </c>
      <c r="AX9" s="287">
        <f t="shared" si="22"/>
        <v>15.2</v>
      </c>
      <c r="AY9" s="234">
        <f t="shared" si="23"/>
        <v>16</v>
      </c>
      <c r="AZ9" s="236"/>
      <c r="BA9" s="236"/>
      <c r="BC9" s="234">
        <f t="shared" ref="BC9:BC63" ca="1" si="24">OFFSET( BC9, -1, 0 ) + 1</f>
        <v>3</v>
      </c>
      <c r="BD9" s="288">
        <f t="shared" ca="1" si="6"/>
        <v>2</v>
      </c>
      <c r="BF9" s="240" t="str">
        <f t="shared" ca="1" si="7"/>
        <v>Alliant Energy Corporation</v>
      </c>
      <c r="BG9" s="240" t="str">
        <f t="shared" ca="1" si="7"/>
        <v>A-</v>
      </c>
      <c r="BH9" s="240">
        <f t="shared" ca="1" si="7"/>
        <v>20</v>
      </c>
      <c r="BI9" s="240" t="str">
        <f t="shared" ca="1" si="7"/>
        <v>LNT</v>
      </c>
    </row>
    <row r="10" spans="1:61" x14ac:dyDescent="0.2">
      <c r="A10" s="303" t="s">
        <v>29</v>
      </c>
      <c r="B10" s="304" t="s">
        <v>10</v>
      </c>
      <c r="C10" s="304">
        <v>20</v>
      </c>
      <c r="D10" s="304" t="s">
        <v>286</v>
      </c>
      <c r="E10" s="305" t="str">
        <f t="shared" ca="1" si="8"/>
        <v>MR</v>
      </c>
      <c r="F10" s="306"/>
      <c r="G10" s="307">
        <f t="shared" ca="1" si="1"/>
        <v>14</v>
      </c>
      <c r="H10" s="250"/>
      <c r="I10" s="318"/>
      <c r="J10" s="295" t="s">
        <v>16</v>
      </c>
      <c r="K10" s="318"/>
      <c r="L10" s="295">
        <f t="shared" si="9"/>
        <v>20</v>
      </c>
      <c r="M10" s="296">
        <f t="shared" si="10"/>
        <v>0.4</v>
      </c>
      <c r="N10" s="318"/>
      <c r="O10" s="295">
        <f t="shared" ca="1" si="11"/>
        <v>13</v>
      </c>
      <c r="P10" s="296">
        <f t="shared" ca="1" si="12"/>
        <v>0.35135135135135137</v>
      </c>
      <c r="Q10" s="318"/>
      <c r="R10" s="295">
        <f t="shared" ca="1" si="13"/>
        <v>7</v>
      </c>
      <c r="S10" s="296">
        <f t="shared" ca="1" si="14"/>
        <v>0.63636363636363635</v>
      </c>
      <c r="T10" s="318"/>
      <c r="U10" s="295">
        <f t="shared" ca="1" si="15"/>
        <v>0</v>
      </c>
      <c r="V10" s="296" t="str">
        <f t="shared" ca="1" si="16"/>
        <v/>
      </c>
      <c r="W10" s="318"/>
      <c r="X10" s="256" t="s">
        <v>466</v>
      </c>
      <c r="Y10" s="256">
        <v>19</v>
      </c>
      <c r="Z10" s="256">
        <v>1</v>
      </c>
      <c r="AA10" s="255">
        <f t="shared" ca="1" si="17"/>
        <v>20</v>
      </c>
      <c r="AE10" s="254"/>
      <c r="AF10" s="236">
        <f t="shared" si="2"/>
        <v>0</v>
      </c>
      <c r="AG10" s="236" t="str">
        <f t="shared" ca="1" si="3"/>
        <v/>
      </c>
      <c r="AH10" s="236" t="str">
        <f t="shared" ca="1" si="18"/>
        <v/>
      </c>
      <c r="AJ10" s="236">
        <f t="shared" ca="1" si="19"/>
        <v>10</v>
      </c>
      <c r="AK10" s="236" t="str">
        <f t="shared" ca="1" si="20"/>
        <v>A-</v>
      </c>
      <c r="AL10" s="236">
        <f t="shared" ca="1" si="20"/>
        <v>20</v>
      </c>
      <c r="AM10" s="236" t="str">
        <f t="shared" ca="1" si="4"/>
        <v/>
      </c>
      <c r="AQ10" s="286" t="s">
        <v>259</v>
      </c>
      <c r="AR10" s="286" t="s">
        <v>16</v>
      </c>
      <c r="AS10" s="286">
        <v>19</v>
      </c>
      <c r="AT10" s="286" t="s">
        <v>275</v>
      </c>
      <c r="AV10" s="234">
        <f t="shared" si="21"/>
        <v>15</v>
      </c>
      <c r="AW10" s="234">
        <f>COUNTIF( AV$7:AV10, AV10 )</f>
        <v>3</v>
      </c>
      <c r="AX10" s="287">
        <f t="shared" si="22"/>
        <v>15.3</v>
      </c>
      <c r="AY10" s="234">
        <f t="shared" si="23"/>
        <v>17</v>
      </c>
      <c r="AZ10" s="236"/>
      <c r="BA10" s="236"/>
      <c r="BC10" s="234">
        <f t="shared" ca="1" si="24"/>
        <v>4</v>
      </c>
      <c r="BD10" s="288">
        <f t="shared" ca="1" si="6"/>
        <v>9</v>
      </c>
      <c r="BF10" s="240" t="str">
        <f t="shared" ca="1" si="7"/>
        <v>CenterPoint Energy, Inc.</v>
      </c>
      <c r="BG10" s="240" t="str">
        <f t="shared" ca="1" si="7"/>
        <v>A-</v>
      </c>
      <c r="BH10" s="240">
        <f t="shared" ca="1" si="7"/>
        <v>20</v>
      </c>
      <c r="BI10" s="240" t="str">
        <f t="shared" ca="1" si="7"/>
        <v>CNP</v>
      </c>
    </row>
    <row r="11" spans="1:61" x14ac:dyDescent="0.2">
      <c r="A11" s="303" t="s">
        <v>3</v>
      </c>
      <c r="B11" s="304" t="s">
        <v>10</v>
      </c>
      <c r="C11" s="304">
        <v>20</v>
      </c>
      <c r="D11" s="304" t="s">
        <v>292</v>
      </c>
      <c r="E11" s="305" t="str">
        <f t="shared" ca="1" si="8"/>
        <v>R</v>
      </c>
      <c r="F11" s="306"/>
      <c r="G11" s="307">
        <f t="shared" ca="1" si="1"/>
        <v>17</v>
      </c>
      <c r="H11" s="250"/>
      <c r="I11" s="318"/>
      <c r="J11" s="295" t="s">
        <v>28</v>
      </c>
      <c r="K11" s="318"/>
      <c r="L11" s="295">
        <f t="shared" si="9"/>
        <v>9</v>
      </c>
      <c r="M11" s="296">
        <f t="shared" si="10"/>
        <v>0.18</v>
      </c>
      <c r="N11" s="318"/>
      <c r="O11" s="295">
        <f t="shared" ca="1" si="11"/>
        <v>8</v>
      </c>
      <c r="P11" s="296">
        <f t="shared" ca="1" si="12"/>
        <v>0.21621621621621623</v>
      </c>
      <c r="Q11" s="318"/>
      <c r="R11" s="295">
        <f t="shared" ca="1" si="13"/>
        <v>0</v>
      </c>
      <c r="S11" s="296" t="str">
        <f t="shared" ca="1" si="14"/>
        <v/>
      </c>
      <c r="T11" s="318"/>
      <c r="U11" s="295">
        <f t="shared" ca="1" si="15"/>
        <v>1</v>
      </c>
      <c r="V11" s="296">
        <f t="shared" ca="1" si="16"/>
        <v>0.5</v>
      </c>
      <c r="W11" s="318"/>
      <c r="X11" s="256" t="s">
        <v>467</v>
      </c>
      <c r="Y11" s="256">
        <v>18</v>
      </c>
      <c r="Z11" s="256">
        <v>1</v>
      </c>
      <c r="AA11" s="255">
        <f t="shared" ca="1" si="17"/>
        <v>9</v>
      </c>
      <c r="AE11" s="254"/>
      <c r="AF11" s="236">
        <f t="shared" si="2"/>
        <v>0</v>
      </c>
      <c r="AG11" s="236" t="str">
        <f t="shared" ca="1" si="3"/>
        <v/>
      </c>
      <c r="AH11" s="236" t="str">
        <f t="shared" ca="1" si="18"/>
        <v/>
      </c>
      <c r="AJ11" s="236">
        <f t="shared" ca="1" si="19"/>
        <v>11</v>
      </c>
      <c r="AK11" s="236" t="str">
        <f t="shared" ca="1" si="20"/>
        <v>A-</v>
      </c>
      <c r="AL11" s="236">
        <f t="shared" ca="1" si="20"/>
        <v>20</v>
      </c>
      <c r="AM11" s="236" t="str">
        <f t="shared" ca="1" si="4"/>
        <v/>
      </c>
      <c r="AQ11" s="286" t="s">
        <v>532</v>
      </c>
      <c r="AR11" s="286" t="s">
        <v>16</v>
      </c>
      <c r="AS11" s="286">
        <v>19</v>
      </c>
      <c r="AT11" s="286" t="s">
        <v>530</v>
      </c>
      <c r="AV11" s="234">
        <f t="shared" si="21"/>
        <v>15</v>
      </c>
      <c r="AW11" s="234">
        <f>COUNTIF( AV$7:AV11, AV11 )</f>
        <v>4</v>
      </c>
      <c r="AX11" s="287">
        <f t="shared" si="22"/>
        <v>15.4</v>
      </c>
      <c r="AY11" s="234">
        <f t="shared" si="23"/>
        <v>18</v>
      </c>
      <c r="AZ11" s="236"/>
      <c r="BA11" s="236"/>
      <c r="BC11" s="234">
        <f t="shared" ca="1" si="24"/>
        <v>5</v>
      </c>
      <c r="BD11" s="288">
        <f t="shared" ca="1" si="6"/>
        <v>12</v>
      </c>
      <c r="BF11" s="240" t="str">
        <f t="shared" ca="1" si="7"/>
        <v>Consolidated Edison, Inc.</v>
      </c>
      <c r="BG11" s="240" t="str">
        <f t="shared" ca="1" si="7"/>
        <v>A-</v>
      </c>
      <c r="BH11" s="240">
        <f t="shared" ca="1" si="7"/>
        <v>20</v>
      </c>
      <c r="BI11" s="240" t="str">
        <f t="shared" ca="1" si="7"/>
        <v>ED</v>
      </c>
    </row>
    <row r="12" spans="1:61" x14ac:dyDescent="0.2">
      <c r="A12" s="303" t="s">
        <v>32</v>
      </c>
      <c r="B12" s="304" t="s">
        <v>10</v>
      </c>
      <c r="C12" s="304">
        <v>20</v>
      </c>
      <c r="D12" s="304" t="s">
        <v>290</v>
      </c>
      <c r="E12" s="305" t="str">
        <f t="shared" ca="1" si="8"/>
        <v>R</v>
      </c>
      <c r="F12" s="306"/>
      <c r="G12" s="307">
        <f t="shared" ca="1" si="1"/>
        <v>20</v>
      </c>
      <c r="H12" s="250"/>
      <c r="I12" s="318"/>
      <c r="J12" s="295" t="s">
        <v>49</v>
      </c>
      <c r="K12" s="318"/>
      <c r="L12" s="295">
        <f t="shared" si="9"/>
        <v>5</v>
      </c>
      <c r="M12" s="296">
        <f t="shared" si="10"/>
        <v>0.1</v>
      </c>
      <c r="N12" s="318"/>
      <c r="O12" s="295">
        <f t="shared" ca="1" si="11"/>
        <v>3</v>
      </c>
      <c r="P12" s="296">
        <f t="shared" ca="1" si="12"/>
        <v>8.1081081081081086E-2</v>
      </c>
      <c r="Q12" s="318"/>
      <c r="R12" s="295">
        <f t="shared" ca="1" si="13"/>
        <v>1</v>
      </c>
      <c r="S12" s="296">
        <f t="shared" ca="1" si="14"/>
        <v>9.0909090909090912E-2</v>
      </c>
      <c r="T12" s="318"/>
      <c r="U12" s="295">
        <f t="shared" ca="1" si="15"/>
        <v>1</v>
      </c>
      <c r="V12" s="296">
        <f t="shared" ca="1" si="16"/>
        <v>0.5</v>
      </c>
      <c r="W12" s="318"/>
      <c r="X12" s="256" t="s">
        <v>468</v>
      </c>
      <c r="Y12" s="256">
        <v>17</v>
      </c>
      <c r="Z12" s="256">
        <v>1</v>
      </c>
      <c r="AA12" s="255">
        <f t="shared" ca="1" si="17"/>
        <v>5</v>
      </c>
      <c r="AE12" s="254"/>
      <c r="AF12" s="236">
        <f t="shared" si="2"/>
        <v>0</v>
      </c>
      <c r="AG12" s="236" t="str">
        <f t="shared" ca="1" si="3"/>
        <v/>
      </c>
      <c r="AH12" s="236" t="str">
        <f t="shared" ca="1" si="18"/>
        <v/>
      </c>
      <c r="AJ12" s="236">
        <f t="shared" ca="1" si="19"/>
        <v>12</v>
      </c>
      <c r="AK12" s="236" t="str">
        <f t="shared" ca="1" si="20"/>
        <v>A-</v>
      </c>
      <c r="AL12" s="236">
        <f t="shared" ca="1" si="20"/>
        <v>20</v>
      </c>
      <c r="AM12" s="236" t="str">
        <f t="shared" ca="1" si="4"/>
        <v/>
      </c>
      <c r="AQ12" s="286" t="s">
        <v>55</v>
      </c>
      <c r="AR12" s="286" t="s">
        <v>28</v>
      </c>
      <c r="AS12" s="286">
        <v>18</v>
      </c>
      <c r="AT12" s="286" t="s">
        <v>278</v>
      </c>
      <c r="AV12" s="234">
        <f t="shared" si="21"/>
        <v>35</v>
      </c>
      <c r="AW12" s="234">
        <f>COUNTIF( AV$7:AV12, AV12 )</f>
        <v>1</v>
      </c>
      <c r="AX12" s="287">
        <f t="shared" si="22"/>
        <v>35.1</v>
      </c>
      <c r="AY12" s="234">
        <f t="shared" si="23"/>
        <v>35</v>
      </c>
      <c r="AZ12" s="236"/>
      <c r="BA12" s="236"/>
      <c r="BC12" s="234">
        <f t="shared" ca="1" si="24"/>
        <v>6</v>
      </c>
      <c r="BD12" s="288">
        <f t="shared" ca="1" si="6"/>
        <v>16</v>
      </c>
      <c r="BF12" s="240" t="str">
        <f t="shared" ca="1" si="7"/>
        <v>Duke Energy Corporation</v>
      </c>
      <c r="BG12" s="240" t="str">
        <f t="shared" ca="1" si="7"/>
        <v>A-</v>
      </c>
      <c r="BH12" s="240">
        <f t="shared" ca="1" si="7"/>
        <v>20</v>
      </c>
      <c r="BI12" s="240" t="str">
        <f t="shared" ca="1" si="7"/>
        <v>DUK</v>
      </c>
    </row>
    <row r="13" spans="1:61" x14ac:dyDescent="0.2">
      <c r="A13" s="303" t="s">
        <v>370</v>
      </c>
      <c r="B13" s="304" t="s">
        <v>10</v>
      </c>
      <c r="C13" s="304">
        <v>20</v>
      </c>
      <c r="D13" s="304" t="s">
        <v>369</v>
      </c>
      <c r="E13" s="305" t="str">
        <f t="shared" ca="1" si="8"/>
        <v>MR</v>
      </c>
      <c r="F13" s="306"/>
      <c r="G13" s="307">
        <f t="shared" ca="1" si="1"/>
        <v>33</v>
      </c>
      <c r="H13" s="250"/>
      <c r="I13" s="319"/>
      <c r="J13" s="297" t="s">
        <v>79</v>
      </c>
      <c r="K13" s="319"/>
      <c r="L13" s="297">
        <f t="shared" si="9"/>
        <v>1</v>
      </c>
      <c r="M13" s="298">
        <f t="shared" si="10"/>
        <v>0.02</v>
      </c>
      <c r="N13" s="319"/>
      <c r="O13" s="297">
        <f t="shared" ca="1" si="11"/>
        <v>1</v>
      </c>
      <c r="P13" s="298">
        <f t="shared" ca="1" si="12"/>
        <v>2.7027027027027029E-2</v>
      </c>
      <c r="Q13" s="319"/>
      <c r="R13" s="297">
        <f t="shared" ca="1" si="13"/>
        <v>0</v>
      </c>
      <c r="S13" s="298" t="str">
        <f t="shared" ca="1" si="14"/>
        <v/>
      </c>
      <c r="T13" s="319"/>
      <c r="U13" s="297">
        <f t="shared" ca="1" si="15"/>
        <v>0</v>
      </c>
      <c r="V13" s="298" t="str">
        <f t="shared" ca="1" si="16"/>
        <v/>
      </c>
      <c r="W13" s="319"/>
      <c r="X13" s="256" t="s">
        <v>469</v>
      </c>
      <c r="Y13" s="256">
        <v>16</v>
      </c>
      <c r="Z13" s="256">
        <v>1</v>
      </c>
      <c r="AA13" s="259">
        <f t="shared" ca="1" si="17"/>
        <v>1</v>
      </c>
      <c r="AE13" s="254"/>
      <c r="AF13" s="236">
        <f t="shared" si="2"/>
        <v>0</v>
      </c>
      <c r="AG13" s="236" t="str">
        <f t="shared" ca="1" si="3"/>
        <v/>
      </c>
      <c r="AH13" s="236" t="str">
        <f t="shared" ca="1" si="18"/>
        <v/>
      </c>
      <c r="AJ13" s="236">
        <f t="shared" ca="1" si="19"/>
        <v>13</v>
      </c>
      <c r="AK13" s="236" t="str">
        <f t="shared" ca="1" si="20"/>
        <v>A-</v>
      </c>
      <c r="AL13" s="236">
        <f t="shared" ca="1" si="20"/>
        <v>20</v>
      </c>
      <c r="AM13" s="236" t="str">
        <f t="shared" ca="1" si="4"/>
        <v/>
      </c>
      <c r="AQ13" s="286" t="s">
        <v>501</v>
      </c>
      <c r="AR13" s="286" t="s">
        <v>2</v>
      </c>
      <c r="AS13" s="286">
        <v>21</v>
      </c>
      <c r="AT13" s="286" t="s">
        <v>447</v>
      </c>
      <c r="AV13" s="234">
        <f t="shared" si="21"/>
        <v>1</v>
      </c>
      <c r="AW13" s="234">
        <f>COUNTIF( AV$7:AV13, AV13 )</f>
        <v>1</v>
      </c>
      <c r="AX13" s="287">
        <f t="shared" si="22"/>
        <v>1.1000000000000001</v>
      </c>
      <c r="AY13" s="234">
        <f t="shared" si="23"/>
        <v>1</v>
      </c>
      <c r="AZ13" s="236"/>
      <c r="BA13" s="236"/>
      <c r="BC13" s="234">
        <f t="shared" ca="1" si="24"/>
        <v>7</v>
      </c>
      <c r="BD13" s="288">
        <f t="shared" ca="1" si="6"/>
        <v>29</v>
      </c>
      <c r="BF13" s="240" t="str">
        <f t="shared" ca="1" si="7"/>
        <v>NextEra Energy, Inc.</v>
      </c>
      <c r="BG13" s="240" t="str">
        <f t="shared" ca="1" si="7"/>
        <v>A-</v>
      </c>
      <c r="BH13" s="240">
        <f t="shared" ca="1" si="7"/>
        <v>20</v>
      </c>
      <c r="BI13" s="240" t="str">
        <f t="shared" ca="1" si="7"/>
        <v>NEE</v>
      </c>
    </row>
    <row r="14" spans="1:61" x14ac:dyDescent="0.2">
      <c r="A14" s="303" t="s">
        <v>21</v>
      </c>
      <c r="B14" s="304" t="s">
        <v>10</v>
      </c>
      <c r="C14" s="304">
        <v>20</v>
      </c>
      <c r="D14" s="304" t="s">
        <v>316</v>
      </c>
      <c r="E14" s="305" t="str">
        <f t="shared" ca="1" si="8"/>
        <v>R</v>
      </c>
      <c r="F14" s="306"/>
      <c r="G14" s="307">
        <f t="shared" ca="1" si="1"/>
        <v>36</v>
      </c>
      <c r="H14" s="250"/>
      <c r="I14" s="320"/>
      <c r="J14" s="291" t="s">
        <v>80</v>
      </c>
      <c r="K14" s="320"/>
      <c r="L14" s="291">
        <f>SUM(L8:L13)</f>
        <v>50</v>
      </c>
      <c r="M14" s="292">
        <f>L14/L$14</f>
        <v>1</v>
      </c>
      <c r="N14" s="320"/>
      <c r="O14" s="291">
        <f ca="1">SUM(O8:O13)</f>
        <v>37</v>
      </c>
      <c r="P14" s="292">
        <f ca="1">O14/O$14</f>
        <v>1</v>
      </c>
      <c r="Q14" s="320"/>
      <c r="R14" s="291">
        <f ca="1">SUM(R8:R13)</f>
        <v>11</v>
      </c>
      <c r="S14" s="292">
        <f ca="1">R14/R$14</f>
        <v>1</v>
      </c>
      <c r="T14" s="320"/>
      <c r="U14" s="291">
        <f ca="1">SUM(U8:U13)</f>
        <v>2</v>
      </c>
      <c r="V14" s="292">
        <f ca="1">U14/U$14</f>
        <v>1</v>
      </c>
      <c r="W14" s="320"/>
      <c r="Y14" s="261">
        <f>SUMPRODUCT( L8:L13, Y8:Y13 ) / L14</f>
        <v>18.920000000000002</v>
      </c>
      <c r="Z14" s="261"/>
      <c r="AA14" s="452">
        <f ca="1">SUM(AA8:AA13)</f>
        <v>50</v>
      </c>
      <c r="AE14" s="254"/>
      <c r="AF14" s="236">
        <f t="shared" si="2"/>
        <v>0</v>
      </c>
      <c r="AG14" s="236" t="str">
        <f t="shared" ca="1" si="3"/>
        <v/>
      </c>
      <c r="AH14" s="236" t="str">
        <f t="shared" ca="1" si="18"/>
        <v/>
      </c>
      <c r="AJ14" s="236">
        <f t="shared" ca="1" si="19"/>
        <v>14</v>
      </c>
      <c r="AK14" s="236" t="str">
        <f t="shared" ca="1" si="20"/>
        <v>A-</v>
      </c>
      <c r="AL14" s="236">
        <f t="shared" ca="1" si="20"/>
        <v>20</v>
      </c>
      <c r="AM14" s="236" t="str">
        <f t="shared" ca="1" si="4"/>
        <v/>
      </c>
      <c r="AQ14" s="286" t="s">
        <v>48</v>
      </c>
      <c r="AR14" s="286" t="s">
        <v>28</v>
      </c>
      <c r="AS14" s="286">
        <v>18</v>
      </c>
      <c r="AT14" s="286" t="s">
        <v>280</v>
      </c>
      <c r="AV14" s="234">
        <f>IF( LEN( AS14 ) = 0, 99, RANK( AS14, $AS$7:$AS$63 ) )</f>
        <v>35</v>
      </c>
      <c r="AW14" s="234">
        <f>COUNTIF( AV$7:AV14, AV14 )</f>
        <v>2</v>
      </c>
      <c r="AX14" s="287">
        <f t="shared" si="22"/>
        <v>35.200000000000003</v>
      </c>
      <c r="AY14" s="234">
        <f t="shared" si="23"/>
        <v>36</v>
      </c>
      <c r="AZ14" s="236"/>
      <c r="BA14" s="236"/>
      <c r="BC14" s="234">
        <f t="shared" ca="1" si="24"/>
        <v>8</v>
      </c>
      <c r="BD14" s="288">
        <f t="shared" ca="1" si="6"/>
        <v>32</v>
      </c>
      <c r="BF14" s="240" t="str">
        <f t="shared" ca="1" si="7"/>
        <v>OGE Energy Corp.</v>
      </c>
      <c r="BG14" s="240" t="str">
        <f t="shared" ca="1" si="7"/>
        <v>A-</v>
      </c>
      <c r="BH14" s="240">
        <f t="shared" ca="1" si="7"/>
        <v>20</v>
      </c>
      <c r="BI14" s="240" t="str">
        <f t="shared" ca="1" si="7"/>
        <v>OGE</v>
      </c>
    </row>
    <row r="15" spans="1:61" x14ac:dyDescent="0.2">
      <c r="A15" s="303" t="s">
        <v>41</v>
      </c>
      <c r="B15" s="304" t="s">
        <v>10</v>
      </c>
      <c r="C15" s="304">
        <v>20</v>
      </c>
      <c r="D15" s="304" t="s">
        <v>322</v>
      </c>
      <c r="E15" s="305" t="str">
        <f t="shared" ca="1" si="8"/>
        <v>R</v>
      </c>
      <c r="F15" s="306"/>
      <c r="G15" s="307">
        <f t="shared" ca="1" si="1"/>
        <v>39</v>
      </c>
      <c r="H15" s="250"/>
      <c r="I15" s="321"/>
      <c r="K15" s="321"/>
      <c r="N15" s="321"/>
      <c r="Q15" s="321"/>
      <c r="T15" s="321"/>
      <c r="W15" s="321"/>
      <c r="X15" s="240"/>
      <c r="AA15" s="240"/>
      <c r="AE15" s="254"/>
      <c r="AF15" s="236">
        <f t="shared" si="2"/>
        <v>0</v>
      </c>
      <c r="AG15" s="236" t="str">
        <f t="shared" ca="1" si="3"/>
        <v/>
      </c>
      <c r="AH15" s="236" t="str">
        <f t="shared" ca="1" si="18"/>
        <v/>
      </c>
      <c r="AJ15" s="236">
        <f t="shared" ca="1" si="19"/>
        <v>15</v>
      </c>
      <c r="AK15" s="236" t="str">
        <f t="shared" ca="1" si="20"/>
        <v>A-</v>
      </c>
      <c r="AL15" s="236">
        <f t="shared" ca="1" si="20"/>
        <v>20</v>
      </c>
      <c r="AM15" s="236" t="str">
        <f t="shared" ca="1" si="4"/>
        <v/>
      </c>
      <c r="AQ15" s="286" t="s">
        <v>29</v>
      </c>
      <c r="AR15" s="286" t="s">
        <v>10</v>
      </c>
      <c r="AS15" s="286">
        <v>20</v>
      </c>
      <c r="AT15" s="286" t="s">
        <v>286</v>
      </c>
      <c r="AV15" s="234">
        <f t="shared" si="21"/>
        <v>3</v>
      </c>
      <c r="AW15" s="234">
        <f>COUNTIF( AV$7:AV15, AV15 )</f>
        <v>2</v>
      </c>
      <c r="AX15" s="287">
        <f t="shared" si="22"/>
        <v>3.2</v>
      </c>
      <c r="AY15" s="234">
        <f t="shared" si="23"/>
        <v>4</v>
      </c>
      <c r="AZ15" s="236"/>
      <c r="BA15" s="236"/>
      <c r="BC15" s="234">
        <f t="shared" ca="1" si="24"/>
        <v>9</v>
      </c>
      <c r="BD15" s="288">
        <f t="shared" ca="1" si="6"/>
        <v>35</v>
      </c>
      <c r="BF15" s="240" t="str">
        <f t="shared" ca="1" si="7"/>
        <v>Pinnacle West Capital Corporation</v>
      </c>
      <c r="BG15" s="240" t="str">
        <f t="shared" ca="1" si="7"/>
        <v>A-</v>
      </c>
      <c r="BH15" s="240">
        <f t="shared" ca="1" si="7"/>
        <v>20</v>
      </c>
      <c r="BI15" s="240" t="str">
        <f t="shared" ca="1" si="7"/>
        <v>PNW</v>
      </c>
    </row>
    <row r="16" spans="1:61" x14ac:dyDescent="0.2">
      <c r="A16" s="303" t="s">
        <v>43</v>
      </c>
      <c r="B16" s="304" t="s">
        <v>10</v>
      </c>
      <c r="C16" s="304">
        <v>20</v>
      </c>
      <c r="D16" s="304" t="s">
        <v>325</v>
      </c>
      <c r="E16" s="305" t="str">
        <f t="shared" ca="1" si="8"/>
        <v>R</v>
      </c>
      <c r="F16" s="306"/>
      <c r="G16" s="307">
        <f t="shared" ca="1" si="1"/>
        <v>42</v>
      </c>
      <c r="H16" s="250"/>
      <c r="I16" s="316"/>
      <c r="J16" s="290" t="s">
        <v>450</v>
      </c>
      <c r="K16" s="316"/>
      <c r="L16" s="463">
        <f t="array" ref="L16">SUM( IF( LEN( $C$7:$C$65 ) = 0, 0, $C$7:$C$65 ) ) / SUM( IF( LEN( $C$7:$C$65 ) = 0, 0, 1  ) )</f>
        <v>18.940000000000001</v>
      </c>
      <c r="M16" s="464"/>
      <c r="N16" s="316"/>
      <c r="O16" s="463">
        <f t="array" aca="1" ref="O16" ca="1">SUM( IF( LEN( $C$7:$C$65 ) = 0, 0, IF( $E$7:$E$65 = O3, $C$7:$C$65, 0 ) ) ) / SUM( IF( LEN( $C$7:$C$65 ) = 0, 0, IF( $E$7:$E$65 = O3, 1, 0 ) ) )</f>
        <v>18.891891891891891</v>
      </c>
      <c r="P16" s="464"/>
      <c r="Q16" s="316"/>
      <c r="R16" s="463">
        <f t="array" aca="1" ref="R16" ca="1">SUM( IF( LEN( $C$7:$C$65 ) = 0, 0, IF( $E$7:$E$65 = R3, $C$7:$C$65, 0 ) ) ) / SUM( IF( LEN( $C$7:$C$65 ) = 0, 0, IF( $E$7:$E$65 = R3, 1, 0 ) ) )</f>
        <v>19.363636363636363</v>
      </c>
      <c r="S16" s="464"/>
      <c r="T16" s="316"/>
      <c r="U16" s="463">
        <f t="array" aca="1" ref="U16" ca="1">SUM( IF( LEN( $C$7:$C$65 ) = 0, 0, IF( $E$7:$E$65 = U3, $C$7:$C$65, 0 ) ) ) / SUM( IF( LEN( $C$7:$C$65 ) = 0, 0, IF( $E$7:$E$65 = U3, 1, 0 ) ) )</f>
        <v>17.5</v>
      </c>
      <c r="V16" s="465"/>
      <c r="W16" s="316"/>
      <c r="AE16" s="254"/>
      <c r="AF16" s="236">
        <f t="shared" si="2"/>
        <v>0</v>
      </c>
      <c r="AG16" s="236" t="str">
        <f t="shared" ca="1" si="3"/>
        <v/>
      </c>
      <c r="AH16" s="236" t="str">
        <f t="shared" ca="1" si="18"/>
        <v/>
      </c>
      <c r="AJ16" s="236">
        <f t="shared" ca="1" si="19"/>
        <v>16</v>
      </c>
      <c r="AK16" s="236" t="str">
        <f t="shared" ca="1" si="20"/>
        <v>A-</v>
      </c>
      <c r="AL16" s="236">
        <f t="shared" ca="1" si="20"/>
        <v>20</v>
      </c>
      <c r="AM16" s="236" t="str">
        <f t="shared" ca="1" si="4"/>
        <v/>
      </c>
      <c r="AQ16" s="286" t="s">
        <v>30</v>
      </c>
      <c r="AR16" s="286" t="s">
        <v>49</v>
      </c>
      <c r="AS16" s="286">
        <v>17</v>
      </c>
      <c r="AT16" s="286" t="s">
        <v>541</v>
      </c>
      <c r="AV16" s="234">
        <f t="shared" si="21"/>
        <v>44</v>
      </c>
      <c r="AW16" s="234">
        <f>COUNTIF( AV$7:AV16, AV16 )</f>
        <v>1</v>
      </c>
      <c r="AX16" s="287">
        <f t="shared" si="22"/>
        <v>44.1</v>
      </c>
      <c r="AY16" s="234">
        <f t="shared" si="23"/>
        <v>44</v>
      </c>
      <c r="AZ16" s="236"/>
      <c r="BA16" s="236"/>
      <c r="BC16" s="234">
        <f t="shared" ca="1" si="24"/>
        <v>10</v>
      </c>
      <c r="BD16" s="288">
        <f t="shared" ca="1" si="6"/>
        <v>38</v>
      </c>
      <c r="BF16" s="240" t="str">
        <f t="shared" ca="1" si="7"/>
        <v>PPL Corporation</v>
      </c>
      <c r="BG16" s="240" t="str">
        <f t="shared" ca="1" si="7"/>
        <v>A-</v>
      </c>
      <c r="BH16" s="240">
        <f t="shared" ca="1" si="7"/>
        <v>20</v>
      </c>
      <c r="BI16" s="240" t="str">
        <f t="shared" ca="1" si="7"/>
        <v>PPL</v>
      </c>
    </row>
    <row r="17" spans="1:61" x14ac:dyDescent="0.2">
      <c r="A17" s="303" t="s">
        <v>7</v>
      </c>
      <c r="B17" s="304" t="s">
        <v>10</v>
      </c>
      <c r="C17" s="304">
        <v>20</v>
      </c>
      <c r="D17" s="304" t="s">
        <v>328</v>
      </c>
      <c r="E17" s="305" t="str">
        <f t="shared" ca="1" si="8"/>
        <v>R</v>
      </c>
      <c r="F17" s="306"/>
      <c r="G17" s="307">
        <f t="shared" ca="1" si="1"/>
        <v>46</v>
      </c>
      <c r="H17" s="250"/>
      <c r="I17" s="321"/>
      <c r="K17" s="321"/>
      <c r="N17" s="321"/>
      <c r="O17" s="240"/>
      <c r="Q17" s="321"/>
      <c r="T17" s="321"/>
      <c r="W17" s="321"/>
      <c r="AE17" s="245"/>
      <c r="AF17" s="236">
        <f t="shared" si="2"/>
        <v>0</v>
      </c>
      <c r="AG17" s="236" t="str">
        <f t="shared" ca="1" si="3"/>
        <v/>
      </c>
      <c r="AH17" s="236" t="str">
        <f t="shared" ca="1" si="18"/>
        <v/>
      </c>
      <c r="AJ17" s="236">
        <f t="shared" ca="1" si="19"/>
        <v>17</v>
      </c>
      <c r="AK17" s="236" t="str">
        <f t="shared" ca="1" si="20"/>
        <v>A-</v>
      </c>
      <c r="AL17" s="236">
        <f t="shared" ca="1" si="20"/>
        <v>20</v>
      </c>
      <c r="AM17" s="236" t="str">
        <f t="shared" ca="1" si="4"/>
        <v/>
      </c>
      <c r="AQ17" s="286" t="s">
        <v>60</v>
      </c>
      <c r="AR17" s="286" t="s">
        <v>16</v>
      </c>
      <c r="AS17" s="286">
        <v>19</v>
      </c>
      <c r="AT17" s="286" t="s">
        <v>284</v>
      </c>
      <c r="AV17" s="234">
        <f t="shared" si="21"/>
        <v>15</v>
      </c>
      <c r="AW17" s="234">
        <f>COUNTIF( AV$7:AV17, AV17 )</f>
        <v>5</v>
      </c>
      <c r="AX17" s="287">
        <f t="shared" si="22"/>
        <v>15.5</v>
      </c>
      <c r="AY17" s="234">
        <f t="shared" si="23"/>
        <v>19</v>
      </c>
      <c r="AZ17" s="236"/>
      <c r="BA17" s="236"/>
      <c r="BC17" s="234">
        <f t="shared" ca="1" si="24"/>
        <v>11</v>
      </c>
      <c r="BD17" s="288">
        <f t="shared" ca="1" si="6"/>
        <v>43</v>
      </c>
      <c r="BF17" s="240" t="str">
        <f t="shared" ca="1" si="7"/>
        <v>Southern Company</v>
      </c>
      <c r="BG17" s="240" t="str">
        <f t="shared" ca="1" si="7"/>
        <v>A-</v>
      </c>
      <c r="BH17" s="240">
        <f t="shared" ca="1" si="7"/>
        <v>20</v>
      </c>
      <c r="BI17" s="240" t="str">
        <f t="shared" ca="1" si="7"/>
        <v>SO</v>
      </c>
    </row>
    <row r="18" spans="1:61" x14ac:dyDescent="0.2">
      <c r="A18" s="303" t="s">
        <v>14</v>
      </c>
      <c r="B18" s="304" t="s">
        <v>10</v>
      </c>
      <c r="C18" s="304">
        <v>20</v>
      </c>
      <c r="D18" s="304" t="s">
        <v>335</v>
      </c>
      <c r="E18" s="305" t="str">
        <f t="shared" ca="1" si="8"/>
        <v>R</v>
      </c>
      <c r="F18" s="306"/>
      <c r="G18" s="307">
        <f t="shared" ca="1" si="1"/>
        <v>49</v>
      </c>
      <c r="H18" s="250"/>
      <c r="I18" s="321"/>
      <c r="K18" s="321"/>
      <c r="N18" s="321"/>
      <c r="O18" s="240"/>
      <c r="Q18" s="321"/>
      <c r="T18" s="321"/>
      <c r="W18" s="321"/>
      <c r="AE18" s="254"/>
      <c r="AF18" s="236">
        <f t="shared" si="2"/>
        <v>0</v>
      </c>
      <c r="AG18" s="236" t="str">
        <f t="shared" ca="1" si="3"/>
        <v/>
      </c>
      <c r="AH18" s="236" t="str">
        <f t="shared" ca="1" si="18"/>
        <v/>
      </c>
      <c r="AJ18" s="236">
        <f t="shared" ca="1" si="19"/>
        <v>18</v>
      </c>
      <c r="AK18" s="236" t="str">
        <f t="shared" ca="1" si="20"/>
        <v>A-</v>
      </c>
      <c r="AL18" s="236">
        <f t="shared" ca="1" si="20"/>
        <v>20</v>
      </c>
      <c r="AM18" s="236" t="str">
        <f t="shared" ca="1" si="4"/>
        <v/>
      </c>
      <c r="AQ18" s="286" t="s">
        <v>3</v>
      </c>
      <c r="AR18" s="286" t="s">
        <v>10</v>
      </c>
      <c r="AS18" s="286">
        <v>20</v>
      </c>
      <c r="AT18" s="286" t="s">
        <v>292</v>
      </c>
      <c r="AV18" s="234">
        <f t="shared" si="21"/>
        <v>3</v>
      </c>
      <c r="AW18" s="234">
        <f>COUNTIF( AV$7:AV18, AV18 )</f>
        <v>3</v>
      </c>
      <c r="AX18" s="287">
        <f t="shared" si="22"/>
        <v>3.3</v>
      </c>
      <c r="AY18" s="234">
        <f t="shared" si="23"/>
        <v>5</v>
      </c>
      <c r="AZ18" s="236"/>
      <c r="BA18" s="236"/>
      <c r="BC18" s="234">
        <f t="shared" ca="1" si="24"/>
        <v>12</v>
      </c>
      <c r="BD18" s="288">
        <f t="shared" ca="1" si="6"/>
        <v>46</v>
      </c>
      <c r="BF18" s="240" t="str">
        <f t="shared" ca="1" si="7"/>
        <v>Vectren Corporation</v>
      </c>
      <c r="BG18" s="240" t="str">
        <f t="shared" ca="1" si="7"/>
        <v>A-</v>
      </c>
      <c r="BH18" s="240">
        <f t="shared" ca="1" si="7"/>
        <v>20</v>
      </c>
      <c r="BI18" s="240" t="str">
        <f t="shared" ca="1" si="7"/>
        <v>VVC</v>
      </c>
    </row>
    <row r="19" spans="1:61" x14ac:dyDescent="0.2">
      <c r="A19" s="303" t="s">
        <v>26</v>
      </c>
      <c r="B19" s="304" t="s">
        <v>10</v>
      </c>
      <c r="C19" s="304">
        <v>20</v>
      </c>
      <c r="D19" s="304" t="s">
        <v>336</v>
      </c>
      <c r="E19" s="305" t="str">
        <f t="shared" ca="1" si="8"/>
        <v>R</v>
      </c>
      <c r="F19" s="306"/>
      <c r="G19" s="307">
        <f t="shared" ca="1" si="1"/>
        <v>50</v>
      </c>
      <c r="H19" s="250"/>
      <c r="I19" s="321"/>
      <c r="K19" s="321"/>
      <c r="N19" s="321"/>
      <c r="O19" s="240"/>
      <c r="Q19" s="321"/>
      <c r="T19" s="321"/>
      <c r="W19" s="321"/>
      <c r="AE19" s="254"/>
      <c r="AF19" s="236">
        <f t="shared" si="2"/>
        <v>0</v>
      </c>
      <c r="AG19" s="236" t="str">
        <f t="shared" ca="1" si="3"/>
        <v/>
      </c>
      <c r="AH19" s="236" t="str">
        <f t="shared" ca="1" si="18"/>
        <v/>
      </c>
      <c r="AJ19" s="236">
        <f t="shared" ca="1" si="19"/>
        <v>19</v>
      </c>
      <c r="AK19" s="236" t="str">
        <f t="shared" ca="1" si="20"/>
        <v>A-</v>
      </c>
      <c r="AL19" s="236">
        <f t="shared" ca="1" si="20"/>
        <v>20</v>
      </c>
      <c r="AM19" s="236" t="str">
        <f t="shared" ca="1" si="4"/>
        <v/>
      </c>
      <c r="AQ19" s="286" t="s">
        <v>18</v>
      </c>
      <c r="AR19" s="286" t="s">
        <v>16</v>
      </c>
      <c r="AS19" s="286">
        <v>19</v>
      </c>
      <c r="AT19" s="286" t="s">
        <v>86</v>
      </c>
      <c r="AV19" s="234">
        <f t="shared" si="21"/>
        <v>15</v>
      </c>
      <c r="AW19" s="234">
        <f>COUNTIF( AV$7:AV19, AV19 )</f>
        <v>6</v>
      </c>
      <c r="AX19" s="287">
        <f t="shared" si="22"/>
        <v>15.6</v>
      </c>
      <c r="AY19" s="234">
        <f t="shared" si="23"/>
        <v>20</v>
      </c>
      <c r="AZ19" s="236"/>
      <c r="BA19" s="236"/>
      <c r="BC19" s="234">
        <f t="shared" ca="1" si="24"/>
        <v>13</v>
      </c>
      <c r="BD19" s="288">
        <f t="shared" ca="1" si="6"/>
        <v>48</v>
      </c>
      <c r="BF19" s="240" t="str">
        <f t="shared" ca="1" si="7"/>
        <v>Wisconsin Energy Corporation</v>
      </c>
      <c r="BG19" s="240" t="str">
        <f t="shared" ca="1" si="7"/>
        <v>A-</v>
      </c>
      <c r="BH19" s="240">
        <f t="shared" ca="1" si="7"/>
        <v>20</v>
      </c>
      <c r="BI19" s="240" t="str">
        <f t="shared" ca="1" si="7"/>
        <v>WEC</v>
      </c>
    </row>
    <row r="20" spans="1:61" x14ac:dyDescent="0.2">
      <c r="A20" s="303" t="s">
        <v>258</v>
      </c>
      <c r="B20" s="304" t="s">
        <v>10</v>
      </c>
      <c r="C20" s="304">
        <v>20</v>
      </c>
      <c r="D20" s="304" t="s">
        <v>338</v>
      </c>
      <c r="E20" s="305" t="str">
        <f t="shared" ca="1" si="8"/>
        <v>R</v>
      </c>
      <c r="F20" s="306"/>
      <c r="G20" s="307">
        <f t="shared" ca="1" si="1"/>
        <v>52</v>
      </c>
      <c r="H20" s="250"/>
      <c r="I20" s="322"/>
      <c r="K20" s="322"/>
      <c r="N20" s="322"/>
      <c r="O20" s="240"/>
      <c r="Q20" s="322"/>
      <c r="T20" s="322"/>
      <c r="W20" s="322"/>
      <c r="AE20" s="254"/>
      <c r="AF20" s="236">
        <f t="shared" si="2"/>
        <v>0</v>
      </c>
      <c r="AG20" s="236" t="str">
        <f t="shared" ca="1" si="3"/>
        <v/>
      </c>
      <c r="AH20" s="236" t="str">
        <f t="shared" ca="1" si="18"/>
        <v/>
      </c>
      <c r="AJ20" s="236">
        <f t="shared" ca="1" si="19"/>
        <v>20</v>
      </c>
      <c r="AK20" s="236" t="str">
        <f t="shared" ca="1" si="20"/>
        <v>A-</v>
      </c>
      <c r="AL20" s="236">
        <f t="shared" ca="1" si="20"/>
        <v>20</v>
      </c>
      <c r="AM20" s="236" t="str">
        <f t="shared" ca="1" si="4"/>
        <v/>
      </c>
      <c r="AQ20" s="286" t="s">
        <v>64</v>
      </c>
      <c r="AR20" s="286" t="s">
        <v>61</v>
      </c>
      <c r="AS20" s="286">
        <v>15</v>
      </c>
      <c r="AT20" s="286" t="s">
        <v>443</v>
      </c>
      <c r="AV20" s="234">
        <f t="shared" si="21"/>
        <v>49</v>
      </c>
      <c r="AW20" s="234">
        <f>COUNTIF( AV$7:AV20, AV20 )</f>
        <v>1</v>
      </c>
      <c r="AX20" s="287">
        <f t="shared" si="22"/>
        <v>49.1</v>
      </c>
      <c r="AY20" s="234">
        <f t="shared" si="23"/>
        <v>49</v>
      </c>
      <c r="AZ20" s="236"/>
      <c r="BA20" s="236"/>
      <c r="BC20" s="234">
        <f t="shared" ca="1" si="24"/>
        <v>14</v>
      </c>
      <c r="BD20" s="288">
        <f t="shared" ca="1" si="6"/>
        <v>49</v>
      </c>
      <c r="BF20" s="240" t="str">
        <f t="shared" ca="1" si="7"/>
        <v>Xcel Energy Inc.</v>
      </c>
      <c r="BG20" s="240" t="str">
        <f t="shared" ca="1" si="7"/>
        <v>A-</v>
      </c>
      <c r="BH20" s="240">
        <f t="shared" ca="1" si="7"/>
        <v>20</v>
      </c>
      <c r="BI20" s="240" t="str">
        <f t="shared" ca="1" si="7"/>
        <v>XEL</v>
      </c>
    </row>
    <row r="21" spans="1:61" x14ac:dyDescent="0.2">
      <c r="A21" s="303" t="s">
        <v>15</v>
      </c>
      <c r="B21" s="304" t="s">
        <v>16</v>
      </c>
      <c r="C21" s="304">
        <v>19</v>
      </c>
      <c r="D21" s="304" t="s">
        <v>277</v>
      </c>
      <c r="E21" s="305" t="str">
        <f t="shared" ca="1" si="8"/>
        <v>MR</v>
      </c>
      <c r="F21" s="306"/>
      <c r="G21" s="307">
        <f t="shared" ca="1" si="1"/>
        <v>7</v>
      </c>
      <c r="H21" s="250"/>
      <c r="I21" s="321"/>
      <c r="K21" s="321"/>
      <c r="N21" s="321"/>
      <c r="Q21" s="321"/>
      <c r="T21" s="321"/>
      <c r="W21" s="321"/>
      <c r="AE21" s="254"/>
      <c r="AF21" s="236">
        <f t="shared" si="2"/>
        <v>1</v>
      </c>
      <c r="AG21" s="236" t="str">
        <f t="shared" ca="1" si="3"/>
        <v/>
      </c>
      <c r="AH21" s="236" t="str">
        <f t="shared" ca="1" si="18"/>
        <v/>
      </c>
      <c r="AJ21" s="236">
        <f t="shared" ca="1" si="19"/>
        <v>21</v>
      </c>
      <c r="AK21" s="236" t="str">
        <f t="shared" ca="1" si="20"/>
        <v>BBB+</v>
      </c>
      <c r="AL21" s="236">
        <f t="shared" ca="1" si="20"/>
        <v>19</v>
      </c>
      <c r="AM21" s="236" t="str">
        <f t="shared" ca="1" si="4"/>
        <v/>
      </c>
      <c r="AQ21" s="286" t="s">
        <v>31</v>
      </c>
      <c r="AR21" s="286" t="s">
        <v>16</v>
      </c>
      <c r="AS21" s="286">
        <v>19</v>
      </c>
      <c r="AT21" s="286" t="s">
        <v>289</v>
      </c>
      <c r="AV21" s="234">
        <f t="shared" si="21"/>
        <v>15</v>
      </c>
      <c r="AW21" s="234">
        <f>COUNTIF( AV$7:AV21, AV21 )</f>
        <v>7</v>
      </c>
      <c r="AX21" s="287">
        <f t="shared" si="22"/>
        <v>15.7</v>
      </c>
      <c r="AY21" s="234">
        <f t="shared" si="23"/>
        <v>21</v>
      </c>
      <c r="AZ21" s="236"/>
      <c r="BA21" s="236"/>
      <c r="BC21" s="234">
        <f t="shared" ca="1" si="24"/>
        <v>15</v>
      </c>
      <c r="BD21" s="288">
        <f t="shared" ca="1" si="6"/>
        <v>1</v>
      </c>
      <c r="BF21" s="240" t="str">
        <f t="shared" ca="1" si="7"/>
        <v>ALLETE, Inc.</v>
      </c>
      <c r="BG21" s="240" t="str">
        <f t="shared" ca="1" si="7"/>
        <v>BBB+</v>
      </c>
      <c r="BH21" s="240">
        <f t="shared" ca="1" si="7"/>
        <v>19</v>
      </c>
      <c r="BI21" s="240" t="str">
        <f t="shared" ca="1" si="7"/>
        <v>ALE</v>
      </c>
    </row>
    <row r="22" spans="1:61" x14ac:dyDescent="0.2">
      <c r="A22" s="303" t="s">
        <v>9</v>
      </c>
      <c r="B22" s="304" t="s">
        <v>16</v>
      </c>
      <c r="C22" s="304">
        <v>19</v>
      </c>
      <c r="D22" s="304" t="s">
        <v>274</v>
      </c>
      <c r="E22" s="305" t="str">
        <f t="shared" ca="1" si="8"/>
        <v>R</v>
      </c>
      <c r="F22" s="306"/>
      <c r="G22" s="307">
        <f t="shared" ca="1" si="1"/>
        <v>9</v>
      </c>
      <c r="H22" s="250"/>
      <c r="I22" s="321"/>
      <c r="K22" s="321"/>
      <c r="N22" s="321"/>
      <c r="Q22" s="321"/>
      <c r="T22" s="321"/>
      <c r="W22" s="321"/>
      <c r="AE22" s="254"/>
      <c r="AF22" s="236">
        <f t="shared" si="2"/>
        <v>1</v>
      </c>
      <c r="AG22" s="236" t="str">
        <f t="shared" ca="1" si="3"/>
        <v/>
      </c>
      <c r="AH22" s="236" t="str">
        <f t="shared" ca="1" si="18"/>
        <v/>
      </c>
      <c r="AJ22" s="236">
        <f t="shared" ca="1" si="19"/>
        <v>22</v>
      </c>
      <c r="AK22" s="236" t="str">
        <f t="shared" ca="1" si="20"/>
        <v>BBB+</v>
      </c>
      <c r="AL22" s="236">
        <f t="shared" ca="1" si="20"/>
        <v>19</v>
      </c>
      <c r="AM22" s="236" t="str">
        <f t="shared" ca="1" si="4"/>
        <v/>
      </c>
      <c r="AQ22" s="286" t="s">
        <v>32</v>
      </c>
      <c r="AR22" s="286" t="s">
        <v>10</v>
      </c>
      <c r="AS22" s="286">
        <v>20</v>
      </c>
      <c r="AT22" s="286" t="s">
        <v>290</v>
      </c>
      <c r="AV22" s="234">
        <f t="shared" si="21"/>
        <v>3</v>
      </c>
      <c r="AW22" s="234">
        <f>COUNTIF( AV$7:AV22, AV22 )</f>
        <v>4</v>
      </c>
      <c r="AX22" s="287">
        <f t="shared" si="22"/>
        <v>3.4</v>
      </c>
      <c r="AY22" s="234">
        <f t="shared" si="23"/>
        <v>6</v>
      </c>
      <c r="AZ22" s="236"/>
      <c r="BA22" s="236"/>
      <c r="BC22" s="234">
        <f t="shared" ca="1" si="24"/>
        <v>16</v>
      </c>
      <c r="BD22" s="288">
        <f t="shared" ca="1" si="6"/>
        <v>3</v>
      </c>
      <c r="BF22" s="240" t="str">
        <f t="shared" ca="1" si="7"/>
        <v>Ameren Corporation</v>
      </c>
      <c r="BG22" s="240" t="str">
        <f t="shared" ca="1" si="7"/>
        <v>BBB+</v>
      </c>
      <c r="BH22" s="240">
        <f t="shared" ca="1" si="7"/>
        <v>19</v>
      </c>
      <c r="BI22" s="240" t="str">
        <f t="shared" ca="1" si="7"/>
        <v>AEE</v>
      </c>
    </row>
    <row r="23" spans="1:61" x14ac:dyDescent="0.2">
      <c r="A23" s="303" t="s">
        <v>259</v>
      </c>
      <c r="B23" s="304" t="s">
        <v>16</v>
      </c>
      <c r="C23" s="304">
        <v>19</v>
      </c>
      <c r="D23" s="304" t="s">
        <v>275</v>
      </c>
      <c r="E23" s="305" t="str">
        <f t="shared" ca="1" si="8"/>
        <v>R</v>
      </c>
      <c r="F23" s="306"/>
      <c r="G23" s="307">
        <f t="shared" ca="1" si="1"/>
        <v>10</v>
      </c>
      <c r="H23" s="250"/>
      <c r="I23" s="321"/>
      <c r="K23" s="321"/>
      <c r="N23" s="321"/>
      <c r="Q23" s="321"/>
      <c r="T23" s="321"/>
      <c r="W23" s="321"/>
      <c r="AE23" s="254"/>
      <c r="AF23" s="236">
        <f t="shared" si="2"/>
        <v>1</v>
      </c>
      <c r="AG23" s="236">
        <f t="shared" ca="1" si="3"/>
        <v>1</v>
      </c>
      <c r="AH23" s="236" t="str">
        <f t="shared" ca="1" si="18"/>
        <v/>
      </c>
      <c r="AJ23" s="236">
        <f t="shared" ca="1" si="19"/>
        <v>38</v>
      </c>
      <c r="AK23" s="236" t="str">
        <f t="shared" ca="1" si="20"/>
        <v>BBB</v>
      </c>
      <c r="AL23" s="236">
        <f t="shared" ca="1" si="20"/>
        <v>18</v>
      </c>
      <c r="AM23" s="236" t="str">
        <f t="shared" ca="1" si="4"/>
        <v>Change</v>
      </c>
      <c r="AQ23" s="286" t="s">
        <v>57</v>
      </c>
      <c r="AR23" s="286" t="s">
        <v>16</v>
      </c>
      <c r="AS23" s="286">
        <v>19</v>
      </c>
      <c r="AT23" s="286" t="s">
        <v>296</v>
      </c>
      <c r="AV23" s="234">
        <f t="shared" si="21"/>
        <v>15</v>
      </c>
      <c r="AW23" s="234">
        <f>COUNTIF( AV$7:AV23, AV23 )</f>
        <v>8</v>
      </c>
      <c r="AX23" s="287">
        <f t="shared" si="22"/>
        <v>15.8</v>
      </c>
      <c r="AY23" s="234">
        <f t="shared" si="23"/>
        <v>22</v>
      </c>
      <c r="AZ23" s="236"/>
      <c r="BA23" s="236"/>
      <c r="BC23" s="234">
        <f t="shared" ca="1" si="24"/>
        <v>17</v>
      </c>
      <c r="BD23" s="288">
        <f t="shared" ca="1" si="6"/>
        <v>4</v>
      </c>
      <c r="BF23" s="240" t="str">
        <f t="shared" ca="1" si="7"/>
        <v>American Electric Power Company, Inc.</v>
      </c>
      <c r="BG23" s="240" t="str">
        <f t="shared" ca="1" si="7"/>
        <v>BBB+</v>
      </c>
      <c r="BH23" s="240">
        <f t="shared" ca="1" si="7"/>
        <v>19</v>
      </c>
      <c r="BI23" s="240" t="str">
        <f t="shared" ca="1" si="7"/>
        <v>AEP</v>
      </c>
    </row>
    <row r="24" spans="1:61" x14ac:dyDescent="0.2">
      <c r="A24" s="303" t="s">
        <v>532</v>
      </c>
      <c r="B24" s="304" t="s">
        <v>16</v>
      </c>
      <c r="C24" s="304">
        <v>19</v>
      </c>
      <c r="D24" s="304" t="s">
        <v>530</v>
      </c>
      <c r="E24" s="305" t="str">
        <f t="shared" ca="1" si="8"/>
        <v>MR</v>
      </c>
      <c r="F24" s="306"/>
      <c r="G24" s="307">
        <f t="shared" ca="1" si="1"/>
        <v>11</v>
      </c>
      <c r="H24" s="250"/>
      <c r="I24" s="321"/>
      <c r="J24" s="262"/>
      <c r="K24" s="321"/>
      <c r="N24" s="321"/>
      <c r="Q24" s="321"/>
      <c r="T24" s="321"/>
      <c r="W24" s="321"/>
      <c r="AE24" s="254"/>
      <c r="AF24" s="236">
        <f t="shared" si="2"/>
        <v>1</v>
      </c>
      <c r="AG24" s="236" t="str">
        <f t="shared" ca="1" si="3"/>
        <v/>
      </c>
      <c r="AH24" s="236" t="str">
        <f t="shared" ca="1" si="18"/>
        <v/>
      </c>
      <c r="AJ24" s="236">
        <f t="shared" ca="1" si="19"/>
        <v>23</v>
      </c>
      <c r="AK24" s="236" t="str">
        <f t="shared" ca="1" si="20"/>
        <v>BBB+</v>
      </c>
      <c r="AL24" s="236">
        <f t="shared" ca="1" si="20"/>
        <v>19</v>
      </c>
      <c r="AM24" s="236" t="str">
        <f t="shared" ca="1" si="4"/>
        <v/>
      </c>
      <c r="AQ24" s="286" t="s">
        <v>34</v>
      </c>
      <c r="AR24" s="286" t="s">
        <v>28</v>
      </c>
      <c r="AS24" s="286">
        <v>18</v>
      </c>
      <c r="AT24" s="286" t="s">
        <v>294</v>
      </c>
      <c r="AV24" s="234">
        <f t="shared" si="21"/>
        <v>35</v>
      </c>
      <c r="AW24" s="234">
        <f>COUNTIF( AV$7:AV24, AV24 )</f>
        <v>3</v>
      </c>
      <c r="AX24" s="287">
        <f t="shared" si="22"/>
        <v>35.299999999999997</v>
      </c>
      <c r="AY24" s="234">
        <f t="shared" si="23"/>
        <v>37</v>
      </c>
      <c r="AZ24" s="236"/>
      <c r="BA24" s="236"/>
      <c r="BC24" s="234">
        <f t="shared" ca="1" si="24"/>
        <v>18</v>
      </c>
      <c r="BD24" s="288">
        <f t="shared" ca="1" si="6"/>
        <v>5</v>
      </c>
      <c r="BF24" s="240" t="str">
        <f t="shared" ca="1" si="7"/>
        <v>AVANGRID, Inc.</v>
      </c>
      <c r="BG24" s="240" t="str">
        <f t="shared" ca="1" si="7"/>
        <v>BBB+</v>
      </c>
      <c r="BH24" s="240">
        <f t="shared" ca="1" si="7"/>
        <v>19</v>
      </c>
      <c r="BI24" s="240" t="str">
        <f t="shared" ca="1" si="7"/>
        <v>AGR</v>
      </c>
    </row>
    <row r="25" spans="1:61" x14ac:dyDescent="0.2">
      <c r="A25" s="303" t="s">
        <v>60</v>
      </c>
      <c r="B25" s="304" t="s">
        <v>16</v>
      </c>
      <c r="C25" s="304">
        <v>19</v>
      </c>
      <c r="D25" s="304" t="s">
        <v>284</v>
      </c>
      <c r="E25" s="305" t="str">
        <f t="shared" ca="1" si="8"/>
        <v>R</v>
      </c>
      <c r="F25" s="306"/>
      <c r="G25" s="307">
        <f t="shared" ca="1" si="1"/>
        <v>16</v>
      </c>
      <c r="H25" s="250"/>
      <c r="I25" s="321"/>
      <c r="J25" s="262"/>
      <c r="K25" s="321"/>
      <c r="N25" s="321"/>
      <c r="Q25" s="321"/>
      <c r="T25" s="321"/>
      <c r="W25" s="321"/>
      <c r="AE25" s="254"/>
      <c r="AF25" s="236">
        <f t="shared" si="2"/>
        <v>1</v>
      </c>
      <c r="AG25" s="236" t="str">
        <f t="shared" ca="1" si="3"/>
        <v/>
      </c>
      <c r="AH25" s="236" t="str">
        <f t="shared" ca="1" si="18"/>
        <v/>
      </c>
      <c r="AJ25" s="236">
        <f t="shared" ca="1" si="19"/>
        <v>24</v>
      </c>
      <c r="AK25" s="236" t="str">
        <f t="shared" ca="1" si="20"/>
        <v>BBB+</v>
      </c>
      <c r="AL25" s="236">
        <f t="shared" ca="1" si="20"/>
        <v>19</v>
      </c>
      <c r="AM25" s="236" t="str">
        <f t="shared" ca="1" si="4"/>
        <v/>
      </c>
      <c r="AQ25" s="286" t="s">
        <v>35</v>
      </c>
      <c r="AR25" s="286" t="s">
        <v>28</v>
      </c>
      <c r="AS25" s="286">
        <v>18</v>
      </c>
      <c r="AT25" s="286" t="s">
        <v>293</v>
      </c>
      <c r="AV25" s="234">
        <f t="shared" si="21"/>
        <v>35</v>
      </c>
      <c r="AW25" s="234">
        <f>COUNTIF( AV$7:AV25, AV25 )</f>
        <v>4</v>
      </c>
      <c r="AX25" s="287">
        <f t="shared" si="22"/>
        <v>35.4</v>
      </c>
      <c r="AY25" s="234">
        <f t="shared" si="23"/>
        <v>38</v>
      </c>
      <c r="AZ25" s="236"/>
      <c r="BA25" s="236"/>
      <c r="BC25" s="234">
        <f t="shared" ca="1" si="24"/>
        <v>19</v>
      </c>
      <c r="BD25" s="288">
        <f t="shared" ca="1" si="6"/>
        <v>11</v>
      </c>
      <c r="BF25" s="240" t="str">
        <f t="shared" ca="1" si="7"/>
        <v>CMS Energy Corporation</v>
      </c>
      <c r="BG25" s="240" t="str">
        <f t="shared" ca="1" si="7"/>
        <v>BBB+</v>
      </c>
      <c r="BH25" s="240">
        <f t="shared" ca="1" si="7"/>
        <v>19</v>
      </c>
      <c r="BI25" s="240" t="str">
        <f t="shared" ca="1" si="7"/>
        <v>CMS</v>
      </c>
    </row>
    <row r="26" spans="1:61" x14ac:dyDescent="0.2">
      <c r="A26" s="303" t="s">
        <v>18</v>
      </c>
      <c r="B26" s="304" t="s">
        <v>16</v>
      </c>
      <c r="C26" s="304">
        <v>19</v>
      </c>
      <c r="D26" s="304" t="s">
        <v>86</v>
      </c>
      <c r="E26" s="305" t="str">
        <f t="shared" ca="1" si="8"/>
        <v>MR</v>
      </c>
      <c r="F26" s="306"/>
      <c r="G26" s="307">
        <f t="shared" ca="1" si="1"/>
        <v>18</v>
      </c>
      <c r="H26" s="250"/>
      <c r="I26" s="321"/>
      <c r="J26" s="262"/>
      <c r="K26" s="321"/>
      <c r="N26" s="321"/>
      <c r="Q26" s="321"/>
      <c r="T26" s="321"/>
      <c r="W26" s="321"/>
      <c r="AE26" s="254"/>
      <c r="AF26" s="236">
        <f t="shared" si="2"/>
        <v>1</v>
      </c>
      <c r="AG26" s="236" t="str">
        <f t="shared" ca="1" si="3"/>
        <v/>
      </c>
      <c r="AH26" s="236" t="str">
        <f t="shared" ca="1" si="18"/>
        <v/>
      </c>
      <c r="AJ26" s="236">
        <f t="shared" ca="1" si="19"/>
        <v>25</v>
      </c>
      <c r="AK26" s="236" t="str">
        <f t="shared" ca="1" si="20"/>
        <v>BBB+</v>
      </c>
      <c r="AL26" s="236">
        <f t="shared" ca="1" si="20"/>
        <v>19</v>
      </c>
      <c r="AM26" s="236" t="str">
        <f t="shared" ca="1" si="4"/>
        <v/>
      </c>
      <c r="AQ26" s="286" t="s">
        <v>36</v>
      </c>
      <c r="AR26" s="286" t="s">
        <v>16</v>
      </c>
      <c r="AS26" s="286">
        <v>19</v>
      </c>
      <c r="AT26" s="286" t="s">
        <v>297</v>
      </c>
      <c r="AV26" s="234">
        <f t="shared" si="21"/>
        <v>15</v>
      </c>
      <c r="AW26" s="234">
        <f>COUNTIF( AV$7:AV26, AV26 )</f>
        <v>9</v>
      </c>
      <c r="AX26" s="287">
        <f t="shared" si="22"/>
        <v>15.9</v>
      </c>
      <c r="AY26" s="234">
        <f t="shared" si="23"/>
        <v>23</v>
      </c>
      <c r="AZ26" s="236"/>
      <c r="BA26" s="236"/>
      <c r="BC26" s="234">
        <f t="shared" ca="1" si="24"/>
        <v>20</v>
      </c>
      <c r="BD26" s="288">
        <f t="shared" ca="1" si="6"/>
        <v>13</v>
      </c>
      <c r="BF26" s="240" t="str">
        <f t="shared" ca="1" si="7"/>
        <v>Dominion Resources, Inc.</v>
      </c>
      <c r="BG26" s="240" t="str">
        <f t="shared" ca="1" si="7"/>
        <v>BBB+</v>
      </c>
      <c r="BH26" s="240">
        <f t="shared" ca="1" si="7"/>
        <v>19</v>
      </c>
      <c r="BI26" s="240" t="str">
        <f t="shared" ca="1" si="7"/>
        <v>D</v>
      </c>
    </row>
    <row r="27" spans="1:61" x14ac:dyDescent="0.2">
      <c r="A27" s="303" t="s">
        <v>31</v>
      </c>
      <c r="B27" s="304" t="s">
        <v>16</v>
      </c>
      <c r="C27" s="304">
        <v>19</v>
      </c>
      <c r="D27" s="304" t="s">
        <v>289</v>
      </c>
      <c r="E27" s="305" t="str">
        <f t="shared" ca="1" si="8"/>
        <v>R</v>
      </c>
      <c r="F27" s="306"/>
      <c r="G27" s="307">
        <f t="shared" ca="1" si="1"/>
        <v>19</v>
      </c>
      <c r="H27" s="250"/>
      <c r="I27" s="321"/>
      <c r="J27" s="262"/>
      <c r="K27" s="321"/>
      <c r="N27" s="321"/>
      <c r="Q27" s="321"/>
      <c r="T27" s="321"/>
      <c r="W27" s="321"/>
      <c r="AE27" s="254"/>
      <c r="AF27" s="236">
        <f t="shared" si="2"/>
        <v>1</v>
      </c>
      <c r="AG27" s="236" t="str">
        <f t="shared" ca="1" si="3"/>
        <v/>
      </c>
      <c r="AH27" s="236" t="str">
        <f t="shared" ca="1" si="18"/>
        <v/>
      </c>
      <c r="AJ27" s="236">
        <f t="shared" ca="1" si="19"/>
        <v>26</v>
      </c>
      <c r="AK27" s="236" t="str">
        <f t="shared" ca="1" si="20"/>
        <v>BBB+</v>
      </c>
      <c r="AL27" s="236">
        <f t="shared" ca="1" si="20"/>
        <v>19</v>
      </c>
      <c r="AM27" s="236" t="str">
        <f t="shared" ca="1" si="4"/>
        <v/>
      </c>
      <c r="AQ27" s="286" t="s">
        <v>516</v>
      </c>
      <c r="AR27" s="286" t="s">
        <v>2</v>
      </c>
      <c r="AS27" s="286">
        <v>21</v>
      </c>
      <c r="AT27" s="286" t="s">
        <v>512</v>
      </c>
      <c r="AV27" s="234">
        <f t="shared" si="21"/>
        <v>1</v>
      </c>
      <c r="AW27" s="234">
        <f>COUNTIF( AV$7:AV27, AV27 )</f>
        <v>2</v>
      </c>
      <c r="AX27" s="287">
        <f t="shared" si="22"/>
        <v>1.2</v>
      </c>
      <c r="AY27" s="234">
        <f t="shared" si="23"/>
        <v>2</v>
      </c>
      <c r="AZ27" s="236"/>
      <c r="BA27" s="236"/>
      <c r="BC27" s="234">
        <f t="shared" ca="1" si="24"/>
        <v>21</v>
      </c>
      <c r="BD27" s="288">
        <f t="shared" ca="1" si="6"/>
        <v>15</v>
      </c>
      <c r="BF27" s="240" t="str">
        <f t="shared" ca="1" si="7"/>
        <v>DTE Energy Company</v>
      </c>
      <c r="BG27" s="240" t="str">
        <f t="shared" ca="1" si="7"/>
        <v>BBB+</v>
      </c>
      <c r="BH27" s="240">
        <f t="shared" ca="1" si="7"/>
        <v>19</v>
      </c>
      <c r="BI27" s="240" t="str">
        <f t="shared" ca="1" si="7"/>
        <v>DTE</v>
      </c>
    </row>
    <row r="28" spans="1:61" x14ac:dyDescent="0.2">
      <c r="A28" s="303" t="s">
        <v>57</v>
      </c>
      <c r="B28" s="304" t="s">
        <v>16</v>
      </c>
      <c r="C28" s="304">
        <v>19</v>
      </c>
      <c r="D28" s="304" t="s">
        <v>296</v>
      </c>
      <c r="E28" s="305" t="str">
        <f t="shared" ca="1" si="8"/>
        <v>R</v>
      </c>
      <c r="F28" s="306"/>
      <c r="G28" s="307">
        <f t="shared" ca="1" si="1"/>
        <v>21</v>
      </c>
      <c r="H28" s="250"/>
      <c r="I28" s="321"/>
      <c r="J28" s="262"/>
      <c r="K28" s="321"/>
      <c r="N28" s="321"/>
      <c r="Q28" s="321"/>
      <c r="T28" s="321"/>
      <c r="W28" s="321"/>
      <c r="AE28" s="245"/>
      <c r="AF28" s="236">
        <f t="shared" si="2"/>
        <v>1</v>
      </c>
      <c r="AG28" s="236" t="str">
        <f t="shared" ca="1" si="3"/>
        <v/>
      </c>
      <c r="AH28" s="236" t="str">
        <f t="shared" ca="1" si="18"/>
        <v/>
      </c>
      <c r="AJ28" s="236">
        <f t="shared" ca="1" si="19"/>
        <v>27</v>
      </c>
      <c r="AK28" s="236" t="str">
        <f t="shared" ca="1" si="20"/>
        <v>BBB+</v>
      </c>
      <c r="AL28" s="236">
        <f t="shared" ca="1" si="20"/>
        <v>19</v>
      </c>
      <c r="AM28" s="236" t="str">
        <f t="shared" ca="1" si="4"/>
        <v/>
      </c>
      <c r="AQ28" s="286" t="s">
        <v>11</v>
      </c>
      <c r="AR28" s="286" t="s">
        <v>28</v>
      </c>
      <c r="AS28" s="286">
        <v>18</v>
      </c>
      <c r="AT28" s="286" t="s">
        <v>298</v>
      </c>
      <c r="AV28" s="234">
        <f t="shared" si="21"/>
        <v>35</v>
      </c>
      <c r="AW28" s="234">
        <f>COUNTIF( AV$7:AV28, AV28 )</f>
        <v>5</v>
      </c>
      <c r="AX28" s="287">
        <f t="shared" si="22"/>
        <v>35.5</v>
      </c>
      <c r="AY28" s="234">
        <f t="shared" si="23"/>
        <v>39</v>
      </c>
      <c r="AZ28" s="236"/>
      <c r="BA28" s="236"/>
      <c r="BC28" s="234">
        <f t="shared" ca="1" si="24"/>
        <v>22</v>
      </c>
      <c r="BD28" s="288">
        <f t="shared" ca="1" si="6"/>
        <v>17</v>
      </c>
      <c r="BF28" s="240" t="str">
        <f t="shared" ca="1" si="7"/>
        <v>Edison International</v>
      </c>
      <c r="BG28" s="240" t="str">
        <f t="shared" ca="1" si="7"/>
        <v>BBB+</v>
      </c>
      <c r="BH28" s="240">
        <f t="shared" ca="1" si="7"/>
        <v>19</v>
      </c>
      <c r="BI28" s="240" t="str">
        <f t="shared" ca="1" si="7"/>
        <v>EIX</v>
      </c>
    </row>
    <row r="29" spans="1:61" x14ac:dyDescent="0.2">
      <c r="A29" s="303" t="s">
        <v>36</v>
      </c>
      <c r="B29" s="304" t="s">
        <v>16</v>
      </c>
      <c r="C29" s="304">
        <v>19</v>
      </c>
      <c r="D29" s="304" t="s">
        <v>297</v>
      </c>
      <c r="E29" s="305" t="str">
        <f t="shared" ca="1" si="8"/>
        <v>R</v>
      </c>
      <c r="F29" s="306"/>
      <c r="G29" s="307">
        <f t="shared" ca="1" si="1"/>
        <v>24</v>
      </c>
      <c r="H29" s="250"/>
      <c r="I29" s="321"/>
      <c r="J29" s="262"/>
      <c r="K29" s="321"/>
      <c r="N29" s="321"/>
      <c r="Q29" s="321"/>
      <c r="T29" s="321"/>
      <c r="W29" s="321"/>
      <c r="AF29" s="236">
        <f t="shared" si="2"/>
        <v>1</v>
      </c>
      <c r="AG29" s="236">
        <f t="shared" ca="1" si="3"/>
        <v>1</v>
      </c>
      <c r="AH29" s="236" t="str">
        <f t="shared" ca="1" si="18"/>
        <v/>
      </c>
      <c r="AJ29" s="236">
        <f t="shared" ca="1" si="19"/>
        <v>43</v>
      </c>
      <c r="AK29" s="236" t="str">
        <f t="shared" ca="1" si="20"/>
        <v>BBB</v>
      </c>
      <c r="AL29" s="236">
        <f t="shared" ca="1" si="20"/>
        <v>18</v>
      </c>
      <c r="AM29" s="236" t="str">
        <f t="shared" ca="1" si="4"/>
        <v>Change</v>
      </c>
      <c r="AQ29" s="286" t="s">
        <v>51</v>
      </c>
      <c r="AR29" s="286" t="s">
        <v>49</v>
      </c>
      <c r="AS29" s="286">
        <v>17</v>
      </c>
      <c r="AT29" s="286" t="s">
        <v>299</v>
      </c>
      <c r="AV29" s="234">
        <f t="shared" si="21"/>
        <v>44</v>
      </c>
      <c r="AW29" s="234">
        <f>COUNTIF( AV$7:AV29, AV29 )</f>
        <v>2</v>
      </c>
      <c r="AX29" s="287">
        <f t="shared" si="22"/>
        <v>44.2</v>
      </c>
      <c r="AY29" s="234">
        <f t="shared" si="23"/>
        <v>45</v>
      </c>
      <c r="AZ29" s="236"/>
      <c r="BA29" s="236"/>
      <c r="BC29" s="234">
        <f t="shared" ca="1" si="24"/>
        <v>23</v>
      </c>
      <c r="BD29" s="288">
        <f t="shared" ca="1" si="6"/>
        <v>20</v>
      </c>
      <c r="BF29" s="240" t="str">
        <f t="shared" ca="1" si="7"/>
        <v>Entergy Corporation</v>
      </c>
      <c r="BG29" s="240" t="str">
        <f t="shared" ca="1" si="7"/>
        <v>BBB+</v>
      </c>
      <c r="BH29" s="240">
        <f t="shared" ca="1" si="7"/>
        <v>19</v>
      </c>
      <c r="BI29" s="240" t="str">
        <f t="shared" ca="1" si="7"/>
        <v>ETR</v>
      </c>
    </row>
    <row r="30" spans="1:61" x14ac:dyDescent="0.2">
      <c r="A30" s="303" t="s">
        <v>261</v>
      </c>
      <c r="B30" s="304" t="s">
        <v>16</v>
      </c>
      <c r="C30" s="304">
        <v>19</v>
      </c>
      <c r="D30" s="304" t="s">
        <v>301</v>
      </c>
      <c r="E30" s="305" t="str">
        <f t="shared" ca="1" si="8"/>
        <v>R</v>
      </c>
      <c r="F30" s="306"/>
      <c r="G30" s="307">
        <f t="shared" ca="1" si="1"/>
        <v>28</v>
      </c>
      <c r="H30" s="250"/>
      <c r="I30" s="321"/>
      <c r="J30" s="262"/>
      <c r="K30" s="321"/>
      <c r="N30" s="321"/>
      <c r="Q30" s="321"/>
      <c r="T30" s="321"/>
      <c r="W30" s="321"/>
      <c r="AF30" s="236">
        <f t="shared" si="2"/>
        <v>1</v>
      </c>
      <c r="AG30" s="236" t="str">
        <f t="shared" ca="1" si="3"/>
        <v/>
      </c>
      <c r="AH30" s="236" t="str">
        <f t="shared" ca="1" si="18"/>
        <v/>
      </c>
      <c r="AJ30" s="236">
        <f t="shared" ca="1" si="19"/>
        <v>28</v>
      </c>
      <c r="AK30" s="236" t="str">
        <f t="shared" ca="1" si="20"/>
        <v>BBB+</v>
      </c>
      <c r="AL30" s="236">
        <f t="shared" ca="1" si="20"/>
        <v>19</v>
      </c>
      <c r="AM30" s="236" t="str">
        <f t="shared" ca="1" si="4"/>
        <v/>
      </c>
      <c r="AQ30" s="286" t="s">
        <v>261</v>
      </c>
      <c r="AR30" s="286" t="s">
        <v>16</v>
      </c>
      <c r="AS30" s="286">
        <v>19</v>
      </c>
      <c r="AT30" s="286" t="s">
        <v>301</v>
      </c>
      <c r="AV30" s="234">
        <f t="shared" si="21"/>
        <v>15</v>
      </c>
      <c r="AW30" s="234">
        <f>COUNTIF( AV$7:AV30, AV30 )</f>
        <v>10</v>
      </c>
      <c r="AX30" s="287">
        <f t="shared" si="22"/>
        <v>16</v>
      </c>
      <c r="AY30" s="234">
        <f t="shared" si="23"/>
        <v>24</v>
      </c>
      <c r="AZ30" s="236"/>
      <c r="BA30" s="236"/>
      <c r="BC30" s="234">
        <f t="shared" ca="1" si="24"/>
        <v>24</v>
      </c>
      <c r="BD30" s="288">
        <f t="shared" ca="1" si="6"/>
        <v>24</v>
      </c>
      <c r="BF30" s="240" t="str">
        <f t="shared" ca="1" si="7"/>
        <v>Great Plains Energy Inc.</v>
      </c>
      <c r="BG30" s="240" t="str">
        <f t="shared" ca="1" si="7"/>
        <v>BBB+</v>
      </c>
      <c r="BH30" s="240">
        <f t="shared" ca="1" si="7"/>
        <v>19</v>
      </c>
      <c r="BI30" s="240" t="str">
        <f t="shared" ca="1" si="7"/>
        <v>GXP</v>
      </c>
    </row>
    <row r="31" spans="1:61" x14ac:dyDescent="0.2">
      <c r="A31" s="303" t="s">
        <v>12</v>
      </c>
      <c r="B31" s="304" t="s">
        <v>16</v>
      </c>
      <c r="C31" s="304">
        <v>19</v>
      </c>
      <c r="D31" s="304" t="s">
        <v>309</v>
      </c>
      <c r="E31" s="305" t="str">
        <f t="shared" ca="1" si="8"/>
        <v>MR</v>
      </c>
      <c r="F31" s="306"/>
      <c r="G31" s="307">
        <f t="shared" ca="1" si="1"/>
        <v>31</v>
      </c>
      <c r="H31" s="250"/>
      <c r="I31" s="321"/>
      <c r="J31" s="262"/>
      <c r="K31" s="321"/>
      <c r="N31" s="321"/>
      <c r="O31" s="253"/>
      <c r="Q31" s="321"/>
      <c r="T31" s="321"/>
      <c r="W31" s="321"/>
      <c r="AF31" s="236">
        <f t="shared" si="2"/>
        <v>1</v>
      </c>
      <c r="AG31" s="236" t="str">
        <f t="shared" ca="1" si="3"/>
        <v/>
      </c>
      <c r="AH31" s="236" t="str">
        <f t="shared" ca="1" si="18"/>
        <v/>
      </c>
      <c r="AJ31" s="236">
        <f t="shared" ca="1" si="19"/>
        <v>29</v>
      </c>
      <c r="AK31" s="236" t="str">
        <f t="shared" ca="1" si="20"/>
        <v>BBB+</v>
      </c>
      <c r="AL31" s="236">
        <f t="shared" ca="1" si="20"/>
        <v>19</v>
      </c>
      <c r="AM31" s="236" t="str">
        <f t="shared" ca="1" si="4"/>
        <v/>
      </c>
      <c r="AQ31" s="286" t="s">
        <v>39</v>
      </c>
      <c r="AR31" s="286" t="s">
        <v>49</v>
      </c>
      <c r="AS31" s="286">
        <v>17</v>
      </c>
      <c r="AT31" s="286" t="s">
        <v>302</v>
      </c>
      <c r="AV31" s="234">
        <f t="shared" si="21"/>
        <v>44</v>
      </c>
      <c r="AW31" s="234">
        <f>COUNTIF( AV$7:AV31, AV31 )</f>
        <v>3</v>
      </c>
      <c r="AX31" s="287">
        <f t="shared" si="22"/>
        <v>44.3</v>
      </c>
      <c r="AY31" s="234">
        <f t="shared" si="23"/>
        <v>46</v>
      </c>
      <c r="AZ31" s="236"/>
      <c r="BA31" s="236"/>
      <c r="BC31" s="234">
        <f t="shared" ca="1" si="24"/>
        <v>25</v>
      </c>
      <c r="BD31" s="288">
        <f t="shared" ca="1" si="6"/>
        <v>28</v>
      </c>
      <c r="BF31" s="240" t="str">
        <f t="shared" ca="1" si="7"/>
        <v>MDU Resources Group, Inc.</v>
      </c>
      <c r="BG31" s="240" t="str">
        <f t="shared" ca="1" si="7"/>
        <v>BBB+</v>
      </c>
      <c r="BH31" s="240">
        <f t="shared" ca="1" si="7"/>
        <v>19</v>
      </c>
      <c r="BI31" s="240" t="str">
        <f t="shared" ca="1" si="7"/>
        <v>MDU</v>
      </c>
    </row>
    <row r="32" spans="1:61" x14ac:dyDescent="0.2">
      <c r="A32" s="303" t="s">
        <v>40</v>
      </c>
      <c r="B32" s="304" t="s">
        <v>16</v>
      </c>
      <c r="C32" s="304">
        <v>19</v>
      </c>
      <c r="D32" s="304" t="s">
        <v>311</v>
      </c>
      <c r="E32" s="305" t="str">
        <f t="shared" ca="1" si="8"/>
        <v>R</v>
      </c>
      <c r="F32" s="306"/>
      <c r="G32" s="307">
        <f t="shared" ca="1" si="1"/>
        <v>34</v>
      </c>
      <c r="H32" s="250"/>
      <c r="I32" s="321"/>
      <c r="J32" s="262"/>
      <c r="K32" s="321"/>
      <c r="N32" s="321"/>
      <c r="Q32" s="321"/>
      <c r="T32" s="321"/>
      <c r="W32" s="321"/>
      <c r="AF32" s="236">
        <f t="shared" si="2"/>
        <v>1</v>
      </c>
      <c r="AG32" s="236" t="str">
        <f t="shared" ca="1" si="3"/>
        <v/>
      </c>
      <c r="AH32" s="236" t="str">
        <f t="shared" ca="1" si="18"/>
        <v/>
      </c>
      <c r="AJ32" s="236">
        <f t="shared" ca="1" si="19"/>
        <v>30</v>
      </c>
      <c r="AK32" s="236" t="str">
        <f t="shared" ca="1" si="20"/>
        <v>BBB+</v>
      </c>
      <c r="AL32" s="236">
        <f t="shared" ca="1" si="20"/>
        <v>19</v>
      </c>
      <c r="AM32" s="236" t="str">
        <f t="shared" ca="1" si="4"/>
        <v/>
      </c>
      <c r="AQ32" s="286" t="s">
        <v>20</v>
      </c>
      <c r="AR32" s="286" t="s">
        <v>28</v>
      </c>
      <c r="AS32" s="286">
        <v>18</v>
      </c>
      <c r="AT32" s="286" t="s">
        <v>303</v>
      </c>
      <c r="AV32" s="234">
        <f t="shared" si="21"/>
        <v>35</v>
      </c>
      <c r="AW32" s="234">
        <f>COUNTIF( AV$7:AV32, AV32 )</f>
        <v>6</v>
      </c>
      <c r="AX32" s="287">
        <f t="shared" si="22"/>
        <v>35.6</v>
      </c>
      <c r="AY32" s="234">
        <f t="shared" si="23"/>
        <v>40</v>
      </c>
      <c r="AZ32" s="236"/>
      <c r="BA32" s="236"/>
      <c r="BC32" s="234">
        <f t="shared" ca="1" si="24"/>
        <v>26</v>
      </c>
      <c r="BD32" s="288">
        <f t="shared" ca="1" si="6"/>
        <v>30</v>
      </c>
      <c r="BF32" s="240" t="str">
        <f t="shared" ca="1" si="7"/>
        <v>NiSource Inc.</v>
      </c>
      <c r="BG32" s="240" t="str">
        <f t="shared" ca="1" si="7"/>
        <v>BBB+</v>
      </c>
      <c r="BH32" s="240">
        <f t="shared" ca="1" si="7"/>
        <v>19</v>
      </c>
      <c r="BI32" s="240" t="str">
        <f t="shared" ca="1" si="7"/>
        <v>NI</v>
      </c>
    </row>
    <row r="33" spans="1:61" x14ac:dyDescent="0.2">
      <c r="A33" s="303" t="s">
        <v>53</v>
      </c>
      <c r="B33" s="304" t="s">
        <v>16</v>
      </c>
      <c r="C33" s="304">
        <v>19</v>
      </c>
      <c r="D33" s="304" t="s">
        <v>318</v>
      </c>
      <c r="E33" s="305" t="str">
        <f t="shared" ca="1" si="8"/>
        <v>R</v>
      </c>
      <c r="F33" s="306"/>
      <c r="G33" s="307">
        <f t="shared" ca="1" si="1"/>
        <v>38</v>
      </c>
      <c r="H33" s="250"/>
      <c r="I33" s="321"/>
      <c r="J33" s="262"/>
      <c r="K33" s="321"/>
      <c r="N33" s="321"/>
      <c r="Q33" s="321"/>
      <c r="T33" s="321"/>
      <c r="W33" s="321"/>
      <c r="AF33" s="236">
        <f t="shared" si="2"/>
        <v>1</v>
      </c>
      <c r="AG33" s="236">
        <f t="shared" ca="1" si="3"/>
        <v>1</v>
      </c>
      <c r="AH33" s="236" t="str">
        <f t="shared" ca="1" si="18"/>
        <v/>
      </c>
      <c r="AJ33" s="236">
        <f t="shared" ca="1" si="19"/>
        <v>48</v>
      </c>
      <c r="AK33" s="236" t="str">
        <f t="shared" ca="1" si="20"/>
        <v>BBB</v>
      </c>
      <c r="AL33" s="236">
        <f t="shared" ca="1" si="20"/>
        <v>18</v>
      </c>
      <c r="AM33" s="236" t="str">
        <f t="shared" ca="1" si="4"/>
        <v>Change</v>
      </c>
      <c r="AQ33" s="286" t="s">
        <v>58</v>
      </c>
      <c r="AR33" s="286" t="s">
        <v>49</v>
      </c>
      <c r="AS33" s="286">
        <v>17</v>
      </c>
      <c r="AT33" s="286" t="s">
        <v>446</v>
      </c>
      <c r="AV33" s="234">
        <f t="shared" si="21"/>
        <v>44</v>
      </c>
      <c r="AW33" s="234">
        <f>COUNTIF( AV$7:AV33, AV33 )</f>
        <v>4</v>
      </c>
      <c r="AX33" s="287">
        <f t="shared" si="22"/>
        <v>44.4</v>
      </c>
      <c r="AY33" s="234">
        <f t="shared" si="23"/>
        <v>47</v>
      </c>
      <c r="AZ33" s="236"/>
      <c r="BA33" s="236"/>
      <c r="BC33" s="234">
        <f t="shared" ca="1" si="24"/>
        <v>27</v>
      </c>
      <c r="BD33" s="288">
        <f t="shared" ca="1" si="6"/>
        <v>34</v>
      </c>
      <c r="BF33" s="240" t="str">
        <f t="shared" ca="1" si="7"/>
        <v>PG&amp;E Corporation</v>
      </c>
      <c r="BG33" s="240" t="str">
        <f t="shared" ca="1" si="7"/>
        <v>BBB+</v>
      </c>
      <c r="BH33" s="240">
        <f t="shared" ca="1" si="7"/>
        <v>19</v>
      </c>
      <c r="BI33" s="240" t="str">
        <f t="shared" ca="1" si="7"/>
        <v>PCG</v>
      </c>
    </row>
    <row r="34" spans="1:61" x14ac:dyDescent="0.2">
      <c r="A34" s="303" t="s">
        <v>42</v>
      </c>
      <c r="B34" s="304" t="s">
        <v>16</v>
      </c>
      <c r="C34" s="304">
        <v>19</v>
      </c>
      <c r="D34" s="304" t="s">
        <v>321</v>
      </c>
      <c r="E34" s="305" t="str">
        <f t="shared" ca="1" si="8"/>
        <v>R</v>
      </c>
      <c r="F34" s="306"/>
      <c r="G34" s="307">
        <f t="shared" ca="1" si="1"/>
        <v>40</v>
      </c>
      <c r="H34" s="250"/>
      <c r="I34" s="321"/>
      <c r="J34" s="262"/>
      <c r="K34" s="321"/>
      <c r="L34" s="235"/>
      <c r="M34" s="235"/>
      <c r="N34" s="321"/>
      <c r="Q34" s="321"/>
      <c r="T34" s="321"/>
      <c r="W34" s="321"/>
      <c r="AF34" s="236">
        <f t="shared" si="2"/>
        <v>1</v>
      </c>
      <c r="AG34" s="236" t="str">
        <f t="shared" ca="1" si="3"/>
        <v/>
      </c>
      <c r="AH34" s="236" t="str">
        <f t="shared" ca="1" si="18"/>
        <v/>
      </c>
      <c r="AJ34" s="236">
        <f t="shared" ca="1" si="19"/>
        <v>31</v>
      </c>
      <c r="AK34" s="236" t="str">
        <f t="shared" ca="1" si="20"/>
        <v>BBB+</v>
      </c>
      <c r="AL34" s="236">
        <f t="shared" ca="1" si="20"/>
        <v>19</v>
      </c>
      <c r="AM34" s="236" t="str">
        <f t="shared" ca="1" si="4"/>
        <v/>
      </c>
      <c r="AQ34" s="286" t="s">
        <v>12</v>
      </c>
      <c r="AR34" s="286" t="s">
        <v>16</v>
      </c>
      <c r="AS34" s="286">
        <v>19</v>
      </c>
      <c r="AT34" s="286" t="s">
        <v>309</v>
      </c>
      <c r="AV34" s="234">
        <f t="shared" si="21"/>
        <v>15</v>
      </c>
      <c r="AW34" s="234">
        <f>COUNTIF( AV$7:AV34, AV34 )</f>
        <v>11</v>
      </c>
      <c r="AX34" s="287">
        <f t="shared" si="22"/>
        <v>16.100000000000001</v>
      </c>
      <c r="AY34" s="234">
        <f t="shared" si="23"/>
        <v>25</v>
      </c>
      <c r="AZ34" s="236"/>
      <c r="BA34" s="236"/>
      <c r="BC34" s="234">
        <f t="shared" ca="1" si="24"/>
        <v>28</v>
      </c>
      <c r="BD34" s="288">
        <f t="shared" ca="1" si="6"/>
        <v>36</v>
      </c>
      <c r="BF34" s="240" t="str">
        <f t="shared" ca="1" si="7"/>
        <v>PNM Resources, Inc.</v>
      </c>
      <c r="BG34" s="240" t="str">
        <f t="shared" ca="1" si="7"/>
        <v>BBB+</v>
      </c>
      <c r="BH34" s="240">
        <f t="shared" ca="1" si="7"/>
        <v>19</v>
      </c>
      <c r="BI34" s="240" t="str">
        <f t="shared" ca="1" si="7"/>
        <v>PNM</v>
      </c>
    </row>
    <row r="35" spans="1:61" x14ac:dyDescent="0.2">
      <c r="A35" s="303" t="s">
        <v>45</v>
      </c>
      <c r="B35" s="304" t="s">
        <v>16</v>
      </c>
      <c r="C35" s="304">
        <v>19</v>
      </c>
      <c r="D35" s="304" t="s">
        <v>319</v>
      </c>
      <c r="E35" s="305" t="str">
        <f t="shared" ca="1" si="8"/>
        <v>MR</v>
      </c>
      <c r="F35" s="306"/>
      <c r="G35" s="307">
        <f t="shared" ca="1" si="1"/>
        <v>43</v>
      </c>
      <c r="H35" s="250"/>
      <c r="I35" s="321"/>
      <c r="K35" s="321"/>
      <c r="L35" s="235"/>
      <c r="M35" s="235"/>
      <c r="N35" s="321"/>
      <c r="Q35" s="321"/>
      <c r="T35" s="321"/>
      <c r="W35" s="321"/>
      <c r="AF35" s="236">
        <f t="shared" si="2"/>
        <v>1</v>
      </c>
      <c r="AG35" s="236" t="str">
        <f t="shared" ca="1" si="3"/>
        <v/>
      </c>
      <c r="AH35" s="236" t="str">
        <f t="shared" ca="1" si="18"/>
        <v/>
      </c>
      <c r="AJ35" s="236">
        <f t="shared" ca="1" si="19"/>
        <v>32</v>
      </c>
      <c r="AK35" s="236" t="str">
        <f t="shared" ca="1" si="20"/>
        <v>BBB+</v>
      </c>
      <c r="AL35" s="236">
        <f t="shared" ca="1" si="20"/>
        <v>19</v>
      </c>
      <c r="AM35" s="236" t="str">
        <f t="shared" ca="1" si="4"/>
        <v/>
      </c>
      <c r="AQ35" s="286" t="s">
        <v>370</v>
      </c>
      <c r="AR35" s="286" t="s">
        <v>10</v>
      </c>
      <c r="AS35" s="286">
        <v>20</v>
      </c>
      <c r="AT35" s="289" t="s">
        <v>369</v>
      </c>
      <c r="AV35" s="234">
        <f t="shared" si="21"/>
        <v>3</v>
      </c>
      <c r="AW35" s="234">
        <f>COUNTIF( AV$7:AV35, AV35 )</f>
        <v>5</v>
      </c>
      <c r="AX35" s="287">
        <f t="shared" si="22"/>
        <v>3.5</v>
      </c>
      <c r="AY35" s="234">
        <f t="shared" si="23"/>
        <v>7</v>
      </c>
      <c r="AZ35" s="236"/>
      <c r="BA35" s="236"/>
      <c r="BC35" s="234">
        <f t="shared" ca="1" si="24"/>
        <v>29</v>
      </c>
      <c r="BD35" s="288">
        <f t="shared" ca="1" si="6"/>
        <v>39</v>
      </c>
      <c r="BF35" s="240" t="str">
        <f t="shared" ca="1" si="7"/>
        <v>Public Service Enterprise Group Incorporated</v>
      </c>
      <c r="BG35" s="240" t="str">
        <f t="shared" ca="1" si="7"/>
        <v>BBB+</v>
      </c>
      <c r="BH35" s="240">
        <f t="shared" ca="1" si="7"/>
        <v>19</v>
      </c>
      <c r="BI35" s="240" t="str">
        <f t="shared" ca="1" si="7"/>
        <v>PEG</v>
      </c>
    </row>
    <row r="36" spans="1:61" x14ac:dyDescent="0.2">
      <c r="A36" s="303" t="s">
        <v>13</v>
      </c>
      <c r="B36" s="304" t="s">
        <v>16</v>
      </c>
      <c r="C36" s="304">
        <v>19</v>
      </c>
      <c r="D36" s="304" t="s">
        <v>327</v>
      </c>
      <c r="E36" s="305" t="str">
        <f t="shared" ca="1" si="8"/>
        <v>MR</v>
      </c>
      <c r="F36" s="306"/>
      <c r="G36" s="307">
        <f t="shared" ca="1" si="1"/>
        <v>44</v>
      </c>
      <c r="H36" s="250"/>
      <c r="I36" s="321"/>
      <c r="J36" s="262"/>
      <c r="K36" s="321"/>
      <c r="L36" s="263"/>
      <c r="M36" s="263"/>
      <c r="N36" s="321"/>
      <c r="Q36" s="321"/>
      <c r="T36" s="321"/>
      <c r="W36" s="321"/>
      <c r="AF36" s="236">
        <f t="shared" si="2"/>
        <v>1</v>
      </c>
      <c r="AG36" s="236" t="str">
        <f t="shared" ca="1" si="3"/>
        <v/>
      </c>
      <c r="AH36" s="236" t="str">
        <f t="shared" ca="1" si="18"/>
        <v/>
      </c>
      <c r="AJ36" s="236">
        <f t="shared" ca="1" si="19"/>
        <v>33</v>
      </c>
      <c r="AK36" s="236" t="str">
        <f t="shared" ca="1" si="20"/>
        <v>BBB+</v>
      </c>
      <c r="AL36" s="236">
        <f t="shared" ca="1" si="20"/>
        <v>19</v>
      </c>
      <c r="AM36" s="236" t="str">
        <f t="shared" ca="1" si="4"/>
        <v/>
      </c>
      <c r="AQ36" s="286" t="s">
        <v>40</v>
      </c>
      <c r="AR36" s="286" t="s">
        <v>16</v>
      </c>
      <c r="AS36" s="286">
        <v>19</v>
      </c>
      <c r="AT36" s="286" t="s">
        <v>311</v>
      </c>
      <c r="AV36" s="234">
        <f t="shared" si="21"/>
        <v>15</v>
      </c>
      <c r="AW36" s="234">
        <f>COUNTIF( AV$7:AV36, AV36 )</f>
        <v>12</v>
      </c>
      <c r="AX36" s="287">
        <f t="shared" si="22"/>
        <v>16.2</v>
      </c>
      <c r="AY36" s="234">
        <f t="shared" si="23"/>
        <v>26</v>
      </c>
      <c r="AZ36" s="236"/>
      <c r="BA36" s="236"/>
      <c r="BC36" s="234">
        <f t="shared" ca="1" si="24"/>
        <v>30</v>
      </c>
      <c r="BD36" s="288">
        <f t="shared" ca="1" si="6"/>
        <v>41</v>
      </c>
      <c r="BF36" s="240" t="str">
        <f t="shared" ca="1" si="7"/>
        <v>SCANA Corporation</v>
      </c>
      <c r="BG36" s="240" t="str">
        <f t="shared" ca="1" si="7"/>
        <v>BBB+</v>
      </c>
      <c r="BH36" s="240">
        <f t="shared" ca="1" si="7"/>
        <v>19</v>
      </c>
      <c r="BI36" s="240" t="str">
        <f t="shared" ca="1" si="7"/>
        <v>SCG</v>
      </c>
    </row>
    <row r="37" spans="1:61" x14ac:dyDescent="0.2">
      <c r="A37" s="303" t="s">
        <v>25</v>
      </c>
      <c r="B37" s="304" t="s">
        <v>16</v>
      </c>
      <c r="C37" s="304">
        <v>19</v>
      </c>
      <c r="D37" s="304" t="s">
        <v>329</v>
      </c>
      <c r="E37" s="305" t="str">
        <f t="shared" ca="1" si="8"/>
        <v>MR</v>
      </c>
      <c r="F37" s="306"/>
      <c r="G37" s="307">
        <f t="shared" ca="1" si="1"/>
        <v>45</v>
      </c>
      <c r="H37" s="250"/>
      <c r="I37" s="321"/>
      <c r="K37" s="321"/>
      <c r="L37" s="264"/>
      <c r="M37" s="235"/>
      <c r="N37" s="321"/>
      <c r="Q37" s="321"/>
      <c r="T37" s="321"/>
      <c r="W37" s="321"/>
      <c r="AF37" s="236">
        <f t="shared" si="2"/>
        <v>1</v>
      </c>
      <c r="AG37" s="236" t="str">
        <f t="shared" ca="1" si="3"/>
        <v/>
      </c>
      <c r="AH37" s="236" t="str">
        <f t="shared" ca="1" si="18"/>
        <v/>
      </c>
      <c r="AJ37" s="236">
        <f t="shared" ca="1" si="19"/>
        <v>34</v>
      </c>
      <c r="AK37" s="236" t="str">
        <f t="shared" ca="1" si="20"/>
        <v>BBB+</v>
      </c>
      <c r="AL37" s="236">
        <f t="shared" ca="1" si="20"/>
        <v>19</v>
      </c>
      <c r="AM37" s="236" t="str">
        <f t="shared" ca="1" si="4"/>
        <v/>
      </c>
      <c r="AQ37" s="286" t="s">
        <v>66</v>
      </c>
      <c r="AR37" s="286" t="s">
        <v>28</v>
      </c>
      <c r="AS37" s="286">
        <v>18</v>
      </c>
      <c r="AT37" s="286" t="s">
        <v>315</v>
      </c>
      <c r="AV37" s="234">
        <f t="shared" si="21"/>
        <v>35</v>
      </c>
      <c r="AW37" s="234">
        <f>COUNTIF( AV$7:AV37, AV37 )</f>
        <v>7</v>
      </c>
      <c r="AX37" s="287">
        <f t="shared" si="22"/>
        <v>35.700000000000003</v>
      </c>
      <c r="AY37" s="234">
        <f t="shared" si="23"/>
        <v>41</v>
      </c>
      <c r="AZ37" s="236"/>
      <c r="BA37" s="236"/>
      <c r="BC37" s="234">
        <f t="shared" ca="1" si="24"/>
        <v>31</v>
      </c>
      <c r="BD37" s="288">
        <f t="shared" ca="1" si="6"/>
        <v>42</v>
      </c>
      <c r="BF37" s="240" t="str">
        <f t="shared" ca="1" si="7"/>
        <v>Sempra Energy</v>
      </c>
      <c r="BG37" s="240" t="str">
        <f t="shared" ca="1" si="7"/>
        <v>BBB+</v>
      </c>
      <c r="BH37" s="240">
        <f t="shared" ca="1" si="7"/>
        <v>19</v>
      </c>
      <c r="BI37" s="240" t="str">
        <f t="shared" ca="1" si="7"/>
        <v>SRE</v>
      </c>
    </row>
    <row r="38" spans="1:61" x14ac:dyDescent="0.2">
      <c r="A38" s="303" t="s">
        <v>62</v>
      </c>
      <c r="B38" s="304" t="s">
        <v>16</v>
      </c>
      <c r="C38" s="304">
        <v>19</v>
      </c>
      <c r="D38" s="304" t="s">
        <v>544</v>
      </c>
      <c r="E38" s="305" t="str">
        <f t="shared" ca="1" si="8"/>
        <v>R</v>
      </c>
      <c r="F38" s="306"/>
      <c r="G38" s="307">
        <f t="shared" ca="1" si="1"/>
        <v>19</v>
      </c>
      <c r="H38" s="250"/>
      <c r="I38" s="321"/>
      <c r="J38" s="262"/>
      <c r="K38" s="321"/>
      <c r="L38" s="264"/>
      <c r="M38" s="235"/>
      <c r="N38" s="321"/>
      <c r="Q38" s="321"/>
      <c r="T38" s="321"/>
      <c r="W38" s="321"/>
      <c r="AF38" s="236">
        <f t="shared" si="2"/>
        <v>1</v>
      </c>
      <c r="AG38" s="236" t="str">
        <f t="shared" ca="1" si="3"/>
        <v/>
      </c>
      <c r="AH38" s="236" t="str">
        <f t="shared" ca="1" si="18"/>
        <v/>
      </c>
      <c r="AJ38" s="236">
        <f t="shared" ca="1" si="19"/>
        <v>26</v>
      </c>
      <c r="AK38" s="236" t="str">
        <f t="shared" ca="1" si="20"/>
        <v>BBB+</v>
      </c>
      <c r="AL38" s="236">
        <f t="shared" ca="1" si="20"/>
        <v>19</v>
      </c>
      <c r="AM38" s="236" t="str">
        <f t="shared" ca="1" si="4"/>
        <v/>
      </c>
      <c r="AQ38" s="286" t="s">
        <v>21</v>
      </c>
      <c r="AR38" s="286" t="s">
        <v>10</v>
      </c>
      <c r="AS38" s="286">
        <v>20</v>
      </c>
      <c r="AT38" s="286" t="s">
        <v>316</v>
      </c>
      <c r="AV38" s="234">
        <f t="shared" si="21"/>
        <v>3</v>
      </c>
      <c r="AW38" s="234">
        <f>COUNTIF( AV$7:AV38, AV38 )</f>
        <v>6</v>
      </c>
      <c r="AX38" s="287">
        <f t="shared" si="22"/>
        <v>3.6</v>
      </c>
      <c r="AY38" s="234">
        <f t="shared" si="23"/>
        <v>8</v>
      </c>
      <c r="AZ38" s="236"/>
      <c r="BA38" s="236"/>
      <c r="BC38" s="234">
        <f t="shared" ca="1" si="24"/>
        <v>32</v>
      </c>
      <c r="BD38" s="288">
        <f t="shared" ca="1" si="6"/>
        <v>44</v>
      </c>
      <c r="BF38" s="240" t="str">
        <f t="shared" ca="1" si="7"/>
        <v>TECO Energy, Inc.</v>
      </c>
      <c r="BG38" s="240" t="str">
        <f t="shared" ca="1" si="7"/>
        <v>BBB+</v>
      </c>
      <c r="BH38" s="240">
        <f t="shared" ca="1" si="7"/>
        <v>19</v>
      </c>
      <c r="BI38" s="240" t="str">
        <f t="shared" ca="1" si="7"/>
        <v>**TE</v>
      </c>
    </row>
    <row r="39" spans="1:61" x14ac:dyDescent="0.2">
      <c r="A39" s="303" t="s">
        <v>76</v>
      </c>
      <c r="B39" s="304" t="s">
        <v>16</v>
      </c>
      <c r="C39" s="304">
        <v>19</v>
      </c>
      <c r="D39" s="304" t="s">
        <v>334</v>
      </c>
      <c r="E39" s="305" t="str">
        <f t="shared" ca="1" si="8"/>
        <v>R</v>
      </c>
      <c r="F39" s="306"/>
      <c r="G39" s="307">
        <f t="shared" ca="1" si="1"/>
        <v>48</v>
      </c>
      <c r="H39" s="250"/>
      <c r="I39" s="321"/>
      <c r="K39" s="321"/>
      <c r="L39" s="264"/>
      <c r="M39" s="235"/>
      <c r="N39" s="321"/>
      <c r="Q39" s="321"/>
      <c r="T39" s="321"/>
      <c r="W39" s="321"/>
      <c r="AF39" s="236">
        <f t="shared" si="2"/>
        <v>1</v>
      </c>
      <c r="AG39" s="236" t="str">
        <f t="shared" ca="1" si="3"/>
        <v/>
      </c>
      <c r="AH39" s="236" t="str">
        <f t="shared" ca="1" si="18"/>
        <v/>
      </c>
      <c r="AJ39" s="236">
        <f t="shared" ca="1" si="19"/>
        <v>36</v>
      </c>
      <c r="AK39" s="236" t="str">
        <f t="shared" ca="1" si="20"/>
        <v>BBB+</v>
      </c>
      <c r="AL39" s="236">
        <f t="shared" ca="1" si="20"/>
        <v>19</v>
      </c>
      <c r="AM39" s="236" t="str">
        <f t="shared" ca="1" si="4"/>
        <v/>
      </c>
      <c r="AQ39" s="286" t="s">
        <v>22</v>
      </c>
      <c r="AR39" s="286" t="s">
        <v>28</v>
      </c>
      <c r="AS39" s="286">
        <v>18</v>
      </c>
      <c r="AT39" s="286" t="s">
        <v>317</v>
      </c>
      <c r="AV39" s="234">
        <f t="shared" si="21"/>
        <v>35</v>
      </c>
      <c r="AW39" s="234">
        <f>COUNTIF( AV$7:AV39, AV39 )</f>
        <v>8</v>
      </c>
      <c r="AX39" s="287">
        <f t="shared" si="22"/>
        <v>35.799999999999997</v>
      </c>
      <c r="AY39" s="234">
        <f t="shared" si="23"/>
        <v>42</v>
      </c>
      <c r="AZ39" s="236"/>
      <c r="BA39" s="236"/>
      <c r="BC39" s="234">
        <f t="shared" ca="1" si="24"/>
        <v>33</v>
      </c>
      <c r="BD39" s="288">
        <f t="shared" ca="1" si="6"/>
        <v>45</v>
      </c>
      <c r="BF39" s="240" t="str">
        <f t="shared" ref="BF39:BI63" ca="1" si="25">OFFSET( AQ$6, $BD39, 0 )</f>
        <v>Unitil Corporation</v>
      </c>
      <c r="BG39" s="240" t="str">
        <f t="shared" ca="1" si="25"/>
        <v>BBB+</v>
      </c>
      <c r="BH39" s="240">
        <f t="shared" ca="1" si="25"/>
        <v>19</v>
      </c>
      <c r="BI39" s="240" t="str">
        <f t="shared" ca="1" si="25"/>
        <v>UTL</v>
      </c>
    </row>
    <row r="40" spans="1:61" x14ac:dyDescent="0.2">
      <c r="A40" s="303" t="s">
        <v>59</v>
      </c>
      <c r="B40" s="304" t="s">
        <v>16</v>
      </c>
      <c r="C40" s="304">
        <v>19</v>
      </c>
      <c r="D40" s="304" t="s">
        <v>337</v>
      </c>
      <c r="E40" s="305" t="str">
        <f t="shared" ca="1" si="8"/>
        <v>R</v>
      </c>
      <c r="F40" s="306"/>
      <c r="G40" s="307">
        <f t="shared" ca="1" si="1"/>
        <v>51</v>
      </c>
      <c r="H40" s="250"/>
      <c r="I40" s="321"/>
      <c r="J40" s="262"/>
      <c r="K40" s="321"/>
      <c r="L40" s="264"/>
      <c r="M40" s="235"/>
      <c r="N40" s="321"/>
      <c r="Q40" s="321"/>
      <c r="T40" s="321"/>
      <c r="W40" s="321"/>
      <c r="AF40" s="236">
        <f t="shared" si="2"/>
        <v>1</v>
      </c>
      <c r="AG40" s="236" t="str">
        <f t="shared" ca="1" si="3"/>
        <v/>
      </c>
      <c r="AH40" s="236" t="str">
        <f t="shared" ca="1" si="18"/>
        <v/>
      </c>
      <c r="AJ40" s="236">
        <f t="shared" ca="1" si="19"/>
        <v>37</v>
      </c>
      <c r="AK40" s="236" t="str">
        <f t="shared" ca="1" si="20"/>
        <v>BBB+</v>
      </c>
      <c r="AL40" s="236">
        <f t="shared" ca="1" si="20"/>
        <v>19</v>
      </c>
      <c r="AM40" s="236" t="str">
        <f t="shared" ca="1" si="4"/>
        <v/>
      </c>
      <c r="AQ40" s="286" t="s">
        <v>53</v>
      </c>
      <c r="AR40" s="286" t="s">
        <v>16</v>
      </c>
      <c r="AS40" s="286">
        <v>19</v>
      </c>
      <c r="AT40" s="286" t="s">
        <v>318</v>
      </c>
      <c r="AV40" s="234">
        <f t="shared" si="21"/>
        <v>15</v>
      </c>
      <c r="AW40" s="234">
        <f>COUNTIF( AV$7:AV40, AV40 )</f>
        <v>13</v>
      </c>
      <c r="AX40" s="287">
        <f t="shared" si="22"/>
        <v>16.3</v>
      </c>
      <c r="AY40" s="234">
        <f t="shared" si="23"/>
        <v>27</v>
      </c>
      <c r="AZ40" s="236"/>
      <c r="BA40" s="236"/>
      <c r="BC40" s="234">
        <f t="shared" ca="1" si="24"/>
        <v>34</v>
      </c>
      <c r="BD40" s="288">
        <f t="shared" ca="1" si="6"/>
        <v>47</v>
      </c>
      <c r="BF40" s="240" t="str">
        <f t="shared" ca="1" si="25"/>
        <v>Westar Energy, Inc.</v>
      </c>
      <c r="BG40" s="240" t="str">
        <f t="shared" ca="1" si="25"/>
        <v>BBB+</v>
      </c>
      <c r="BH40" s="240">
        <f t="shared" ca="1" si="25"/>
        <v>19</v>
      </c>
      <c r="BI40" s="240" t="str">
        <f t="shared" ca="1" si="25"/>
        <v>WR</v>
      </c>
    </row>
    <row r="41" spans="1:61" x14ac:dyDescent="0.2">
      <c r="A41" s="303" t="s">
        <v>55</v>
      </c>
      <c r="B41" s="304" t="s">
        <v>28</v>
      </c>
      <c r="C41" s="304">
        <v>18</v>
      </c>
      <c r="D41" s="304" t="s">
        <v>278</v>
      </c>
      <c r="E41" s="305" t="str">
        <f t="shared" ca="1" si="8"/>
        <v>R</v>
      </c>
      <c r="F41" s="306"/>
      <c r="G41" s="307">
        <f t="shared" ca="1" si="1"/>
        <v>12</v>
      </c>
      <c r="H41" s="250"/>
      <c r="I41" s="321"/>
      <c r="J41" s="262"/>
      <c r="K41" s="321"/>
      <c r="L41" s="264"/>
      <c r="M41" s="235"/>
      <c r="N41" s="321"/>
      <c r="Q41" s="321"/>
      <c r="T41" s="321"/>
      <c r="W41" s="321"/>
      <c r="AF41" s="236">
        <f t="shared" si="2"/>
        <v>0</v>
      </c>
      <c r="AG41" s="236" t="str">
        <f t="shared" ca="1" si="3"/>
        <v/>
      </c>
      <c r="AH41" s="236" t="str">
        <f t="shared" ca="1" si="18"/>
        <v/>
      </c>
      <c r="AJ41" s="236">
        <f t="shared" ca="1" si="19"/>
        <v>39</v>
      </c>
      <c r="AK41" s="236" t="str">
        <f t="shared" ca="1" si="20"/>
        <v>BBB</v>
      </c>
      <c r="AL41" s="236">
        <f t="shared" ca="1" si="20"/>
        <v>18</v>
      </c>
      <c r="AM41" s="236" t="str">
        <f t="shared" ca="1" si="4"/>
        <v/>
      </c>
      <c r="AQ41" s="286" t="s">
        <v>41</v>
      </c>
      <c r="AR41" s="286" t="s">
        <v>10</v>
      </c>
      <c r="AS41" s="286">
        <v>20</v>
      </c>
      <c r="AT41" s="286" t="s">
        <v>322</v>
      </c>
      <c r="AV41" s="234">
        <f t="shared" si="21"/>
        <v>3</v>
      </c>
      <c r="AW41" s="234">
        <f>COUNTIF( AV$7:AV41, AV41 )</f>
        <v>7</v>
      </c>
      <c r="AX41" s="287">
        <f t="shared" si="22"/>
        <v>3.7</v>
      </c>
      <c r="AY41" s="234">
        <f t="shared" si="23"/>
        <v>9</v>
      </c>
      <c r="AZ41" s="236"/>
      <c r="BA41" s="236"/>
      <c r="BC41" s="234">
        <f t="shared" ca="1" si="24"/>
        <v>35</v>
      </c>
      <c r="BD41" s="288">
        <f t="shared" ca="1" si="6"/>
        <v>6</v>
      </c>
      <c r="BF41" s="240" t="str">
        <f t="shared" ca="1" si="25"/>
        <v>Avista Corporation</v>
      </c>
      <c r="BG41" s="240" t="str">
        <f t="shared" ca="1" si="25"/>
        <v>BBB</v>
      </c>
      <c r="BH41" s="240">
        <f t="shared" ca="1" si="25"/>
        <v>18</v>
      </c>
      <c r="BI41" s="240" t="str">
        <f t="shared" ca="1" si="25"/>
        <v>AVA</v>
      </c>
    </row>
    <row r="42" spans="1:61" x14ac:dyDescent="0.2">
      <c r="A42" s="303" t="s">
        <v>48</v>
      </c>
      <c r="B42" s="304" t="s">
        <v>28</v>
      </c>
      <c r="C42" s="304">
        <v>18</v>
      </c>
      <c r="D42" s="304" t="s">
        <v>280</v>
      </c>
      <c r="E42" s="305" t="str">
        <f t="shared" ca="1" si="8"/>
        <v>R</v>
      </c>
      <c r="F42" s="306"/>
      <c r="G42" s="307">
        <f t="shared" ca="1" si="1"/>
        <v>13</v>
      </c>
      <c r="H42" s="250"/>
      <c r="I42" s="321"/>
      <c r="J42" s="262"/>
      <c r="K42" s="321"/>
      <c r="L42" s="264"/>
      <c r="M42" s="235"/>
      <c r="N42" s="321"/>
      <c r="Q42" s="321"/>
      <c r="T42" s="321"/>
      <c r="W42" s="321"/>
      <c r="AF42" s="236">
        <f t="shared" si="2"/>
        <v>0</v>
      </c>
      <c r="AG42" s="236" t="str">
        <f t="shared" ca="1" si="3"/>
        <v/>
      </c>
      <c r="AH42" s="236" t="str">
        <f t="shared" ca="1" si="18"/>
        <v/>
      </c>
      <c r="AJ42" s="236">
        <f t="shared" ca="1" si="19"/>
        <v>40</v>
      </c>
      <c r="AK42" s="236" t="str">
        <f t="shared" ca="1" si="20"/>
        <v>BBB</v>
      </c>
      <c r="AL42" s="236">
        <f t="shared" ca="1" si="20"/>
        <v>18</v>
      </c>
      <c r="AM42" s="236" t="str">
        <f t="shared" ca="1" si="4"/>
        <v/>
      </c>
      <c r="AQ42" s="286" t="s">
        <v>42</v>
      </c>
      <c r="AR42" s="286" t="s">
        <v>16</v>
      </c>
      <c r="AS42" s="286">
        <v>19</v>
      </c>
      <c r="AT42" s="286" t="s">
        <v>321</v>
      </c>
      <c r="AV42" s="234">
        <f t="shared" si="21"/>
        <v>15</v>
      </c>
      <c r="AW42" s="234">
        <f>COUNTIF( AV$7:AV42, AV42 )</f>
        <v>14</v>
      </c>
      <c r="AX42" s="287">
        <f t="shared" si="22"/>
        <v>16.399999999999999</v>
      </c>
      <c r="AY42" s="234">
        <f t="shared" si="23"/>
        <v>28</v>
      </c>
      <c r="AZ42" s="236"/>
      <c r="BA42" s="236"/>
      <c r="BC42" s="234">
        <f t="shared" ca="1" si="24"/>
        <v>36</v>
      </c>
      <c r="BD42" s="288">
        <f t="shared" ca="1" si="6"/>
        <v>8</v>
      </c>
      <c r="BF42" s="240" t="str">
        <f t="shared" ca="1" si="25"/>
        <v>Black Hills Corporation</v>
      </c>
      <c r="BG42" s="240" t="str">
        <f t="shared" ca="1" si="25"/>
        <v>BBB</v>
      </c>
      <c r="BH42" s="240">
        <f t="shared" ca="1" si="25"/>
        <v>18</v>
      </c>
      <c r="BI42" s="240" t="str">
        <f t="shared" ca="1" si="25"/>
        <v>BKH</v>
      </c>
    </row>
    <row r="43" spans="1:61" x14ac:dyDescent="0.2">
      <c r="A43" s="303" t="s">
        <v>34</v>
      </c>
      <c r="B43" s="304" t="s">
        <v>28</v>
      </c>
      <c r="C43" s="304">
        <v>18</v>
      </c>
      <c r="D43" s="304" t="s">
        <v>294</v>
      </c>
      <c r="E43" s="305" t="str">
        <f t="shared" ca="1" si="8"/>
        <v>R</v>
      </c>
      <c r="F43" s="306"/>
      <c r="G43" s="307">
        <f t="shared" ca="1" si="1"/>
        <v>22</v>
      </c>
      <c r="H43" s="250"/>
      <c r="I43" s="321"/>
      <c r="J43" s="262"/>
      <c r="K43" s="321"/>
      <c r="L43" s="235"/>
      <c r="M43" s="235"/>
      <c r="N43" s="321"/>
      <c r="Q43" s="321"/>
      <c r="T43" s="321"/>
      <c r="W43" s="321"/>
      <c r="AF43" s="236">
        <f t="shared" si="2"/>
        <v>0</v>
      </c>
      <c r="AG43" s="236" t="str">
        <f t="shared" ca="1" si="3"/>
        <v/>
      </c>
      <c r="AH43" s="236" t="str">
        <f t="shared" ca="1" si="18"/>
        <v/>
      </c>
      <c r="AJ43" s="236">
        <f t="shared" ca="1" si="19"/>
        <v>41</v>
      </c>
      <c r="AK43" s="236" t="str">
        <f t="shared" ca="1" si="20"/>
        <v>BBB</v>
      </c>
      <c r="AL43" s="236">
        <f t="shared" ca="1" si="20"/>
        <v>18</v>
      </c>
      <c r="AM43" s="236" t="str">
        <f t="shared" ca="1" si="4"/>
        <v/>
      </c>
      <c r="AQ43" s="286" t="s">
        <v>24</v>
      </c>
      <c r="AR43" s="286" t="s">
        <v>28</v>
      </c>
      <c r="AS43" s="286">
        <v>18</v>
      </c>
      <c r="AT43" s="286" t="s">
        <v>324</v>
      </c>
      <c r="AV43" s="234">
        <f t="shared" si="21"/>
        <v>35</v>
      </c>
      <c r="AW43" s="234">
        <f>COUNTIF( AV$7:AV43, AV43 )</f>
        <v>9</v>
      </c>
      <c r="AX43" s="287">
        <f t="shared" si="22"/>
        <v>35.9</v>
      </c>
      <c r="AY43" s="234">
        <f t="shared" si="23"/>
        <v>43</v>
      </c>
      <c r="AZ43" s="236"/>
      <c r="BA43" s="236"/>
      <c r="BC43" s="234">
        <f t="shared" ca="1" si="24"/>
        <v>37</v>
      </c>
      <c r="BD43" s="288">
        <f t="shared" ca="1" si="6"/>
        <v>18</v>
      </c>
      <c r="BF43" s="240" t="str">
        <f t="shared" ca="1" si="25"/>
        <v>El Paso Electric Company</v>
      </c>
      <c r="BG43" s="240" t="str">
        <f t="shared" ca="1" si="25"/>
        <v>BBB</v>
      </c>
      <c r="BH43" s="240">
        <f t="shared" ca="1" si="25"/>
        <v>18</v>
      </c>
      <c r="BI43" s="240" t="str">
        <f t="shared" ca="1" si="25"/>
        <v>EE</v>
      </c>
    </row>
    <row r="44" spans="1:61" x14ac:dyDescent="0.2">
      <c r="A44" s="303" t="s">
        <v>35</v>
      </c>
      <c r="B44" s="304" t="s">
        <v>28</v>
      </c>
      <c r="C44" s="304">
        <v>18</v>
      </c>
      <c r="D44" s="304" t="s">
        <v>293</v>
      </c>
      <c r="E44" s="305" t="str">
        <f t="shared" ca="1" si="8"/>
        <v>R</v>
      </c>
      <c r="F44" s="306"/>
      <c r="G44" s="307">
        <f t="shared" ca="1" si="1"/>
        <v>23</v>
      </c>
      <c r="H44" s="250"/>
      <c r="I44" s="321"/>
      <c r="J44" s="262"/>
      <c r="K44" s="321"/>
      <c r="L44" s="235"/>
      <c r="M44" s="235"/>
      <c r="N44" s="321"/>
      <c r="Q44" s="321"/>
      <c r="T44" s="321"/>
      <c r="W44" s="321"/>
      <c r="AF44" s="236">
        <f t="shared" si="2"/>
        <v>0</v>
      </c>
      <c r="AG44" s="236" t="str">
        <f t="shared" ca="1" si="3"/>
        <v/>
      </c>
      <c r="AH44" s="236" t="str">
        <f t="shared" ca="1" si="18"/>
        <v/>
      </c>
      <c r="AJ44" s="236">
        <f t="shared" ca="1" si="19"/>
        <v>42</v>
      </c>
      <c r="AK44" s="236" t="str">
        <f t="shared" ca="1" si="20"/>
        <v>BBB</v>
      </c>
      <c r="AL44" s="236">
        <f t="shared" ca="1" si="20"/>
        <v>18</v>
      </c>
      <c r="AM44" s="236" t="str">
        <f t="shared" ca="1" si="4"/>
        <v/>
      </c>
      <c r="AQ44" s="286" t="s">
        <v>43</v>
      </c>
      <c r="AR44" s="286" t="s">
        <v>10</v>
      </c>
      <c r="AS44" s="286">
        <v>20</v>
      </c>
      <c r="AT44" s="286" t="s">
        <v>325</v>
      </c>
      <c r="AV44" s="234">
        <f t="shared" si="21"/>
        <v>3</v>
      </c>
      <c r="AW44" s="234">
        <f>COUNTIF( AV$7:AV44, AV44 )</f>
        <v>8</v>
      </c>
      <c r="AX44" s="287">
        <f t="shared" si="22"/>
        <v>3.8</v>
      </c>
      <c r="AY44" s="234">
        <f t="shared" si="23"/>
        <v>10</v>
      </c>
      <c r="AZ44" s="236"/>
      <c r="BA44" s="236"/>
      <c r="BC44" s="234">
        <f t="shared" ca="1" si="24"/>
        <v>38</v>
      </c>
      <c r="BD44" s="288">
        <f t="shared" ca="1" si="6"/>
        <v>19</v>
      </c>
      <c r="BF44" s="240" t="str">
        <f t="shared" ca="1" si="25"/>
        <v>Empire District Electric Company</v>
      </c>
      <c r="BG44" s="240" t="str">
        <f t="shared" ca="1" si="25"/>
        <v>BBB</v>
      </c>
      <c r="BH44" s="240">
        <f t="shared" ca="1" si="25"/>
        <v>18</v>
      </c>
      <c r="BI44" s="240" t="str">
        <f t="shared" ca="1" si="25"/>
        <v>EDE</v>
      </c>
    </row>
    <row r="45" spans="1:61" x14ac:dyDescent="0.2">
      <c r="A45" s="303" t="s">
        <v>11</v>
      </c>
      <c r="B45" s="304" t="s">
        <v>28</v>
      </c>
      <c r="C45" s="304">
        <v>18</v>
      </c>
      <c r="D45" s="304" t="s">
        <v>298</v>
      </c>
      <c r="E45" s="305" t="str">
        <f t="shared" ca="1" si="8"/>
        <v>D</v>
      </c>
      <c r="F45" s="306"/>
      <c r="G45" s="307">
        <f t="shared" ca="1" si="1"/>
        <v>26</v>
      </c>
      <c r="H45" s="250"/>
      <c r="I45" s="321"/>
      <c r="J45" s="262"/>
      <c r="K45" s="321"/>
      <c r="L45" s="235"/>
      <c r="M45" s="235"/>
      <c r="N45" s="321"/>
      <c r="Q45" s="321"/>
      <c r="T45" s="321"/>
      <c r="W45" s="321"/>
      <c r="AF45" s="236">
        <f t="shared" si="2"/>
        <v>0</v>
      </c>
      <c r="AG45" s="236" t="str">
        <f t="shared" ca="1" si="3"/>
        <v/>
      </c>
      <c r="AH45" s="236" t="str">
        <f t="shared" ca="1" si="18"/>
        <v/>
      </c>
      <c r="AJ45" s="236">
        <f t="shared" ca="1" si="19"/>
        <v>44</v>
      </c>
      <c r="AK45" s="236" t="str">
        <f t="shared" ca="1" si="20"/>
        <v>BBB</v>
      </c>
      <c r="AL45" s="236">
        <f t="shared" ca="1" si="20"/>
        <v>18</v>
      </c>
      <c r="AM45" s="236" t="str">
        <f t="shared" ca="1" si="4"/>
        <v/>
      </c>
      <c r="AQ45" s="286" t="s">
        <v>45</v>
      </c>
      <c r="AR45" s="286" t="s">
        <v>16</v>
      </c>
      <c r="AS45" s="286">
        <v>19</v>
      </c>
      <c r="AT45" s="286" t="s">
        <v>319</v>
      </c>
      <c r="AV45" s="234">
        <f t="shared" si="21"/>
        <v>15</v>
      </c>
      <c r="AW45" s="234">
        <f>COUNTIF( AV$7:AV45, AV45 )</f>
        <v>15</v>
      </c>
      <c r="AX45" s="287">
        <f t="shared" si="22"/>
        <v>16.5</v>
      </c>
      <c r="AY45" s="234">
        <f t="shared" si="23"/>
        <v>29</v>
      </c>
      <c r="AZ45" s="236"/>
      <c r="BA45" s="236"/>
      <c r="BC45" s="234">
        <f t="shared" ca="1" si="24"/>
        <v>39</v>
      </c>
      <c r="BD45" s="288">
        <f t="shared" ca="1" si="6"/>
        <v>22</v>
      </c>
      <c r="BF45" s="240" t="str">
        <f t="shared" ca="1" si="25"/>
        <v>Exelon Corporation</v>
      </c>
      <c r="BG45" s="240" t="str">
        <f t="shared" ca="1" si="25"/>
        <v>BBB</v>
      </c>
      <c r="BH45" s="240">
        <f t="shared" ca="1" si="25"/>
        <v>18</v>
      </c>
      <c r="BI45" s="240" t="str">
        <f t="shared" ca="1" si="25"/>
        <v>EXC</v>
      </c>
    </row>
    <row r="46" spans="1:61" x14ac:dyDescent="0.2">
      <c r="A46" s="303" t="s">
        <v>20</v>
      </c>
      <c r="B46" s="304" t="s">
        <v>28</v>
      </c>
      <c r="C46" s="304">
        <v>18</v>
      </c>
      <c r="D46" s="304" t="s">
        <v>303</v>
      </c>
      <c r="E46" s="305" t="str">
        <f t="shared" ca="1" si="8"/>
        <v>R</v>
      </c>
      <c r="F46" s="306"/>
      <c r="G46" s="307">
        <f t="shared" ca="1" si="1"/>
        <v>30</v>
      </c>
      <c r="H46" s="250"/>
      <c r="I46" s="262"/>
      <c r="K46" s="262"/>
      <c r="N46" s="257"/>
      <c r="W46" s="262"/>
      <c r="AF46" s="236">
        <f t="shared" si="2"/>
        <v>0</v>
      </c>
      <c r="AG46" s="236" t="str">
        <f t="shared" ca="1" si="3"/>
        <v/>
      </c>
      <c r="AH46" s="236" t="str">
        <f t="shared" ca="1" si="18"/>
        <v/>
      </c>
      <c r="AJ46" s="236">
        <f t="shared" ca="1" si="19"/>
        <v>45</v>
      </c>
      <c r="AK46" s="236" t="str">
        <f t="shared" ca="1" si="20"/>
        <v>BBB</v>
      </c>
      <c r="AL46" s="236">
        <f t="shared" ca="1" si="20"/>
        <v>18</v>
      </c>
      <c r="AM46" s="236" t="str">
        <f t="shared" ca="1" si="4"/>
        <v/>
      </c>
      <c r="AQ46" s="286" t="s">
        <v>54</v>
      </c>
      <c r="AR46" s="286" t="s">
        <v>49</v>
      </c>
      <c r="AS46" s="286">
        <v>17</v>
      </c>
      <c r="AT46" s="286" t="s">
        <v>449</v>
      </c>
      <c r="AV46" s="234">
        <f t="shared" si="21"/>
        <v>44</v>
      </c>
      <c r="AW46" s="234">
        <f>COUNTIF( AV$7:AV46, AV46 )</f>
        <v>5</v>
      </c>
      <c r="AX46" s="287">
        <f t="shared" si="22"/>
        <v>44.5</v>
      </c>
      <c r="AY46" s="234">
        <f t="shared" si="23"/>
        <v>48</v>
      </c>
      <c r="AZ46" s="236"/>
      <c r="BA46" s="236"/>
      <c r="BC46" s="234">
        <f t="shared" ca="1" si="24"/>
        <v>40</v>
      </c>
      <c r="BD46" s="288">
        <f t="shared" ca="1" si="6"/>
        <v>26</v>
      </c>
      <c r="BF46" s="240" t="str">
        <f t="shared" ca="1" si="25"/>
        <v>IDACORP, Inc.</v>
      </c>
      <c r="BG46" s="240" t="str">
        <f t="shared" ca="1" si="25"/>
        <v>BBB</v>
      </c>
      <c r="BH46" s="240">
        <f t="shared" ca="1" si="25"/>
        <v>18</v>
      </c>
      <c r="BI46" s="240" t="str">
        <f t="shared" ca="1" si="25"/>
        <v>IDA</v>
      </c>
    </row>
    <row r="47" spans="1:61" x14ac:dyDescent="0.2">
      <c r="A47" s="303" t="s">
        <v>66</v>
      </c>
      <c r="B47" s="304" t="s">
        <v>28</v>
      </c>
      <c r="C47" s="304">
        <v>18</v>
      </c>
      <c r="D47" s="304" t="s">
        <v>315</v>
      </c>
      <c r="E47" s="305" t="str">
        <f t="shared" ca="1" si="8"/>
        <v>R</v>
      </c>
      <c r="F47" s="306"/>
      <c r="G47" s="307">
        <f t="shared" ca="1" si="1"/>
        <v>35</v>
      </c>
      <c r="H47" s="250"/>
      <c r="I47" s="250"/>
      <c r="J47" s="258" t="s">
        <v>268</v>
      </c>
      <c r="K47" s="262"/>
      <c r="M47" s="253"/>
      <c r="N47" s="253"/>
      <c r="AF47" s="236">
        <f t="shared" si="2"/>
        <v>0</v>
      </c>
      <c r="AG47" s="236" t="str">
        <f t="shared" ca="1" si="3"/>
        <v/>
      </c>
      <c r="AH47" s="236" t="str">
        <f t="shared" ca="1" si="18"/>
        <v/>
      </c>
      <c r="AJ47" s="236">
        <f t="shared" ca="1" si="19"/>
        <v>46</v>
      </c>
      <c r="AK47" s="236" t="str">
        <f t="shared" ca="1" si="20"/>
        <v>BBB</v>
      </c>
      <c r="AL47" s="236">
        <f t="shared" ca="1" si="20"/>
        <v>18</v>
      </c>
      <c r="AM47" s="236" t="str">
        <f t="shared" ca="1" si="4"/>
        <v/>
      </c>
      <c r="AQ47" s="286" t="s">
        <v>13</v>
      </c>
      <c r="AR47" s="286" t="s">
        <v>16</v>
      </c>
      <c r="AS47" s="286">
        <v>19</v>
      </c>
      <c r="AT47" s="286" t="s">
        <v>327</v>
      </c>
      <c r="AV47" s="234">
        <f t="shared" si="21"/>
        <v>15</v>
      </c>
      <c r="AW47" s="234">
        <f>COUNTIF( AV$7:AV47, AV47 )</f>
        <v>16</v>
      </c>
      <c r="AX47" s="287">
        <f t="shared" si="22"/>
        <v>16.600000000000001</v>
      </c>
      <c r="AY47" s="234">
        <f t="shared" si="23"/>
        <v>30</v>
      </c>
      <c r="AZ47" s="236"/>
      <c r="BA47" s="236"/>
      <c r="BC47" s="234">
        <f t="shared" ca="1" si="24"/>
        <v>41</v>
      </c>
      <c r="BD47" s="288">
        <f t="shared" ca="1" si="6"/>
        <v>31</v>
      </c>
      <c r="BF47" s="240" t="str">
        <f t="shared" ca="1" si="25"/>
        <v>NorthWestern Corporation</v>
      </c>
      <c r="BG47" s="240" t="str">
        <f t="shared" ca="1" si="25"/>
        <v>BBB</v>
      </c>
      <c r="BH47" s="240">
        <f t="shared" ca="1" si="25"/>
        <v>18</v>
      </c>
      <c r="BI47" s="240" t="str">
        <f t="shared" ca="1" si="25"/>
        <v>NWE</v>
      </c>
    </row>
    <row r="48" spans="1:61" x14ac:dyDescent="0.2">
      <c r="A48" s="303" t="s">
        <v>22</v>
      </c>
      <c r="B48" s="304" t="s">
        <v>28</v>
      </c>
      <c r="C48" s="304">
        <v>18</v>
      </c>
      <c r="D48" s="304" t="s">
        <v>317</v>
      </c>
      <c r="E48" s="305" t="str">
        <f t="shared" ca="1" si="8"/>
        <v>R</v>
      </c>
      <c r="F48" s="306"/>
      <c r="G48" s="307">
        <f t="shared" ca="1" si="1"/>
        <v>37</v>
      </c>
      <c r="H48" s="250"/>
      <c r="I48" s="250"/>
      <c r="K48" s="262"/>
      <c r="M48" s="253"/>
      <c r="N48" s="253"/>
      <c r="AF48" s="236">
        <f t="shared" si="2"/>
        <v>0</v>
      </c>
      <c r="AG48" s="236" t="str">
        <f t="shared" ca="1" si="3"/>
        <v/>
      </c>
      <c r="AH48" s="236" t="str">
        <f t="shared" ca="1" si="18"/>
        <v/>
      </c>
      <c r="AJ48" s="236">
        <f t="shared" ca="1" si="19"/>
        <v>47</v>
      </c>
      <c r="AK48" s="236" t="str">
        <f t="shared" ca="1" si="20"/>
        <v>BBB</v>
      </c>
      <c r="AL48" s="236">
        <f t="shared" ca="1" si="20"/>
        <v>18</v>
      </c>
      <c r="AM48" s="236" t="str">
        <f t="shared" ca="1" si="4"/>
        <v/>
      </c>
      <c r="AQ48" s="286" t="s">
        <v>25</v>
      </c>
      <c r="AR48" s="286" t="s">
        <v>16</v>
      </c>
      <c r="AS48" s="286">
        <v>19</v>
      </c>
      <c r="AT48" s="286" t="s">
        <v>329</v>
      </c>
      <c r="AV48" s="234">
        <f t="shared" si="21"/>
        <v>15</v>
      </c>
      <c r="AW48" s="234">
        <f>COUNTIF( AV$7:AV48, AV48 )</f>
        <v>17</v>
      </c>
      <c r="AX48" s="287">
        <f t="shared" si="22"/>
        <v>16.7</v>
      </c>
      <c r="AY48" s="234">
        <f t="shared" si="23"/>
        <v>31</v>
      </c>
      <c r="AZ48" s="236"/>
      <c r="BA48" s="236"/>
      <c r="BC48" s="234">
        <f t="shared" ca="1" si="24"/>
        <v>42</v>
      </c>
      <c r="BD48" s="288">
        <f t="shared" ca="1" si="6"/>
        <v>33</v>
      </c>
      <c r="BF48" s="240" t="str">
        <f t="shared" ca="1" si="25"/>
        <v>Otter Tail Corporation</v>
      </c>
      <c r="BG48" s="240" t="str">
        <f t="shared" ca="1" si="25"/>
        <v>BBB</v>
      </c>
      <c r="BH48" s="240">
        <f t="shared" ca="1" si="25"/>
        <v>18</v>
      </c>
      <c r="BI48" s="240" t="str">
        <f t="shared" ca="1" si="25"/>
        <v>OTTR</v>
      </c>
    </row>
    <row r="49" spans="1:61" x14ac:dyDescent="0.2">
      <c r="A49" s="303" t="s">
        <v>24</v>
      </c>
      <c r="B49" s="304" t="s">
        <v>28</v>
      </c>
      <c r="C49" s="304">
        <v>18</v>
      </c>
      <c r="D49" s="304" t="s">
        <v>324</v>
      </c>
      <c r="E49" s="305" t="str">
        <f t="shared" ca="1" si="8"/>
        <v>R</v>
      </c>
      <c r="F49" s="306"/>
      <c r="G49" s="307">
        <f t="shared" ca="1" si="1"/>
        <v>41</v>
      </c>
      <c r="H49" s="250"/>
      <c r="I49" s="250"/>
      <c r="J49" s="262"/>
      <c r="K49" s="262"/>
      <c r="M49" s="253"/>
      <c r="N49" s="253"/>
      <c r="AF49" s="236">
        <f t="shared" si="2"/>
        <v>0</v>
      </c>
      <c r="AG49" s="236" t="str">
        <f t="shared" ca="1" si="3"/>
        <v/>
      </c>
      <c r="AH49" s="236" t="str">
        <f t="shared" ca="1" si="18"/>
        <v/>
      </c>
      <c r="AJ49" s="236">
        <f t="shared" ca="1" si="19"/>
        <v>49</v>
      </c>
      <c r="AK49" s="236" t="str">
        <f t="shared" ca="1" si="20"/>
        <v>BBB</v>
      </c>
      <c r="AL49" s="236">
        <f t="shared" ca="1" si="20"/>
        <v>18</v>
      </c>
      <c r="AM49" s="236" t="str">
        <f t="shared" ca="1" si="4"/>
        <v/>
      </c>
      <c r="AQ49" s="286" t="s">
        <v>7</v>
      </c>
      <c r="AR49" s="286" t="s">
        <v>10</v>
      </c>
      <c r="AS49" s="286">
        <v>20</v>
      </c>
      <c r="AT49" s="286" t="s">
        <v>328</v>
      </c>
      <c r="AV49" s="234">
        <f t="shared" si="21"/>
        <v>3</v>
      </c>
      <c r="AW49" s="234">
        <f>COUNTIF( AV$7:AV49, AV49 )</f>
        <v>9</v>
      </c>
      <c r="AX49" s="287">
        <f t="shared" si="22"/>
        <v>3.9</v>
      </c>
      <c r="AY49" s="234">
        <f t="shared" si="23"/>
        <v>11</v>
      </c>
      <c r="AZ49" s="236"/>
      <c r="BA49" s="236"/>
      <c r="BC49" s="234">
        <f t="shared" ca="1" si="24"/>
        <v>43</v>
      </c>
      <c r="BD49" s="288">
        <f t="shared" ca="1" si="6"/>
        <v>37</v>
      </c>
      <c r="BF49" s="240" t="str">
        <f t="shared" ca="1" si="25"/>
        <v>Portland General Electric Company</v>
      </c>
      <c r="BG49" s="240" t="str">
        <f t="shared" ca="1" si="25"/>
        <v>BBB</v>
      </c>
      <c r="BH49" s="240">
        <f t="shared" ca="1" si="25"/>
        <v>18</v>
      </c>
      <c r="BI49" s="240" t="str">
        <f t="shared" ca="1" si="25"/>
        <v>POR</v>
      </c>
    </row>
    <row r="50" spans="1:61" x14ac:dyDescent="0.2">
      <c r="A50" s="303" t="s">
        <v>30</v>
      </c>
      <c r="B50" s="304" t="s">
        <v>49</v>
      </c>
      <c r="C50" s="304">
        <v>17</v>
      </c>
      <c r="D50" s="304" t="s">
        <v>541</v>
      </c>
      <c r="E50" s="305" t="str">
        <f t="shared" ca="1" si="8"/>
        <v>R</v>
      </c>
      <c r="F50" s="306"/>
      <c r="G50" s="307">
        <f t="shared" ca="1" si="1"/>
        <v>15</v>
      </c>
      <c r="H50" s="250"/>
      <c r="I50" s="250"/>
      <c r="J50" s="262"/>
      <c r="K50" s="262"/>
      <c r="L50" s="235"/>
      <c r="M50" s="257"/>
      <c r="N50" s="257"/>
      <c r="AF50" s="236">
        <f t="shared" si="2"/>
        <v>1</v>
      </c>
      <c r="AG50" s="236" t="str">
        <f t="shared" ca="1" si="3"/>
        <v/>
      </c>
      <c r="AH50" s="236" t="str">
        <f t="shared" ca="1" si="18"/>
        <v/>
      </c>
      <c r="AJ50" s="236">
        <f t="shared" ca="1" si="19"/>
        <v>50</v>
      </c>
      <c r="AK50" s="236" t="str">
        <f t="shared" ca="1" si="20"/>
        <v>BBB-</v>
      </c>
      <c r="AL50" s="236">
        <f t="shared" ca="1" si="20"/>
        <v>17</v>
      </c>
      <c r="AM50" s="236" t="str">
        <f t="shared" ca="1" si="4"/>
        <v/>
      </c>
      <c r="AQ50" s="286" t="s">
        <v>62</v>
      </c>
      <c r="AR50" s="286" t="s">
        <v>16</v>
      </c>
      <c r="AS50" s="286">
        <v>19</v>
      </c>
      <c r="AT50" s="286" t="s">
        <v>544</v>
      </c>
      <c r="AV50" s="234">
        <f t="shared" si="21"/>
        <v>15</v>
      </c>
      <c r="AW50" s="234">
        <f>COUNTIF( AV$7:AV50, AV50 )</f>
        <v>18</v>
      </c>
      <c r="AX50" s="287">
        <f t="shared" si="22"/>
        <v>16.8</v>
      </c>
      <c r="AY50" s="234">
        <f t="shared" si="23"/>
        <v>32</v>
      </c>
      <c r="AZ50" s="236"/>
      <c r="BA50" s="236"/>
      <c r="BC50" s="234">
        <f t="shared" ca="1" si="24"/>
        <v>44</v>
      </c>
      <c r="BD50" s="288">
        <f t="shared" ca="1" si="6"/>
        <v>10</v>
      </c>
      <c r="BF50" s="240" t="str">
        <f t="shared" ca="1" si="25"/>
        <v>Cleco Corporation</v>
      </c>
      <c r="BG50" s="240" t="str">
        <f t="shared" ca="1" si="25"/>
        <v>BBB-</v>
      </c>
      <c r="BH50" s="240">
        <f t="shared" ca="1" si="25"/>
        <v>17</v>
      </c>
      <c r="BI50" s="240" t="str">
        <f t="shared" ca="1" si="25"/>
        <v>**CNL</v>
      </c>
    </row>
    <row r="51" spans="1:61" x14ac:dyDescent="0.2">
      <c r="A51" s="303" t="s">
        <v>51</v>
      </c>
      <c r="B51" s="304" t="s">
        <v>49</v>
      </c>
      <c r="C51" s="304">
        <v>17</v>
      </c>
      <c r="D51" s="304" t="s">
        <v>299</v>
      </c>
      <c r="E51" s="305" t="str">
        <f t="shared" ca="1" si="8"/>
        <v>MR</v>
      </c>
      <c r="F51" s="306"/>
      <c r="G51" s="307">
        <f t="shared" ca="1" si="1"/>
        <v>27</v>
      </c>
      <c r="H51" s="250"/>
      <c r="I51" s="250"/>
      <c r="J51" s="262"/>
      <c r="K51" s="262"/>
      <c r="L51" s="235"/>
      <c r="M51" s="257"/>
      <c r="N51" s="257"/>
      <c r="AF51" s="236">
        <f t="shared" si="2"/>
        <v>1</v>
      </c>
      <c r="AG51" s="236" t="str">
        <f t="shared" ca="1" si="3"/>
        <v/>
      </c>
      <c r="AH51" s="236" t="str">
        <f t="shared" ca="1" si="18"/>
        <v/>
      </c>
      <c r="AJ51" s="236">
        <f t="shared" ca="1" si="19"/>
        <v>51</v>
      </c>
      <c r="AK51" s="236" t="str">
        <f t="shared" ca="1" si="20"/>
        <v>BBB-</v>
      </c>
      <c r="AL51" s="236">
        <f t="shared" ca="1" si="20"/>
        <v>17</v>
      </c>
      <c r="AM51" s="236" t="str">
        <f t="shared" ca="1" si="4"/>
        <v/>
      </c>
      <c r="AQ51" s="286" t="s">
        <v>76</v>
      </c>
      <c r="AR51" s="286" t="s">
        <v>16</v>
      </c>
      <c r="AS51" s="286">
        <v>19</v>
      </c>
      <c r="AT51" s="286" t="s">
        <v>334</v>
      </c>
      <c r="AV51" s="234">
        <f t="shared" si="21"/>
        <v>15</v>
      </c>
      <c r="AW51" s="234">
        <f>COUNTIF( AV$7:AV51, AV51 )</f>
        <v>19</v>
      </c>
      <c r="AX51" s="287">
        <f t="shared" si="22"/>
        <v>16.899999999999999</v>
      </c>
      <c r="AY51" s="234">
        <f t="shared" si="23"/>
        <v>33</v>
      </c>
      <c r="AZ51" s="236"/>
      <c r="BA51" s="236"/>
      <c r="BC51" s="234">
        <f t="shared" ca="1" si="24"/>
        <v>45</v>
      </c>
      <c r="BD51" s="288">
        <f t="shared" ca="1" si="6"/>
        <v>23</v>
      </c>
      <c r="BF51" s="240" t="str">
        <f t="shared" ca="1" si="25"/>
        <v>FirstEnergy Corp.</v>
      </c>
      <c r="BG51" s="240" t="str">
        <f t="shared" ca="1" si="25"/>
        <v>BBB-</v>
      </c>
      <c r="BH51" s="240">
        <f t="shared" ca="1" si="25"/>
        <v>17</v>
      </c>
      <c r="BI51" s="240" t="str">
        <f t="shared" ca="1" si="25"/>
        <v>FE</v>
      </c>
    </row>
    <row r="52" spans="1:61" x14ac:dyDescent="0.2">
      <c r="A52" s="303" t="s">
        <v>39</v>
      </c>
      <c r="B52" s="304" t="s">
        <v>49</v>
      </c>
      <c r="C52" s="304">
        <v>17</v>
      </c>
      <c r="D52" s="304" t="s">
        <v>302</v>
      </c>
      <c r="E52" s="305" t="str">
        <f t="shared" ca="1" si="8"/>
        <v>D</v>
      </c>
      <c r="F52" s="306"/>
      <c r="G52" s="307">
        <f t="shared" ca="1" si="1"/>
        <v>29</v>
      </c>
      <c r="H52" s="250"/>
      <c r="I52" s="250"/>
      <c r="J52" s="262"/>
      <c r="K52" s="262"/>
      <c r="AF52" s="236">
        <f t="shared" si="2"/>
        <v>1</v>
      </c>
      <c r="AG52" s="236" t="str">
        <f t="shared" ca="1" si="3"/>
        <v/>
      </c>
      <c r="AH52" s="236" t="str">
        <f t="shared" ca="1" si="18"/>
        <v/>
      </c>
      <c r="AJ52" s="236">
        <f t="shared" ca="1" si="19"/>
        <v>52</v>
      </c>
      <c r="AK52" s="236" t="str">
        <f t="shared" ca="1" si="20"/>
        <v>BBB-</v>
      </c>
      <c r="AL52" s="236">
        <f t="shared" ca="1" si="20"/>
        <v>17</v>
      </c>
      <c r="AM52" s="236" t="str">
        <f t="shared" ca="1" si="4"/>
        <v/>
      </c>
      <c r="AQ52" s="286" t="s">
        <v>14</v>
      </c>
      <c r="AR52" s="286" t="s">
        <v>10</v>
      </c>
      <c r="AS52" s="286">
        <v>20</v>
      </c>
      <c r="AT52" s="286" t="s">
        <v>335</v>
      </c>
      <c r="AV52" s="234">
        <f t="shared" si="21"/>
        <v>3</v>
      </c>
      <c r="AW52" s="234">
        <f>COUNTIF( AV$7:AV52, AV52 )</f>
        <v>10</v>
      </c>
      <c r="AX52" s="287">
        <f t="shared" si="22"/>
        <v>4</v>
      </c>
      <c r="AY52" s="234">
        <f t="shared" si="23"/>
        <v>12</v>
      </c>
      <c r="AZ52" s="236"/>
      <c r="BA52" s="236"/>
      <c r="BC52" s="234">
        <f t="shared" ca="1" si="24"/>
        <v>46</v>
      </c>
      <c r="BD52" s="288">
        <f t="shared" ca="1" si="6"/>
        <v>25</v>
      </c>
      <c r="BF52" s="240" t="str">
        <f t="shared" ca="1" si="25"/>
        <v>Hawaiian Electric Industries, Inc.</v>
      </c>
      <c r="BG52" s="240" t="str">
        <f t="shared" ca="1" si="25"/>
        <v>BBB-</v>
      </c>
      <c r="BH52" s="240">
        <f t="shared" ca="1" si="25"/>
        <v>17</v>
      </c>
      <c r="BI52" s="240" t="str">
        <f t="shared" ca="1" si="25"/>
        <v>HE</v>
      </c>
    </row>
    <row r="53" spans="1:61" x14ac:dyDescent="0.2">
      <c r="A53" s="303" t="s">
        <v>58</v>
      </c>
      <c r="B53" s="304" t="s">
        <v>49</v>
      </c>
      <c r="C53" s="304">
        <v>17</v>
      </c>
      <c r="D53" s="304" t="s">
        <v>446</v>
      </c>
      <c r="E53" s="305" t="str">
        <f t="shared" ca="1" si="8"/>
        <v>R</v>
      </c>
      <c r="F53" s="306"/>
      <c r="G53" s="307">
        <f t="shared" ca="1" si="1"/>
        <v>59</v>
      </c>
      <c r="H53" s="250"/>
      <c r="I53" s="250"/>
      <c r="J53" s="262"/>
      <c r="K53" s="262"/>
      <c r="AF53" s="236">
        <f t="shared" si="2"/>
        <v>1</v>
      </c>
      <c r="AG53" s="236" t="str">
        <f t="shared" ca="1" si="3"/>
        <v/>
      </c>
      <c r="AH53" s="236" t="str">
        <f t="shared" ca="1" si="18"/>
        <v/>
      </c>
      <c r="AJ53" s="236">
        <f t="shared" ca="1" si="19"/>
        <v>53</v>
      </c>
      <c r="AK53" s="236" t="str">
        <f t="shared" ca="1" si="20"/>
        <v>BBB-</v>
      </c>
      <c r="AL53" s="236">
        <f t="shared" ca="1" si="20"/>
        <v>17</v>
      </c>
      <c r="AM53" s="236" t="str">
        <f t="shared" ca="1" si="4"/>
        <v/>
      </c>
      <c r="AQ53" s="286" t="s">
        <v>59</v>
      </c>
      <c r="AR53" s="286" t="s">
        <v>16</v>
      </c>
      <c r="AS53" s="286">
        <v>19</v>
      </c>
      <c r="AT53" s="289" t="s">
        <v>337</v>
      </c>
      <c r="AV53" s="234">
        <f t="shared" si="21"/>
        <v>15</v>
      </c>
      <c r="AW53" s="234">
        <f>COUNTIF( AV$7:AV53, AV53 )</f>
        <v>20</v>
      </c>
      <c r="AX53" s="287">
        <f t="shared" si="22"/>
        <v>17</v>
      </c>
      <c r="AY53" s="234">
        <f t="shared" si="23"/>
        <v>34</v>
      </c>
      <c r="AZ53" s="236"/>
      <c r="BA53" s="236"/>
      <c r="BC53" s="234">
        <f t="shared" ca="1" si="24"/>
        <v>47</v>
      </c>
      <c r="BD53" s="288">
        <f t="shared" ca="1" si="6"/>
        <v>27</v>
      </c>
      <c r="BF53" s="240" t="str">
        <f t="shared" ca="1" si="25"/>
        <v>IPALCO Enterprises, Inc.</v>
      </c>
      <c r="BG53" s="240" t="str">
        <f t="shared" ca="1" si="25"/>
        <v>BBB-</v>
      </c>
      <c r="BH53" s="240">
        <f t="shared" ca="1" si="25"/>
        <v>17</v>
      </c>
      <c r="BI53" s="240" t="str">
        <f t="shared" ca="1" si="25"/>
        <v>**IPALCO</v>
      </c>
    </row>
    <row r="54" spans="1:61" x14ac:dyDescent="0.2">
      <c r="A54" s="303" t="s">
        <v>54</v>
      </c>
      <c r="B54" s="304" t="s">
        <v>49</v>
      </c>
      <c r="C54" s="304">
        <v>17</v>
      </c>
      <c r="D54" s="304" t="s">
        <v>449</v>
      </c>
      <c r="E54" s="305" t="str">
        <f t="shared" ca="1" si="8"/>
        <v>R</v>
      </c>
      <c r="F54" s="306"/>
      <c r="G54" s="307">
        <f t="shared" ca="1" si="1"/>
        <v>61</v>
      </c>
      <c r="H54" s="250"/>
      <c r="I54" s="250"/>
      <c r="J54" s="262"/>
      <c r="K54" s="262"/>
      <c r="AF54" s="236">
        <f t="shared" si="2"/>
        <v>1</v>
      </c>
      <c r="AG54" s="236" t="str">
        <f t="shared" ca="1" si="3"/>
        <v/>
      </c>
      <c r="AH54" s="236" t="str">
        <f t="shared" ca="1" si="18"/>
        <v/>
      </c>
      <c r="AJ54" s="236">
        <f t="shared" ca="1" si="19"/>
        <v>54</v>
      </c>
      <c r="AK54" s="236" t="str">
        <f t="shared" ca="1" si="20"/>
        <v>BBB-</v>
      </c>
      <c r="AL54" s="236">
        <f t="shared" ca="1" si="20"/>
        <v>17</v>
      </c>
      <c r="AM54" s="236" t="str">
        <f t="shared" ca="1" si="4"/>
        <v/>
      </c>
      <c r="AQ54" s="286" t="s">
        <v>26</v>
      </c>
      <c r="AR54" s="286" t="s">
        <v>10</v>
      </c>
      <c r="AS54" s="286">
        <v>20</v>
      </c>
      <c r="AT54" s="286" t="s">
        <v>336</v>
      </c>
      <c r="AV54" s="234">
        <f t="shared" si="21"/>
        <v>3</v>
      </c>
      <c r="AW54" s="234">
        <f>COUNTIF( AV$7:AV54, AV54 )</f>
        <v>11</v>
      </c>
      <c r="AX54" s="287">
        <f t="shared" si="22"/>
        <v>4.0999999999999996</v>
      </c>
      <c r="AY54" s="234">
        <f t="shared" si="23"/>
        <v>13</v>
      </c>
      <c r="AZ54" s="236"/>
      <c r="BA54" s="236"/>
      <c r="BC54" s="234">
        <f t="shared" ca="1" si="24"/>
        <v>48</v>
      </c>
      <c r="BD54" s="288">
        <f t="shared" ca="1" si="6"/>
        <v>40</v>
      </c>
      <c r="BF54" s="240" t="str">
        <f t="shared" ca="1" si="25"/>
        <v>Puget Energy, Inc.</v>
      </c>
      <c r="BG54" s="240" t="str">
        <f t="shared" ca="1" si="25"/>
        <v>BBB-</v>
      </c>
      <c r="BH54" s="240">
        <f t="shared" ca="1" si="25"/>
        <v>17</v>
      </c>
      <c r="BI54" s="240" t="str">
        <f t="shared" ca="1" si="25"/>
        <v>**PSD</v>
      </c>
    </row>
    <row r="55" spans="1:61" x14ac:dyDescent="0.2">
      <c r="A55" s="303" t="s">
        <v>64</v>
      </c>
      <c r="B55" s="304" t="s">
        <v>61</v>
      </c>
      <c r="C55" s="304">
        <v>15</v>
      </c>
      <c r="D55" s="304" t="s">
        <v>443</v>
      </c>
      <c r="E55" s="305" t="str">
        <f t="shared" ca="1" si="8"/>
        <v>R</v>
      </c>
      <c r="F55" s="306"/>
      <c r="G55" s="307">
        <f t="shared" ca="1" si="1"/>
        <v>57</v>
      </c>
      <c r="H55" s="250"/>
      <c r="I55" s="250"/>
      <c r="J55" s="262"/>
      <c r="K55" s="262"/>
      <c r="AF55" s="236">
        <f t="shared" si="2"/>
        <v>0</v>
      </c>
      <c r="AG55" s="236" t="str">
        <f t="shared" ca="1" si="3"/>
        <v/>
      </c>
      <c r="AH55" s="236" t="str">
        <f t="shared" ca="1" si="18"/>
        <v/>
      </c>
      <c r="AJ55" s="236">
        <f t="shared" ca="1" si="19"/>
        <v>55</v>
      </c>
      <c r="AK55" s="236" t="str">
        <f t="shared" ca="1" si="20"/>
        <v>BB</v>
      </c>
      <c r="AL55" s="236">
        <f t="shared" ca="1" si="20"/>
        <v>15</v>
      </c>
      <c r="AM55" s="236" t="str">
        <f t="shared" ca="1" si="4"/>
        <v/>
      </c>
      <c r="AQ55" s="286" t="s">
        <v>258</v>
      </c>
      <c r="AR55" s="286" t="s">
        <v>10</v>
      </c>
      <c r="AS55" s="286">
        <v>20</v>
      </c>
      <c r="AT55" s="286" t="s">
        <v>338</v>
      </c>
      <c r="AV55" s="234">
        <f t="shared" si="21"/>
        <v>3</v>
      </c>
      <c r="AW55" s="234">
        <f>COUNTIF( AV$7:AV55, AV55 )</f>
        <v>12</v>
      </c>
      <c r="AX55" s="287">
        <f t="shared" si="22"/>
        <v>4.2</v>
      </c>
      <c r="AY55" s="234">
        <f t="shared" si="23"/>
        <v>14</v>
      </c>
      <c r="AZ55" s="236"/>
      <c r="BA55" s="236"/>
      <c r="BC55" s="234">
        <f t="shared" ca="1" si="24"/>
        <v>49</v>
      </c>
      <c r="BD55" s="288">
        <f t="shared" ca="1" si="6"/>
        <v>14</v>
      </c>
      <c r="BF55" s="240" t="str">
        <f t="shared" ca="1" si="25"/>
        <v>DPL Inc.</v>
      </c>
      <c r="BG55" s="240" t="str">
        <f t="shared" ca="1" si="25"/>
        <v>BB</v>
      </c>
      <c r="BH55" s="240">
        <f t="shared" ca="1" si="25"/>
        <v>15</v>
      </c>
      <c r="BI55" s="240" t="str">
        <f t="shared" ca="1" si="25"/>
        <v>**DPL</v>
      </c>
    </row>
    <row r="56" spans="1:61" x14ac:dyDescent="0.2">
      <c r="A56" s="303"/>
      <c r="B56" s="304"/>
      <c r="C56" s="304"/>
      <c r="D56" s="304"/>
      <c r="E56" s="305"/>
      <c r="F56" s="306"/>
      <c r="G56" s="307" t="str">
        <f t="shared" ca="1" si="1"/>
        <v/>
      </c>
      <c r="H56" s="250"/>
      <c r="I56" s="250"/>
      <c r="J56" s="262"/>
      <c r="K56" s="262"/>
      <c r="AF56" s="236">
        <f t="shared" si="2"/>
        <v>0</v>
      </c>
      <c r="AG56" s="236" t="str">
        <f t="shared" si="3"/>
        <v/>
      </c>
      <c r="AH56" s="236" t="str">
        <f t="shared" si="18"/>
        <v/>
      </c>
      <c r="AJ56" s="236" t="e">
        <f t="shared" ca="1" si="19"/>
        <v>#N/A</v>
      </c>
      <c r="AK56" s="236" t="str">
        <f t="shared" ca="1" si="20"/>
        <v/>
      </c>
      <c r="AL56" s="236" t="str">
        <f t="shared" ca="1" si="20"/>
        <v/>
      </c>
      <c r="AM56" s="236" t="str">
        <f t="shared" ca="1" si="4"/>
        <v/>
      </c>
      <c r="AQ56" s="286"/>
      <c r="AR56" s="286"/>
      <c r="AS56" s="286"/>
      <c r="AT56" s="286"/>
      <c r="AV56" s="234">
        <f t="shared" si="21"/>
        <v>99</v>
      </c>
      <c r="AW56" s="234">
        <f>COUNTIF( AV$7:AV56, AV56 )</f>
        <v>1</v>
      </c>
      <c r="AX56" s="287">
        <f t="shared" si="22"/>
        <v>99.1</v>
      </c>
      <c r="AY56" s="234">
        <f t="shared" si="23"/>
        <v>50</v>
      </c>
      <c r="AZ56" s="236"/>
      <c r="BA56" s="236"/>
      <c r="BC56" s="234">
        <f t="shared" ca="1" si="24"/>
        <v>50</v>
      </c>
      <c r="BD56" s="288">
        <f t="shared" ca="1" si="6"/>
        <v>50</v>
      </c>
      <c r="BF56" s="240">
        <f t="shared" ca="1" si="25"/>
        <v>0</v>
      </c>
      <c r="BG56" s="240">
        <f t="shared" ca="1" si="25"/>
        <v>0</v>
      </c>
      <c r="BH56" s="240">
        <f t="shared" ca="1" si="25"/>
        <v>0</v>
      </c>
      <c r="BI56" s="240">
        <f t="shared" ca="1" si="25"/>
        <v>0</v>
      </c>
    </row>
    <row r="57" spans="1:61" x14ac:dyDescent="0.2">
      <c r="A57" s="303"/>
      <c r="B57" s="304"/>
      <c r="C57" s="304"/>
      <c r="D57" s="304"/>
      <c r="E57" s="305"/>
      <c r="F57" s="306"/>
      <c r="G57" s="307" t="str">
        <f t="shared" ca="1" si="1"/>
        <v/>
      </c>
      <c r="H57" s="250"/>
      <c r="I57" s="250"/>
      <c r="J57" s="262"/>
      <c r="K57" s="262"/>
      <c r="AF57" s="236">
        <f t="shared" si="2"/>
        <v>0</v>
      </c>
      <c r="AG57" s="236" t="str">
        <f t="shared" si="3"/>
        <v/>
      </c>
      <c r="AH57" s="236" t="str">
        <f t="shared" si="18"/>
        <v/>
      </c>
      <c r="AJ57" s="236" t="e">
        <f t="shared" ca="1" si="19"/>
        <v>#N/A</v>
      </c>
      <c r="AK57" s="236" t="str">
        <f t="shared" ca="1" si="20"/>
        <v/>
      </c>
      <c r="AL57" s="236" t="str">
        <f t="shared" ca="1" si="20"/>
        <v/>
      </c>
      <c r="AM57" s="236" t="str">
        <f t="shared" ca="1" si="4"/>
        <v/>
      </c>
      <c r="AQ57" s="286"/>
      <c r="AR57" s="286"/>
      <c r="AS57" s="286"/>
      <c r="AT57" s="286"/>
      <c r="AV57" s="234">
        <f t="shared" si="21"/>
        <v>99</v>
      </c>
      <c r="AW57" s="234">
        <f>COUNTIF( AV$7:AV57, AV57 )</f>
        <v>2</v>
      </c>
      <c r="AX57" s="287">
        <f t="shared" si="22"/>
        <v>99.2</v>
      </c>
      <c r="AY57" s="234">
        <f t="shared" si="23"/>
        <v>51</v>
      </c>
      <c r="AZ57" s="236"/>
      <c r="BA57" s="236"/>
      <c r="BC57" s="234">
        <f t="shared" ca="1" si="24"/>
        <v>51</v>
      </c>
      <c r="BD57" s="288">
        <f t="shared" ca="1" si="6"/>
        <v>51</v>
      </c>
      <c r="BF57" s="240">
        <f t="shared" ca="1" si="25"/>
        <v>0</v>
      </c>
      <c r="BG57" s="240">
        <f t="shared" ca="1" si="25"/>
        <v>0</v>
      </c>
      <c r="BH57" s="240">
        <f t="shared" ca="1" si="25"/>
        <v>0</v>
      </c>
      <c r="BI57" s="240">
        <f t="shared" ca="1" si="25"/>
        <v>0</v>
      </c>
    </row>
    <row r="58" spans="1:61" x14ac:dyDescent="0.2">
      <c r="A58" s="303"/>
      <c r="B58" s="304"/>
      <c r="C58" s="304"/>
      <c r="D58" s="304"/>
      <c r="E58" s="305"/>
      <c r="F58" s="306"/>
      <c r="G58" s="307" t="str">
        <f t="shared" ca="1" si="1"/>
        <v/>
      </c>
      <c r="H58" s="250"/>
      <c r="I58" s="250"/>
      <c r="J58" s="262"/>
      <c r="K58" s="262"/>
      <c r="AF58" s="236">
        <f t="shared" si="2"/>
        <v>0</v>
      </c>
      <c r="AG58" s="236" t="str">
        <f t="shared" si="3"/>
        <v/>
      </c>
      <c r="AH58" s="236" t="str">
        <f t="shared" si="18"/>
        <v/>
      </c>
      <c r="AJ58" s="236" t="e">
        <f t="shared" ca="1" si="19"/>
        <v>#N/A</v>
      </c>
      <c r="AK58" s="236" t="str">
        <f t="shared" ca="1" si="20"/>
        <v/>
      </c>
      <c r="AL58" s="236" t="str">
        <f t="shared" ca="1" si="20"/>
        <v/>
      </c>
      <c r="AM58" s="236" t="str">
        <f t="shared" ca="1" si="4"/>
        <v/>
      </c>
      <c r="AQ58" s="286"/>
      <c r="AR58" s="286"/>
      <c r="AS58" s="286"/>
      <c r="AT58" s="286"/>
      <c r="AV58" s="234">
        <f t="shared" si="21"/>
        <v>99</v>
      </c>
      <c r="AW58" s="234">
        <f>COUNTIF( AV$7:AV58, AV58 )</f>
        <v>3</v>
      </c>
      <c r="AX58" s="287">
        <f t="shared" si="22"/>
        <v>99.3</v>
      </c>
      <c r="AY58" s="234">
        <f t="shared" si="23"/>
        <v>52</v>
      </c>
      <c r="AZ58" s="236"/>
      <c r="BA58" s="236"/>
      <c r="BC58" s="234">
        <f t="shared" ca="1" si="24"/>
        <v>52</v>
      </c>
      <c r="BD58" s="288">
        <f t="shared" ca="1" si="6"/>
        <v>52</v>
      </c>
      <c r="BF58" s="240">
        <f t="shared" ca="1" si="25"/>
        <v>0</v>
      </c>
      <c r="BG58" s="240">
        <f t="shared" ca="1" si="25"/>
        <v>0</v>
      </c>
      <c r="BH58" s="240">
        <f t="shared" ca="1" si="25"/>
        <v>0</v>
      </c>
      <c r="BI58" s="240">
        <f t="shared" ca="1" si="25"/>
        <v>0</v>
      </c>
    </row>
    <row r="59" spans="1:61" x14ac:dyDescent="0.2">
      <c r="A59" s="303"/>
      <c r="B59" s="304"/>
      <c r="C59" s="304"/>
      <c r="D59" s="304"/>
      <c r="E59" s="305" t="str">
        <f t="shared" ca="1" si="8"/>
        <v/>
      </c>
      <c r="F59" s="306"/>
      <c r="G59" s="307" t="str">
        <f t="shared" ca="1" si="1"/>
        <v/>
      </c>
      <c r="H59" s="250"/>
      <c r="I59" s="250"/>
      <c r="J59" s="262"/>
      <c r="K59" s="262"/>
      <c r="AF59" s="236">
        <f t="shared" si="2"/>
        <v>0</v>
      </c>
      <c r="AG59" s="236" t="str">
        <f t="shared" si="3"/>
        <v/>
      </c>
      <c r="AH59" s="236" t="str">
        <f t="shared" si="18"/>
        <v/>
      </c>
      <c r="AJ59" s="236" t="e">
        <f t="shared" ca="1" si="19"/>
        <v>#N/A</v>
      </c>
      <c r="AK59" s="236" t="str">
        <f t="shared" ca="1" si="20"/>
        <v/>
      </c>
      <c r="AL59" s="236" t="str">
        <f t="shared" ca="1" si="20"/>
        <v/>
      </c>
      <c r="AM59" s="236" t="str">
        <f t="shared" ca="1" si="4"/>
        <v/>
      </c>
      <c r="AQ59" s="286"/>
      <c r="AR59" s="286"/>
      <c r="AS59" s="286"/>
      <c r="AT59" s="286"/>
      <c r="AV59" s="234">
        <f t="shared" si="21"/>
        <v>99</v>
      </c>
      <c r="AW59" s="234">
        <f>COUNTIF( AV$7:AV59, AV59 )</f>
        <v>4</v>
      </c>
      <c r="AX59" s="287">
        <f t="shared" si="22"/>
        <v>99.4</v>
      </c>
      <c r="AY59" s="234">
        <f t="shared" si="23"/>
        <v>53</v>
      </c>
      <c r="AZ59" s="236"/>
      <c r="BA59" s="236"/>
      <c r="BC59" s="234">
        <f t="shared" ca="1" si="24"/>
        <v>53</v>
      </c>
      <c r="BD59" s="288">
        <f t="shared" ca="1" si="6"/>
        <v>53</v>
      </c>
      <c r="BF59" s="240">
        <f t="shared" ca="1" si="25"/>
        <v>0</v>
      </c>
      <c r="BG59" s="240">
        <f t="shared" ca="1" si="25"/>
        <v>0</v>
      </c>
      <c r="BH59" s="240">
        <f t="shared" ca="1" si="25"/>
        <v>0</v>
      </c>
      <c r="BI59" s="240">
        <f t="shared" ca="1" si="25"/>
        <v>0</v>
      </c>
    </row>
    <row r="60" spans="1:61" ht="13.5" thickBot="1" x14ac:dyDescent="0.25">
      <c r="A60" s="265"/>
      <c r="B60" s="266"/>
      <c r="C60" s="266"/>
      <c r="D60" s="266"/>
      <c r="E60" s="267" t="str">
        <f t="shared" ca="1" si="8"/>
        <v/>
      </c>
      <c r="F60" s="250"/>
      <c r="G60" s="251" t="str">
        <f t="shared" ca="1" si="1"/>
        <v/>
      </c>
      <c r="H60" s="250"/>
      <c r="I60" s="250"/>
      <c r="AF60" s="236">
        <f t="shared" si="2"/>
        <v>0</v>
      </c>
      <c r="AG60" s="236" t="str">
        <f t="shared" si="3"/>
        <v/>
      </c>
      <c r="AH60" s="236" t="str">
        <f t="shared" si="18"/>
        <v/>
      </c>
      <c r="AJ60" s="236" t="e">
        <f t="shared" ca="1" si="19"/>
        <v>#N/A</v>
      </c>
      <c r="AK60" s="236" t="str">
        <f t="shared" ca="1" si="20"/>
        <v/>
      </c>
      <c r="AL60" s="236" t="str">
        <f t="shared" ca="1" si="20"/>
        <v/>
      </c>
      <c r="AM60" s="236" t="str">
        <f t="shared" ca="1" si="4"/>
        <v/>
      </c>
      <c r="AQ60" s="286"/>
      <c r="AR60" s="286"/>
      <c r="AS60" s="286"/>
      <c r="AT60" s="286"/>
      <c r="AV60" s="234">
        <f t="shared" si="21"/>
        <v>99</v>
      </c>
      <c r="AW60" s="234">
        <f>COUNTIF( AV$7:AV60, AV60 )</f>
        <v>5</v>
      </c>
      <c r="AX60" s="287">
        <f t="shared" si="22"/>
        <v>99.5</v>
      </c>
      <c r="AY60" s="234">
        <f t="shared" si="23"/>
        <v>54</v>
      </c>
      <c r="AZ60" s="236"/>
      <c r="BA60" s="236"/>
      <c r="BC60" s="234">
        <f t="shared" ca="1" si="24"/>
        <v>54</v>
      </c>
      <c r="BD60" s="288">
        <f t="shared" ca="1" si="6"/>
        <v>54</v>
      </c>
      <c r="BF60" s="240">
        <f t="shared" ca="1" si="25"/>
        <v>0</v>
      </c>
      <c r="BG60" s="240">
        <f t="shared" ca="1" si="25"/>
        <v>0</v>
      </c>
      <c r="BH60" s="240">
        <f t="shared" ca="1" si="25"/>
        <v>0</v>
      </c>
      <c r="BI60" s="240">
        <f t="shared" ca="1" si="25"/>
        <v>0</v>
      </c>
    </row>
    <row r="61" spans="1:61" x14ac:dyDescent="0.2">
      <c r="A61" s="308" t="s">
        <v>74</v>
      </c>
      <c r="B61" s="309" t="s">
        <v>108</v>
      </c>
      <c r="C61" s="309">
        <v>23</v>
      </c>
      <c r="D61" s="309" t="s">
        <v>440</v>
      </c>
      <c r="E61" s="310" t="str">
        <f t="shared" ca="1" si="8"/>
        <v>MR</v>
      </c>
      <c r="F61" s="311"/>
      <c r="G61" s="312">
        <f t="shared" ca="1" si="1"/>
        <v>32</v>
      </c>
      <c r="H61" s="250"/>
      <c r="I61" s="250"/>
      <c r="AF61" s="236">
        <f t="shared" si="2"/>
        <v>1</v>
      </c>
      <c r="AG61" s="236" t="str">
        <f t="shared" ca="1" si="3"/>
        <v/>
      </c>
      <c r="AH61" s="236" t="str">
        <f t="shared" ca="1" si="18"/>
        <v/>
      </c>
      <c r="AJ61" s="236">
        <f t="shared" ca="1" si="19"/>
        <v>61</v>
      </c>
      <c r="AK61" s="236" t="str">
        <f t="shared" ca="1" si="20"/>
        <v>AA-</v>
      </c>
      <c r="AL61" s="236">
        <f t="shared" ca="1" si="20"/>
        <v>23</v>
      </c>
      <c r="AM61" s="236" t="str">
        <f t="shared" ca="1" si="4"/>
        <v/>
      </c>
      <c r="AQ61" s="286"/>
      <c r="AR61" s="286"/>
      <c r="AS61" s="286"/>
      <c r="AT61" s="286"/>
      <c r="AV61" s="234">
        <f t="shared" si="21"/>
        <v>99</v>
      </c>
      <c r="AW61" s="234">
        <f>COUNTIF( AV$7:AV61, AV61 )</f>
        <v>6</v>
      </c>
      <c r="AX61" s="287">
        <f t="shared" si="22"/>
        <v>99.6</v>
      </c>
      <c r="AY61" s="234">
        <f t="shared" si="23"/>
        <v>55</v>
      </c>
      <c r="AZ61" s="236"/>
      <c r="BA61" s="236"/>
      <c r="BC61" s="234">
        <f t="shared" ca="1" si="24"/>
        <v>55</v>
      </c>
      <c r="BD61" s="288">
        <f t="shared" ca="1" si="6"/>
        <v>55</v>
      </c>
      <c r="BF61" s="240">
        <f t="shared" ca="1" si="25"/>
        <v>0</v>
      </c>
      <c r="BG61" s="240">
        <f t="shared" ca="1" si="25"/>
        <v>0</v>
      </c>
      <c r="BH61" s="240">
        <f t="shared" ca="1" si="25"/>
        <v>0</v>
      </c>
      <c r="BI61" s="240">
        <f t="shared" ca="1" si="25"/>
        <v>0</v>
      </c>
    </row>
    <row r="62" spans="1:61" x14ac:dyDescent="0.2">
      <c r="A62" s="303" t="s">
        <v>249</v>
      </c>
      <c r="B62" s="304"/>
      <c r="C62" s="304"/>
      <c r="D62" s="304" t="s">
        <v>445</v>
      </c>
      <c r="E62" s="305" t="str">
        <f t="shared" ca="1" si="8"/>
        <v>D</v>
      </c>
      <c r="F62" s="306"/>
      <c r="G62" s="307">
        <f t="shared" ca="1" si="1"/>
        <v>58</v>
      </c>
      <c r="H62" s="250"/>
      <c r="I62" s="250"/>
      <c r="AF62" s="236">
        <f t="shared" si="2"/>
        <v>0</v>
      </c>
      <c r="AG62" s="236" t="str">
        <f t="shared" si="3"/>
        <v/>
      </c>
      <c r="AH62" s="236" t="str">
        <f t="shared" si="18"/>
        <v/>
      </c>
      <c r="AJ62" s="236">
        <f t="shared" ca="1" si="19"/>
        <v>62</v>
      </c>
      <c r="AK62" s="236">
        <f t="shared" ca="1" si="20"/>
        <v>0</v>
      </c>
      <c r="AL62" s="236">
        <f t="shared" ca="1" si="20"/>
        <v>0</v>
      </c>
      <c r="AM62" s="236" t="str">
        <f t="shared" ca="1" si="4"/>
        <v/>
      </c>
      <c r="AQ62" s="286"/>
      <c r="AR62" s="286"/>
      <c r="AS62" s="286"/>
      <c r="AT62" s="286"/>
      <c r="AV62" s="234">
        <f t="shared" si="21"/>
        <v>99</v>
      </c>
      <c r="AW62" s="234">
        <f>COUNTIF( AV$7:AV62, AV62 )</f>
        <v>7</v>
      </c>
      <c r="AX62" s="287">
        <f t="shared" si="22"/>
        <v>99.7</v>
      </c>
      <c r="AY62" s="234">
        <f t="shared" si="23"/>
        <v>56</v>
      </c>
      <c r="AZ62" s="236"/>
      <c r="BA62" s="236"/>
      <c r="BC62" s="234">
        <f t="shared" ca="1" si="24"/>
        <v>56</v>
      </c>
      <c r="BD62" s="288">
        <f t="shared" ca="1" si="6"/>
        <v>56</v>
      </c>
      <c r="BF62" s="240">
        <f t="shared" ca="1" si="25"/>
        <v>0</v>
      </c>
      <c r="BG62" s="240">
        <f t="shared" ca="1" si="25"/>
        <v>0</v>
      </c>
      <c r="BH62" s="240">
        <f t="shared" ca="1" si="25"/>
        <v>0</v>
      </c>
      <c r="BI62" s="240">
        <f t="shared" ca="1" si="25"/>
        <v>0</v>
      </c>
    </row>
    <row r="63" spans="1:61" x14ac:dyDescent="0.2">
      <c r="A63" s="303"/>
      <c r="B63" s="313"/>
      <c r="C63" s="304"/>
      <c r="D63" s="304"/>
      <c r="E63" s="305"/>
      <c r="F63" s="306"/>
      <c r="G63" s="307"/>
      <c r="H63" s="250"/>
      <c r="I63" s="250"/>
      <c r="AF63" s="236">
        <f t="shared" si="2"/>
        <v>0</v>
      </c>
      <c r="AG63" s="236" t="str">
        <f t="shared" si="3"/>
        <v/>
      </c>
      <c r="AH63" s="236" t="str">
        <f t="shared" si="18"/>
        <v/>
      </c>
      <c r="AJ63" s="236" t="e">
        <f t="shared" ca="1" si="19"/>
        <v>#N/A</v>
      </c>
      <c r="AK63" s="236" t="str">
        <f t="shared" ca="1" si="20"/>
        <v/>
      </c>
      <c r="AL63" s="236" t="str">
        <f t="shared" ca="1" si="20"/>
        <v/>
      </c>
      <c r="AM63" s="236" t="str">
        <f t="shared" ca="1" si="4"/>
        <v/>
      </c>
      <c r="AQ63" s="286"/>
      <c r="AR63" s="286"/>
      <c r="AS63" s="286"/>
      <c r="AT63" s="286"/>
      <c r="AU63" s="286"/>
      <c r="AV63" s="234">
        <f t="shared" si="21"/>
        <v>99</v>
      </c>
      <c r="AW63" s="234">
        <f>COUNTIF( AV$7:AV63, AV63 )</f>
        <v>8</v>
      </c>
      <c r="AX63" s="287">
        <f t="shared" si="22"/>
        <v>99.8</v>
      </c>
      <c r="AY63" s="234">
        <f t="shared" si="23"/>
        <v>57</v>
      </c>
      <c r="AZ63" s="236"/>
      <c r="BA63" s="236"/>
      <c r="BC63" s="234">
        <f t="shared" ca="1" si="24"/>
        <v>57</v>
      </c>
      <c r="BD63" s="288">
        <f ca="1">MATCH( BC63, $AY$7:$AY$63, 0 )</f>
        <v>57</v>
      </c>
      <c r="BF63" s="240">
        <f t="shared" ca="1" si="25"/>
        <v>0</v>
      </c>
      <c r="BG63" s="240">
        <f t="shared" ca="1" si="25"/>
        <v>0</v>
      </c>
      <c r="BH63" s="240">
        <f t="shared" ca="1" si="25"/>
        <v>0</v>
      </c>
      <c r="BI63" s="240">
        <f t="shared" ca="1" si="25"/>
        <v>0</v>
      </c>
    </row>
    <row r="64" spans="1:61" x14ac:dyDescent="0.2">
      <c r="A64" s="303"/>
      <c r="B64" s="313"/>
      <c r="C64" s="304"/>
      <c r="D64" s="304"/>
      <c r="E64" s="305"/>
      <c r="F64" s="306"/>
      <c r="G64" s="307"/>
      <c r="H64" s="250"/>
      <c r="I64" s="250"/>
      <c r="AF64" s="236">
        <f t="shared" si="2"/>
        <v>0</v>
      </c>
      <c r="AG64" s="236" t="str">
        <f t="shared" si="3"/>
        <v/>
      </c>
      <c r="AH64" s="236" t="str">
        <f t="shared" si="18"/>
        <v/>
      </c>
      <c r="AJ64" s="236" t="e">
        <f t="shared" ca="1" si="19"/>
        <v>#N/A</v>
      </c>
      <c r="AK64" s="236" t="str">
        <f t="shared" ca="1" si="20"/>
        <v/>
      </c>
      <c r="AL64" s="236" t="str">
        <f t="shared" ca="1" si="20"/>
        <v/>
      </c>
      <c r="AM64" s="236" t="str">
        <f t="shared" ca="1" si="4"/>
        <v/>
      </c>
      <c r="AQ64" s="286" t="s">
        <v>74</v>
      </c>
      <c r="AR64" s="286" t="s">
        <v>108</v>
      </c>
      <c r="AS64" s="286">
        <v>23</v>
      </c>
      <c r="AT64" s="289" t="s">
        <v>440</v>
      </c>
      <c r="AU64" s="286"/>
      <c r="AZ64" s="236"/>
      <c r="BA64" s="236"/>
      <c r="BF64" s="236"/>
    </row>
    <row r="65" spans="1:58" x14ac:dyDescent="0.2">
      <c r="A65" s="303"/>
      <c r="B65" s="313"/>
      <c r="C65" s="304"/>
      <c r="D65" s="304"/>
      <c r="E65" s="305"/>
      <c r="F65" s="306"/>
      <c r="G65" s="307"/>
      <c r="H65" s="250"/>
      <c r="I65" s="250"/>
      <c r="N65" s="234" t="s">
        <v>73</v>
      </c>
      <c r="AF65" s="236">
        <f t="shared" si="2"/>
        <v>0</v>
      </c>
      <c r="AG65" s="236" t="str">
        <f>IF( LEN( $C65 ) = 0, "", IF( $C65 &gt; $AL65, 1, "" ) )</f>
        <v/>
      </c>
      <c r="AH65" s="236" t="str">
        <f t="shared" si="18"/>
        <v/>
      </c>
      <c r="AJ65" s="236" t="e">
        <f t="shared" ca="1" si="19"/>
        <v>#N/A</v>
      </c>
      <c r="AK65" s="236" t="str">
        <f t="shared" ca="1" si="20"/>
        <v/>
      </c>
      <c r="AL65" s="236" t="str">
        <f t="shared" ca="1" si="20"/>
        <v/>
      </c>
      <c r="AM65" s="236" t="str">
        <f t="shared" ca="1" si="4"/>
        <v/>
      </c>
      <c r="AQ65" s="286" t="s">
        <v>249</v>
      </c>
      <c r="AR65" s="286"/>
      <c r="AS65" s="286"/>
      <c r="AT65" s="286" t="s">
        <v>445</v>
      </c>
      <c r="AU65" s="286"/>
      <c r="AZ65" s="236"/>
      <c r="BA65" s="236"/>
      <c r="BF65" s="236"/>
    </row>
    <row r="66" spans="1:58" x14ac:dyDescent="0.2">
      <c r="A66" s="268"/>
      <c r="B66" s="269"/>
      <c r="C66" s="270"/>
      <c r="D66" s="270"/>
      <c r="E66" s="249"/>
      <c r="F66" s="250"/>
      <c r="H66" s="250"/>
      <c r="I66" s="250"/>
      <c r="AF66" s="236">
        <f t="shared" si="2"/>
        <v>0</v>
      </c>
      <c r="AG66" s="236" t="str">
        <f t="shared" ref="AG66:AG67" si="26">IF( LEN( $C66 ) = 0, "", IF( $C66 &gt; $AL66, 1, "" ) )</f>
        <v/>
      </c>
      <c r="AH66" s="236" t="str">
        <f t="shared" si="18"/>
        <v/>
      </c>
      <c r="AJ66" s="236" t="e">
        <f t="shared" ca="1" si="19"/>
        <v>#N/A</v>
      </c>
      <c r="AK66" s="236" t="str">
        <f t="shared" ca="1" si="20"/>
        <v/>
      </c>
      <c r="AL66" s="236" t="str">
        <f t="shared" ca="1" si="20"/>
        <v/>
      </c>
      <c r="AM66" s="236" t="str">
        <f t="shared" ca="1" si="4"/>
        <v/>
      </c>
      <c r="AU66" s="286"/>
      <c r="AX66" s="287"/>
      <c r="AZ66" s="236"/>
      <c r="BA66" s="236"/>
      <c r="BD66" s="288"/>
      <c r="BF66" s="236"/>
    </row>
    <row r="67" spans="1:58" ht="13.5" thickBot="1" x14ac:dyDescent="0.25">
      <c r="A67" s="271"/>
      <c r="B67" s="272"/>
      <c r="C67" s="337"/>
      <c r="D67" s="272"/>
      <c r="E67" s="273"/>
      <c r="F67" s="250"/>
      <c r="H67" s="250"/>
      <c r="I67" s="250"/>
      <c r="AF67" s="236">
        <f t="shared" si="2"/>
        <v>0</v>
      </c>
      <c r="AG67" s="236" t="str">
        <f t="shared" si="26"/>
        <v/>
      </c>
      <c r="AH67" s="236" t="str">
        <f t="shared" si="18"/>
        <v/>
      </c>
      <c r="AJ67" s="236" t="e">
        <f t="shared" ca="1" si="19"/>
        <v>#N/A</v>
      </c>
      <c r="AK67" s="236" t="str">
        <f t="shared" ca="1" si="20"/>
        <v/>
      </c>
      <c r="AL67" s="236" t="str">
        <f t="shared" ca="1" si="20"/>
        <v/>
      </c>
      <c r="AM67" s="236" t="str">
        <f t="shared" ca="1" si="4"/>
        <v/>
      </c>
      <c r="AX67" s="287"/>
      <c r="AZ67" s="236"/>
      <c r="BA67" s="236"/>
      <c r="BD67" s="288"/>
      <c r="BF67" s="236"/>
    </row>
    <row r="68" spans="1:58" x14ac:dyDescent="0.2">
      <c r="A68" s="274" t="s">
        <v>135</v>
      </c>
      <c r="B68" s="275" t="str">
        <f ca="1">OFFSET( Scale!$H$5, ROUND( C68, 0 ) - 1, 1 )</f>
        <v>BBB+</v>
      </c>
      <c r="C68" s="276">
        <f>AVERAGE(C7:C65)</f>
        <v>18.940000000000001</v>
      </c>
      <c r="D68" s="276"/>
      <c r="E68" s="276"/>
      <c r="F68" s="250"/>
      <c r="H68" s="250"/>
      <c r="I68" s="250"/>
      <c r="J68" s="253"/>
      <c r="K68" s="253"/>
      <c r="AX68" s="287"/>
      <c r="AZ68" s="236"/>
      <c r="BA68" s="236"/>
      <c r="BD68" s="288"/>
      <c r="BF68" s="236"/>
    </row>
    <row r="69" spans="1:58" x14ac:dyDescent="0.2">
      <c r="A69" s="277"/>
      <c r="B69" s="278"/>
      <c r="F69" s="250"/>
      <c r="H69" s="250"/>
      <c r="I69" s="250"/>
      <c r="AX69" s="287"/>
      <c r="AZ69" s="236"/>
      <c r="BA69" s="236"/>
      <c r="BD69" s="288"/>
      <c r="BF69" s="236"/>
    </row>
    <row r="70" spans="1:58" x14ac:dyDescent="0.2">
      <c r="A70" s="277"/>
      <c r="B70" s="278"/>
      <c r="F70" s="240"/>
      <c r="H70" s="240"/>
      <c r="I70" s="240"/>
      <c r="J70" s="253"/>
      <c r="K70" s="253"/>
    </row>
    <row r="71" spans="1:58" x14ac:dyDescent="0.2">
      <c r="A71" s="279" t="s">
        <v>267</v>
      </c>
      <c r="F71" s="240"/>
      <c r="H71" s="240"/>
      <c r="I71" s="240"/>
    </row>
    <row r="72" spans="1:58" x14ac:dyDescent="0.2">
      <c r="A72" s="279" t="s">
        <v>366</v>
      </c>
      <c r="B72" s="240"/>
      <c r="D72" s="264"/>
      <c r="E72" s="264"/>
      <c r="F72" s="280"/>
      <c r="H72" s="280"/>
      <c r="I72" s="280"/>
    </row>
    <row r="73" spans="1:58" x14ac:dyDescent="0.2">
      <c r="A73" s="281" t="s">
        <v>357</v>
      </c>
      <c r="B73" s="240"/>
      <c r="D73" s="264"/>
      <c r="E73" s="264"/>
      <c r="F73" s="280"/>
      <c r="H73" s="280"/>
      <c r="I73" s="280"/>
    </row>
    <row r="74" spans="1:58" x14ac:dyDescent="0.2">
      <c r="A74" s="279" t="s">
        <v>359</v>
      </c>
      <c r="D74" s="280"/>
      <c r="E74" s="234"/>
      <c r="F74" s="282"/>
      <c r="H74" s="282"/>
      <c r="I74" s="282"/>
      <c r="AQ74" s="286"/>
      <c r="AR74" s="286"/>
      <c r="AS74" s="286"/>
    </row>
    <row r="75" spans="1:58" x14ac:dyDescent="0.2">
      <c r="A75" s="279" t="s">
        <v>507</v>
      </c>
      <c r="D75" s="280"/>
      <c r="E75" s="234"/>
      <c r="F75" s="282"/>
      <c r="H75" s="282"/>
      <c r="I75" s="282"/>
      <c r="AQ75" s="286"/>
      <c r="AR75" s="286"/>
      <c r="AS75" s="286"/>
    </row>
    <row r="76" spans="1:58" x14ac:dyDescent="0.2">
      <c r="A76" s="279"/>
      <c r="AQ76" s="286"/>
      <c r="AR76" s="286"/>
      <c r="AS76" s="286"/>
    </row>
    <row r="77" spans="1:58" x14ac:dyDescent="0.2">
      <c r="C77" s="339">
        <f>SUMPRODUCT( L8:L13, Y8:Y13 ) / L14</f>
        <v>18.920000000000002</v>
      </c>
      <c r="E77" s="283"/>
      <c r="G77" s="251"/>
      <c r="J77" s="240"/>
      <c r="K77" s="240"/>
      <c r="AQ77" s="286"/>
      <c r="AR77" s="286"/>
      <c r="AS77" s="286"/>
    </row>
    <row r="78" spans="1:58" s="240" customFormat="1" x14ac:dyDescent="0.2">
      <c r="A78" s="284"/>
      <c r="B78" s="285"/>
      <c r="C78" s="285"/>
      <c r="D78" s="285"/>
      <c r="E78" s="249"/>
      <c r="F78" s="234"/>
      <c r="G78" s="236"/>
      <c r="H78" s="234"/>
      <c r="I78" s="234"/>
      <c r="Q78" s="234"/>
      <c r="T78" s="236"/>
      <c r="U78" s="236"/>
      <c r="V78" s="236"/>
      <c r="AF78" s="236"/>
      <c r="AG78" s="236"/>
      <c r="AH78" s="236"/>
      <c r="AJ78" s="236"/>
      <c r="AK78" s="236"/>
      <c r="AL78" s="236"/>
      <c r="AM78" s="236"/>
      <c r="AN78" s="236"/>
      <c r="AQ78" s="286"/>
      <c r="AR78" s="286"/>
      <c r="AS78" s="286"/>
    </row>
  </sheetData>
  <sortState ref="AQ7:AT58">
    <sortCondition ref="AQ7:AQ58"/>
  </sortState>
  <mergeCells count="9">
    <mergeCell ref="L16:M16"/>
    <mergeCell ref="O16:P16"/>
    <mergeCell ref="R16:S16"/>
    <mergeCell ref="U16:V16"/>
    <mergeCell ref="J5:J6"/>
    <mergeCell ref="L5:M6"/>
    <mergeCell ref="O5:P6"/>
    <mergeCell ref="R5:S6"/>
    <mergeCell ref="U5:V6"/>
  </mergeCells>
  <conditionalFormatting sqref="A60:E61 E62:E65 E7:E59">
    <cfRule type="expression" dxfId="773" priority="28" stopIfTrue="1">
      <formula>IF( $AH7 = 1, TRUE, FALSE )</formula>
    </cfRule>
    <cfRule type="expression" dxfId="772" priority="29" stopIfTrue="1">
      <formula>IF( $AG7 = 1, TRUE, FALSE )</formula>
    </cfRule>
    <cfRule type="expression" dxfId="771" priority="30" stopIfTrue="1">
      <formula>IF( $AF7 = 1, TRUE, FALSE )</formula>
    </cfRule>
  </conditionalFormatting>
  <conditionalFormatting sqref="A67:E67">
    <cfRule type="expression" dxfId="770" priority="31" stopIfTrue="1">
      <formula>IF( $AH67 = 1, TRUE, FALSE )</formula>
    </cfRule>
    <cfRule type="expression" dxfId="769" priority="32" stopIfTrue="1">
      <formula>IF( $AG67 = 1, TRUE, FALSE )</formula>
    </cfRule>
    <cfRule type="expression" dxfId="768" priority="33" stopIfTrue="1">
      <formula>IF( $AF67 = 1, TRUE, FALSE )</formula>
    </cfRule>
  </conditionalFormatting>
  <conditionalFormatting sqref="A66:E66">
    <cfRule type="expression" dxfId="767" priority="25" stopIfTrue="1">
      <formula>IF( $AH66 = 1, TRUE, FALSE )</formula>
    </cfRule>
    <cfRule type="expression" dxfId="766" priority="26" stopIfTrue="1">
      <formula>IF( $AG66 = 1, TRUE, FALSE )</formula>
    </cfRule>
    <cfRule type="expression" dxfId="765" priority="27" stopIfTrue="1">
      <formula>IF( $AF66 = 1, TRUE, FALSE )</formula>
    </cfRule>
  </conditionalFormatting>
  <conditionalFormatting sqref="A8:D58 B7:D7">
    <cfRule type="expression" dxfId="764" priority="22" stopIfTrue="1">
      <formula>IF( $AH7 = 1, TRUE, FALSE )</formula>
    </cfRule>
    <cfRule type="expression" dxfId="763" priority="23" stopIfTrue="1">
      <formula>IF( $AG7 = 1, TRUE, FALSE )</formula>
    </cfRule>
    <cfRule type="expression" dxfId="762" priority="24" stopIfTrue="1">
      <formula>IF( $AF7 = 1, TRUE, FALSE )</formula>
    </cfRule>
  </conditionalFormatting>
  <conditionalFormatting sqref="A59:D59">
    <cfRule type="expression" dxfId="761" priority="19" stopIfTrue="1">
      <formula>IF( $AH59 = 1, TRUE, FALSE )</formula>
    </cfRule>
    <cfRule type="expression" dxfId="760" priority="20" stopIfTrue="1">
      <formula>IF( $AG59 = 1, TRUE, FALSE )</formula>
    </cfRule>
    <cfRule type="expression" dxfId="759" priority="21" stopIfTrue="1">
      <formula>IF( $AF59 = 1, TRUE, FALSE )</formula>
    </cfRule>
  </conditionalFormatting>
  <conditionalFormatting sqref="A61:D65">
    <cfRule type="expression" dxfId="758" priority="16" stopIfTrue="1">
      <formula>IF( $AH61 = 1, TRUE, FALSE )</formula>
    </cfRule>
    <cfRule type="expression" dxfId="757" priority="17" stopIfTrue="1">
      <formula>IF( $AG61 = 1, TRUE, FALSE )</formula>
    </cfRule>
    <cfRule type="expression" dxfId="756" priority="18" stopIfTrue="1">
      <formula>IF( $AF61 = 1, TRUE, FALSE )</formula>
    </cfRule>
  </conditionalFormatting>
  <conditionalFormatting sqref="U8:U12">
    <cfRule type="cellIs" dxfId="755" priority="15" operator="equal">
      <formula>0</formula>
    </cfRule>
  </conditionalFormatting>
  <conditionalFormatting sqref="O8:O12 Q8:Q12">
    <cfRule type="cellIs" dxfId="754" priority="14" operator="equal">
      <formula>0</formula>
    </cfRule>
  </conditionalFormatting>
  <conditionalFormatting sqref="V8:V12">
    <cfRule type="cellIs" dxfId="753" priority="13" operator="equal">
      <formula>0</formula>
    </cfRule>
  </conditionalFormatting>
  <conditionalFormatting sqref="S8:S12">
    <cfRule type="cellIs" dxfId="752" priority="11" operator="equal">
      <formula>0</formula>
    </cfRule>
  </conditionalFormatting>
  <conditionalFormatting sqref="R8:R12">
    <cfRule type="cellIs" dxfId="751" priority="12" operator="equal">
      <formula>0</formula>
    </cfRule>
  </conditionalFormatting>
  <conditionalFormatting sqref="P8:P12">
    <cfRule type="cellIs" dxfId="750" priority="10" operator="equal">
      <formula>0</formula>
    </cfRule>
  </conditionalFormatting>
  <conditionalFormatting sqref="M8:M12">
    <cfRule type="cellIs" dxfId="749" priority="9" operator="equal">
      <formula>0</formula>
    </cfRule>
  </conditionalFormatting>
  <conditionalFormatting sqref="T8:T12">
    <cfRule type="cellIs" dxfId="748" priority="8" operator="equal">
      <formula>0</formula>
    </cfRule>
  </conditionalFormatting>
  <conditionalFormatting sqref="N8:N12">
    <cfRule type="cellIs" dxfId="747" priority="7" operator="equal">
      <formula>0</formula>
    </cfRule>
  </conditionalFormatting>
  <conditionalFormatting sqref="K8:K12">
    <cfRule type="cellIs" dxfId="746" priority="6" operator="equal">
      <formula>0</formula>
    </cfRule>
  </conditionalFormatting>
  <conditionalFormatting sqref="I8:I12">
    <cfRule type="cellIs" dxfId="745" priority="5" operator="equal">
      <formula>0</formula>
    </cfRule>
  </conditionalFormatting>
  <conditionalFormatting sqref="W8:W12">
    <cfRule type="cellIs" dxfId="744" priority="4" operator="equal">
      <formula>0</formula>
    </cfRule>
  </conditionalFormatting>
  <conditionalFormatting sqref="A7">
    <cfRule type="expression" dxfId="743" priority="1" stopIfTrue="1">
      <formula>IF( $AH7 = 1, TRUE, FALSE )</formula>
    </cfRule>
    <cfRule type="expression" dxfId="742" priority="2" stopIfTrue="1">
      <formula>IF( $AG7 = 1, TRUE, FALSE )</formula>
    </cfRule>
    <cfRule type="expression" dxfId="741" priority="3" stopIfTrue="1">
      <formula>IF( $AF7 = 1, TRUE, FALSE )</formula>
    </cfRule>
  </conditionalFormatting>
  <pageMargins left="0.17" right="0.18" top="0.28000000000000003" bottom="0.17" header="0.3" footer="0.3"/>
  <pageSetup scale="19"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BJ78"/>
  <sheetViews>
    <sheetView showGridLines="0" zoomScale="85" zoomScaleNormal="85" workbookViewId="0">
      <pane ySplit="6" topLeftCell="A7" activePane="bottomLeft" state="frozen"/>
      <selection activeCell="A7" sqref="A7"/>
      <selection pane="bottomLeft" activeCell="A7" sqref="A7"/>
    </sheetView>
  </sheetViews>
  <sheetFormatPr defaultColWidth="9.140625" defaultRowHeight="12.75" outlineLevelRow="1" outlineLevelCol="2" x14ac:dyDescent="0.2"/>
  <cols>
    <col min="1" max="1" width="35.140625" style="234" customWidth="1"/>
    <col min="2" max="2" width="9.140625" style="234"/>
    <col min="3" max="3" width="9.42578125" style="263" customWidth="1"/>
    <col min="4" max="4" width="9.140625" style="235" customWidth="1" outlineLevel="1"/>
    <col min="5" max="5" width="12.5703125" style="235" customWidth="1" outlineLevel="1"/>
    <col min="6" max="6" width="3.42578125" style="234" customWidth="1" outlineLevel="1"/>
    <col min="7" max="7" width="17.7109375" style="236" hidden="1" customWidth="1" outlineLevel="2"/>
    <col min="8" max="8" width="3.42578125" style="234" hidden="1" customWidth="1" outlineLevel="2" collapsed="1"/>
    <col min="9" max="9" width="3.28515625" style="234" customWidth="1" outlineLevel="1" collapsed="1"/>
    <col min="10" max="10" width="22" style="234" customWidth="1"/>
    <col min="11" max="11" width="2" style="234" customWidth="1"/>
    <col min="12" max="13" width="10.42578125" style="234" customWidth="1"/>
    <col min="14" max="14" width="2" style="234" customWidth="1"/>
    <col min="15" max="16" width="10.42578125" style="234" customWidth="1"/>
    <col min="17" max="17" width="2" style="234" customWidth="1"/>
    <col min="18" max="19" width="10.42578125" style="234" customWidth="1"/>
    <col min="20" max="20" width="2" style="236" customWidth="1"/>
    <col min="21" max="22" width="10.42578125" style="236" customWidth="1"/>
    <col min="23" max="23" width="2" style="234" customWidth="1"/>
    <col min="24" max="24" width="4.140625" style="234" customWidth="1"/>
    <col min="25" max="25" width="5.5703125" style="234" customWidth="1"/>
    <col min="26" max="26" width="2.42578125" style="234" customWidth="1"/>
    <col min="27" max="27" width="4.28515625" style="234" customWidth="1"/>
    <col min="28" max="30" width="2.42578125" style="234" hidden="1" customWidth="1" outlineLevel="1"/>
    <col min="31" max="31" width="4.42578125" style="234" hidden="1" customWidth="1" outlineLevel="1"/>
    <col min="32" max="32" width="6.5703125" style="236" hidden="1" customWidth="1" outlineLevel="1" collapsed="1"/>
    <col min="33" max="34" width="6.5703125" style="236" hidden="1" customWidth="1" outlineLevel="1"/>
    <col min="35" max="35" width="3.140625" style="234" hidden="1" customWidth="1" outlineLevel="1"/>
    <col min="36" max="36" width="15.85546875" style="236" hidden="1" customWidth="1" outlineLevel="1" collapsed="1"/>
    <col min="37" max="38" width="15.85546875" style="236" hidden="1" customWidth="1" outlineLevel="1"/>
    <col min="39" max="39" width="8.42578125" style="236" hidden="1" customWidth="1" outlineLevel="1"/>
    <col min="40" max="40" width="11.85546875" style="236" hidden="1" customWidth="1" outlineLevel="1"/>
    <col min="41" max="41" width="3.42578125" style="234" customWidth="1" collapsed="1"/>
    <col min="42" max="42" width="3.42578125" style="234" customWidth="1"/>
    <col min="43" max="43" width="29.7109375" style="234" hidden="1" customWidth="1" outlineLevel="1"/>
    <col min="44" max="44" width="6.42578125" style="234" hidden="1" customWidth="1" outlineLevel="1"/>
    <col min="45" max="45" width="6.7109375" style="234" hidden="1" customWidth="1" outlineLevel="1"/>
    <col min="46" max="46" width="8.7109375" style="234" hidden="1" customWidth="1" outlineLevel="1"/>
    <col min="47" max="47" width="3.140625" style="234" hidden="1" customWidth="1" outlineLevel="1"/>
    <col min="48" max="56" width="9.140625" style="234" hidden="1" customWidth="1" outlineLevel="2"/>
    <col min="57" max="57" width="5.42578125" style="234" hidden="1" customWidth="1" outlineLevel="1" collapsed="1"/>
    <col min="58" max="58" width="36.85546875" style="234" hidden="1" customWidth="1" outlineLevel="1"/>
    <col min="59" max="59" width="6.42578125" style="234" hidden="1" customWidth="1" outlineLevel="1"/>
    <col min="60" max="60" width="3.42578125" style="234" hidden="1" customWidth="1" outlineLevel="1"/>
    <col min="61" max="61" width="9.140625" style="234" hidden="1" customWidth="1" outlineLevel="1"/>
    <col min="62" max="62" width="9.140625" collapsed="1"/>
    <col min="63" max="16384" width="9.140625" style="234"/>
  </cols>
  <sheetData>
    <row r="1" spans="1:61" ht="18.75" x14ac:dyDescent="0.2">
      <c r="A1" s="323" t="str">
        <f>"I.  S&amp;P Utility Credit Ratings Distribution -- " &amp; B6</f>
        <v>I.  S&amp;P Utility Credit Ratings Distribution -- 2016 Q2</v>
      </c>
      <c r="G1" s="242" t="s">
        <v>506</v>
      </c>
      <c r="AF1" s="237" t="s">
        <v>420</v>
      </c>
      <c r="AG1" s="237" t="s">
        <v>421</v>
      </c>
      <c r="AH1" s="237" t="s">
        <v>422</v>
      </c>
      <c r="AJ1" s="237" t="s">
        <v>424</v>
      </c>
      <c r="AK1" s="237" t="s">
        <v>426</v>
      </c>
      <c r="AL1" s="237" t="s">
        <v>426</v>
      </c>
      <c r="AM1" s="237" t="s">
        <v>424</v>
      </c>
      <c r="AN1" s="237"/>
      <c r="AQ1" s="237" t="s">
        <v>497</v>
      </c>
    </row>
    <row r="2" spans="1:61" ht="18.75" hidden="1" outlineLevel="1" x14ac:dyDescent="0.2">
      <c r="A2" s="233"/>
      <c r="E2" s="238" t="str">
        <f>G2</f>
        <v>Reg_Percent_2015</v>
      </c>
      <c r="G2" s="239" t="s">
        <v>539</v>
      </c>
      <c r="AJ2" s="240" t="str">
        <f>AJ4 &amp; AJ3</f>
        <v>'Credit_2016Q1'!d:d</v>
      </c>
      <c r="AK2" s="240" t="str">
        <f>AK4 &amp; AK3</f>
        <v>'Credit_2016Q1'!b1</v>
      </c>
      <c r="AL2" s="240" t="str">
        <f>AL4 &amp; AL3</f>
        <v>'Credit_2016Q1'!c1</v>
      </c>
      <c r="AQ2" s="236"/>
    </row>
    <row r="3" spans="1:61" ht="18.75" hidden="1" outlineLevel="1" x14ac:dyDescent="0.2">
      <c r="A3" s="233"/>
      <c r="E3" s="241" t="str">
        <f>"'" &amp; E2 &amp; "'!"</f>
        <v>'Reg_Percent_2015'!</v>
      </c>
      <c r="G3" s="234" t="str">
        <f>"'" &amp; G2 &amp; "'!"</f>
        <v>'Reg_Percent_2015'!</v>
      </c>
      <c r="O3" s="242" t="s">
        <v>371</v>
      </c>
      <c r="P3" s="242"/>
      <c r="Q3" s="242"/>
      <c r="R3" s="242" t="s">
        <v>372</v>
      </c>
      <c r="T3" s="234"/>
      <c r="U3" s="242" t="s">
        <v>86</v>
      </c>
      <c r="V3" s="234"/>
      <c r="X3" s="242"/>
      <c r="Y3" s="242"/>
      <c r="Z3" s="242"/>
      <c r="AA3" s="242"/>
      <c r="AJ3" s="210" t="s">
        <v>438</v>
      </c>
      <c r="AK3" s="210" t="s">
        <v>427</v>
      </c>
      <c r="AL3" s="210" t="s">
        <v>453</v>
      </c>
      <c r="AQ3" s="236"/>
    </row>
    <row r="4" spans="1:61" ht="18.75" hidden="1" outlineLevel="1" x14ac:dyDescent="0.2">
      <c r="A4" s="233"/>
      <c r="E4" s="242" t="s">
        <v>439</v>
      </c>
      <c r="G4" s="242" t="s">
        <v>438</v>
      </c>
      <c r="O4" s="236"/>
      <c r="P4" s="236"/>
      <c r="Q4" s="236"/>
      <c r="T4" s="234"/>
      <c r="U4" s="234"/>
      <c r="V4" s="234"/>
      <c r="AJ4" s="236" t="str">
        <f>$AQ$5</f>
        <v>'Credit_2016Q1'!</v>
      </c>
      <c r="AK4" s="236" t="str">
        <f t="shared" ref="AK4:AL4" si="0">$AQ$5</f>
        <v>'Credit_2016Q1'!</v>
      </c>
      <c r="AL4" s="236" t="str">
        <f t="shared" si="0"/>
        <v>'Credit_2016Q1'!</v>
      </c>
      <c r="AQ4" s="236"/>
    </row>
    <row r="5" spans="1:61" collapsed="1" x14ac:dyDescent="0.2">
      <c r="E5" s="243" t="s">
        <v>436</v>
      </c>
      <c r="G5" s="237" t="s">
        <v>424</v>
      </c>
      <c r="I5" s="314"/>
      <c r="J5" s="466" t="s">
        <v>77</v>
      </c>
      <c r="K5" s="314"/>
      <c r="L5" s="468" t="str">
        <f>"All Companies" &amp; CHAR( 10 ) &amp; "("&amp; L14 &amp; ")"</f>
        <v>All Companies
(50)</v>
      </c>
      <c r="M5" s="468"/>
      <c r="N5" s="314"/>
      <c r="O5" s="466" t="str">
        <f ca="1">"Regulated" &amp; CHAR( 10 ) &amp; "(" &amp; O14 &amp; ")"</f>
        <v>Regulated
(37)</v>
      </c>
      <c r="P5" s="470"/>
      <c r="Q5" s="314"/>
      <c r="R5" s="466" t="str">
        <f ca="1">"Mostly Regulated" &amp; CHAR( 10 ) &amp; "(" &amp; R14 &amp; ")"</f>
        <v>Mostly Regulated
(11)</v>
      </c>
      <c r="S5" s="470"/>
      <c r="T5" s="314"/>
      <c r="U5" s="466" t="str">
        <f ca="1">"Diversified" &amp; CHAR( 10 ) &amp; "(" &amp; U14 &amp; ")"</f>
        <v>Diversified
(2)</v>
      </c>
      <c r="V5" s="470"/>
      <c r="W5" s="314"/>
      <c r="AE5" s="244"/>
      <c r="AF5" s="234"/>
      <c r="AG5" s="234"/>
      <c r="AH5" s="234"/>
      <c r="AJ5" s="234"/>
      <c r="AK5" s="234"/>
      <c r="AL5" s="234"/>
      <c r="AM5" s="234"/>
      <c r="AN5" s="234"/>
      <c r="AQ5" s="432" t="s">
        <v>540</v>
      </c>
    </row>
    <row r="6" spans="1:61" ht="28.5" customHeight="1" x14ac:dyDescent="0.2">
      <c r="A6" s="299" t="s">
        <v>0</v>
      </c>
      <c r="B6" s="300" t="s">
        <v>535</v>
      </c>
      <c r="C6" s="338" t="s">
        <v>471</v>
      </c>
      <c r="D6" s="301"/>
      <c r="E6" s="302">
        <f ca="1">INDIRECT( E3 &amp; G1 )</f>
        <v>42369</v>
      </c>
      <c r="I6" s="315"/>
      <c r="J6" s="467"/>
      <c r="K6" s="315"/>
      <c r="L6" s="469"/>
      <c r="M6" s="469"/>
      <c r="N6" s="315"/>
      <c r="O6" s="467"/>
      <c r="P6" s="467"/>
      <c r="Q6" s="315"/>
      <c r="R6" s="467" t="s">
        <v>137</v>
      </c>
      <c r="S6" s="467"/>
      <c r="T6" s="315"/>
      <c r="U6" s="467"/>
      <c r="V6" s="467"/>
      <c r="W6" s="315"/>
      <c r="AE6" s="245"/>
      <c r="AJ6" s="246"/>
    </row>
    <row r="7" spans="1:61" x14ac:dyDescent="0.2">
      <c r="A7" s="303" t="s">
        <v>501</v>
      </c>
      <c r="B7" s="304" t="s">
        <v>2</v>
      </c>
      <c r="C7" s="304">
        <v>21</v>
      </c>
      <c r="D7" s="304" t="s">
        <v>447</v>
      </c>
      <c r="E7" s="305" t="str">
        <f ca="1">IF( LEN( $G7 ) = 0, "", OFFSET( INDIRECT( E$3 &amp; E$4 ), $G7 - 1, 0 ) )</f>
        <v>R</v>
      </c>
      <c r="F7" s="306"/>
      <c r="G7" s="307">
        <f t="shared" ref="G7:G62" ca="1" si="1">IF( LEN( $D7 ) = 0, "", MATCH( $D7, INDIRECT( G$3 &amp; G$4 ), 0 ) )</f>
        <v>60</v>
      </c>
      <c r="H7" s="250"/>
      <c r="I7" s="316"/>
      <c r="J7" s="252"/>
      <c r="K7" s="316"/>
      <c r="L7" s="252" t="s">
        <v>81</v>
      </c>
      <c r="M7" s="252" t="s">
        <v>82</v>
      </c>
      <c r="N7" s="316"/>
      <c r="O7" s="252" t="s">
        <v>81</v>
      </c>
      <c r="P7" s="252" t="s">
        <v>82</v>
      </c>
      <c r="Q7" s="316"/>
      <c r="R7" s="252" t="s">
        <v>81</v>
      </c>
      <c r="S7" s="252" t="s">
        <v>82</v>
      </c>
      <c r="T7" s="316"/>
      <c r="U7" s="252" t="s">
        <v>81</v>
      </c>
      <c r="V7" s="252" t="s">
        <v>82</v>
      </c>
      <c r="W7" s="316"/>
      <c r="AE7" s="254"/>
      <c r="AF7" s="236">
        <f t="shared" ref="AF7:AF67" si="2">IF( LEN( C7 ) = 0, 0, IF( C7 = C6, AF6, IF( AF6 = 1, 0, 1 ) ) )</f>
        <v>1</v>
      </c>
      <c r="AG7" s="236" t="str">
        <f t="shared" ref="AG7:AG64" ca="1" si="3">IF( LEN( $C7 ) = 0, "", IF( $C7 &gt; $AL7, 1, "" ) )</f>
        <v/>
      </c>
      <c r="AH7" s="236" t="str">
        <f ca="1">IF( LEN( $C7 ) = 0, "", IF( $C7 &lt; $AL7, 1, "" ) )</f>
        <v/>
      </c>
      <c r="AJ7" s="236">
        <f ca="1">MATCH( $D7, INDIRECT( AJ$2 ), 0 )</f>
        <v>7</v>
      </c>
      <c r="AK7" s="236" t="str">
        <f ca="1">IF( ISNA( $AJ7 ), "", OFFSET( INDIRECT( AK$2 ), $AJ7-1, 0 ) )</f>
        <v>A</v>
      </c>
      <c r="AL7" s="236">
        <f ca="1">IF( ISNA( $AJ7 ), "", OFFSET( INDIRECT( AL$2 ), $AJ7-1, 0 ) )</f>
        <v>21</v>
      </c>
      <c r="AM7" s="236" t="str">
        <f t="shared" ref="AM7:AM67" ca="1" si="4">IF( B7 = AK7, "", "Change" )</f>
        <v/>
      </c>
      <c r="AQ7" s="286" t="s">
        <v>15</v>
      </c>
      <c r="AR7" s="286" t="s">
        <v>16</v>
      </c>
      <c r="AS7" s="286">
        <v>19</v>
      </c>
      <c r="AT7" s="286" t="s">
        <v>277</v>
      </c>
      <c r="AV7" s="234">
        <f>IF( LEN( AS7 ) = 0, 99, RANK( AS7, $AS$7:$AS$63 ) )</f>
        <v>15</v>
      </c>
      <c r="AW7" s="234">
        <f>COUNTIF( AV7:AV$7, AV7 )</f>
        <v>1</v>
      </c>
      <c r="AX7" s="287">
        <f>AV7 + AW7 / 10</f>
        <v>15.1</v>
      </c>
      <c r="AY7" s="234">
        <f>RANK( AX7, $AX$7:$AX$63, 1 )</f>
        <v>15</v>
      </c>
      <c r="AZ7" s="236"/>
      <c r="BA7" s="236"/>
      <c r="BC7" s="234">
        <f t="shared" ref="BC7" ca="1" si="5">OFFSET( BC7, -1, 0 ) + 1</f>
        <v>1</v>
      </c>
      <c r="BD7" s="288">
        <f t="shared" ref="BD7:BD62" ca="1" si="6">MATCH( BC7, $AY$7:$AY$63, 0 )</f>
        <v>7</v>
      </c>
      <c r="BF7" s="240" t="str">
        <f t="shared" ref="BF7:BI38" ca="1" si="7">OFFSET( AQ$6, $BD7, 0 )</f>
        <v>Berkshire Energy Holdings Company</v>
      </c>
      <c r="BG7" s="240" t="str">
        <f t="shared" ca="1" si="7"/>
        <v>A</v>
      </c>
      <c r="BH7" s="240">
        <f t="shared" ca="1" si="7"/>
        <v>21</v>
      </c>
      <c r="BI7" s="240" t="str">
        <f t="shared" ca="1" si="7"/>
        <v>**BRK</v>
      </c>
    </row>
    <row r="8" spans="1:61" x14ac:dyDescent="0.2">
      <c r="A8" s="303" t="s">
        <v>516</v>
      </c>
      <c r="B8" s="304" t="s">
        <v>2</v>
      </c>
      <c r="C8" s="304">
        <v>21</v>
      </c>
      <c r="D8" s="304" t="s">
        <v>512</v>
      </c>
      <c r="E8" s="305" t="str">
        <f t="shared" ref="E8:E62" ca="1" si="8">IF( LEN( $G8 ) = 0, "", OFFSET( INDIRECT( E$3 &amp; E$4 ), $G8 - 1, 0 ) )</f>
        <v>R</v>
      </c>
      <c r="F8" s="306"/>
      <c r="G8" s="307">
        <f t="shared" ca="1" si="1"/>
        <v>25</v>
      </c>
      <c r="H8" s="250"/>
      <c r="I8" s="317"/>
      <c r="J8" s="293" t="s">
        <v>138</v>
      </c>
      <c r="K8" s="317"/>
      <c r="L8" s="293">
        <f t="shared" ref="L8:L13" si="9">COUNTIF($C$7:$C$67,$X8)</f>
        <v>3</v>
      </c>
      <c r="M8" s="294">
        <f t="shared" ref="M8:M13" si="10">IF( L8 = 0, "", L8/L$14 )</f>
        <v>0.06</v>
      </c>
      <c r="N8" s="317"/>
      <c r="O8" s="293">
        <f t="shared" ref="O8:O13" ca="1" si="11">COUNTIFS( $E$7:$E$66, O$3, $C$7:$C$66, $X8 )</f>
        <v>2</v>
      </c>
      <c r="P8" s="294">
        <f t="shared" ref="P8:P13" ca="1" si="12">IF( O8 = 0, "", O8/O$14 )</f>
        <v>5.4054054054054057E-2</v>
      </c>
      <c r="Q8" s="317"/>
      <c r="R8" s="293">
        <f t="shared" ref="R8:R13" ca="1" si="13">COUNTIFS( $E$7:$E$66, R$3, $C$7:$C$66, $X8 )</f>
        <v>1</v>
      </c>
      <c r="S8" s="294">
        <f t="shared" ref="S8:S13" ca="1" si="14">IF( R8 = 0, "", R8/R$14 )</f>
        <v>9.0909090909090912E-2</v>
      </c>
      <c r="T8" s="317"/>
      <c r="U8" s="293">
        <f t="shared" ref="U8:U13" ca="1" si="15">COUNTIFS( $E$7:$E$66, U$3, $C$7:$C$66, $X8 )</f>
        <v>0</v>
      </c>
      <c r="V8" s="294" t="str">
        <f t="shared" ref="V8:V13" ca="1" si="16">IF( U8 = 0, "", U8/U$14 )</f>
        <v/>
      </c>
      <c r="W8" s="317"/>
      <c r="X8" s="256" t="s">
        <v>464</v>
      </c>
      <c r="Y8" s="256">
        <v>21</v>
      </c>
      <c r="Z8" s="256">
        <v>1</v>
      </c>
      <c r="AA8" s="255">
        <f t="shared" ref="AA8:AA13" ca="1" si="17">SUM(O8, R8, U8)</f>
        <v>3</v>
      </c>
      <c r="AC8" s="257"/>
      <c r="AE8" s="254"/>
      <c r="AF8" s="236">
        <f t="shared" si="2"/>
        <v>1</v>
      </c>
      <c r="AG8" s="236" t="str">
        <f t="shared" ca="1" si="3"/>
        <v/>
      </c>
      <c r="AH8" s="236" t="str">
        <f t="shared" ref="AH8:AH67" ca="1" si="18">IF( LEN( $C8 ) = 0, "", IF( $C8 &lt; $AL8, 1, "" ) )</f>
        <v/>
      </c>
      <c r="AJ8" s="236">
        <f t="shared" ref="AJ8:AJ67" ca="1" si="19">MATCH( $D8, INDIRECT( AJ$2 ), 0 )</f>
        <v>8</v>
      </c>
      <c r="AK8" s="236" t="str">
        <f t="shared" ref="AK8:AL67" ca="1" si="20">IF( ISNA( $AJ8 ), "", OFFSET( INDIRECT( AK$2 ), $AJ8-1, 0 ) )</f>
        <v>A</v>
      </c>
      <c r="AL8" s="236">
        <f t="shared" ca="1" si="20"/>
        <v>21</v>
      </c>
      <c r="AM8" s="236" t="str">
        <f t="shared" ca="1" si="4"/>
        <v/>
      </c>
      <c r="AQ8" s="286" t="s">
        <v>17</v>
      </c>
      <c r="AR8" s="286" t="s">
        <v>10</v>
      </c>
      <c r="AS8" s="286">
        <v>20</v>
      </c>
      <c r="AT8" s="286" t="s">
        <v>307</v>
      </c>
      <c r="AV8" s="234">
        <f t="shared" ref="AV8:AV63" si="21">IF( LEN( AS8 ) = 0, 99, RANK( AS8, $AS$7:$AS$63 ) )</f>
        <v>3</v>
      </c>
      <c r="AW8" s="234">
        <f>COUNTIF( AV$7:AV8, AV8 )</f>
        <v>1</v>
      </c>
      <c r="AX8" s="287">
        <f t="shared" ref="AX8:AX63" si="22">AV8 + AW8 / 10</f>
        <v>3.1</v>
      </c>
      <c r="AY8" s="234">
        <f t="shared" ref="AY8:AY63" si="23">RANK( AX8, $AX$7:$AX$63, 1 )</f>
        <v>3</v>
      </c>
      <c r="AZ8" s="236"/>
      <c r="BA8" s="236"/>
      <c r="BC8" s="234">
        <f ca="1">OFFSET( BC8, -1, 0 ) + 1</f>
        <v>2</v>
      </c>
      <c r="BD8" s="288">
        <f t="shared" ca="1" si="6"/>
        <v>21</v>
      </c>
      <c r="BF8" s="240" t="str">
        <f t="shared" ca="1" si="7"/>
        <v>Eversource Energy</v>
      </c>
      <c r="BG8" s="240" t="str">
        <f t="shared" ca="1" si="7"/>
        <v>A</v>
      </c>
      <c r="BH8" s="240">
        <f t="shared" ca="1" si="7"/>
        <v>21</v>
      </c>
      <c r="BI8" s="240" t="str">
        <f t="shared" ca="1" si="7"/>
        <v>ES</v>
      </c>
    </row>
    <row r="9" spans="1:61" x14ac:dyDescent="0.2">
      <c r="A9" s="303" t="s">
        <v>17</v>
      </c>
      <c r="B9" s="304" t="s">
        <v>10</v>
      </c>
      <c r="C9" s="304">
        <v>20</v>
      </c>
      <c r="D9" s="304" t="s">
        <v>307</v>
      </c>
      <c r="E9" s="305" t="str">
        <f t="shared" ca="1" si="8"/>
        <v>R</v>
      </c>
      <c r="F9" s="306"/>
      <c r="G9" s="307">
        <f t="shared" ca="1" si="1"/>
        <v>8</v>
      </c>
      <c r="H9" s="250"/>
      <c r="I9" s="318"/>
      <c r="J9" s="295" t="s">
        <v>10</v>
      </c>
      <c r="K9" s="318"/>
      <c r="L9" s="295">
        <f t="shared" si="9"/>
        <v>12</v>
      </c>
      <c r="M9" s="296">
        <f t="shared" si="10"/>
        <v>0.24</v>
      </c>
      <c r="N9" s="318"/>
      <c r="O9" s="295">
        <f t="shared" ca="1" si="11"/>
        <v>10</v>
      </c>
      <c r="P9" s="296">
        <f t="shared" ca="1" si="12"/>
        <v>0.27027027027027029</v>
      </c>
      <c r="Q9" s="318"/>
      <c r="R9" s="295">
        <f t="shared" ca="1" si="13"/>
        <v>2</v>
      </c>
      <c r="S9" s="296">
        <f t="shared" ca="1" si="14"/>
        <v>0.18181818181818182</v>
      </c>
      <c r="T9" s="318"/>
      <c r="U9" s="295">
        <f t="shared" ca="1" si="15"/>
        <v>0</v>
      </c>
      <c r="V9" s="296" t="str">
        <f t="shared" ca="1" si="16"/>
        <v/>
      </c>
      <c r="W9" s="318"/>
      <c r="X9" s="256" t="s">
        <v>465</v>
      </c>
      <c r="Y9" s="256">
        <v>20</v>
      </c>
      <c r="Z9" s="256">
        <v>1</v>
      </c>
      <c r="AA9" s="255">
        <f t="shared" ca="1" si="17"/>
        <v>12</v>
      </c>
      <c r="AC9" s="253"/>
      <c r="AE9" s="254"/>
      <c r="AF9" s="236">
        <f t="shared" si="2"/>
        <v>0</v>
      </c>
      <c r="AG9" s="236" t="str">
        <f t="shared" ca="1" si="3"/>
        <v/>
      </c>
      <c r="AH9" s="236" t="str">
        <f t="shared" ca="1" si="18"/>
        <v/>
      </c>
      <c r="AJ9" s="236">
        <f t="shared" ca="1" si="19"/>
        <v>9</v>
      </c>
      <c r="AK9" s="236" t="str">
        <f t="shared" ca="1" si="20"/>
        <v>A-</v>
      </c>
      <c r="AL9" s="236">
        <f t="shared" ca="1" si="20"/>
        <v>20</v>
      </c>
      <c r="AM9" s="236" t="str">
        <f t="shared" ca="1" si="4"/>
        <v/>
      </c>
      <c r="AQ9" s="286" t="s">
        <v>9</v>
      </c>
      <c r="AR9" s="286" t="s">
        <v>16</v>
      </c>
      <c r="AS9" s="286">
        <v>19</v>
      </c>
      <c r="AT9" s="286" t="s">
        <v>274</v>
      </c>
      <c r="AV9" s="234">
        <f t="shared" si="21"/>
        <v>15</v>
      </c>
      <c r="AW9" s="234">
        <f>COUNTIF( AV$7:AV9, AV9 )</f>
        <v>2</v>
      </c>
      <c r="AX9" s="287">
        <f t="shared" si="22"/>
        <v>15.2</v>
      </c>
      <c r="AY9" s="234">
        <f t="shared" si="23"/>
        <v>16</v>
      </c>
      <c r="AZ9" s="236"/>
      <c r="BA9" s="236"/>
      <c r="BC9" s="234">
        <f t="shared" ref="BC9:BC63" ca="1" si="24">OFFSET( BC9, -1, 0 ) + 1</f>
        <v>3</v>
      </c>
      <c r="BD9" s="288">
        <f t="shared" ca="1" si="6"/>
        <v>2</v>
      </c>
      <c r="BF9" s="240" t="str">
        <f t="shared" ca="1" si="7"/>
        <v>Alliant Energy Corporation</v>
      </c>
      <c r="BG9" s="240" t="str">
        <f t="shared" ca="1" si="7"/>
        <v>A-</v>
      </c>
      <c r="BH9" s="240">
        <f t="shared" ca="1" si="7"/>
        <v>20</v>
      </c>
      <c r="BI9" s="240" t="str">
        <f t="shared" ca="1" si="7"/>
        <v>LNT</v>
      </c>
    </row>
    <row r="10" spans="1:61" x14ac:dyDescent="0.2">
      <c r="A10" s="303" t="s">
        <v>29</v>
      </c>
      <c r="B10" s="304" t="s">
        <v>10</v>
      </c>
      <c r="C10" s="304">
        <v>20</v>
      </c>
      <c r="D10" s="304" t="s">
        <v>286</v>
      </c>
      <c r="E10" s="305" t="str">
        <f t="shared" ca="1" si="8"/>
        <v>MR</v>
      </c>
      <c r="F10" s="306"/>
      <c r="G10" s="307">
        <f t="shared" ca="1" si="1"/>
        <v>14</v>
      </c>
      <c r="H10" s="250"/>
      <c r="I10" s="318"/>
      <c r="J10" s="295" t="s">
        <v>16</v>
      </c>
      <c r="K10" s="318"/>
      <c r="L10" s="295">
        <f t="shared" si="9"/>
        <v>17</v>
      </c>
      <c r="M10" s="296">
        <f t="shared" si="10"/>
        <v>0.34</v>
      </c>
      <c r="N10" s="318"/>
      <c r="O10" s="295">
        <f t="shared" ca="1" si="11"/>
        <v>10</v>
      </c>
      <c r="P10" s="296">
        <f t="shared" ca="1" si="12"/>
        <v>0.27027027027027029</v>
      </c>
      <c r="Q10" s="318"/>
      <c r="R10" s="295">
        <f t="shared" ca="1" si="13"/>
        <v>7</v>
      </c>
      <c r="S10" s="296">
        <f t="shared" ca="1" si="14"/>
        <v>0.63636363636363635</v>
      </c>
      <c r="T10" s="318"/>
      <c r="U10" s="295">
        <f t="shared" ca="1" si="15"/>
        <v>0</v>
      </c>
      <c r="V10" s="296" t="str">
        <f t="shared" ca="1" si="16"/>
        <v/>
      </c>
      <c r="W10" s="318"/>
      <c r="X10" s="256" t="s">
        <v>466</v>
      </c>
      <c r="Y10" s="256">
        <v>19</v>
      </c>
      <c r="Z10" s="256">
        <v>1</v>
      </c>
      <c r="AA10" s="255">
        <f t="shared" ca="1" si="17"/>
        <v>17</v>
      </c>
      <c r="AE10" s="254"/>
      <c r="AF10" s="236">
        <f t="shared" si="2"/>
        <v>0</v>
      </c>
      <c r="AG10" s="236" t="str">
        <f t="shared" ca="1" si="3"/>
        <v/>
      </c>
      <c r="AH10" s="236" t="str">
        <f t="shared" ca="1" si="18"/>
        <v/>
      </c>
      <c r="AJ10" s="236">
        <f t="shared" ca="1" si="19"/>
        <v>10</v>
      </c>
      <c r="AK10" s="236" t="str">
        <f t="shared" ca="1" si="20"/>
        <v>A-</v>
      </c>
      <c r="AL10" s="236">
        <f t="shared" ca="1" si="20"/>
        <v>20</v>
      </c>
      <c r="AM10" s="236" t="str">
        <f t="shared" ca="1" si="4"/>
        <v/>
      </c>
      <c r="AQ10" s="286" t="s">
        <v>259</v>
      </c>
      <c r="AR10" s="286" t="s">
        <v>28</v>
      </c>
      <c r="AS10" s="286">
        <v>18</v>
      </c>
      <c r="AT10" s="286" t="s">
        <v>275</v>
      </c>
      <c r="AV10" s="234">
        <f t="shared" si="21"/>
        <v>32</v>
      </c>
      <c r="AW10" s="234">
        <f>COUNTIF( AV$7:AV10, AV10 )</f>
        <v>1</v>
      </c>
      <c r="AX10" s="287">
        <f t="shared" si="22"/>
        <v>32.1</v>
      </c>
      <c r="AY10" s="234">
        <f t="shared" si="23"/>
        <v>32</v>
      </c>
      <c r="AZ10" s="236"/>
      <c r="BA10" s="236"/>
      <c r="BC10" s="234">
        <f t="shared" ca="1" si="24"/>
        <v>4</v>
      </c>
      <c r="BD10" s="288">
        <f t="shared" ca="1" si="6"/>
        <v>9</v>
      </c>
      <c r="BF10" s="240" t="str">
        <f t="shared" ca="1" si="7"/>
        <v>CenterPoint Energy, Inc.</v>
      </c>
      <c r="BG10" s="240" t="str">
        <f t="shared" ca="1" si="7"/>
        <v>A-</v>
      </c>
      <c r="BH10" s="240">
        <f t="shared" ca="1" si="7"/>
        <v>20</v>
      </c>
      <c r="BI10" s="240" t="str">
        <f t="shared" ca="1" si="7"/>
        <v>CNP</v>
      </c>
    </row>
    <row r="11" spans="1:61" x14ac:dyDescent="0.2">
      <c r="A11" s="303" t="s">
        <v>3</v>
      </c>
      <c r="B11" s="304" t="s">
        <v>10</v>
      </c>
      <c r="C11" s="304">
        <v>20</v>
      </c>
      <c r="D11" s="304" t="s">
        <v>292</v>
      </c>
      <c r="E11" s="305" t="str">
        <f t="shared" ca="1" si="8"/>
        <v>R</v>
      </c>
      <c r="F11" s="306"/>
      <c r="G11" s="307">
        <f t="shared" ca="1" si="1"/>
        <v>17</v>
      </c>
      <c r="H11" s="250"/>
      <c r="I11" s="318"/>
      <c r="J11" s="295" t="s">
        <v>28</v>
      </c>
      <c r="K11" s="318"/>
      <c r="L11" s="295">
        <f t="shared" si="9"/>
        <v>12</v>
      </c>
      <c r="M11" s="296">
        <f t="shared" si="10"/>
        <v>0.24</v>
      </c>
      <c r="N11" s="318"/>
      <c r="O11" s="295">
        <f t="shared" ca="1" si="11"/>
        <v>11</v>
      </c>
      <c r="P11" s="296">
        <f t="shared" ca="1" si="12"/>
        <v>0.29729729729729731</v>
      </c>
      <c r="Q11" s="318"/>
      <c r="R11" s="295">
        <f t="shared" ca="1" si="13"/>
        <v>0</v>
      </c>
      <c r="S11" s="296" t="str">
        <f t="shared" ca="1" si="14"/>
        <v/>
      </c>
      <c r="T11" s="318"/>
      <c r="U11" s="295">
        <f t="shared" ca="1" si="15"/>
        <v>1</v>
      </c>
      <c r="V11" s="296">
        <f t="shared" ca="1" si="16"/>
        <v>0.5</v>
      </c>
      <c r="W11" s="318"/>
      <c r="X11" s="256" t="s">
        <v>467</v>
      </c>
      <c r="Y11" s="256">
        <v>18</v>
      </c>
      <c r="Z11" s="256">
        <v>1</v>
      </c>
      <c r="AA11" s="255">
        <f t="shared" ca="1" si="17"/>
        <v>12</v>
      </c>
      <c r="AE11" s="254"/>
      <c r="AF11" s="236">
        <f t="shared" si="2"/>
        <v>0</v>
      </c>
      <c r="AG11" s="236" t="str">
        <f t="shared" ca="1" si="3"/>
        <v/>
      </c>
      <c r="AH11" s="236" t="str">
        <f t="shared" ca="1" si="18"/>
        <v/>
      </c>
      <c r="AJ11" s="236">
        <f t="shared" ca="1" si="19"/>
        <v>11</v>
      </c>
      <c r="AK11" s="236" t="str">
        <f t="shared" ca="1" si="20"/>
        <v>A-</v>
      </c>
      <c r="AL11" s="236">
        <f t="shared" ca="1" si="20"/>
        <v>20</v>
      </c>
      <c r="AM11" s="236" t="str">
        <f t="shared" ca="1" si="4"/>
        <v/>
      </c>
      <c r="AQ11" s="286" t="s">
        <v>532</v>
      </c>
      <c r="AR11" s="286" t="s">
        <v>16</v>
      </c>
      <c r="AS11" s="286">
        <v>19</v>
      </c>
      <c r="AT11" s="286" t="s">
        <v>530</v>
      </c>
      <c r="AV11" s="234">
        <f t="shared" si="21"/>
        <v>15</v>
      </c>
      <c r="AW11" s="234">
        <f>COUNTIF( AV$7:AV11, AV11 )</f>
        <v>3</v>
      </c>
      <c r="AX11" s="287">
        <f t="shared" si="22"/>
        <v>15.3</v>
      </c>
      <c r="AY11" s="234">
        <f t="shared" si="23"/>
        <v>17</v>
      </c>
      <c r="AZ11" s="236"/>
      <c r="BA11" s="236"/>
      <c r="BC11" s="234">
        <f t="shared" ca="1" si="24"/>
        <v>5</v>
      </c>
      <c r="BD11" s="288">
        <f t="shared" ca="1" si="6"/>
        <v>12</v>
      </c>
      <c r="BF11" s="240" t="str">
        <f t="shared" ca="1" si="7"/>
        <v>Consolidated Edison, Inc.</v>
      </c>
      <c r="BG11" s="240" t="str">
        <f t="shared" ca="1" si="7"/>
        <v>A-</v>
      </c>
      <c r="BH11" s="240">
        <f t="shared" ca="1" si="7"/>
        <v>20</v>
      </c>
      <c r="BI11" s="240" t="str">
        <f t="shared" ca="1" si="7"/>
        <v>ED</v>
      </c>
    </row>
    <row r="12" spans="1:61" x14ac:dyDescent="0.2">
      <c r="A12" s="303" t="s">
        <v>32</v>
      </c>
      <c r="B12" s="304" t="s">
        <v>10</v>
      </c>
      <c r="C12" s="304">
        <v>20</v>
      </c>
      <c r="D12" s="304" t="s">
        <v>290</v>
      </c>
      <c r="E12" s="305" t="str">
        <f t="shared" ca="1" si="8"/>
        <v>R</v>
      </c>
      <c r="F12" s="306"/>
      <c r="G12" s="307">
        <f t="shared" ca="1" si="1"/>
        <v>20</v>
      </c>
      <c r="H12" s="250"/>
      <c r="I12" s="318"/>
      <c r="J12" s="295" t="s">
        <v>49</v>
      </c>
      <c r="K12" s="318"/>
      <c r="L12" s="295">
        <f t="shared" si="9"/>
        <v>5</v>
      </c>
      <c r="M12" s="296">
        <f t="shared" si="10"/>
        <v>0.1</v>
      </c>
      <c r="N12" s="318"/>
      <c r="O12" s="295">
        <f t="shared" ca="1" si="11"/>
        <v>3</v>
      </c>
      <c r="P12" s="296">
        <f t="shared" ca="1" si="12"/>
        <v>8.1081081081081086E-2</v>
      </c>
      <c r="Q12" s="318"/>
      <c r="R12" s="295">
        <f t="shared" ca="1" si="13"/>
        <v>1</v>
      </c>
      <c r="S12" s="296">
        <f t="shared" ca="1" si="14"/>
        <v>9.0909090909090912E-2</v>
      </c>
      <c r="T12" s="318"/>
      <c r="U12" s="295">
        <f t="shared" ca="1" si="15"/>
        <v>1</v>
      </c>
      <c r="V12" s="296">
        <f t="shared" ca="1" si="16"/>
        <v>0.5</v>
      </c>
      <c r="W12" s="318"/>
      <c r="X12" s="256" t="s">
        <v>468</v>
      </c>
      <c r="Y12" s="256">
        <v>17</v>
      </c>
      <c r="Z12" s="256">
        <v>1</v>
      </c>
      <c r="AA12" s="255">
        <f t="shared" ca="1" si="17"/>
        <v>5</v>
      </c>
      <c r="AE12" s="254"/>
      <c r="AF12" s="236">
        <f t="shared" si="2"/>
        <v>0</v>
      </c>
      <c r="AG12" s="236" t="str">
        <f t="shared" ca="1" si="3"/>
        <v/>
      </c>
      <c r="AH12" s="236" t="str">
        <f t="shared" ca="1" si="18"/>
        <v/>
      </c>
      <c r="AJ12" s="236">
        <f t="shared" ca="1" si="19"/>
        <v>12</v>
      </c>
      <c r="AK12" s="236" t="str">
        <f t="shared" ca="1" si="20"/>
        <v>A-</v>
      </c>
      <c r="AL12" s="236">
        <f t="shared" ca="1" si="20"/>
        <v>20</v>
      </c>
      <c r="AM12" s="236" t="str">
        <f t="shared" ca="1" si="4"/>
        <v/>
      </c>
      <c r="AQ12" s="286" t="s">
        <v>55</v>
      </c>
      <c r="AR12" s="286" t="s">
        <v>28</v>
      </c>
      <c r="AS12" s="286">
        <v>18</v>
      </c>
      <c r="AT12" s="286" t="s">
        <v>278</v>
      </c>
      <c r="AV12" s="234">
        <f t="shared" si="21"/>
        <v>32</v>
      </c>
      <c r="AW12" s="234">
        <f>COUNTIF( AV$7:AV12, AV12 )</f>
        <v>2</v>
      </c>
      <c r="AX12" s="287">
        <f t="shared" si="22"/>
        <v>32.200000000000003</v>
      </c>
      <c r="AY12" s="234">
        <f t="shared" si="23"/>
        <v>33</v>
      </c>
      <c r="AZ12" s="236"/>
      <c r="BA12" s="236"/>
      <c r="BC12" s="234">
        <f t="shared" ca="1" si="24"/>
        <v>6</v>
      </c>
      <c r="BD12" s="288">
        <f t="shared" ca="1" si="6"/>
        <v>16</v>
      </c>
      <c r="BF12" s="240" t="str">
        <f t="shared" ca="1" si="7"/>
        <v>Duke Energy Corporation</v>
      </c>
      <c r="BG12" s="240" t="str">
        <f t="shared" ca="1" si="7"/>
        <v>A-</v>
      </c>
      <c r="BH12" s="240">
        <f t="shared" ca="1" si="7"/>
        <v>20</v>
      </c>
      <c r="BI12" s="240" t="str">
        <f t="shared" ca="1" si="7"/>
        <v>DUK</v>
      </c>
    </row>
    <row r="13" spans="1:61" x14ac:dyDescent="0.2">
      <c r="A13" s="303" t="s">
        <v>370</v>
      </c>
      <c r="B13" s="304" t="s">
        <v>10</v>
      </c>
      <c r="C13" s="304">
        <v>20</v>
      </c>
      <c r="D13" s="304" t="s">
        <v>369</v>
      </c>
      <c r="E13" s="305" t="str">
        <f t="shared" ca="1" si="8"/>
        <v>MR</v>
      </c>
      <c r="F13" s="306"/>
      <c r="G13" s="307">
        <f t="shared" ca="1" si="1"/>
        <v>33</v>
      </c>
      <c r="H13" s="250"/>
      <c r="I13" s="319"/>
      <c r="J13" s="297" t="s">
        <v>79</v>
      </c>
      <c r="K13" s="319"/>
      <c r="L13" s="297">
        <f t="shared" si="9"/>
        <v>1</v>
      </c>
      <c r="M13" s="298">
        <f t="shared" si="10"/>
        <v>0.02</v>
      </c>
      <c r="N13" s="319"/>
      <c r="O13" s="297">
        <f t="shared" ca="1" si="11"/>
        <v>1</v>
      </c>
      <c r="P13" s="298">
        <f t="shared" ca="1" si="12"/>
        <v>2.7027027027027029E-2</v>
      </c>
      <c r="Q13" s="319"/>
      <c r="R13" s="297">
        <f t="shared" ca="1" si="13"/>
        <v>0</v>
      </c>
      <c r="S13" s="298" t="str">
        <f t="shared" ca="1" si="14"/>
        <v/>
      </c>
      <c r="T13" s="319"/>
      <c r="U13" s="297">
        <f t="shared" ca="1" si="15"/>
        <v>0</v>
      </c>
      <c r="V13" s="298" t="str">
        <f t="shared" ca="1" si="16"/>
        <v/>
      </c>
      <c r="W13" s="319"/>
      <c r="X13" s="256" t="s">
        <v>469</v>
      </c>
      <c r="Y13" s="256">
        <v>16</v>
      </c>
      <c r="Z13" s="256">
        <v>1</v>
      </c>
      <c r="AA13" s="259">
        <f t="shared" ca="1" si="17"/>
        <v>1</v>
      </c>
      <c r="AE13" s="254"/>
      <c r="AF13" s="236">
        <f t="shared" si="2"/>
        <v>0</v>
      </c>
      <c r="AG13" s="236" t="str">
        <f t="shared" ca="1" si="3"/>
        <v/>
      </c>
      <c r="AH13" s="236" t="str">
        <f t="shared" ca="1" si="18"/>
        <v/>
      </c>
      <c r="AJ13" s="236">
        <f t="shared" ca="1" si="19"/>
        <v>13</v>
      </c>
      <c r="AK13" s="236" t="str">
        <f t="shared" ca="1" si="20"/>
        <v>A-</v>
      </c>
      <c r="AL13" s="236">
        <f t="shared" ca="1" si="20"/>
        <v>20</v>
      </c>
      <c r="AM13" s="236" t="str">
        <f t="shared" ca="1" si="4"/>
        <v/>
      </c>
      <c r="AQ13" s="286" t="s">
        <v>501</v>
      </c>
      <c r="AR13" s="286" t="s">
        <v>2</v>
      </c>
      <c r="AS13" s="286">
        <v>21</v>
      </c>
      <c r="AT13" s="286" t="s">
        <v>447</v>
      </c>
      <c r="AV13" s="234">
        <f t="shared" si="21"/>
        <v>1</v>
      </c>
      <c r="AW13" s="234">
        <f>COUNTIF( AV$7:AV13, AV13 )</f>
        <v>1</v>
      </c>
      <c r="AX13" s="287">
        <f t="shared" si="22"/>
        <v>1.1000000000000001</v>
      </c>
      <c r="AY13" s="234">
        <f t="shared" si="23"/>
        <v>1</v>
      </c>
      <c r="AZ13" s="236"/>
      <c r="BA13" s="236"/>
      <c r="BC13" s="234">
        <f t="shared" ca="1" si="24"/>
        <v>7</v>
      </c>
      <c r="BD13" s="288">
        <f t="shared" ca="1" si="6"/>
        <v>29</v>
      </c>
      <c r="BF13" s="240" t="str">
        <f t="shared" ca="1" si="7"/>
        <v>NextEra Energy, Inc.</v>
      </c>
      <c r="BG13" s="240" t="str">
        <f t="shared" ca="1" si="7"/>
        <v>A-</v>
      </c>
      <c r="BH13" s="240">
        <f t="shared" ca="1" si="7"/>
        <v>20</v>
      </c>
      <c r="BI13" s="240" t="str">
        <f t="shared" ca="1" si="7"/>
        <v>NEE</v>
      </c>
    </row>
    <row r="14" spans="1:61" x14ac:dyDescent="0.2">
      <c r="A14" s="303" t="s">
        <v>21</v>
      </c>
      <c r="B14" s="304" t="s">
        <v>10</v>
      </c>
      <c r="C14" s="304">
        <v>20</v>
      </c>
      <c r="D14" s="304" t="s">
        <v>316</v>
      </c>
      <c r="E14" s="305" t="str">
        <f t="shared" ca="1" si="8"/>
        <v>R</v>
      </c>
      <c r="F14" s="306"/>
      <c r="G14" s="307">
        <f t="shared" ca="1" si="1"/>
        <v>36</v>
      </c>
      <c r="H14" s="250"/>
      <c r="I14" s="320"/>
      <c r="J14" s="291" t="s">
        <v>80</v>
      </c>
      <c r="K14" s="320"/>
      <c r="L14" s="291">
        <f>SUM(L8:L13)</f>
        <v>50</v>
      </c>
      <c r="M14" s="292">
        <f>L14/L$14</f>
        <v>1</v>
      </c>
      <c r="N14" s="320"/>
      <c r="O14" s="291">
        <f ca="1">SUM(O8:O13)</f>
        <v>37</v>
      </c>
      <c r="P14" s="292">
        <f ca="1">O14/O$14</f>
        <v>1</v>
      </c>
      <c r="Q14" s="320"/>
      <c r="R14" s="291">
        <f ca="1">SUM(R8:R13)</f>
        <v>11</v>
      </c>
      <c r="S14" s="292">
        <f ca="1">R14/R$14</f>
        <v>1</v>
      </c>
      <c r="T14" s="320"/>
      <c r="U14" s="291">
        <f ca="1">SUM(U8:U13)</f>
        <v>2</v>
      </c>
      <c r="V14" s="292">
        <f ca="1">U14/U$14</f>
        <v>1</v>
      </c>
      <c r="W14" s="320"/>
      <c r="Y14" s="261">
        <f>SUMPRODUCT( L8:L13, Y8:Y13 ) / L14</f>
        <v>18.86</v>
      </c>
      <c r="Z14" s="261"/>
      <c r="AA14" s="451">
        <f ca="1">SUM(AA8:AA13)</f>
        <v>50</v>
      </c>
      <c r="AE14" s="254"/>
      <c r="AF14" s="236">
        <f t="shared" si="2"/>
        <v>0</v>
      </c>
      <c r="AG14" s="236" t="str">
        <f t="shared" ca="1" si="3"/>
        <v/>
      </c>
      <c r="AH14" s="236" t="str">
        <f t="shared" ca="1" si="18"/>
        <v/>
      </c>
      <c r="AJ14" s="236">
        <f t="shared" ca="1" si="19"/>
        <v>14</v>
      </c>
      <c r="AK14" s="236" t="str">
        <f t="shared" ca="1" si="20"/>
        <v>A-</v>
      </c>
      <c r="AL14" s="236">
        <f t="shared" ca="1" si="20"/>
        <v>20</v>
      </c>
      <c r="AM14" s="236" t="str">
        <f t="shared" ca="1" si="4"/>
        <v/>
      </c>
      <c r="AQ14" s="286" t="s">
        <v>48</v>
      </c>
      <c r="AR14" s="286" t="s">
        <v>28</v>
      </c>
      <c r="AS14" s="286">
        <v>18</v>
      </c>
      <c r="AT14" s="286" t="s">
        <v>280</v>
      </c>
      <c r="AV14" s="234">
        <f>IF( LEN( AS14 ) = 0, 99, RANK( AS14, $AS$7:$AS$63 ) )</f>
        <v>32</v>
      </c>
      <c r="AW14" s="234">
        <f>COUNTIF( AV$7:AV14, AV14 )</f>
        <v>3</v>
      </c>
      <c r="AX14" s="287">
        <f t="shared" si="22"/>
        <v>32.299999999999997</v>
      </c>
      <c r="AY14" s="234">
        <f t="shared" si="23"/>
        <v>34</v>
      </c>
      <c r="AZ14" s="236"/>
      <c r="BA14" s="236"/>
      <c r="BC14" s="234">
        <f t="shared" ca="1" si="24"/>
        <v>8</v>
      </c>
      <c r="BD14" s="288">
        <f t="shared" ca="1" si="6"/>
        <v>32</v>
      </c>
      <c r="BF14" s="240" t="str">
        <f t="shared" ca="1" si="7"/>
        <v>OGE Energy Corp.</v>
      </c>
      <c r="BG14" s="240" t="str">
        <f t="shared" ca="1" si="7"/>
        <v>A-</v>
      </c>
      <c r="BH14" s="240">
        <f t="shared" ca="1" si="7"/>
        <v>20</v>
      </c>
      <c r="BI14" s="240" t="str">
        <f t="shared" ca="1" si="7"/>
        <v>OGE</v>
      </c>
    </row>
    <row r="15" spans="1:61" x14ac:dyDescent="0.2">
      <c r="A15" s="303" t="s">
        <v>41</v>
      </c>
      <c r="B15" s="304" t="s">
        <v>10</v>
      </c>
      <c r="C15" s="304">
        <v>20</v>
      </c>
      <c r="D15" s="304" t="s">
        <v>322</v>
      </c>
      <c r="E15" s="305" t="str">
        <f t="shared" ca="1" si="8"/>
        <v>R</v>
      </c>
      <c r="F15" s="306"/>
      <c r="G15" s="307">
        <f t="shared" ca="1" si="1"/>
        <v>39</v>
      </c>
      <c r="H15" s="250"/>
      <c r="I15" s="321"/>
      <c r="K15" s="321"/>
      <c r="N15" s="321"/>
      <c r="Q15" s="321"/>
      <c r="T15" s="321"/>
      <c r="W15" s="321"/>
      <c r="X15" s="240"/>
      <c r="AA15" s="240"/>
      <c r="AE15" s="254"/>
      <c r="AF15" s="236">
        <f t="shared" si="2"/>
        <v>0</v>
      </c>
      <c r="AG15" s="236" t="str">
        <f t="shared" ca="1" si="3"/>
        <v/>
      </c>
      <c r="AH15" s="236" t="str">
        <f t="shared" ca="1" si="18"/>
        <v/>
      </c>
      <c r="AJ15" s="236">
        <f t="shared" ca="1" si="19"/>
        <v>15</v>
      </c>
      <c r="AK15" s="236" t="str">
        <f t="shared" ca="1" si="20"/>
        <v>A-</v>
      </c>
      <c r="AL15" s="236">
        <f t="shared" ca="1" si="20"/>
        <v>20</v>
      </c>
      <c r="AM15" s="236" t="str">
        <f t="shared" ca="1" si="4"/>
        <v/>
      </c>
      <c r="AQ15" s="286" t="s">
        <v>29</v>
      </c>
      <c r="AR15" s="286" t="s">
        <v>10</v>
      </c>
      <c r="AS15" s="286">
        <v>20</v>
      </c>
      <c r="AT15" s="286" t="s">
        <v>286</v>
      </c>
      <c r="AV15" s="234">
        <f t="shared" si="21"/>
        <v>3</v>
      </c>
      <c r="AW15" s="234">
        <f>COUNTIF( AV$7:AV15, AV15 )</f>
        <v>2</v>
      </c>
      <c r="AX15" s="287">
        <f t="shared" si="22"/>
        <v>3.2</v>
      </c>
      <c r="AY15" s="234">
        <f t="shared" si="23"/>
        <v>4</v>
      </c>
      <c r="AZ15" s="236"/>
      <c r="BA15" s="236"/>
      <c r="BC15" s="234">
        <f t="shared" ca="1" si="24"/>
        <v>9</v>
      </c>
      <c r="BD15" s="288">
        <f t="shared" ca="1" si="6"/>
        <v>35</v>
      </c>
      <c r="BF15" s="240" t="str">
        <f t="shared" ca="1" si="7"/>
        <v>Pinnacle West Capital Corporation</v>
      </c>
      <c r="BG15" s="240" t="str">
        <f t="shared" ca="1" si="7"/>
        <v>A-</v>
      </c>
      <c r="BH15" s="240">
        <f t="shared" ca="1" si="7"/>
        <v>20</v>
      </c>
      <c r="BI15" s="240" t="str">
        <f t="shared" ca="1" si="7"/>
        <v>PNW</v>
      </c>
    </row>
    <row r="16" spans="1:61" x14ac:dyDescent="0.2">
      <c r="A16" s="303" t="s">
        <v>43</v>
      </c>
      <c r="B16" s="304" t="s">
        <v>10</v>
      </c>
      <c r="C16" s="304">
        <v>20</v>
      </c>
      <c r="D16" s="304" t="s">
        <v>325</v>
      </c>
      <c r="E16" s="305" t="str">
        <f t="shared" ca="1" si="8"/>
        <v>R</v>
      </c>
      <c r="F16" s="306"/>
      <c r="G16" s="307">
        <f t="shared" ca="1" si="1"/>
        <v>42</v>
      </c>
      <c r="H16" s="250"/>
      <c r="I16" s="316"/>
      <c r="J16" s="290" t="s">
        <v>450</v>
      </c>
      <c r="K16" s="316"/>
      <c r="L16" s="463">
        <f t="array" ref="L16">SUM( IF( LEN( $C$7:$C$65 ) = 0, 0, $C$7:$C$65 ) ) / SUM( IF( LEN( $C$7:$C$65 ) = 0, 0, 1  ) )</f>
        <v>18.88</v>
      </c>
      <c r="M16" s="464"/>
      <c r="N16" s="316"/>
      <c r="O16" s="463">
        <f t="array" aca="1" ref="O16" ca="1">SUM( IF( LEN( $C$7:$C$65 ) = 0, 0, IF( $E$7:$E$65 = O3, $C$7:$C$65, 0 ) ) ) / SUM( IF( LEN( $C$7:$C$65 ) = 0, 0, IF( $E$7:$E$65 = O3, 1, 0 ) ) )</f>
        <v>18.810810810810811</v>
      </c>
      <c r="P16" s="464"/>
      <c r="Q16" s="316"/>
      <c r="R16" s="463">
        <f t="array" aca="1" ref="R16" ca="1">SUM( IF( LEN( $C$7:$C$65 ) = 0, 0, IF( $E$7:$E$65 = R3, $C$7:$C$65, 0 ) ) ) / SUM( IF( LEN( $C$7:$C$65 ) = 0, 0, IF( $E$7:$E$65 = R3, 1, 0 ) ) )</f>
        <v>19.363636363636363</v>
      </c>
      <c r="S16" s="464"/>
      <c r="T16" s="316"/>
      <c r="U16" s="463">
        <f t="array" aca="1" ref="U16" ca="1">SUM( IF( LEN( $C$7:$C$65 ) = 0, 0, IF( $E$7:$E$65 = U3, $C$7:$C$65, 0 ) ) ) / SUM( IF( LEN( $C$7:$C$65 ) = 0, 0, IF( $E$7:$E$65 = U3, 1, 0 ) ) )</f>
        <v>17.5</v>
      </c>
      <c r="V16" s="465"/>
      <c r="W16" s="316"/>
      <c r="AE16" s="254"/>
      <c r="AF16" s="236">
        <f t="shared" si="2"/>
        <v>0</v>
      </c>
      <c r="AG16" s="236" t="str">
        <f t="shared" ca="1" si="3"/>
        <v/>
      </c>
      <c r="AH16" s="236" t="str">
        <f t="shared" ca="1" si="18"/>
        <v/>
      </c>
      <c r="AJ16" s="236">
        <f t="shared" ca="1" si="19"/>
        <v>16</v>
      </c>
      <c r="AK16" s="236" t="str">
        <f t="shared" ca="1" si="20"/>
        <v>A-</v>
      </c>
      <c r="AL16" s="236">
        <f t="shared" ca="1" si="20"/>
        <v>20</v>
      </c>
      <c r="AM16" s="236" t="str">
        <f t="shared" ca="1" si="4"/>
        <v/>
      </c>
      <c r="AQ16" s="286" t="s">
        <v>30</v>
      </c>
      <c r="AR16" s="286" t="s">
        <v>49</v>
      </c>
      <c r="AS16" s="286">
        <v>17</v>
      </c>
      <c r="AT16" s="286" t="s">
        <v>541</v>
      </c>
      <c r="AV16" s="234">
        <f t="shared" si="21"/>
        <v>44</v>
      </c>
      <c r="AW16" s="234">
        <f>COUNTIF( AV$7:AV16, AV16 )</f>
        <v>1</v>
      </c>
      <c r="AX16" s="287">
        <f t="shared" si="22"/>
        <v>44.1</v>
      </c>
      <c r="AY16" s="234">
        <f t="shared" si="23"/>
        <v>44</v>
      </c>
      <c r="AZ16" s="236"/>
      <c r="BA16" s="236"/>
      <c r="BC16" s="234">
        <f t="shared" ca="1" si="24"/>
        <v>10</v>
      </c>
      <c r="BD16" s="288">
        <f t="shared" ca="1" si="6"/>
        <v>38</v>
      </c>
      <c r="BF16" s="240" t="str">
        <f t="shared" ca="1" si="7"/>
        <v>PPL Corporation</v>
      </c>
      <c r="BG16" s="240" t="str">
        <f t="shared" ca="1" si="7"/>
        <v>A-</v>
      </c>
      <c r="BH16" s="240">
        <f t="shared" ca="1" si="7"/>
        <v>20</v>
      </c>
      <c r="BI16" s="240" t="str">
        <f t="shared" ca="1" si="7"/>
        <v>PPL</v>
      </c>
    </row>
    <row r="17" spans="1:61" x14ac:dyDescent="0.2">
      <c r="A17" s="303" t="s">
        <v>7</v>
      </c>
      <c r="B17" s="304" t="s">
        <v>10</v>
      </c>
      <c r="C17" s="304">
        <v>20</v>
      </c>
      <c r="D17" s="304" t="s">
        <v>328</v>
      </c>
      <c r="E17" s="305" t="str">
        <f t="shared" ca="1" si="8"/>
        <v>R</v>
      </c>
      <c r="F17" s="306"/>
      <c r="G17" s="307">
        <f t="shared" ca="1" si="1"/>
        <v>46</v>
      </c>
      <c r="H17" s="250"/>
      <c r="I17" s="321"/>
      <c r="K17" s="321"/>
      <c r="N17" s="321"/>
      <c r="O17" s="240"/>
      <c r="Q17" s="321"/>
      <c r="T17" s="321"/>
      <c r="W17" s="321"/>
      <c r="AE17" s="245"/>
      <c r="AF17" s="236">
        <f t="shared" si="2"/>
        <v>0</v>
      </c>
      <c r="AG17" s="236" t="str">
        <f t="shared" ca="1" si="3"/>
        <v/>
      </c>
      <c r="AH17" s="236" t="str">
        <f t="shared" ca="1" si="18"/>
        <v/>
      </c>
      <c r="AJ17" s="236">
        <f t="shared" ca="1" si="19"/>
        <v>17</v>
      </c>
      <c r="AK17" s="236" t="str">
        <f t="shared" ca="1" si="20"/>
        <v>A-</v>
      </c>
      <c r="AL17" s="236">
        <f t="shared" ca="1" si="20"/>
        <v>20</v>
      </c>
      <c r="AM17" s="236" t="str">
        <f t="shared" ca="1" si="4"/>
        <v/>
      </c>
      <c r="AQ17" s="286" t="s">
        <v>60</v>
      </c>
      <c r="AR17" s="286" t="s">
        <v>16</v>
      </c>
      <c r="AS17" s="286">
        <v>19</v>
      </c>
      <c r="AT17" s="286" t="s">
        <v>284</v>
      </c>
      <c r="AV17" s="234">
        <f t="shared" si="21"/>
        <v>15</v>
      </c>
      <c r="AW17" s="234">
        <f>COUNTIF( AV$7:AV17, AV17 )</f>
        <v>4</v>
      </c>
      <c r="AX17" s="287">
        <f t="shared" si="22"/>
        <v>15.4</v>
      </c>
      <c r="AY17" s="234">
        <f t="shared" si="23"/>
        <v>18</v>
      </c>
      <c r="AZ17" s="236"/>
      <c r="BA17" s="236"/>
      <c r="BC17" s="234">
        <f t="shared" ca="1" si="24"/>
        <v>11</v>
      </c>
      <c r="BD17" s="288">
        <f t="shared" ca="1" si="6"/>
        <v>43</v>
      </c>
      <c r="BF17" s="240" t="str">
        <f t="shared" ca="1" si="7"/>
        <v>Southern Company</v>
      </c>
      <c r="BG17" s="240" t="str">
        <f t="shared" ca="1" si="7"/>
        <v>A-</v>
      </c>
      <c r="BH17" s="240">
        <f t="shared" ca="1" si="7"/>
        <v>20</v>
      </c>
      <c r="BI17" s="240" t="str">
        <f t="shared" ca="1" si="7"/>
        <v>SO</v>
      </c>
    </row>
    <row r="18" spans="1:61" x14ac:dyDescent="0.2">
      <c r="A18" s="303" t="s">
        <v>14</v>
      </c>
      <c r="B18" s="304" t="s">
        <v>10</v>
      </c>
      <c r="C18" s="304">
        <v>20</v>
      </c>
      <c r="D18" s="304" t="s">
        <v>335</v>
      </c>
      <c r="E18" s="305" t="str">
        <f t="shared" ca="1" si="8"/>
        <v>R</v>
      </c>
      <c r="F18" s="306"/>
      <c r="G18" s="307">
        <f t="shared" ca="1" si="1"/>
        <v>49</v>
      </c>
      <c r="H18" s="250"/>
      <c r="I18" s="321"/>
      <c r="K18" s="321"/>
      <c r="N18" s="321"/>
      <c r="O18" s="240"/>
      <c r="Q18" s="321"/>
      <c r="T18" s="321"/>
      <c r="W18" s="321"/>
      <c r="AE18" s="254"/>
      <c r="AF18" s="236">
        <f t="shared" si="2"/>
        <v>0</v>
      </c>
      <c r="AG18" s="236" t="str">
        <f t="shared" ca="1" si="3"/>
        <v/>
      </c>
      <c r="AH18" s="236" t="str">
        <f t="shared" ca="1" si="18"/>
        <v/>
      </c>
      <c r="AJ18" s="236">
        <f t="shared" ca="1" si="19"/>
        <v>18</v>
      </c>
      <c r="AK18" s="236" t="str">
        <f t="shared" ca="1" si="20"/>
        <v>A-</v>
      </c>
      <c r="AL18" s="236">
        <f t="shared" ca="1" si="20"/>
        <v>20</v>
      </c>
      <c r="AM18" s="236" t="str">
        <f t="shared" ca="1" si="4"/>
        <v/>
      </c>
      <c r="AQ18" s="286" t="s">
        <v>3</v>
      </c>
      <c r="AR18" s="286" t="s">
        <v>10</v>
      </c>
      <c r="AS18" s="286">
        <v>20</v>
      </c>
      <c r="AT18" s="286" t="s">
        <v>292</v>
      </c>
      <c r="AV18" s="234">
        <f t="shared" si="21"/>
        <v>3</v>
      </c>
      <c r="AW18" s="234">
        <f>COUNTIF( AV$7:AV18, AV18 )</f>
        <v>3</v>
      </c>
      <c r="AX18" s="287">
        <f t="shared" si="22"/>
        <v>3.3</v>
      </c>
      <c r="AY18" s="234">
        <f t="shared" si="23"/>
        <v>5</v>
      </c>
      <c r="AZ18" s="236"/>
      <c r="BA18" s="236"/>
      <c r="BC18" s="234">
        <f t="shared" ca="1" si="24"/>
        <v>12</v>
      </c>
      <c r="BD18" s="288">
        <f t="shared" ca="1" si="6"/>
        <v>46</v>
      </c>
      <c r="BF18" s="240" t="str">
        <f t="shared" ca="1" si="7"/>
        <v>Vectren Corporation</v>
      </c>
      <c r="BG18" s="240" t="str">
        <f t="shared" ca="1" si="7"/>
        <v>A-</v>
      </c>
      <c r="BH18" s="240">
        <f t="shared" ca="1" si="7"/>
        <v>20</v>
      </c>
      <c r="BI18" s="240" t="str">
        <f t="shared" ca="1" si="7"/>
        <v>VVC</v>
      </c>
    </row>
    <row r="19" spans="1:61" x14ac:dyDescent="0.2">
      <c r="A19" s="303" t="s">
        <v>26</v>
      </c>
      <c r="B19" s="304" t="s">
        <v>10</v>
      </c>
      <c r="C19" s="304">
        <v>20</v>
      </c>
      <c r="D19" s="304" t="s">
        <v>336</v>
      </c>
      <c r="E19" s="305" t="str">
        <f t="shared" ca="1" si="8"/>
        <v>R</v>
      </c>
      <c r="F19" s="306"/>
      <c r="G19" s="307">
        <f t="shared" ca="1" si="1"/>
        <v>50</v>
      </c>
      <c r="H19" s="250"/>
      <c r="I19" s="321"/>
      <c r="K19" s="321"/>
      <c r="N19" s="321"/>
      <c r="O19" s="240"/>
      <c r="Q19" s="321"/>
      <c r="T19" s="321"/>
      <c r="W19" s="321"/>
      <c r="AE19" s="254"/>
      <c r="AF19" s="236">
        <f t="shared" si="2"/>
        <v>0</v>
      </c>
      <c r="AG19" s="236" t="str">
        <f t="shared" ca="1" si="3"/>
        <v/>
      </c>
      <c r="AH19" s="236" t="str">
        <f t="shared" ca="1" si="18"/>
        <v/>
      </c>
      <c r="AJ19" s="236">
        <f t="shared" ca="1" si="19"/>
        <v>19</v>
      </c>
      <c r="AK19" s="236" t="str">
        <f t="shared" ca="1" si="20"/>
        <v>A-</v>
      </c>
      <c r="AL19" s="236">
        <f t="shared" ca="1" si="20"/>
        <v>20</v>
      </c>
      <c r="AM19" s="236" t="str">
        <f t="shared" ca="1" si="4"/>
        <v/>
      </c>
      <c r="AQ19" s="286" t="s">
        <v>18</v>
      </c>
      <c r="AR19" s="286" t="s">
        <v>16</v>
      </c>
      <c r="AS19" s="286">
        <v>19</v>
      </c>
      <c r="AT19" s="286" t="s">
        <v>86</v>
      </c>
      <c r="AV19" s="234">
        <f t="shared" si="21"/>
        <v>15</v>
      </c>
      <c r="AW19" s="234">
        <f>COUNTIF( AV$7:AV19, AV19 )</f>
        <v>5</v>
      </c>
      <c r="AX19" s="287">
        <f t="shared" si="22"/>
        <v>15.5</v>
      </c>
      <c r="AY19" s="234">
        <f t="shared" si="23"/>
        <v>19</v>
      </c>
      <c r="AZ19" s="236"/>
      <c r="BA19" s="236"/>
      <c r="BC19" s="234">
        <f t="shared" ca="1" si="24"/>
        <v>13</v>
      </c>
      <c r="BD19" s="288">
        <f t="shared" ca="1" si="6"/>
        <v>48</v>
      </c>
      <c r="BF19" s="240" t="str">
        <f t="shared" ca="1" si="7"/>
        <v>Wisconsin Energy Corporation</v>
      </c>
      <c r="BG19" s="240" t="str">
        <f t="shared" ca="1" si="7"/>
        <v>A-</v>
      </c>
      <c r="BH19" s="240">
        <f t="shared" ca="1" si="7"/>
        <v>20</v>
      </c>
      <c r="BI19" s="240" t="str">
        <f t="shared" ca="1" si="7"/>
        <v>WEC</v>
      </c>
    </row>
    <row r="20" spans="1:61" x14ac:dyDescent="0.2">
      <c r="A20" s="303" t="s">
        <v>258</v>
      </c>
      <c r="B20" s="304" t="s">
        <v>10</v>
      </c>
      <c r="C20" s="304">
        <v>20</v>
      </c>
      <c r="D20" s="304" t="s">
        <v>338</v>
      </c>
      <c r="E20" s="305" t="str">
        <f t="shared" ca="1" si="8"/>
        <v>R</v>
      </c>
      <c r="F20" s="306"/>
      <c r="G20" s="307">
        <f t="shared" ca="1" si="1"/>
        <v>52</v>
      </c>
      <c r="H20" s="250"/>
      <c r="I20" s="322"/>
      <c r="K20" s="322"/>
      <c r="N20" s="322"/>
      <c r="O20" s="240"/>
      <c r="Q20" s="322"/>
      <c r="T20" s="322"/>
      <c r="W20" s="322"/>
      <c r="AE20" s="254"/>
      <c r="AF20" s="236">
        <f t="shared" si="2"/>
        <v>0</v>
      </c>
      <c r="AG20" s="236" t="str">
        <f t="shared" ca="1" si="3"/>
        <v/>
      </c>
      <c r="AH20" s="236" t="str">
        <f t="shared" ca="1" si="18"/>
        <v/>
      </c>
      <c r="AJ20" s="236">
        <f t="shared" ca="1" si="19"/>
        <v>20</v>
      </c>
      <c r="AK20" s="236" t="str">
        <f t="shared" ca="1" si="20"/>
        <v>A-</v>
      </c>
      <c r="AL20" s="236">
        <f t="shared" ca="1" si="20"/>
        <v>20</v>
      </c>
      <c r="AM20" s="236" t="str">
        <f t="shared" ca="1" si="4"/>
        <v/>
      </c>
      <c r="AQ20" s="286" t="s">
        <v>64</v>
      </c>
      <c r="AR20" s="286" t="s">
        <v>61</v>
      </c>
      <c r="AS20" s="286">
        <v>15</v>
      </c>
      <c r="AT20" s="286" t="s">
        <v>443</v>
      </c>
      <c r="AV20" s="234">
        <f t="shared" si="21"/>
        <v>49</v>
      </c>
      <c r="AW20" s="234">
        <f>COUNTIF( AV$7:AV20, AV20 )</f>
        <v>1</v>
      </c>
      <c r="AX20" s="287">
        <f t="shared" si="22"/>
        <v>49.1</v>
      </c>
      <c r="AY20" s="234">
        <f t="shared" si="23"/>
        <v>49</v>
      </c>
      <c r="AZ20" s="236"/>
      <c r="BA20" s="236"/>
      <c r="BC20" s="234">
        <f t="shared" ca="1" si="24"/>
        <v>14</v>
      </c>
      <c r="BD20" s="288">
        <f t="shared" ca="1" si="6"/>
        <v>49</v>
      </c>
      <c r="BF20" s="240" t="str">
        <f t="shared" ca="1" si="7"/>
        <v>Xcel Energy Inc.</v>
      </c>
      <c r="BG20" s="240" t="str">
        <f t="shared" ca="1" si="7"/>
        <v>A-</v>
      </c>
      <c r="BH20" s="240">
        <f t="shared" ca="1" si="7"/>
        <v>20</v>
      </c>
      <c r="BI20" s="240" t="str">
        <f t="shared" ca="1" si="7"/>
        <v>XEL</v>
      </c>
    </row>
    <row r="21" spans="1:61" x14ac:dyDescent="0.2">
      <c r="A21" s="303" t="s">
        <v>15</v>
      </c>
      <c r="B21" s="304" t="s">
        <v>16</v>
      </c>
      <c r="C21" s="304">
        <v>19</v>
      </c>
      <c r="D21" s="304" t="s">
        <v>277</v>
      </c>
      <c r="E21" s="305" t="str">
        <f t="shared" ca="1" si="8"/>
        <v>MR</v>
      </c>
      <c r="F21" s="306"/>
      <c r="G21" s="307">
        <f t="shared" ca="1" si="1"/>
        <v>7</v>
      </c>
      <c r="H21" s="250"/>
      <c r="I21" s="321"/>
      <c r="K21" s="321"/>
      <c r="N21" s="321"/>
      <c r="Q21" s="321"/>
      <c r="T21" s="321"/>
      <c r="W21" s="321"/>
      <c r="AE21" s="254"/>
      <c r="AF21" s="236">
        <f t="shared" si="2"/>
        <v>1</v>
      </c>
      <c r="AG21" s="236" t="str">
        <f t="shared" ca="1" si="3"/>
        <v/>
      </c>
      <c r="AH21" s="236" t="str">
        <f t="shared" ca="1" si="18"/>
        <v/>
      </c>
      <c r="AJ21" s="236">
        <f t="shared" ca="1" si="19"/>
        <v>21</v>
      </c>
      <c r="AK21" s="236" t="str">
        <f t="shared" ca="1" si="20"/>
        <v>BBB+</v>
      </c>
      <c r="AL21" s="236">
        <f t="shared" ca="1" si="20"/>
        <v>19</v>
      </c>
      <c r="AM21" s="236" t="str">
        <f t="shared" ca="1" si="4"/>
        <v/>
      </c>
      <c r="AQ21" s="286" t="s">
        <v>31</v>
      </c>
      <c r="AR21" s="286" t="s">
        <v>16</v>
      </c>
      <c r="AS21" s="286">
        <v>19</v>
      </c>
      <c r="AT21" s="286" t="s">
        <v>289</v>
      </c>
      <c r="AV21" s="234">
        <f t="shared" si="21"/>
        <v>15</v>
      </c>
      <c r="AW21" s="234">
        <f>COUNTIF( AV$7:AV21, AV21 )</f>
        <v>6</v>
      </c>
      <c r="AX21" s="287">
        <f t="shared" si="22"/>
        <v>15.6</v>
      </c>
      <c r="AY21" s="234">
        <f t="shared" si="23"/>
        <v>20</v>
      </c>
      <c r="AZ21" s="236"/>
      <c r="BA21" s="236"/>
      <c r="BC21" s="234">
        <f t="shared" ca="1" si="24"/>
        <v>15</v>
      </c>
      <c r="BD21" s="288">
        <f t="shared" ca="1" si="6"/>
        <v>1</v>
      </c>
      <c r="BF21" s="240" t="str">
        <f t="shared" ca="1" si="7"/>
        <v>ALLETE, Inc.</v>
      </c>
      <c r="BG21" s="240" t="str">
        <f t="shared" ca="1" si="7"/>
        <v>BBB+</v>
      </c>
      <c r="BH21" s="240">
        <f t="shared" ca="1" si="7"/>
        <v>19</v>
      </c>
      <c r="BI21" s="240" t="str">
        <f t="shared" ca="1" si="7"/>
        <v>ALE</v>
      </c>
    </row>
    <row r="22" spans="1:61" x14ac:dyDescent="0.2">
      <c r="A22" s="303" t="s">
        <v>9</v>
      </c>
      <c r="B22" s="304" t="s">
        <v>16</v>
      </c>
      <c r="C22" s="304">
        <v>19</v>
      </c>
      <c r="D22" s="304" t="s">
        <v>274</v>
      </c>
      <c r="E22" s="305" t="str">
        <f t="shared" ca="1" si="8"/>
        <v>R</v>
      </c>
      <c r="F22" s="306"/>
      <c r="G22" s="307">
        <f t="shared" ca="1" si="1"/>
        <v>9</v>
      </c>
      <c r="H22" s="250"/>
      <c r="I22" s="321"/>
      <c r="K22" s="321"/>
      <c r="N22" s="321"/>
      <c r="Q22" s="321"/>
      <c r="T22" s="321"/>
      <c r="W22" s="321"/>
      <c r="AE22" s="254"/>
      <c r="AF22" s="236">
        <f t="shared" si="2"/>
        <v>1</v>
      </c>
      <c r="AG22" s="236" t="str">
        <f t="shared" ca="1" si="3"/>
        <v/>
      </c>
      <c r="AH22" s="236" t="str">
        <f t="shared" ca="1" si="18"/>
        <v/>
      </c>
      <c r="AJ22" s="236">
        <f t="shared" ca="1" si="19"/>
        <v>22</v>
      </c>
      <c r="AK22" s="236" t="str">
        <f t="shared" ca="1" si="20"/>
        <v>BBB+</v>
      </c>
      <c r="AL22" s="236">
        <f t="shared" ca="1" si="20"/>
        <v>19</v>
      </c>
      <c r="AM22" s="236" t="str">
        <f t="shared" ca="1" si="4"/>
        <v/>
      </c>
      <c r="AQ22" s="286" t="s">
        <v>32</v>
      </c>
      <c r="AR22" s="286" t="s">
        <v>10</v>
      </c>
      <c r="AS22" s="286">
        <v>20</v>
      </c>
      <c r="AT22" s="286" t="s">
        <v>290</v>
      </c>
      <c r="AV22" s="234">
        <f t="shared" si="21"/>
        <v>3</v>
      </c>
      <c r="AW22" s="234">
        <f>COUNTIF( AV$7:AV22, AV22 )</f>
        <v>4</v>
      </c>
      <c r="AX22" s="287">
        <f t="shared" si="22"/>
        <v>3.4</v>
      </c>
      <c r="AY22" s="234">
        <f t="shared" si="23"/>
        <v>6</v>
      </c>
      <c r="AZ22" s="236"/>
      <c r="BA22" s="236"/>
      <c r="BC22" s="234">
        <f t="shared" ca="1" si="24"/>
        <v>16</v>
      </c>
      <c r="BD22" s="288">
        <f t="shared" ca="1" si="6"/>
        <v>3</v>
      </c>
      <c r="BF22" s="240" t="str">
        <f t="shared" ca="1" si="7"/>
        <v>Ameren Corporation</v>
      </c>
      <c r="BG22" s="240" t="str">
        <f t="shared" ca="1" si="7"/>
        <v>BBB+</v>
      </c>
      <c r="BH22" s="240">
        <f t="shared" ca="1" si="7"/>
        <v>19</v>
      </c>
      <c r="BI22" s="240" t="str">
        <f t="shared" ca="1" si="7"/>
        <v>AEE</v>
      </c>
    </row>
    <row r="23" spans="1:61" x14ac:dyDescent="0.2">
      <c r="A23" s="303" t="s">
        <v>532</v>
      </c>
      <c r="B23" s="304" t="s">
        <v>16</v>
      </c>
      <c r="C23" s="304">
        <v>19</v>
      </c>
      <c r="D23" s="304" t="s">
        <v>530</v>
      </c>
      <c r="E23" s="305" t="str">
        <f t="shared" ca="1" si="8"/>
        <v>MR</v>
      </c>
      <c r="F23" s="306"/>
      <c r="G23" s="307">
        <f t="shared" ca="1" si="1"/>
        <v>11</v>
      </c>
      <c r="H23" s="250"/>
      <c r="I23" s="321"/>
      <c r="K23" s="321"/>
      <c r="N23" s="321"/>
      <c r="Q23" s="321"/>
      <c r="T23" s="321"/>
      <c r="W23" s="321"/>
      <c r="AE23" s="254"/>
      <c r="AF23" s="236">
        <f t="shared" si="2"/>
        <v>1</v>
      </c>
      <c r="AG23" s="236">
        <f t="shared" ca="1" si="3"/>
        <v>1</v>
      </c>
      <c r="AH23" s="236" t="str">
        <f t="shared" ca="1" si="18"/>
        <v/>
      </c>
      <c r="AJ23" s="236">
        <f t="shared" ca="1" si="19"/>
        <v>39</v>
      </c>
      <c r="AK23" s="236" t="str">
        <f t="shared" ca="1" si="20"/>
        <v>BBB</v>
      </c>
      <c r="AL23" s="236">
        <f t="shared" ca="1" si="20"/>
        <v>18</v>
      </c>
      <c r="AM23" s="236" t="str">
        <f t="shared" ca="1" si="4"/>
        <v>Change</v>
      </c>
      <c r="AQ23" s="286" t="s">
        <v>57</v>
      </c>
      <c r="AR23" s="286" t="s">
        <v>16</v>
      </c>
      <c r="AS23" s="286">
        <v>19</v>
      </c>
      <c r="AT23" s="286" t="s">
        <v>296</v>
      </c>
      <c r="AV23" s="234">
        <f t="shared" si="21"/>
        <v>15</v>
      </c>
      <c r="AW23" s="234">
        <f>COUNTIF( AV$7:AV23, AV23 )</f>
        <v>7</v>
      </c>
      <c r="AX23" s="287">
        <f t="shared" si="22"/>
        <v>15.7</v>
      </c>
      <c r="AY23" s="234">
        <f t="shared" si="23"/>
        <v>21</v>
      </c>
      <c r="AZ23" s="236"/>
      <c r="BA23" s="236"/>
      <c r="BC23" s="234">
        <f t="shared" ca="1" si="24"/>
        <v>17</v>
      </c>
      <c r="BD23" s="288">
        <f t="shared" ca="1" si="6"/>
        <v>5</v>
      </c>
      <c r="BF23" s="240" t="str">
        <f t="shared" ca="1" si="7"/>
        <v>AVANGRID, Inc.</v>
      </c>
      <c r="BG23" s="240" t="str">
        <f t="shared" ca="1" si="7"/>
        <v>BBB+</v>
      </c>
      <c r="BH23" s="240">
        <f t="shared" ca="1" si="7"/>
        <v>19</v>
      </c>
      <c r="BI23" s="240" t="str">
        <f t="shared" ca="1" si="7"/>
        <v>AGR</v>
      </c>
    </row>
    <row r="24" spans="1:61" x14ac:dyDescent="0.2">
      <c r="A24" s="303" t="s">
        <v>60</v>
      </c>
      <c r="B24" s="304" t="s">
        <v>16</v>
      </c>
      <c r="C24" s="304">
        <v>19</v>
      </c>
      <c r="D24" s="304" t="s">
        <v>284</v>
      </c>
      <c r="E24" s="305" t="str">
        <f t="shared" ca="1" si="8"/>
        <v>R</v>
      </c>
      <c r="F24" s="306"/>
      <c r="G24" s="307">
        <f t="shared" ca="1" si="1"/>
        <v>16</v>
      </c>
      <c r="H24" s="250"/>
      <c r="I24" s="321"/>
      <c r="J24" s="262"/>
      <c r="K24" s="321"/>
      <c r="N24" s="321"/>
      <c r="Q24" s="321"/>
      <c r="T24" s="321"/>
      <c r="W24" s="321"/>
      <c r="AE24" s="254"/>
      <c r="AF24" s="236">
        <f t="shared" si="2"/>
        <v>1</v>
      </c>
      <c r="AG24" s="236" t="str">
        <f t="shared" ca="1" si="3"/>
        <v/>
      </c>
      <c r="AH24" s="236" t="str">
        <f t="shared" ca="1" si="18"/>
        <v/>
      </c>
      <c r="AJ24" s="236">
        <f t="shared" ca="1" si="19"/>
        <v>24</v>
      </c>
      <c r="AK24" s="236" t="str">
        <f t="shared" ca="1" si="20"/>
        <v>BBB+</v>
      </c>
      <c r="AL24" s="236">
        <f t="shared" ca="1" si="20"/>
        <v>19</v>
      </c>
      <c r="AM24" s="236" t="str">
        <f t="shared" ca="1" si="4"/>
        <v/>
      </c>
      <c r="AQ24" s="286" t="s">
        <v>34</v>
      </c>
      <c r="AR24" s="286" t="s">
        <v>28</v>
      </c>
      <c r="AS24" s="286">
        <v>18</v>
      </c>
      <c r="AT24" s="286" t="s">
        <v>294</v>
      </c>
      <c r="AV24" s="234">
        <f t="shared" si="21"/>
        <v>32</v>
      </c>
      <c r="AW24" s="234">
        <f>COUNTIF( AV$7:AV24, AV24 )</f>
        <v>4</v>
      </c>
      <c r="AX24" s="287">
        <f t="shared" si="22"/>
        <v>32.4</v>
      </c>
      <c r="AY24" s="234">
        <f t="shared" si="23"/>
        <v>35</v>
      </c>
      <c r="AZ24" s="236"/>
      <c r="BA24" s="236"/>
      <c r="BC24" s="234">
        <f t="shared" ca="1" si="24"/>
        <v>18</v>
      </c>
      <c r="BD24" s="288">
        <f t="shared" ca="1" si="6"/>
        <v>11</v>
      </c>
      <c r="BF24" s="240" t="str">
        <f t="shared" ca="1" si="7"/>
        <v>CMS Energy Corporation</v>
      </c>
      <c r="BG24" s="240" t="str">
        <f t="shared" ca="1" si="7"/>
        <v>BBB+</v>
      </c>
      <c r="BH24" s="240">
        <f t="shared" ca="1" si="7"/>
        <v>19</v>
      </c>
      <c r="BI24" s="240" t="str">
        <f t="shared" ca="1" si="7"/>
        <v>CMS</v>
      </c>
    </row>
    <row r="25" spans="1:61" x14ac:dyDescent="0.2">
      <c r="A25" s="303" t="s">
        <v>18</v>
      </c>
      <c r="B25" s="304" t="s">
        <v>16</v>
      </c>
      <c r="C25" s="304">
        <v>19</v>
      </c>
      <c r="D25" s="304" t="s">
        <v>86</v>
      </c>
      <c r="E25" s="305" t="str">
        <f t="shared" ca="1" si="8"/>
        <v>MR</v>
      </c>
      <c r="F25" s="306"/>
      <c r="G25" s="307">
        <f t="shared" ca="1" si="1"/>
        <v>18</v>
      </c>
      <c r="H25" s="250"/>
      <c r="I25" s="321"/>
      <c r="J25" s="262"/>
      <c r="K25" s="321"/>
      <c r="N25" s="321"/>
      <c r="Q25" s="321"/>
      <c r="T25" s="321"/>
      <c r="W25" s="321"/>
      <c r="AE25" s="254"/>
      <c r="AF25" s="236">
        <f t="shared" si="2"/>
        <v>1</v>
      </c>
      <c r="AG25" s="236" t="str">
        <f t="shared" ca="1" si="3"/>
        <v/>
      </c>
      <c r="AH25" s="236" t="str">
        <f t="shared" ca="1" si="18"/>
        <v/>
      </c>
      <c r="AJ25" s="236">
        <f t="shared" ca="1" si="19"/>
        <v>25</v>
      </c>
      <c r="AK25" s="236" t="str">
        <f t="shared" ca="1" si="20"/>
        <v>BBB+</v>
      </c>
      <c r="AL25" s="236">
        <f t="shared" ca="1" si="20"/>
        <v>19</v>
      </c>
      <c r="AM25" s="236" t="str">
        <f t="shared" ca="1" si="4"/>
        <v/>
      </c>
      <c r="AQ25" s="286" t="s">
        <v>35</v>
      </c>
      <c r="AR25" s="286" t="s">
        <v>28</v>
      </c>
      <c r="AS25" s="286">
        <v>18</v>
      </c>
      <c r="AT25" s="286" t="s">
        <v>293</v>
      </c>
      <c r="AV25" s="234">
        <f t="shared" si="21"/>
        <v>32</v>
      </c>
      <c r="AW25" s="234">
        <f>COUNTIF( AV$7:AV25, AV25 )</f>
        <v>5</v>
      </c>
      <c r="AX25" s="287">
        <f t="shared" si="22"/>
        <v>32.5</v>
      </c>
      <c r="AY25" s="234">
        <f t="shared" si="23"/>
        <v>36</v>
      </c>
      <c r="AZ25" s="236"/>
      <c r="BA25" s="236"/>
      <c r="BC25" s="234">
        <f t="shared" ca="1" si="24"/>
        <v>19</v>
      </c>
      <c r="BD25" s="288">
        <f t="shared" ca="1" si="6"/>
        <v>13</v>
      </c>
      <c r="BF25" s="240" t="str">
        <f t="shared" ca="1" si="7"/>
        <v>Dominion Resources, Inc.</v>
      </c>
      <c r="BG25" s="240" t="str">
        <f t="shared" ca="1" si="7"/>
        <v>BBB+</v>
      </c>
      <c r="BH25" s="240">
        <f t="shared" ca="1" si="7"/>
        <v>19</v>
      </c>
      <c r="BI25" s="240" t="str">
        <f t="shared" ca="1" si="7"/>
        <v>D</v>
      </c>
    </row>
    <row r="26" spans="1:61" x14ac:dyDescent="0.2">
      <c r="A26" s="303" t="s">
        <v>31</v>
      </c>
      <c r="B26" s="304" t="s">
        <v>16</v>
      </c>
      <c r="C26" s="304">
        <v>19</v>
      </c>
      <c r="D26" s="304" t="s">
        <v>289</v>
      </c>
      <c r="E26" s="305" t="str">
        <f t="shared" ca="1" si="8"/>
        <v>R</v>
      </c>
      <c r="F26" s="306"/>
      <c r="G26" s="307">
        <f t="shared" ca="1" si="1"/>
        <v>19</v>
      </c>
      <c r="H26" s="250"/>
      <c r="I26" s="321"/>
      <c r="J26" s="262"/>
      <c r="K26" s="321"/>
      <c r="N26" s="321"/>
      <c r="Q26" s="321"/>
      <c r="T26" s="321"/>
      <c r="W26" s="321"/>
      <c r="AE26" s="254"/>
      <c r="AF26" s="236">
        <f t="shared" si="2"/>
        <v>1</v>
      </c>
      <c r="AG26" s="236" t="str">
        <f t="shared" ca="1" si="3"/>
        <v/>
      </c>
      <c r="AH26" s="236" t="str">
        <f t="shared" ca="1" si="18"/>
        <v/>
      </c>
      <c r="AJ26" s="236">
        <f t="shared" ca="1" si="19"/>
        <v>26</v>
      </c>
      <c r="AK26" s="236" t="str">
        <f t="shared" ca="1" si="20"/>
        <v>BBB+</v>
      </c>
      <c r="AL26" s="236">
        <f t="shared" ca="1" si="20"/>
        <v>19</v>
      </c>
      <c r="AM26" s="236" t="str">
        <f t="shared" ca="1" si="4"/>
        <v/>
      </c>
      <c r="AQ26" s="286" t="s">
        <v>36</v>
      </c>
      <c r="AR26" s="286" t="s">
        <v>28</v>
      </c>
      <c r="AS26" s="286">
        <v>18</v>
      </c>
      <c r="AT26" s="286" t="s">
        <v>297</v>
      </c>
      <c r="AV26" s="234">
        <f t="shared" si="21"/>
        <v>32</v>
      </c>
      <c r="AW26" s="234">
        <f>COUNTIF( AV$7:AV26, AV26 )</f>
        <v>6</v>
      </c>
      <c r="AX26" s="287">
        <f t="shared" si="22"/>
        <v>32.6</v>
      </c>
      <c r="AY26" s="234">
        <f t="shared" si="23"/>
        <v>37</v>
      </c>
      <c r="AZ26" s="236"/>
      <c r="BA26" s="236"/>
      <c r="BC26" s="234">
        <f t="shared" ca="1" si="24"/>
        <v>20</v>
      </c>
      <c r="BD26" s="288">
        <f t="shared" ca="1" si="6"/>
        <v>15</v>
      </c>
      <c r="BF26" s="240" t="str">
        <f t="shared" ca="1" si="7"/>
        <v>DTE Energy Company</v>
      </c>
      <c r="BG26" s="240" t="str">
        <f t="shared" ca="1" si="7"/>
        <v>BBB+</v>
      </c>
      <c r="BH26" s="240">
        <f t="shared" ca="1" si="7"/>
        <v>19</v>
      </c>
      <c r="BI26" s="240" t="str">
        <f t="shared" ca="1" si="7"/>
        <v>DTE</v>
      </c>
    </row>
    <row r="27" spans="1:61" x14ac:dyDescent="0.2">
      <c r="A27" s="303" t="s">
        <v>57</v>
      </c>
      <c r="B27" s="304" t="s">
        <v>16</v>
      </c>
      <c r="C27" s="304">
        <v>19</v>
      </c>
      <c r="D27" s="304" t="s">
        <v>296</v>
      </c>
      <c r="E27" s="305" t="str">
        <f t="shared" ca="1" si="8"/>
        <v>R</v>
      </c>
      <c r="F27" s="306"/>
      <c r="G27" s="307">
        <f t="shared" ca="1" si="1"/>
        <v>21</v>
      </c>
      <c r="H27" s="250"/>
      <c r="I27" s="321"/>
      <c r="J27" s="262"/>
      <c r="K27" s="321"/>
      <c r="N27" s="321"/>
      <c r="Q27" s="321"/>
      <c r="T27" s="321"/>
      <c r="W27" s="321"/>
      <c r="AE27" s="254"/>
      <c r="AF27" s="236">
        <f t="shared" si="2"/>
        <v>1</v>
      </c>
      <c r="AG27" s="236" t="str">
        <f t="shared" ca="1" si="3"/>
        <v/>
      </c>
      <c r="AH27" s="236" t="str">
        <f t="shared" ca="1" si="18"/>
        <v/>
      </c>
      <c r="AJ27" s="236">
        <f t="shared" ca="1" si="19"/>
        <v>27</v>
      </c>
      <c r="AK27" s="236" t="str">
        <f t="shared" ca="1" si="20"/>
        <v>BBB+</v>
      </c>
      <c r="AL27" s="236">
        <f t="shared" ca="1" si="20"/>
        <v>19</v>
      </c>
      <c r="AM27" s="236" t="str">
        <f t="shared" ca="1" si="4"/>
        <v/>
      </c>
      <c r="AQ27" s="286" t="s">
        <v>516</v>
      </c>
      <c r="AR27" s="286" t="s">
        <v>2</v>
      </c>
      <c r="AS27" s="286">
        <v>21</v>
      </c>
      <c r="AT27" s="286" t="s">
        <v>512</v>
      </c>
      <c r="AV27" s="234">
        <f t="shared" si="21"/>
        <v>1</v>
      </c>
      <c r="AW27" s="234">
        <f>COUNTIF( AV$7:AV27, AV27 )</f>
        <v>2</v>
      </c>
      <c r="AX27" s="287">
        <f t="shared" si="22"/>
        <v>1.2</v>
      </c>
      <c r="AY27" s="234">
        <f t="shared" si="23"/>
        <v>2</v>
      </c>
      <c r="AZ27" s="236"/>
      <c r="BA27" s="236"/>
      <c r="BC27" s="234">
        <f t="shared" ca="1" si="24"/>
        <v>21</v>
      </c>
      <c r="BD27" s="288">
        <f t="shared" ca="1" si="6"/>
        <v>17</v>
      </c>
      <c r="BF27" s="240" t="str">
        <f t="shared" ca="1" si="7"/>
        <v>Edison International</v>
      </c>
      <c r="BG27" s="240" t="str">
        <f t="shared" ca="1" si="7"/>
        <v>BBB+</v>
      </c>
      <c r="BH27" s="240">
        <f t="shared" ca="1" si="7"/>
        <v>19</v>
      </c>
      <c r="BI27" s="240" t="str">
        <f t="shared" ca="1" si="7"/>
        <v>EIX</v>
      </c>
    </row>
    <row r="28" spans="1:61" x14ac:dyDescent="0.2">
      <c r="A28" s="303" t="s">
        <v>261</v>
      </c>
      <c r="B28" s="304" t="s">
        <v>16</v>
      </c>
      <c r="C28" s="304">
        <v>19</v>
      </c>
      <c r="D28" s="304" t="s">
        <v>301</v>
      </c>
      <c r="E28" s="305" t="str">
        <f t="shared" ca="1" si="8"/>
        <v>R</v>
      </c>
      <c r="F28" s="306"/>
      <c r="G28" s="307">
        <f t="shared" ca="1" si="1"/>
        <v>28</v>
      </c>
      <c r="H28" s="250"/>
      <c r="I28" s="321"/>
      <c r="J28" s="262"/>
      <c r="K28" s="321"/>
      <c r="N28" s="321"/>
      <c r="Q28" s="321"/>
      <c r="T28" s="321"/>
      <c r="W28" s="321"/>
      <c r="AE28" s="245"/>
      <c r="AF28" s="236">
        <f t="shared" si="2"/>
        <v>1</v>
      </c>
      <c r="AG28" s="236" t="str">
        <f t="shared" ca="1" si="3"/>
        <v/>
      </c>
      <c r="AH28" s="236" t="str">
        <f t="shared" ca="1" si="18"/>
        <v/>
      </c>
      <c r="AJ28" s="236">
        <f t="shared" ca="1" si="19"/>
        <v>28</v>
      </c>
      <c r="AK28" s="236" t="str">
        <f t="shared" ca="1" si="20"/>
        <v>BBB+</v>
      </c>
      <c r="AL28" s="236">
        <f t="shared" ca="1" si="20"/>
        <v>19</v>
      </c>
      <c r="AM28" s="236" t="str">
        <f t="shared" ca="1" si="4"/>
        <v/>
      </c>
      <c r="AQ28" s="286" t="s">
        <v>11</v>
      </c>
      <c r="AR28" s="286" t="s">
        <v>28</v>
      </c>
      <c r="AS28" s="286">
        <v>18</v>
      </c>
      <c r="AT28" s="286" t="s">
        <v>298</v>
      </c>
      <c r="AV28" s="234">
        <f t="shared" si="21"/>
        <v>32</v>
      </c>
      <c r="AW28" s="234">
        <f>COUNTIF( AV$7:AV28, AV28 )</f>
        <v>7</v>
      </c>
      <c r="AX28" s="287">
        <f t="shared" si="22"/>
        <v>32.700000000000003</v>
      </c>
      <c r="AY28" s="234">
        <f t="shared" si="23"/>
        <v>38</v>
      </c>
      <c r="AZ28" s="236"/>
      <c r="BA28" s="236"/>
      <c r="BC28" s="234">
        <f t="shared" ca="1" si="24"/>
        <v>22</v>
      </c>
      <c r="BD28" s="288">
        <f t="shared" ca="1" si="6"/>
        <v>24</v>
      </c>
      <c r="BF28" s="240" t="str">
        <f t="shared" ca="1" si="7"/>
        <v>Great Plains Energy Inc.</v>
      </c>
      <c r="BG28" s="240" t="str">
        <f t="shared" ca="1" si="7"/>
        <v>BBB+</v>
      </c>
      <c r="BH28" s="240">
        <f t="shared" ca="1" si="7"/>
        <v>19</v>
      </c>
      <c r="BI28" s="240" t="str">
        <f t="shared" ca="1" si="7"/>
        <v>GXP</v>
      </c>
    </row>
    <row r="29" spans="1:61" x14ac:dyDescent="0.2">
      <c r="A29" s="303" t="s">
        <v>12</v>
      </c>
      <c r="B29" s="304" t="s">
        <v>16</v>
      </c>
      <c r="C29" s="304">
        <v>19</v>
      </c>
      <c r="D29" s="304" t="s">
        <v>309</v>
      </c>
      <c r="E29" s="305" t="str">
        <f t="shared" ca="1" si="8"/>
        <v>MR</v>
      </c>
      <c r="F29" s="306"/>
      <c r="G29" s="307">
        <f t="shared" ca="1" si="1"/>
        <v>31</v>
      </c>
      <c r="H29" s="250"/>
      <c r="I29" s="321"/>
      <c r="J29" s="262"/>
      <c r="K29" s="321"/>
      <c r="N29" s="321"/>
      <c r="Q29" s="321"/>
      <c r="T29" s="321"/>
      <c r="W29" s="321"/>
      <c r="AF29" s="236">
        <f t="shared" si="2"/>
        <v>1</v>
      </c>
      <c r="AG29" s="236" t="str">
        <f t="shared" ca="1" si="3"/>
        <v/>
      </c>
      <c r="AH29" s="236" t="str">
        <f t="shared" ca="1" si="18"/>
        <v/>
      </c>
      <c r="AJ29" s="236">
        <f t="shared" ca="1" si="19"/>
        <v>29</v>
      </c>
      <c r="AK29" s="236" t="str">
        <f t="shared" ca="1" si="20"/>
        <v>BBB+</v>
      </c>
      <c r="AL29" s="236">
        <f t="shared" ca="1" si="20"/>
        <v>19</v>
      </c>
      <c r="AM29" s="236" t="str">
        <f t="shared" ca="1" si="4"/>
        <v/>
      </c>
      <c r="AQ29" s="286" t="s">
        <v>51</v>
      </c>
      <c r="AR29" s="286" t="s">
        <v>49</v>
      </c>
      <c r="AS29" s="286">
        <v>17</v>
      </c>
      <c r="AT29" s="286" t="s">
        <v>299</v>
      </c>
      <c r="AV29" s="234">
        <f t="shared" si="21"/>
        <v>44</v>
      </c>
      <c r="AW29" s="234">
        <f>COUNTIF( AV$7:AV29, AV29 )</f>
        <v>2</v>
      </c>
      <c r="AX29" s="287">
        <f t="shared" si="22"/>
        <v>44.2</v>
      </c>
      <c r="AY29" s="234">
        <f t="shared" si="23"/>
        <v>45</v>
      </c>
      <c r="AZ29" s="236"/>
      <c r="BA29" s="236"/>
      <c r="BC29" s="234">
        <f t="shared" ca="1" si="24"/>
        <v>23</v>
      </c>
      <c r="BD29" s="288">
        <f t="shared" ca="1" si="6"/>
        <v>28</v>
      </c>
      <c r="BF29" s="240" t="str">
        <f t="shared" ca="1" si="7"/>
        <v>MDU Resources Group, Inc.</v>
      </c>
      <c r="BG29" s="240" t="str">
        <f t="shared" ca="1" si="7"/>
        <v>BBB+</v>
      </c>
      <c r="BH29" s="240">
        <f t="shared" ca="1" si="7"/>
        <v>19</v>
      </c>
      <c r="BI29" s="240" t="str">
        <f t="shared" ca="1" si="7"/>
        <v>MDU</v>
      </c>
    </row>
    <row r="30" spans="1:61" x14ac:dyDescent="0.2">
      <c r="A30" s="303" t="s">
        <v>40</v>
      </c>
      <c r="B30" s="304" t="s">
        <v>16</v>
      </c>
      <c r="C30" s="304">
        <v>19</v>
      </c>
      <c r="D30" s="304" t="s">
        <v>311</v>
      </c>
      <c r="E30" s="305" t="str">
        <f t="shared" ca="1" si="8"/>
        <v>R</v>
      </c>
      <c r="F30" s="306"/>
      <c r="G30" s="307">
        <f t="shared" ca="1" si="1"/>
        <v>34</v>
      </c>
      <c r="H30" s="250"/>
      <c r="I30" s="321"/>
      <c r="J30" s="262"/>
      <c r="K30" s="321"/>
      <c r="N30" s="321"/>
      <c r="Q30" s="321"/>
      <c r="T30" s="321"/>
      <c r="W30" s="321"/>
      <c r="AF30" s="236">
        <f t="shared" si="2"/>
        <v>1</v>
      </c>
      <c r="AG30" s="236" t="str">
        <f t="shared" ca="1" si="3"/>
        <v/>
      </c>
      <c r="AH30" s="236" t="str">
        <f t="shared" ca="1" si="18"/>
        <v/>
      </c>
      <c r="AJ30" s="236">
        <f t="shared" ca="1" si="19"/>
        <v>30</v>
      </c>
      <c r="AK30" s="236" t="str">
        <f t="shared" ca="1" si="20"/>
        <v>BBB+</v>
      </c>
      <c r="AL30" s="236">
        <f t="shared" ca="1" si="20"/>
        <v>19</v>
      </c>
      <c r="AM30" s="236" t="str">
        <f t="shared" ca="1" si="4"/>
        <v/>
      </c>
      <c r="AQ30" s="286" t="s">
        <v>261</v>
      </c>
      <c r="AR30" s="286" t="s">
        <v>16</v>
      </c>
      <c r="AS30" s="286">
        <v>19</v>
      </c>
      <c r="AT30" s="286" t="s">
        <v>301</v>
      </c>
      <c r="AV30" s="234">
        <f t="shared" si="21"/>
        <v>15</v>
      </c>
      <c r="AW30" s="234">
        <f>COUNTIF( AV$7:AV30, AV30 )</f>
        <v>8</v>
      </c>
      <c r="AX30" s="287">
        <f t="shared" si="22"/>
        <v>15.8</v>
      </c>
      <c r="AY30" s="234">
        <f t="shared" si="23"/>
        <v>22</v>
      </c>
      <c r="AZ30" s="236"/>
      <c r="BA30" s="236"/>
      <c r="BC30" s="234">
        <f t="shared" ca="1" si="24"/>
        <v>24</v>
      </c>
      <c r="BD30" s="288">
        <f t="shared" ca="1" si="6"/>
        <v>30</v>
      </c>
      <c r="BF30" s="240" t="str">
        <f t="shared" ca="1" si="7"/>
        <v>NiSource Inc.</v>
      </c>
      <c r="BG30" s="240" t="str">
        <f t="shared" ca="1" si="7"/>
        <v>BBB+</v>
      </c>
      <c r="BH30" s="240">
        <f t="shared" ca="1" si="7"/>
        <v>19</v>
      </c>
      <c r="BI30" s="240" t="str">
        <f t="shared" ca="1" si="7"/>
        <v>NI</v>
      </c>
    </row>
    <row r="31" spans="1:61" x14ac:dyDescent="0.2">
      <c r="A31" s="303" t="s">
        <v>42</v>
      </c>
      <c r="B31" s="304" t="s">
        <v>16</v>
      </c>
      <c r="C31" s="304">
        <v>19</v>
      </c>
      <c r="D31" s="304" t="s">
        <v>321</v>
      </c>
      <c r="E31" s="305" t="str">
        <f t="shared" ca="1" si="8"/>
        <v>R</v>
      </c>
      <c r="F31" s="306"/>
      <c r="G31" s="307">
        <f t="shared" ca="1" si="1"/>
        <v>40</v>
      </c>
      <c r="H31" s="250"/>
      <c r="I31" s="321"/>
      <c r="J31" s="262"/>
      <c r="K31" s="321"/>
      <c r="N31" s="321"/>
      <c r="O31" s="253"/>
      <c r="Q31" s="321"/>
      <c r="T31" s="321"/>
      <c r="W31" s="321"/>
      <c r="AF31" s="236">
        <f t="shared" si="2"/>
        <v>1</v>
      </c>
      <c r="AG31" s="236" t="str">
        <f t="shared" ca="1" si="3"/>
        <v/>
      </c>
      <c r="AH31" s="236" t="str">
        <f t="shared" ca="1" si="18"/>
        <v/>
      </c>
      <c r="AJ31" s="236">
        <f t="shared" ca="1" si="19"/>
        <v>31</v>
      </c>
      <c r="AK31" s="236" t="str">
        <f t="shared" ca="1" si="20"/>
        <v>BBB+</v>
      </c>
      <c r="AL31" s="236">
        <f t="shared" ca="1" si="20"/>
        <v>19</v>
      </c>
      <c r="AM31" s="236" t="str">
        <f t="shared" ca="1" si="4"/>
        <v/>
      </c>
      <c r="AQ31" s="286" t="s">
        <v>39</v>
      </c>
      <c r="AR31" s="286" t="s">
        <v>49</v>
      </c>
      <c r="AS31" s="286">
        <v>17</v>
      </c>
      <c r="AT31" s="289" t="s">
        <v>302</v>
      </c>
      <c r="AV31" s="234">
        <f t="shared" si="21"/>
        <v>44</v>
      </c>
      <c r="AW31" s="234">
        <f>COUNTIF( AV$7:AV31, AV31 )</f>
        <v>3</v>
      </c>
      <c r="AX31" s="287">
        <f t="shared" si="22"/>
        <v>44.3</v>
      </c>
      <c r="AY31" s="234">
        <f t="shared" si="23"/>
        <v>46</v>
      </c>
      <c r="AZ31" s="236"/>
      <c r="BA31" s="236"/>
      <c r="BC31" s="234">
        <f t="shared" ca="1" si="24"/>
        <v>25</v>
      </c>
      <c r="BD31" s="288">
        <f t="shared" ca="1" si="6"/>
        <v>36</v>
      </c>
      <c r="BF31" s="240" t="str">
        <f t="shared" ca="1" si="7"/>
        <v>PNM Resources, Inc.</v>
      </c>
      <c r="BG31" s="240" t="str">
        <f t="shared" ca="1" si="7"/>
        <v>BBB+</v>
      </c>
      <c r="BH31" s="240">
        <f t="shared" ca="1" si="7"/>
        <v>19</v>
      </c>
      <c r="BI31" s="240" t="str">
        <f t="shared" ca="1" si="7"/>
        <v>PNM</v>
      </c>
    </row>
    <row r="32" spans="1:61" x14ac:dyDescent="0.2">
      <c r="A32" s="303" t="s">
        <v>45</v>
      </c>
      <c r="B32" s="304" t="s">
        <v>16</v>
      </c>
      <c r="C32" s="304">
        <v>19</v>
      </c>
      <c r="D32" s="304" t="s">
        <v>319</v>
      </c>
      <c r="E32" s="305" t="str">
        <f t="shared" ca="1" si="8"/>
        <v>MR</v>
      </c>
      <c r="F32" s="306"/>
      <c r="G32" s="307">
        <f t="shared" ca="1" si="1"/>
        <v>43</v>
      </c>
      <c r="H32" s="250"/>
      <c r="I32" s="321"/>
      <c r="J32" s="262"/>
      <c r="K32" s="321"/>
      <c r="N32" s="321"/>
      <c r="Q32" s="321"/>
      <c r="T32" s="321"/>
      <c r="W32" s="321"/>
      <c r="AF32" s="236">
        <f t="shared" si="2"/>
        <v>1</v>
      </c>
      <c r="AG32" s="236" t="str">
        <f t="shared" ca="1" si="3"/>
        <v/>
      </c>
      <c r="AH32" s="236" t="str">
        <f t="shared" ca="1" si="18"/>
        <v/>
      </c>
      <c r="AJ32" s="236">
        <f t="shared" ca="1" si="19"/>
        <v>32</v>
      </c>
      <c r="AK32" s="236" t="str">
        <f t="shared" ca="1" si="20"/>
        <v>BBB+</v>
      </c>
      <c r="AL32" s="236">
        <f t="shared" ca="1" si="20"/>
        <v>19</v>
      </c>
      <c r="AM32" s="236" t="str">
        <f t="shared" ca="1" si="4"/>
        <v/>
      </c>
      <c r="AQ32" s="286" t="s">
        <v>20</v>
      </c>
      <c r="AR32" s="286" t="s">
        <v>28</v>
      </c>
      <c r="AS32" s="286">
        <v>18</v>
      </c>
      <c r="AT32" s="286" t="s">
        <v>303</v>
      </c>
      <c r="AV32" s="234">
        <f t="shared" si="21"/>
        <v>32</v>
      </c>
      <c r="AW32" s="234">
        <f>COUNTIF( AV$7:AV32, AV32 )</f>
        <v>8</v>
      </c>
      <c r="AX32" s="287">
        <f t="shared" si="22"/>
        <v>32.799999999999997</v>
      </c>
      <c r="AY32" s="234">
        <f t="shared" si="23"/>
        <v>39</v>
      </c>
      <c r="AZ32" s="236"/>
      <c r="BA32" s="236"/>
      <c r="BC32" s="234">
        <f t="shared" ca="1" si="24"/>
        <v>26</v>
      </c>
      <c r="BD32" s="288">
        <f t="shared" ca="1" si="6"/>
        <v>39</v>
      </c>
      <c r="BF32" s="240" t="str">
        <f t="shared" ca="1" si="7"/>
        <v>Public Service Enterprise Group Incorporated</v>
      </c>
      <c r="BG32" s="240" t="str">
        <f t="shared" ca="1" si="7"/>
        <v>BBB+</v>
      </c>
      <c r="BH32" s="240">
        <f t="shared" ca="1" si="7"/>
        <v>19</v>
      </c>
      <c r="BI32" s="240" t="str">
        <f t="shared" ca="1" si="7"/>
        <v>PEG</v>
      </c>
    </row>
    <row r="33" spans="1:61" x14ac:dyDescent="0.2">
      <c r="A33" s="303" t="s">
        <v>13</v>
      </c>
      <c r="B33" s="304" t="s">
        <v>16</v>
      </c>
      <c r="C33" s="304">
        <v>19</v>
      </c>
      <c r="D33" s="304" t="s">
        <v>327</v>
      </c>
      <c r="E33" s="305" t="str">
        <f t="shared" ca="1" si="8"/>
        <v>MR</v>
      </c>
      <c r="F33" s="306"/>
      <c r="G33" s="307">
        <f t="shared" ca="1" si="1"/>
        <v>44</v>
      </c>
      <c r="H33" s="250"/>
      <c r="I33" s="321"/>
      <c r="J33" s="262"/>
      <c r="K33" s="321"/>
      <c r="N33" s="321"/>
      <c r="Q33" s="321"/>
      <c r="T33" s="321"/>
      <c r="W33" s="321"/>
      <c r="AF33" s="236">
        <f t="shared" si="2"/>
        <v>1</v>
      </c>
      <c r="AG33" s="236" t="str">
        <f t="shared" ca="1" si="3"/>
        <v/>
      </c>
      <c r="AH33" s="236" t="str">
        <f t="shared" ca="1" si="18"/>
        <v/>
      </c>
      <c r="AJ33" s="236">
        <f t="shared" ca="1" si="19"/>
        <v>33</v>
      </c>
      <c r="AK33" s="236" t="str">
        <f t="shared" ca="1" si="20"/>
        <v>BBB+</v>
      </c>
      <c r="AL33" s="236">
        <f t="shared" ca="1" si="20"/>
        <v>19</v>
      </c>
      <c r="AM33" s="236" t="str">
        <f t="shared" ca="1" si="4"/>
        <v/>
      </c>
      <c r="AQ33" s="286" t="s">
        <v>58</v>
      </c>
      <c r="AR33" s="286" t="s">
        <v>49</v>
      </c>
      <c r="AS33" s="286">
        <v>17</v>
      </c>
      <c r="AT33" s="286" t="s">
        <v>446</v>
      </c>
      <c r="AV33" s="234">
        <f t="shared" si="21"/>
        <v>44</v>
      </c>
      <c r="AW33" s="234">
        <f>COUNTIF( AV$7:AV33, AV33 )</f>
        <v>4</v>
      </c>
      <c r="AX33" s="287">
        <f t="shared" si="22"/>
        <v>44.4</v>
      </c>
      <c r="AY33" s="234">
        <f t="shared" si="23"/>
        <v>47</v>
      </c>
      <c r="AZ33" s="236"/>
      <c r="BA33" s="236"/>
      <c r="BC33" s="234">
        <f t="shared" ca="1" si="24"/>
        <v>27</v>
      </c>
      <c r="BD33" s="288">
        <f t="shared" ca="1" si="6"/>
        <v>41</v>
      </c>
      <c r="BF33" s="240" t="str">
        <f t="shared" ca="1" si="7"/>
        <v>SCANA Corporation</v>
      </c>
      <c r="BG33" s="240" t="str">
        <f t="shared" ca="1" si="7"/>
        <v>BBB+</v>
      </c>
      <c r="BH33" s="240">
        <f t="shared" ca="1" si="7"/>
        <v>19</v>
      </c>
      <c r="BI33" s="240" t="str">
        <f t="shared" ca="1" si="7"/>
        <v>SCG</v>
      </c>
    </row>
    <row r="34" spans="1:61" x14ac:dyDescent="0.2">
      <c r="A34" s="303" t="s">
        <v>25</v>
      </c>
      <c r="B34" s="304" t="s">
        <v>16</v>
      </c>
      <c r="C34" s="304">
        <v>19</v>
      </c>
      <c r="D34" s="304" t="s">
        <v>329</v>
      </c>
      <c r="E34" s="305" t="str">
        <f t="shared" ca="1" si="8"/>
        <v>MR</v>
      </c>
      <c r="F34" s="306"/>
      <c r="G34" s="307">
        <f t="shared" ca="1" si="1"/>
        <v>45</v>
      </c>
      <c r="H34" s="250"/>
      <c r="I34" s="321"/>
      <c r="J34" s="262"/>
      <c r="K34" s="321"/>
      <c r="L34" s="235"/>
      <c r="M34" s="235"/>
      <c r="N34" s="321"/>
      <c r="Q34" s="321"/>
      <c r="T34" s="321"/>
      <c r="W34" s="321"/>
      <c r="AF34" s="236">
        <f t="shared" si="2"/>
        <v>1</v>
      </c>
      <c r="AG34" s="236" t="str">
        <f t="shared" ca="1" si="3"/>
        <v/>
      </c>
      <c r="AH34" s="236" t="str">
        <f t="shared" ca="1" si="18"/>
        <v/>
      </c>
      <c r="AJ34" s="236">
        <f t="shared" ca="1" si="19"/>
        <v>34</v>
      </c>
      <c r="AK34" s="236" t="str">
        <f t="shared" ca="1" si="20"/>
        <v>BBB+</v>
      </c>
      <c r="AL34" s="236">
        <f t="shared" ca="1" si="20"/>
        <v>19</v>
      </c>
      <c r="AM34" s="236" t="str">
        <f t="shared" ca="1" si="4"/>
        <v/>
      </c>
      <c r="AQ34" s="286" t="s">
        <v>12</v>
      </c>
      <c r="AR34" s="286" t="s">
        <v>16</v>
      </c>
      <c r="AS34" s="286">
        <v>19</v>
      </c>
      <c r="AT34" s="286" t="s">
        <v>309</v>
      </c>
      <c r="AV34" s="234">
        <f t="shared" si="21"/>
        <v>15</v>
      </c>
      <c r="AW34" s="234">
        <f>COUNTIF( AV$7:AV34, AV34 )</f>
        <v>9</v>
      </c>
      <c r="AX34" s="287">
        <f t="shared" si="22"/>
        <v>15.9</v>
      </c>
      <c r="AY34" s="234">
        <f t="shared" si="23"/>
        <v>23</v>
      </c>
      <c r="AZ34" s="236"/>
      <c r="BA34" s="236"/>
      <c r="BC34" s="234">
        <f t="shared" ca="1" si="24"/>
        <v>28</v>
      </c>
      <c r="BD34" s="288">
        <f t="shared" ca="1" si="6"/>
        <v>42</v>
      </c>
      <c r="BF34" s="240" t="str">
        <f t="shared" ca="1" si="7"/>
        <v>Sempra Energy</v>
      </c>
      <c r="BG34" s="240" t="str">
        <f t="shared" ca="1" si="7"/>
        <v>BBB+</v>
      </c>
      <c r="BH34" s="240">
        <f t="shared" ca="1" si="7"/>
        <v>19</v>
      </c>
      <c r="BI34" s="240" t="str">
        <f t="shared" ca="1" si="7"/>
        <v>SRE</v>
      </c>
    </row>
    <row r="35" spans="1:61" x14ac:dyDescent="0.2">
      <c r="A35" s="303" t="s">
        <v>62</v>
      </c>
      <c r="B35" s="304" t="s">
        <v>16</v>
      </c>
      <c r="C35" s="304">
        <v>19</v>
      </c>
      <c r="D35" s="304" t="s">
        <v>330</v>
      </c>
      <c r="E35" s="305" t="str">
        <f t="shared" ca="1" si="8"/>
        <v>R</v>
      </c>
      <c r="F35" s="306"/>
      <c r="G35" s="307">
        <f t="shared" ca="1" si="1"/>
        <v>47</v>
      </c>
      <c r="H35" s="250"/>
      <c r="I35" s="321"/>
      <c r="K35" s="321"/>
      <c r="L35" s="235"/>
      <c r="M35" s="235"/>
      <c r="N35" s="321"/>
      <c r="Q35" s="321"/>
      <c r="T35" s="321"/>
      <c r="W35" s="321"/>
      <c r="AF35" s="236">
        <f t="shared" si="2"/>
        <v>1</v>
      </c>
      <c r="AG35" s="236" t="str">
        <f t="shared" ca="1" si="3"/>
        <v/>
      </c>
      <c r="AH35" s="236" t="str">
        <f t="shared" ca="1" si="18"/>
        <v/>
      </c>
      <c r="AJ35" s="236">
        <f t="shared" ca="1" si="19"/>
        <v>35</v>
      </c>
      <c r="AK35" s="236" t="str">
        <f t="shared" ca="1" si="20"/>
        <v>BBB+</v>
      </c>
      <c r="AL35" s="236">
        <f t="shared" ca="1" si="20"/>
        <v>19</v>
      </c>
      <c r="AM35" s="236" t="str">
        <f t="shared" ca="1" si="4"/>
        <v/>
      </c>
      <c r="AQ35" s="286" t="s">
        <v>370</v>
      </c>
      <c r="AR35" s="286" t="s">
        <v>10</v>
      </c>
      <c r="AS35" s="286">
        <v>20</v>
      </c>
      <c r="AT35" s="286" t="s">
        <v>369</v>
      </c>
      <c r="AV35" s="234">
        <f t="shared" si="21"/>
        <v>3</v>
      </c>
      <c r="AW35" s="234">
        <f>COUNTIF( AV$7:AV35, AV35 )</f>
        <v>5</v>
      </c>
      <c r="AX35" s="287">
        <f t="shared" si="22"/>
        <v>3.5</v>
      </c>
      <c r="AY35" s="234">
        <f t="shared" si="23"/>
        <v>7</v>
      </c>
      <c r="AZ35" s="236"/>
      <c r="BA35" s="236"/>
      <c r="BC35" s="234">
        <f t="shared" ca="1" si="24"/>
        <v>29</v>
      </c>
      <c r="BD35" s="288">
        <f t="shared" ca="1" si="6"/>
        <v>44</v>
      </c>
      <c r="BF35" s="240" t="str">
        <f t="shared" ca="1" si="7"/>
        <v>TECO Energy, Inc.</v>
      </c>
      <c r="BG35" s="240" t="str">
        <f t="shared" ca="1" si="7"/>
        <v>BBB+</v>
      </c>
      <c r="BH35" s="240">
        <f t="shared" ca="1" si="7"/>
        <v>19</v>
      </c>
      <c r="BI35" s="240" t="str">
        <f t="shared" ca="1" si="7"/>
        <v>TE</v>
      </c>
    </row>
    <row r="36" spans="1:61" x14ac:dyDescent="0.2">
      <c r="A36" s="303" t="s">
        <v>76</v>
      </c>
      <c r="B36" s="304" t="s">
        <v>16</v>
      </c>
      <c r="C36" s="304">
        <v>19</v>
      </c>
      <c r="D36" s="304" t="s">
        <v>334</v>
      </c>
      <c r="E36" s="305" t="str">
        <f t="shared" ca="1" si="8"/>
        <v>R</v>
      </c>
      <c r="F36" s="306"/>
      <c r="G36" s="307">
        <f t="shared" ca="1" si="1"/>
        <v>48</v>
      </c>
      <c r="H36" s="250"/>
      <c r="I36" s="321"/>
      <c r="J36" s="262"/>
      <c r="K36" s="321"/>
      <c r="L36" s="263"/>
      <c r="M36" s="263"/>
      <c r="N36" s="321"/>
      <c r="Q36" s="321"/>
      <c r="T36" s="321"/>
      <c r="W36" s="321"/>
      <c r="AF36" s="236">
        <f t="shared" si="2"/>
        <v>1</v>
      </c>
      <c r="AG36" s="236" t="str">
        <f t="shared" ca="1" si="3"/>
        <v/>
      </c>
      <c r="AH36" s="236" t="str">
        <f t="shared" ca="1" si="18"/>
        <v/>
      </c>
      <c r="AJ36" s="236">
        <f t="shared" ca="1" si="19"/>
        <v>36</v>
      </c>
      <c r="AK36" s="236" t="str">
        <f t="shared" ca="1" si="20"/>
        <v>BBB+</v>
      </c>
      <c r="AL36" s="236">
        <f t="shared" ca="1" si="20"/>
        <v>19</v>
      </c>
      <c r="AM36" s="236" t="str">
        <f t="shared" ca="1" si="4"/>
        <v/>
      </c>
      <c r="AQ36" s="286" t="s">
        <v>40</v>
      </c>
      <c r="AR36" s="286" t="s">
        <v>16</v>
      </c>
      <c r="AS36" s="286">
        <v>19</v>
      </c>
      <c r="AT36" s="286" t="s">
        <v>311</v>
      </c>
      <c r="AV36" s="234">
        <f t="shared" si="21"/>
        <v>15</v>
      </c>
      <c r="AW36" s="234">
        <f>COUNTIF( AV$7:AV36, AV36 )</f>
        <v>10</v>
      </c>
      <c r="AX36" s="287">
        <f t="shared" si="22"/>
        <v>16</v>
      </c>
      <c r="AY36" s="234">
        <f t="shared" si="23"/>
        <v>24</v>
      </c>
      <c r="AZ36" s="236"/>
      <c r="BA36" s="236"/>
      <c r="BC36" s="234">
        <f t="shared" ca="1" si="24"/>
        <v>30</v>
      </c>
      <c r="BD36" s="288">
        <f t="shared" ca="1" si="6"/>
        <v>45</v>
      </c>
      <c r="BF36" s="240" t="str">
        <f t="shared" ca="1" si="7"/>
        <v>Unitil Corporation</v>
      </c>
      <c r="BG36" s="240" t="str">
        <f t="shared" ca="1" si="7"/>
        <v>BBB+</v>
      </c>
      <c r="BH36" s="240">
        <f t="shared" ca="1" si="7"/>
        <v>19</v>
      </c>
      <c r="BI36" s="240" t="str">
        <f t="shared" ca="1" si="7"/>
        <v>*UTL</v>
      </c>
    </row>
    <row r="37" spans="1:61" x14ac:dyDescent="0.2">
      <c r="A37" s="303" t="s">
        <v>59</v>
      </c>
      <c r="B37" s="304" t="s">
        <v>16</v>
      </c>
      <c r="C37" s="304">
        <v>19</v>
      </c>
      <c r="D37" s="304" t="s">
        <v>337</v>
      </c>
      <c r="E37" s="305" t="str">
        <f t="shared" ca="1" si="8"/>
        <v>R</v>
      </c>
      <c r="F37" s="306"/>
      <c r="G37" s="307">
        <f t="shared" ca="1" si="1"/>
        <v>51</v>
      </c>
      <c r="H37" s="250"/>
      <c r="I37" s="321"/>
      <c r="K37" s="321"/>
      <c r="L37" s="264"/>
      <c r="M37" s="235"/>
      <c r="N37" s="321"/>
      <c r="Q37" s="321"/>
      <c r="T37" s="321"/>
      <c r="W37" s="321"/>
      <c r="AF37" s="236">
        <f t="shared" si="2"/>
        <v>1</v>
      </c>
      <c r="AG37" s="236" t="str">
        <f t="shared" ca="1" si="3"/>
        <v/>
      </c>
      <c r="AH37" s="236" t="str">
        <f t="shared" ca="1" si="18"/>
        <v/>
      </c>
      <c r="AJ37" s="236">
        <f t="shared" ca="1" si="19"/>
        <v>37</v>
      </c>
      <c r="AK37" s="236" t="str">
        <f t="shared" ca="1" si="20"/>
        <v>BBB+</v>
      </c>
      <c r="AL37" s="236">
        <f t="shared" ca="1" si="20"/>
        <v>19</v>
      </c>
      <c r="AM37" s="236" t="str">
        <f t="shared" ca="1" si="4"/>
        <v/>
      </c>
      <c r="AQ37" s="286" t="s">
        <v>66</v>
      </c>
      <c r="AR37" s="286" t="s">
        <v>28</v>
      </c>
      <c r="AS37" s="286">
        <v>18</v>
      </c>
      <c r="AT37" s="286" t="s">
        <v>315</v>
      </c>
      <c r="AV37" s="234">
        <f t="shared" si="21"/>
        <v>32</v>
      </c>
      <c r="AW37" s="234">
        <f>COUNTIF( AV$7:AV37, AV37 )</f>
        <v>9</v>
      </c>
      <c r="AX37" s="287">
        <f t="shared" si="22"/>
        <v>32.9</v>
      </c>
      <c r="AY37" s="234">
        <f t="shared" si="23"/>
        <v>40</v>
      </c>
      <c r="AZ37" s="236"/>
      <c r="BA37" s="236"/>
      <c r="BC37" s="234">
        <f t="shared" ca="1" si="24"/>
        <v>31</v>
      </c>
      <c r="BD37" s="288">
        <f t="shared" ca="1" si="6"/>
        <v>47</v>
      </c>
      <c r="BF37" s="240" t="str">
        <f t="shared" ca="1" si="7"/>
        <v>Westar Energy, Inc.</v>
      </c>
      <c r="BG37" s="240" t="str">
        <f t="shared" ca="1" si="7"/>
        <v>BBB+</v>
      </c>
      <c r="BH37" s="240">
        <f t="shared" ca="1" si="7"/>
        <v>19</v>
      </c>
      <c r="BI37" s="240" t="str">
        <f t="shared" ca="1" si="7"/>
        <v>WR</v>
      </c>
    </row>
    <row r="38" spans="1:61" x14ac:dyDescent="0.2">
      <c r="A38" s="303" t="s">
        <v>259</v>
      </c>
      <c r="B38" s="304" t="s">
        <v>28</v>
      </c>
      <c r="C38" s="304">
        <v>18</v>
      </c>
      <c r="D38" s="304" t="s">
        <v>275</v>
      </c>
      <c r="E38" s="305" t="str">
        <f t="shared" ca="1" si="8"/>
        <v>R</v>
      </c>
      <c r="F38" s="306"/>
      <c r="G38" s="307">
        <f t="shared" ca="1" si="1"/>
        <v>10</v>
      </c>
      <c r="H38" s="250"/>
      <c r="I38" s="321"/>
      <c r="J38" s="262"/>
      <c r="K38" s="321"/>
      <c r="L38" s="264"/>
      <c r="M38" s="235"/>
      <c r="N38" s="321"/>
      <c r="Q38" s="321"/>
      <c r="T38" s="321"/>
      <c r="W38" s="321"/>
      <c r="AF38" s="236">
        <f t="shared" si="2"/>
        <v>0</v>
      </c>
      <c r="AG38" s="236" t="str">
        <f t="shared" ca="1" si="3"/>
        <v/>
      </c>
      <c r="AH38" s="236" t="str">
        <f t="shared" ca="1" si="18"/>
        <v/>
      </c>
      <c r="AJ38" s="236">
        <f t="shared" ca="1" si="19"/>
        <v>38</v>
      </c>
      <c r="AK38" s="236" t="str">
        <f t="shared" ca="1" si="20"/>
        <v>BBB</v>
      </c>
      <c r="AL38" s="236">
        <f t="shared" ca="1" si="20"/>
        <v>18</v>
      </c>
      <c r="AM38" s="236" t="str">
        <f t="shared" ca="1" si="4"/>
        <v/>
      </c>
      <c r="AQ38" s="286" t="s">
        <v>21</v>
      </c>
      <c r="AR38" s="286" t="s">
        <v>10</v>
      </c>
      <c r="AS38" s="286">
        <v>20</v>
      </c>
      <c r="AT38" s="286" t="s">
        <v>316</v>
      </c>
      <c r="AV38" s="234">
        <f t="shared" si="21"/>
        <v>3</v>
      </c>
      <c r="AW38" s="234">
        <f>COUNTIF( AV$7:AV38, AV38 )</f>
        <v>6</v>
      </c>
      <c r="AX38" s="287">
        <f t="shared" si="22"/>
        <v>3.6</v>
      </c>
      <c r="AY38" s="234">
        <f t="shared" si="23"/>
        <v>8</v>
      </c>
      <c r="AZ38" s="236"/>
      <c r="BA38" s="236"/>
      <c r="BC38" s="234">
        <f t="shared" ca="1" si="24"/>
        <v>32</v>
      </c>
      <c r="BD38" s="288">
        <f t="shared" ca="1" si="6"/>
        <v>4</v>
      </c>
      <c r="BF38" s="240" t="str">
        <f t="shared" ca="1" si="7"/>
        <v>American Electric Power Company, Inc.</v>
      </c>
      <c r="BG38" s="240" t="str">
        <f t="shared" ca="1" si="7"/>
        <v>BBB</v>
      </c>
      <c r="BH38" s="240">
        <f t="shared" ca="1" si="7"/>
        <v>18</v>
      </c>
      <c r="BI38" s="240" t="str">
        <f t="shared" ca="1" si="7"/>
        <v>AEP</v>
      </c>
    </row>
    <row r="39" spans="1:61" x14ac:dyDescent="0.2">
      <c r="A39" s="303" t="s">
        <v>55</v>
      </c>
      <c r="B39" s="304" t="s">
        <v>28</v>
      </c>
      <c r="C39" s="304">
        <v>18</v>
      </c>
      <c r="D39" s="304" t="s">
        <v>278</v>
      </c>
      <c r="E39" s="305" t="str">
        <f t="shared" ca="1" si="8"/>
        <v>R</v>
      </c>
      <c r="F39" s="306"/>
      <c r="G39" s="307">
        <f t="shared" ca="1" si="1"/>
        <v>12</v>
      </c>
      <c r="H39" s="250"/>
      <c r="I39" s="321"/>
      <c r="K39" s="321"/>
      <c r="L39" s="264"/>
      <c r="M39" s="235"/>
      <c r="N39" s="321"/>
      <c r="Q39" s="321"/>
      <c r="T39" s="321"/>
      <c r="W39" s="321"/>
      <c r="AF39" s="236">
        <f t="shared" si="2"/>
        <v>0</v>
      </c>
      <c r="AG39" s="236" t="str">
        <f t="shared" ca="1" si="3"/>
        <v/>
      </c>
      <c r="AH39" s="236" t="str">
        <f t="shared" ca="1" si="18"/>
        <v/>
      </c>
      <c r="AJ39" s="236">
        <f t="shared" ca="1" si="19"/>
        <v>40</v>
      </c>
      <c r="AK39" s="236" t="str">
        <f t="shared" ca="1" si="20"/>
        <v>BBB</v>
      </c>
      <c r="AL39" s="236">
        <f t="shared" ca="1" si="20"/>
        <v>18</v>
      </c>
      <c r="AM39" s="236" t="str">
        <f t="shared" ca="1" si="4"/>
        <v/>
      </c>
      <c r="AQ39" s="286" t="s">
        <v>22</v>
      </c>
      <c r="AR39" s="286" t="s">
        <v>28</v>
      </c>
      <c r="AS39" s="286">
        <v>18</v>
      </c>
      <c r="AT39" s="286" t="s">
        <v>317</v>
      </c>
      <c r="AV39" s="234">
        <f t="shared" si="21"/>
        <v>32</v>
      </c>
      <c r="AW39" s="234">
        <f>COUNTIF( AV$7:AV39, AV39 )</f>
        <v>10</v>
      </c>
      <c r="AX39" s="287">
        <f t="shared" si="22"/>
        <v>33</v>
      </c>
      <c r="AY39" s="234">
        <f t="shared" si="23"/>
        <v>41</v>
      </c>
      <c r="AZ39" s="236"/>
      <c r="BA39" s="236"/>
      <c r="BC39" s="234">
        <f t="shared" ca="1" si="24"/>
        <v>33</v>
      </c>
      <c r="BD39" s="288">
        <f t="shared" ca="1" si="6"/>
        <v>6</v>
      </c>
      <c r="BF39" s="240" t="str">
        <f t="shared" ref="BF39:BI63" ca="1" si="25">OFFSET( AQ$6, $BD39, 0 )</f>
        <v>Avista Corporation</v>
      </c>
      <c r="BG39" s="240" t="str">
        <f t="shared" ca="1" si="25"/>
        <v>BBB</v>
      </c>
      <c r="BH39" s="240">
        <f t="shared" ca="1" si="25"/>
        <v>18</v>
      </c>
      <c r="BI39" s="240" t="str">
        <f t="shared" ca="1" si="25"/>
        <v>AVA</v>
      </c>
    </row>
    <row r="40" spans="1:61" x14ac:dyDescent="0.2">
      <c r="A40" s="303" t="s">
        <v>48</v>
      </c>
      <c r="B40" s="304" t="s">
        <v>28</v>
      </c>
      <c r="C40" s="304">
        <v>18</v>
      </c>
      <c r="D40" s="304" t="s">
        <v>280</v>
      </c>
      <c r="E40" s="305" t="str">
        <f t="shared" ca="1" si="8"/>
        <v>R</v>
      </c>
      <c r="F40" s="306"/>
      <c r="G40" s="307">
        <f t="shared" ca="1" si="1"/>
        <v>13</v>
      </c>
      <c r="H40" s="250"/>
      <c r="I40" s="321"/>
      <c r="J40" s="262"/>
      <c r="K40" s="321"/>
      <c r="L40" s="264"/>
      <c r="M40" s="235"/>
      <c r="N40" s="321"/>
      <c r="Q40" s="321"/>
      <c r="T40" s="321"/>
      <c r="W40" s="321"/>
      <c r="AF40" s="236">
        <f t="shared" si="2"/>
        <v>0</v>
      </c>
      <c r="AG40" s="236" t="str">
        <f t="shared" ca="1" si="3"/>
        <v/>
      </c>
      <c r="AH40" s="236" t="str">
        <f t="shared" ca="1" si="18"/>
        <v/>
      </c>
      <c r="AJ40" s="236">
        <f t="shared" ca="1" si="19"/>
        <v>41</v>
      </c>
      <c r="AK40" s="236" t="str">
        <f t="shared" ca="1" si="20"/>
        <v>BBB</v>
      </c>
      <c r="AL40" s="236">
        <f t="shared" ca="1" si="20"/>
        <v>18</v>
      </c>
      <c r="AM40" s="236" t="str">
        <f t="shared" ca="1" si="4"/>
        <v/>
      </c>
      <c r="AQ40" s="286" t="s">
        <v>53</v>
      </c>
      <c r="AR40" s="286" t="s">
        <v>28</v>
      </c>
      <c r="AS40" s="286">
        <v>18</v>
      </c>
      <c r="AT40" s="286" t="s">
        <v>318</v>
      </c>
      <c r="AV40" s="234">
        <f t="shared" si="21"/>
        <v>32</v>
      </c>
      <c r="AW40" s="234">
        <f>COUNTIF( AV$7:AV40, AV40 )</f>
        <v>11</v>
      </c>
      <c r="AX40" s="287">
        <f t="shared" si="22"/>
        <v>33.1</v>
      </c>
      <c r="AY40" s="234">
        <f t="shared" si="23"/>
        <v>42</v>
      </c>
      <c r="AZ40" s="236"/>
      <c r="BA40" s="236"/>
      <c r="BC40" s="234">
        <f t="shared" ca="1" si="24"/>
        <v>34</v>
      </c>
      <c r="BD40" s="288">
        <f t="shared" ca="1" si="6"/>
        <v>8</v>
      </c>
      <c r="BF40" s="240" t="str">
        <f t="shared" ca="1" si="25"/>
        <v>Black Hills Corporation</v>
      </c>
      <c r="BG40" s="240" t="str">
        <f t="shared" ca="1" si="25"/>
        <v>BBB</v>
      </c>
      <c r="BH40" s="240">
        <f t="shared" ca="1" si="25"/>
        <v>18</v>
      </c>
      <c r="BI40" s="240" t="str">
        <f t="shared" ca="1" si="25"/>
        <v>BKH</v>
      </c>
    </row>
    <row r="41" spans="1:61" x14ac:dyDescent="0.2">
      <c r="A41" s="303" t="s">
        <v>34</v>
      </c>
      <c r="B41" s="304" t="s">
        <v>28</v>
      </c>
      <c r="C41" s="304">
        <v>18</v>
      </c>
      <c r="D41" s="304" t="s">
        <v>294</v>
      </c>
      <c r="E41" s="305" t="str">
        <f t="shared" ca="1" si="8"/>
        <v>R</v>
      </c>
      <c r="F41" s="306"/>
      <c r="G41" s="307">
        <f t="shared" ca="1" si="1"/>
        <v>22</v>
      </c>
      <c r="H41" s="250"/>
      <c r="I41" s="321"/>
      <c r="J41" s="262"/>
      <c r="K41" s="321"/>
      <c r="L41" s="264"/>
      <c r="M41" s="235"/>
      <c r="N41" s="321"/>
      <c r="Q41" s="321"/>
      <c r="T41" s="321"/>
      <c r="W41" s="321"/>
      <c r="AF41" s="236">
        <f t="shared" si="2"/>
        <v>0</v>
      </c>
      <c r="AG41" s="236" t="str">
        <f t="shared" ca="1" si="3"/>
        <v/>
      </c>
      <c r="AH41" s="236" t="str">
        <f t="shared" ca="1" si="18"/>
        <v/>
      </c>
      <c r="AJ41" s="236">
        <f t="shared" ca="1" si="19"/>
        <v>42</v>
      </c>
      <c r="AK41" s="236" t="str">
        <f t="shared" ca="1" si="20"/>
        <v>BBB</v>
      </c>
      <c r="AL41" s="236">
        <f t="shared" ca="1" si="20"/>
        <v>18</v>
      </c>
      <c r="AM41" s="236" t="str">
        <f t="shared" ca="1" si="4"/>
        <v/>
      </c>
      <c r="AQ41" s="286" t="s">
        <v>41</v>
      </c>
      <c r="AR41" s="286" t="s">
        <v>10</v>
      </c>
      <c r="AS41" s="286">
        <v>20</v>
      </c>
      <c r="AT41" s="286" t="s">
        <v>322</v>
      </c>
      <c r="AV41" s="234">
        <f t="shared" si="21"/>
        <v>3</v>
      </c>
      <c r="AW41" s="234">
        <f>COUNTIF( AV$7:AV41, AV41 )</f>
        <v>7</v>
      </c>
      <c r="AX41" s="287">
        <f t="shared" si="22"/>
        <v>3.7</v>
      </c>
      <c r="AY41" s="234">
        <f t="shared" si="23"/>
        <v>9</v>
      </c>
      <c r="AZ41" s="236"/>
      <c r="BA41" s="236"/>
      <c r="BC41" s="234">
        <f t="shared" ca="1" si="24"/>
        <v>35</v>
      </c>
      <c r="BD41" s="288">
        <f t="shared" ca="1" si="6"/>
        <v>18</v>
      </c>
      <c r="BF41" s="240" t="str">
        <f t="shared" ca="1" si="25"/>
        <v>El Paso Electric Company</v>
      </c>
      <c r="BG41" s="240" t="str">
        <f t="shared" ca="1" si="25"/>
        <v>BBB</v>
      </c>
      <c r="BH41" s="240">
        <f t="shared" ca="1" si="25"/>
        <v>18</v>
      </c>
      <c r="BI41" s="240" t="str">
        <f t="shared" ca="1" si="25"/>
        <v>EE</v>
      </c>
    </row>
    <row r="42" spans="1:61" x14ac:dyDescent="0.2">
      <c r="A42" s="303" t="s">
        <v>35</v>
      </c>
      <c r="B42" s="304" t="s">
        <v>28</v>
      </c>
      <c r="C42" s="304">
        <v>18</v>
      </c>
      <c r="D42" s="304" t="s">
        <v>293</v>
      </c>
      <c r="E42" s="305" t="str">
        <f t="shared" ca="1" si="8"/>
        <v>R</v>
      </c>
      <c r="F42" s="306"/>
      <c r="G42" s="307">
        <f t="shared" ca="1" si="1"/>
        <v>23</v>
      </c>
      <c r="H42" s="250"/>
      <c r="I42" s="321"/>
      <c r="J42" s="262"/>
      <c r="K42" s="321"/>
      <c r="L42" s="264"/>
      <c r="M42" s="235"/>
      <c r="N42" s="321"/>
      <c r="Q42" s="321"/>
      <c r="T42" s="321"/>
      <c r="W42" s="321"/>
      <c r="AF42" s="236">
        <f t="shared" si="2"/>
        <v>0</v>
      </c>
      <c r="AG42" s="236" t="str">
        <f t="shared" ca="1" si="3"/>
        <v/>
      </c>
      <c r="AH42" s="236" t="str">
        <f t="shared" ca="1" si="18"/>
        <v/>
      </c>
      <c r="AJ42" s="236">
        <f t="shared" ca="1" si="19"/>
        <v>43</v>
      </c>
      <c r="AK42" s="236" t="str">
        <f t="shared" ca="1" si="20"/>
        <v>BBB</v>
      </c>
      <c r="AL42" s="236">
        <f t="shared" ca="1" si="20"/>
        <v>18</v>
      </c>
      <c r="AM42" s="236" t="str">
        <f t="shared" ca="1" si="4"/>
        <v/>
      </c>
      <c r="AQ42" s="286" t="s">
        <v>42</v>
      </c>
      <c r="AR42" s="286" t="s">
        <v>16</v>
      </c>
      <c r="AS42" s="286">
        <v>19</v>
      </c>
      <c r="AT42" s="286" t="s">
        <v>321</v>
      </c>
      <c r="AV42" s="234">
        <f t="shared" si="21"/>
        <v>15</v>
      </c>
      <c r="AW42" s="234">
        <f>COUNTIF( AV$7:AV42, AV42 )</f>
        <v>11</v>
      </c>
      <c r="AX42" s="287">
        <f t="shared" si="22"/>
        <v>16.100000000000001</v>
      </c>
      <c r="AY42" s="234">
        <f t="shared" si="23"/>
        <v>25</v>
      </c>
      <c r="AZ42" s="236"/>
      <c r="BA42" s="236"/>
      <c r="BC42" s="234">
        <f t="shared" ca="1" si="24"/>
        <v>36</v>
      </c>
      <c r="BD42" s="288">
        <f t="shared" ca="1" si="6"/>
        <v>19</v>
      </c>
      <c r="BF42" s="240" t="str">
        <f t="shared" ca="1" si="25"/>
        <v>Empire District Electric Company</v>
      </c>
      <c r="BG42" s="240" t="str">
        <f t="shared" ca="1" si="25"/>
        <v>BBB</v>
      </c>
      <c r="BH42" s="240">
        <f t="shared" ca="1" si="25"/>
        <v>18</v>
      </c>
      <c r="BI42" s="240" t="str">
        <f t="shared" ca="1" si="25"/>
        <v>EDE</v>
      </c>
    </row>
    <row r="43" spans="1:61" x14ac:dyDescent="0.2">
      <c r="A43" s="303" t="s">
        <v>36</v>
      </c>
      <c r="B43" s="304" t="s">
        <v>28</v>
      </c>
      <c r="C43" s="304">
        <v>18</v>
      </c>
      <c r="D43" s="304" t="s">
        <v>297</v>
      </c>
      <c r="E43" s="305" t="str">
        <f t="shared" ca="1" si="8"/>
        <v>R</v>
      </c>
      <c r="F43" s="306"/>
      <c r="G43" s="307">
        <f t="shared" ca="1" si="1"/>
        <v>24</v>
      </c>
      <c r="H43" s="250"/>
      <c r="I43" s="321"/>
      <c r="J43" s="262"/>
      <c r="K43" s="321"/>
      <c r="L43" s="235"/>
      <c r="M43" s="235"/>
      <c r="N43" s="321"/>
      <c r="Q43" s="321"/>
      <c r="T43" s="321"/>
      <c r="W43" s="321"/>
      <c r="AF43" s="236">
        <f t="shared" si="2"/>
        <v>0</v>
      </c>
      <c r="AG43" s="236" t="str">
        <f t="shared" ca="1" si="3"/>
        <v/>
      </c>
      <c r="AH43" s="236" t="str">
        <f t="shared" ca="1" si="18"/>
        <v/>
      </c>
      <c r="AJ43" s="236">
        <f t="shared" ca="1" si="19"/>
        <v>44</v>
      </c>
      <c r="AK43" s="236" t="str">
        <f t="shared" ca="1" si="20"/>
        <v>BBB</v>
      </c>
      <c r="AL43" s="236">
        <f t="shared" ca="1" si="20"/>
        <v>18</v>
      </c>
      <c r="AM43" s="236" t="str">
        <f t="shared" ca="1" si="4"/>
        <v/>
      </c>
      <c r="AQ43" s="286" t="s">
        <v>24</v>
      </c>
      <c r="AR43" s="286" t="s">
        <v>28</v>
      </c>
      <c r="AS43" s="286">
        <v>18</v>
      </c>
      <c r="AT43" s="286" t="s">
        <v>324</v>
      </c>
      <c r="AV43" s="234">
        <f t="shared" si="21"/>
        <v>32</v>
      </c>
      <c r="AW43" s="234">
        <f>COUNTIF( AV$7:AV43, AV43 )</f>
        <v>12</v>
      </c>
      <c r="AX43" s="287">
        <f t="shared" si="22"/>
        <v>33.200000000000003</v>
      </c>
      <c r="AY43" s="234">
        <f t="shared" si="23"/>
        <v>43</v>
      </c>
      <c r="AZ43" s="236"/>
      <c r="BA43" s="236"/>
      <c r="BC43" s="234">
        <f t="shared" ca="1" si="24"/>
        <v>37</v>
      </c>
      <c r="BD43" s="288">
        <f t="shared" ca="1" si="6"/>
        <v>20</v>
      </c>
      <c r="BF43" s="240" t="str">
        <f t="shared" ca="1" si="25"/>
        <v>Entergy Corporation</v>
      </c>
      <c r="BG43" s="240" t="str">
        <f t="shared" ca="1" si="25"/>
        <v>BBB</v>
      </c>
      <c r="BH43" s="240">
        <f t="shared" ca="1" si="25"/>
        <v>18</v>
      </c>
      <c r="BI43" s="240" t="str">
        <f t="shared" ca="1" si="25"/>
        <v>ETR</v>
      </c>
    </row>
    <row r="44" spans="1:61" x14ac:dyDescent="0.2">
      <c r="A44" s="303" t="s">
        <v>11</v>
      </c>
      <c r="B44" s="304" t="s">
        <v>28</v>
      </c>
      <c r="C44" s="304">
        <v>18</v>
      </c>
      <c r="D44" s="304" t="s">
        <v>298</v>
      </c>
      <c r="E44" s="305" t="str">
        <f t="shared" ca="1" si="8"/>
        <v>D</v>
      </c>
      <c r="F44" s="306"/>
      <c r="G44" s="307">
        <f t="shared" ca="1" si="1"/>
        <v>26</v>
      </c>
      <c r="H44" s="250"/>
      <c r="I44" s="321"/>
      <c r="J44" s="262"/>
      <c r="K44" s="321"/>
      <c r="L44" s="235"/>
      <c r="M44" s="235"/>
      <c r="N44" s="321"/>
      <c r="Q44" s="321"/>
      <c r="T44" s="321"/>
      <c r="W44" s="321"/>
      <c r="AF44" s="236">
        <f t="shared" si="2"/>
        <v>0</v>
      </c>
      <c r="AG44" s="236" t="str">
        <f t="shared" ca="1" si="3"/>
        <v/>
      </c>
      <c r="AH44" s="236" t="str">
        <f t="shared" ca="1" si="18"/>
        <v/>
      </c>
      <c r="AJ44" s="236">
        <f t="shared" ca="1" si="19"/>
        <v>45</v>
      </c>
      <c r="AK44" s="236" t="str">
        <f t="shared" ca="1" si="20"/>
        <v>BBB</v>
      </c>
      <c r="AL44" s="236">
        <f t="shared" ca="1" si="20"/>
        <v>18</v>
      </c>
      <c r="AM44" s="236" t="str">
        <f t="shared" ca="1" si="4"/>
        <v/>
      </c>
      <c r="AQ44" s="286" t="s">
        <v>43</v>
      </c>
      <c r="AR44" s="286" t="s">
        <v>10</v>
      </c>
      <c r="AS44" s="286">
        <v>20</v>
      </c>
      <c r="AT44" s="286" t="s">
        <v>325</v>
      </c>
      <c r="AV44" s="234">
        <f t="shared" si="21"/>
        <v>3</v>
      </c>
      <c r="AW44" s="234">
        <f>COUNTIF( AV$7:AV44, AV44 )</f>
        <v>8</v>
      </c>
      <c r="AX44" s="287">
        <f t="shared" si="22"/>
        <v>3.8</v>
      </c>
      <c r="AY44" s="234">
        <f t="shared" si="23"/>
        <v>10</v>
      </c>
      <c r="AZ44" s="236"/>
      <c r="BA44" s="236"/>
      <c r="BC44" s="234">
        <f t="shared" ca="1" si="24"/>
        <v>38</v>
      </c>
      <c r="BD44" s="288">
        <f t="shared" ca="1" si="6"/>
        <v>22</v>
      </c>
      <c r="BF44" s="240" t="str">
        <f t="shared" ca="1" si="25"/>
        <v>Exelon Corporation</v>
      </c>
      <c r="BG44" s="240" t="str">
        <f t="shared" ca="1" si="25"/>
        <v>BBB</v>
      </c>
      <c r="BH44" s="240">
        <f t="shared" ca="1" si="25"/>
        <v>18</v>
      </c>
      <c r="BI44" s="240" t="str">
        <f t="shared" ca="1" si="25"/>
        <v>EXC</v>
      </c>
    </row>
    <row r="45" spans="1:61" x14ac:dyDescent="0.2">
      <c r="A45" s="303" t="s">
        <v>20</v>
      </c>
      <c r="B45" s="304" t="s">
        <v>28</v>
      </c>
      <c r="C45" s="304">
        <v>18</v>
      </c>
      <c r="D45" s="304" t="s">
        <v>303</v>
      </c>
      <c r="E45" s="305" t="str">
        <f t="shared" ca="1" si="8"/>
        <v>R</v>
      </c>
      <c r="F45" s="306"/>
      <c r="G45" s="307">
        <f t="shared" ca="1" si="1"/>
        <v>30</v>
      </c>
      <c r="H45" s="250"/>
      <c r="I45" s="321"/>
      <c r="J45" s="262"/>
      <c r="K45" s="321"/>
      <c r="L45" s="235"/>
      <c r="M45" s="235"/>
      <c r="N45" s="321"/>
      <c r="Q45" s="321"/>
      <c r="T45" s="321"/>
      <c r="W45" s="321"/>
      <c r="AF45" s="236">
        <f t="shared" si="2"/>
        <v>0</v>
      </c>
      <c r="AG45" s="236" t="str">
        <f t="shared" ca="1" si="3"/>
        <v/>
      </c>
      <c r="AH45" s="236" t="str">
        <f t="shared" ca="1" si="18"/>
        <v/>
      </c>
      <c r="AJ45" s="236">
        <f t="shared" ca="1" si="19"/>
        <v>46</v>
      </c>
      <c r="AK45" s="236" t="str">
        <f t="shared" ca="1" si="20"/>
        <v>BBB</v>
      </c>
      <c r="AL45" s="236">
        <f t="shared" ca="1" si="20"/>
        <v>18</v>
      </c>
      <c r="AM45" s="236" t="str">
        <f t="shared" ca="1" si="4"/>
        <v/>
      </c>
      <c r="AQ45" s="286" t="s">
        <v>45</v>
      </c>
      <c r="AR45" s="286" t="s">
        <v>16</v>
      </c>
      <c r="AS45" s="286">
        <v>19</v>
      </c>
      <c r="AT45" s="286" t="s">
        <v>319</v>
      </c>
      <c r="AV45" s="234">
        <f t="shared" si="21"/>
        <v>15</v>
      </c>
      <c r="AW45" s="234">
        <f>COUNTIF( AV$7:AV45, AV45 )</f>
        <v>12</v>
      </c>
      <c r="AX45" s="287">
        <f t="shared" si="22"/>
        <v>16.2</v>
      </c>
      <c r="AY45" s="234">
        <f t="shared" si="23"/>
        <v>26</v>
      </c>
      <c r="AZ45" s="236"/>
      <c r="BA45" s="236"/>
      <c r="BC45" s="234">
        <f t="shared" ca="1" si="24"/>
        <v>39</v>
      </c>
      <c r="BD45" s="288">
        <f t="shared" ca="1" si="6"/>
        <v>26</v>
      </c>
      <c r="BF45" s="240" t="str">
        <f t="shared" ca="1" si="25"/>
        <v>IDACORP, Inc.</v>
      </c>
      <c r="BG45" s="240" t="str">
        <f t="shared" ca="1" si="25"/>
        <v>BBB</v>
      </c>
      <c r="BH45" s="240">
        <f t="shared" ca="1" si="25"/>
        <v>18</v>
      </c>
      <c r="BI45" s="240" t="str">
        <f t="shared" ca="1" si="25"/>
        <v>IDA</v>
      </c>
    </row>
    <row r="46" spans="1:61" x14ac:dyDescent="0.2">
      <c r="A46" s="303" t="s">
        <v>66</v>
      </c>
      <c r="B46" s="304" t="s">
        <v>28</v>
      </c>
      <c r="C46" s="304">
        <v>18</v>
      </c>
      <c r="D46" s="304" t="s">
        <v>315</v>
      </c>
      <c r="E46" s="305" t="str">
        <f t="shared" ca="1" si="8"/>
        <v>R</v>
      </c>
      <c r="F46" s="306"/>
      <c r="G46" s="307">
        <f t="shared" ca="1" si="1"/>
        <v>35</v>
      </c>
      <c r="H46" s="250"/>
      <c r="I46" s="262"/>
      <c r="K46" s="262"/>
      <c r="N46" s="257"/>
      <c r="W46" s="262"/>
      <c r="AF46" s="236">
        <f t="shared" si="2"/>
        <v>0</v>
      </c>
      <c r="AG46" s="236" t="str">
        <f t="shared" ca="1" si="3"/>
        <v/>
      </c>
      <c r="AH46" s="236" t="str">
        <f t="shared" ca="1" si="18"/>
        <v/>
      </c>
      <c r="AJ46" s="236">
        <f t="shared" ca="1" si="19"/>
        <v>47</v>
      </c>
      <c r="AK46" s="236" t="str">
        <f t="shared" ca="1" si="20"/>
        <v>BBB</v>
      </c>
      <c r="AL46" s="236">
        <f t="shared" ca="1" si="20"/>
        <v>18</v>
      </c>
      <c r="AM46" s="236" t="str">
        <f t="shared" ca="1" si="4"/>
        <v/>
      </c>
      <c r="AQ46" s="286" t="s">
        <v>54</v>
      </c>
      <c r="AR46" s="286" t="s">
        <v>49</v>
      </c>
      <c r="AS46" s="286">
        <v>17</v>
      </c>
      <c r="AT46" s="286" t="s">
        <v>449</v>
      </c>
      <c r="AV46" s="234">
        <f t="shared" si="21"/>
        <v>44</v>
      </c>
      <c r="AW46" s="234">
        <f>COUNTIF( AV$7:AV46, AV46 )</f>
        <v>5</v>
      </c>
      <c r="AX46" s="287">
        <f t="shared" si="22"/>
        <v>44.5</v>
      </c>
      <c r="AY46" s="234">
        <f t="shared" si="23"/>
        <v>48</v>
      </c>
      <c r="AZ46" s="236"/>
      <c r="BA46" s="236"/>
      <c r="BC46" s="234">
        <f t="shared" ca="1" si="24"/>
        <v>40</v>
      </c>
      <c r="BD46" s="288">
        <f t="shared" ca="1" si="6"/>
        <v>31</v>
      </c>
      <c r="BF46" s="240" t="str">
        <f t="shared" ca="1" si="25"/>
        <v>NorthWestern Corporation</v>
      </c>
      <c r="BG46" s="240" t="str">
        <f t="shared" ca="1" si="25"/>
        <v>BBB</v>
      </c>
      <c r="BH46" s="240">
        <f t="shared" ca="1" si="25"/>
        <v>18</v>
      </c>
      <c r="BI46" s="240" t="str">
        <f t="shared" ca="1" si="25"/>
        <v>NWE</v>
      </c>
    </row>
    <row r="47" spans="1:61" x14ac:dyDescent="0.2">
      <c r="A47" s="303" t="s">
        <v>22</v>
      </c>
      <c r="B47" s="304" t="s">
        <v>28</v>
      </c>
      <c r="C47" s="304">
        <v>18</v>
      </c>
      <c r="D47" s="304" t="s">
        <v>317</v>
      </c>
      <c r="E47" s="305" t="str">
        <f t="shared" ca="1" si="8"/>
        <v>R</v>
      </c>
      <c r="F47" s="306"/>
      <c r="G47" s="307">
        <f t="shared" ca="1" si="1"/>
        <v>37</v>
      </c>
      <c r="H47" s="250"/>
      <c r="I47" s="250"/>
      <c r="J47" s="258" t="s">
        <v>268</v>
      </c>
      <c r="K47" s="262"/>
      <c r="M47" s="253"/>
      <c r="N47" s="253"/>
      <c r="AF47" s="236">
        <f t="shared" si="2"/>
        <v>0</v>
      </c>
      <c r="AG47" s="236" t="str">
        <f t="shared" ca="1" si="3"/>
        <v/>
      </c>
      <c r="AH47" s="236" t="str">
        <f t="shared" ca="1" si="18"/>
        <v/>
      </c>
      <c r="AJ47" s="236">
        <f t="shared" ca="1" si="19"/>
        <v>48</v>
      </c>
      <c r="AK47" s="236" t="str">
        <f t="shared" ca="1" si="20"/>
        <v>BBB</v>
      </c>
      <c r="AL47" s="236">
        <f t="shared" ca="1" si="20"/>
        <v>18</v>
      </c>
      <c r="AM47" s="236" t="str">
        <f t="shared" ca="1" si="4"/>
        <v/>
      </c>
      <c r="AQ47" s="286" t="s">
        <v>13</v>
      </c>
      <c r="AR47" s="286" t="s">
        <v>16</v>
      </c>
      <c r="AS47" s="286">
        <v>19</v>
      </c>
      <c r="AT47" s="286" t="s">
        <v>327</v>
      </c>
      <c r="AV47" s="234">
        <f t="shared" si="21"/>
        <v>15</v>
      </c>
      <c r="AW47" s="234">
        <f>COUNTIF( AV$7:AV47, AV47 )</f>
        <v>13</v>
      </c>
      <c r="AX47" s="287">
        <f t="shared" si="22"/>
        <v>16.3</v>
      </c>
      <c r="AY47" s="234">
        <f t="shared" si="23"/>
        <v>27</v>
      </c>
      <c r="AZ47" s="236"/>
      <c r="BA47" s="236"/>
      <c r="BC47" s="234">
        <f t="shared" ca="1" si="24"/>
        <v>41</v>
      </c>
      <c r="BD47" s="288">
        <f t="shared" ca="1" si="6"/>
        <v>33</v>
      </c>
      <c r="BF47" s="240" t="str">
        <f t="shared" ca="1" si="25"/>
        <v>Otter Tail Corporation</v>
      </c>
      <c r="BG47" s="240" t="str">
        <f t="shared" ca="1" si="25"/>
        <v>BBB</v>
      </c>
      <c r="BH47" s="240">
        <f t="shared" ca="1" si="25"/>
        <v>18</v>
      </c>
      <c r="BI47" s="240" t="str">
        <f t="shared" ca="1" si="25"/>
        <v>OTTR</v>
      </c>
    </row>
    <row r="48" spans="1:61" x14ac:dyDescent="0.2">
      <c r="A48" s="303" t="s">
        <v>53</v>
      </c>
      <c r="B48" s="304" t="s">
        <v>28</v>
      </c>
      <c r="C48" s="304">
        <v>18</v>
      </c>
      <c r="D48" s="304" t="s">
        <v>318</v>
      </c>
      <c r="E48" s="305" t="str">
        <f t="shared" ca="1" si="8"/>
        <v>R</v>
      </c>
      <c r="F48" s="306"/>
      <c r="G48" s="307">
        <f t="shared" ca="1" si="1"/>
        <v>38</v>
      </c>
      <c r="H48" s="250"/>
      <c r="I48" s="250"/>
      <c r="K48" s="262"/>
      <c r="M48" s="253"/>
      <c r="N48" s="253"/>
      <c r="AF48" s="236">
        <f t="shared" si="2"/>
        <v>0</v>
      </c>
      <c r="AG48" s="236" t="str">
        <f t="shared" ca="1" si="3"/>
        <v/>
      </c>
      <c r="AH48" s="236" t="str">
        <f t="shared" ca="1" si="18"/>
        <v/>
      </c>
      <c r="AJ48" s="236">
        <f t="shared" ca="1" si="19"/>
        <v>49</v>
      </c>
      <c r="AK48" s="236" t="str">
        <f t="shared" ca="1" si="20"/>
        <v>BBB</v>
      </c>
      <c r="AL48" s="236">
        <f t="shared" ca="1" si="20"/>
        <v>18</v>
      </c>
      <c r="AM48" s="236" t="str">
        <f t="shared" ca="1" si="4"/>
        <v/>
      </c>
      <c r="AQ48" s="286" t="s">
        <v>25</v>
      </c>
      <c r="AR48" s="286" t="s">
        <v>16</v>
      </c>
      <c r="AS48" s="286">
        <v>19</v>
      </c>
      <c r="AT48" s="289" t="s">
        <v>329</v>
      </c>
      <c r="AV48" s="234">
        <f t="shared" si="21"/>
        <v>15</v>
      </c>
      <c r="AW48" s="234">
        <f>COUNTIF( AV$7:AV48, AV48 )</f>
        <v>14</v>
      </c>
      <c r="AX48" s="287">
        <f t="shared" si="22"/>
        <v>16.399999999999999</v>
      </c>
      <c r="AY48" s="234">
        <f t="shared" si="23"/>
        <v>28</v>
      </c>
      <c r="AZ48" s="236"/>
      <c r="BA48" s="236"/>
      <c r="BC48" s="234">
        <f t="shared" ca="1" si="24"/>
        <v>42</v>
      </c>
      <c r="BD48" s="288">
        <f t="shared" ca="1" si="6"/>
        <v>34</v>
      </c>
      <c r="BF48" s="240" t="str">
        <f t="shared" ca="1" si="25"/>
        <v>PG&amp;E Corporation</v>
      </c>
      <c r="BG48" s="240" t="str">
        <f t="shared" ca="1" si="25"/>
        <v>BBB</v>
      </c>
      <c r="BH48" s="240">
        <f t="shared" ca="1" si="25"/>
        <v>18</v>
      </c>
      <c r="BI48" s="240" t="str">
        <f t="shared" ca="1" si="25"/>
        <v>PCG</v>
      </c>
    </row>
    <row r="49" spans="1:61" x14ac:dyDescent="0.2">
      <c r="A49" s="303" t="s">
        <v>24</v>
      </c>
      <c r="B49" s="304" t="s">
        <v>28</v>
      </c>
      <c r="C49" s="304">
        <v>18</v>
      </c>
      <c r="D49" s="304" t="s">
        <v>324</v>
      </c>
      <c r="E49" s="305" t="str">
        <f t="shared" ca="1" si="8"/>
        <v>R</v>
      </c>
      <c r="F49" s="306"/>
      <c r="G49" s="307">
        <f t="shared" ca="1" si="1"/>
        <v>41</v>
      </c>
      <c r="H49" s="250"/>
      <c r="I49" s="250"/>
      <c r="J49" s="262"/>
      <c r="K49" s="262"/>
      <c r="M49" s="253"/>
      <c r="N49" s="253"/>
      <c r="AF49" s="236">
        <f t="shared" si="2"/>
        <v>0</v>
      </c>
      <c r="AG49" s="236" t="str">
        <f t="shared" ca="1" si="3"/>
        <v/>
      </c>
      <c r="AH49" s="236" t="str">
        <f t="shared" ca="1" si="18"/>
        <v/>
      </c>
      <c r="AJ49" s="236">
        <f t="shared" ca="1" si="19"/>
        <v>50</v>
      </c>
      <c r="AK49" s="236" t="str">
        <f t="shared" ca="1" si="20"/>
        <v>BBB</v>
      </c>
      <c r="AL49" s="236">
        <f t="shared" ca="1" si="20"/>
        <v>18</v>
      </c>
      <c r="AM49" s="236" t="str">
        <f t="shared" ca="1" si="4"/>
        <v/>
      </c>
      <c r="AQ49" s="286" t="s">
        <v>7</v>
      </c>
      <c r="AR49" s="286" t="s">
        <v>10</v>
      </c>
      <c r="AS49" s="286">
        <v>20</v>
      </c>
      <c r="AT49" s="286" t="s">
        <v>328</v>
      </c>
      <c r="AV49" s="234">
        <f t="shared" si="21"/>
        <v>3</v>
      </c>
      <c r="AW49" s="234">
        <f>COUNTIF( AV$7:AV49, AV49 )</f>
        <v>9</v>
      </c>
      <c r="AX49" s="287">
        <f t="shared" si="22"/>
        <v>3.9</v>
      </c>
      <c r="AY49" s="234">
        <f t="shared" si="23"/>
        <v>11</v>
      </c>
      <c r="AZ49" s="236"/>
      <c r="BA49" s="236"/>
      <c r="BC49" s="234">
        <f t="shared" ca="1" si="24"/>
        <v>43</v>
      </c>
      <c r="BD49" s="288">
        <f t="shared" ca="1" si="6"/>
        <v>37</v>
      </c>
      <c r="BF49" s="240" t="str">
        <f t="shared" ca="1" si="25"/>
        <v>Portland General Electric Company</v>
      </c>
      <c r="BG49" s="240" t="str">
        <f t="shared" ca="1" si="25"/>
        <v>BBB</v>
      </c>
      <c r="BH49" s="240">
        <f t="shared" ca="1" si="25"/>
        <v>18</v>
      </c>
      <c r="BI49" s="240" t="str">
        <f t="shared" ca="1" si="25"/>
        <v>POR</v>
      </c>
    </row>
    <row r="50" spans="1:61" x14ac:dyDescent="0.2">
      <c r="A50" s="303" t="s">
        <v>30</v>
      </c>
      <c r="B50" s="304" t="s">
        <v>49</v>
      </c>
      <c r="C50" s="304">
        <v>17</v>
      </c>
      <c r="D50" s="304" t="s">
        <v>541</v>
      </c>
      <c r="E50" s="305" t="str">
        <f t="shared" ca="1" si="8"/>
        <v>R</v>
      </c>
      <c r="F50" s="306"/>
      <c r="G50" s="307">
        <f t="shared" ca="1" si="1"/>
        <v>15</v>
      </c>
      <c r="H50" s="250"/>
      <c r="I50" s="250"/>
      <c r="J50" s="262"/>
      <c r="K50" s="262"/>
      <c r="L50" s="235"/>
      <c r="M50" s="257"/>
      <c r="N50" s="257"/>
      <c r="AF50" s="236">
        <f t="shared" si="2"/>
        <v>1</v>
      </c>
      <c r="AG50" s="236" t="str">
        <f t="shared" ca="1" si="3"/>
        <v/>
      </c>
      <c r="AH50" s="236">
        <f t="shared" ca="1" si="18"/>
        <v>1</v>
      </c>
      <c r="AJ50" s="236">
        <f t="shared" ca="1" si="19"/>
        <v>23</v>
      </c>
      <c r="AK50" s="236" t="str">
        <f t="shared" ca="1" si="20"/>
        <v>BBB+</v>
      </c>
      <c r="AL50" s="236">
        <f t="shared" ca="1" si="20"/>
        <v>19</v>
      </c>
      <c r="AM50" s="236" t="str">
        <f t="shared" ca="1" si="4"/>
        <v>Change</v>
      </c>
      <c r="AQ50" s="286" t="s">
        <v>62</v>
      </c>
      <c r="AR50" s="286" t="s">
        <v>16</v>
      </c>
      <c r="AS50" s="286">
        <v>19</v>
      </c>
      <c r="AT50" s="286" t="s">
        <v>330</v>
      </c>
      <c r="AV50" s="234">
        <f t="shared" si="21"/>
        <v>15</v>
      </c>
      <c r="AW50" s="234">
        <f>COUNTIF( AV$7:AV50, AV50 )</f>
        <v>15</v>
      </c>
      <c r="AX50" s="287">
        <f t="shared" si="22"/>
        <v>16.5</v>
      </c>
      <c r="AY50" s="234">
        <f t="shared" si="23"/>
        <v>29</v>
      </c>
      <c r="AZ50" s="236"/>
      <c r="BA50" s="236"/>
      <c r="BC50" s="234">
        <f t="shared" ca="1" si="24"/>
        <v>44</v>
      </c>
      <c r="BD50" s="288">
        <f t="shared" ca="1" si="6"/>
        <v>10</v>
      </c>
      <c r="BF50" s="240" t="str">
        <f t="shared" ca="1" si="25"/>
        <v>Cleco Corporation</v>
      </c>
      <c r="BG50" s="240" t="str">
        <f t="shared" ca="1" si="25"/>
        <v>BBB-</v>
      </c>
      <c r="BH50" s="240">
        <f t="shared" ca="1" si="25"/>
        <v>17</v>
      </c>
      <c r="BI50" s="240" t="str">
        <f t="shared" ca="1" si="25"/>
        <v>**CNL</v>
      </c>
    </row>
    <row r="51" spans="1:61" x14ac:dyDescent="0.2">
      <c r="A51" s="303" t="s">
        <v>51</v>
      </c>
      <c r="B51" s="304" t="s">
        <v>49</v>
      </c>
      <c r="C51" s="304">
        <v>17</v>
      </c>
      <c r="D51" s="304" t="s">
        <v>299</v>
      </c>
      <c r="E51" s="305" t="str">
        <f t="shared" ca="1" si="8"/>
        <v>MR</v>
      </c>
      <c r="F51" s="306"/>
      <c r="G51" s="307">
        <f t="shared" ca="1" si="1"/>
        <v>27</v>
      </c>
      <c r="H51" s="250"/>
      <c r="I51" s="250"/>
      <c r="J51" s="262"/>
      <c r="K51" s="262"/>
      <c r="L51" s="235"/>
      <c r="M51" s="257"/>
      <c r="N51" s="257"/>
      <c r="AF51" s="236">
        <f t="shared" si="2"/>
        <v>1</v>
      </c>
      <c r="AG51" s="236" t="str">
        <f t="shared" ca="1" si="3"/>
        <v/>
      </c>
      <c r="AH51" s="236" t="str">
        <f t="shared" ca="1" si="18"/>
        <v/>
      </c>
      <c r="AJ51" s="236">
        <f t="shared" ca="1" si="19"/>
        <v>51</v>
      </c>
      <c r="AK51" s="236" t="str">
        <f t="shared" ca="1" si="20"/>
        <v>BBB-</v>
      </c>
      <c r="AL51" s="236">
        <f t="shared" ca="1" si="20"/>
        <v>17</v>
      </c>
      <c r="AM51" s="236" t="str">
        <f t="shared" ca="1" si="4"/>
        <v/>
      </c>
      <c r="AQ51" s="286" t="s">
        <v>76</v>
      </c>
      <c r="AR51" s="286" t="s">
        <v>16</v>
      </c>
      <c r="AS51" s="286">
        <v>19</v>
      </c>
      <c r="AT51" s="286" t="s">
        <v>448</v>
      </c>
      <c r="AV51" s="234">
        <f t="shared" si="21"/>
        <v>15</v>
      </c>
      <c r="AW51" s="234">
        <f>COUNTIF( AV$7:AV51, AV51 )</f>
        <v>16</v>
      </c>
      <c r="AX51" s="287">
        <f t="shared" si="22"/>
        <v>16.600000000000001</v>
      </c>
      <c r="AY51" s="234">
        <f t="shared" si="23"/>
        <v>30</v>
      </c>
      <c r="AZ51" s="236"/>
      <c r="BA51" s="236"/>
      <c r="BC51" s="234">
        <f t="shared" ca="1" si="24"/>
        <v>45</v>
      </c>
      <c r="BD51" s="288">
        <f t="shared" ca="1" si="6"/>
        <v>23</v>
      </c>
      <c r="BF51" s="240" t="str">
        <f t="shared" ca="1" si="25"/>
        <v>FirstEnergy Corp.</v>
      </c>
      <c r="BG51" s="240" t="str">
        <f t="shared" ca="1" si="25"/>
        <v>BBB-</v>
      </c>
      <c r="BH51" s="240">
        <f t="shared" ca="1" si="25"/>
        <v>17</v>
      </c>
      <c r="BI51" s="240" t="str">
        <f t="shared" ca="1" si="25"/>
        <v>FE</v>
      </c>
    </row>
    <row r="52" spans="1:61" x14ac:dyDescent="0.2">
      <c r="A52" s="303" t="s">
        <v>39</v>
      </c>
      <c r="B52" s="304" t="s">
        <v>49</v>
      </c>
      <c r="C52" s="304">
        <v>17</v>
      </c>
      <c r="D52" s="304" t="s">
        <v>302</v>
      </c>
      <c r="E52" s="305" t="str">
        <f t="shared" ca="1" si="8"/>
        <v>D</v>
      </c>
      <c r="F52" s="306"/>
      <c r="G52" s="307">
        <f t="shared" ca="1" si="1"/>
        <v>29</v>
      </c>
      <c r="H52" s="250"/>
      <c r="I52" s="250"/>
      <c r="J52" s="262"/>
      <c r="K52" s="262"/>
      <c r="AF52" s="236">
        <f t="shared" si="2"/>
        <v>1</v>
      </c>
      <c r="AG52" s="236" t="str">
        <f t="shared" ca="1" si="3"/>
        <v/>
      </c>
      <c r="AH52" s="236" t="str">
        <f t="shared" ca="1" si="18"/>
        <v/>
      </c>
      <c r="AJ52" s="236">
        <f t="shared" ca="1" si="19"/>
        <v>52</v>
      </c>
      <c r="AK52" s="236" t="str">
        <f t="shared" ca="1" si="20"/>
        <v>BBB-</v>
      </c>
      <c r="AL52" s="236">
        <f t="shared" ca="1" si="20"/>
        <v>17</v>
      </c>
      <c r="AM52" s="236" t="str">
        <f t="shared" ca="1" si="4"/>
        <v/>
      </c>
      <c r="AQ52" s="286" t="s">
        <v>14</v>
      </c>
      <c r="AR52" s="286" t="s">
        <v>10</v>
      </c>
      <c r="AS52" s="286">
        <v>20</v>
      </c>
      <c r="AT52" s="286" t="s">
        <v>335</v>
      </c>
      <c r="AV52" s="234">
        <f t="shared" si="21"/>
        <v>3</v>
      </c>
      <c r="AW52" s="234">
        <f>COUNTIF( AV$7:AV52, AV52 )</f>
        <v>10</v>
      </c>
      <c r="AX52" s="287">
        <f t="shared" si="22"/>
        <v>4</v>
      </c>
      <c r="AY52" s="234">
        <f t="shared" si="23"/>
        <v>12</v>
      </c>
      <c r="AZ52" s="236"/>
      <c r="BA52" s="236"/>
      <c r="BC52" s="234">
        <f t="shared" ca="1" si="24"/>
        <v>46</v>
      </c>
      <c r="BD52" s="288">
        <f t="shared" ca="1" si="6"/>
        <v>25</v>
      </c>
      <c r="BF52" s="240" t="str">
        <f t="shared" ca="1" si="25"/>
        <v>Hawaiian Electric Industries, Inc.</v>
      </c>
      <c r="BG52" s="240" t="str">
        <f t="shared" ca="1" si="25"/>
        <v>BBB-</v>
      </c>
      <c r="BH52" s="240">
        <f t="shared" ca="1" si="25"/>
        <v>17</v>
      </c>
      <c r="BI52" s="240" t="str">
        <f t="shared" ca="1" si="25"/>
        <v>HE</v>
      </c>
    </row>
    <row r="53" spans="1:61" x14ac:dyDescent="0.2">
      <c r="A53" s="303" t="s">
        <v>58</v>
      </c>
      <c r="B53" s="304" t="s">
        <v>49</v>
      </c>
      <c r="C53" s="304">
        <v>17</v>
      </c>
      <c r="D53" s="304" t="s">
        <v>446</v>
      </c>
      <c r="E53" s="305" t="str">
        <f t="shared" ca="1" si="8"/>
        <v>R</v>
      </c>
      <c r="F53" s="306"/>
      <c r="G53" s="307">
        <f t="shared" ca="1" si="1"/>
        <v>59</v>
      </c>
      <c r="H53" s="250"/>
      <c r="I53" s="250"/>
      <c r="J53" s="262"/>
      <c r="K53" s="262"/>
      <c r="AF53" s="236">
        <f t="shared" si="2"/>
        <v>1</v>
      </c>
      <c r="AG53" s="236">
        <f t="shared" ca="1" si="3"/>
        <v>1</v>
      </c>
      <c r="AH53" s="236" t="str">
        <f t="shared" ca="1" si="18"/>
        <v/>
      </c>
      <c r="AJ53" s="236">
        <f t="shared" ca="1" si="19"/>
        <v>54</v>
      </c>
      <c r="AK53" s="236" t="str">
        <f t="shared" ca="1" si="20"/>
        <v>BB+</v>
      </c>
      <c r="AL53" s="236">
        <f t="shared" ca="1" si="20"/>
        <v>16</v>
      </c>
      <c r="AM53" s="236" t="str">
        <f t="shared" ca="1" si="4"/>
        <v>Change</v>
      </c>
      <c r="AQ53" s="286" t="s">
        <v>59</v>
      </c>
      <c r="AR53" s="286" t="s">
        <v>16</v>
      </c>
      <c r="AS53" s="286">
        <v>19</v>
      </c>
      <c r="AT53" s="286" t="s">
        <v>337</v>
      </c>
      <c r="AV53" s="234">
        <f t="shared" si="21"/>
        <v>15</v>
      </c>
      <c r="AW53" s="234">
        <f>COUNTIF( AV$7:AV53, AV53 )</f>
        <v>17</v>
      </c>
      <c r="AX53" s="287">
        <f t="shared" si="22"/>
        <v>16.7</v>
      </c>
      <c r="AY53" s="234">
        <f t="shared" si="23"/>
        <v>31</v>
      </c>
      <c r="AZ53" s="236"/>
      <c r="BA53" s="236"/>
      <c r="BC53" s="234">
        <f t="shared" ca="1" si="24"/>
        <v>47</v>
      </c>
      <c r="BD53" s="288">
        <f t="shared" ca="1" si="6"/>
        <v>27</v>
      </c>
      <c r="BF53" s="240" t="str">
        <f t="shared" ca="1" si="25"/>
        <v>IPALCO Enterprises, Inc.</v>
      </c>
      <c r="BG53" s="240" t="str">
        <f t="shared" ca="1" si="25"/>
        <v>BBB-</v>
      </c>
      <c r="BH53" s="240">
        <f t="shared" ca="1" si="25"/>
        <v>17</v>
      </c>
      <c r="BI53" s="240" t="str">
        <f t="shared" ca="1" si="25"/>
        <v>**IPALCO</v>
      </c>
    </row>
    <row r="54" spans="1:61" x14ac:dyDescent="0.2">
      <c r="A54" s="303" t="s">
        <v>54</v>
      </c>
      <c r="B54" s="304" t="s">
        <v>49</v>
      </c>
      <c r="C54" s="304">
        <v>17</v>
      </c>
      <c r="D54" s="304" t="s">
        <v>449</v>
      </c>
      <c r="E54" s="305" t="str">
        <f t="shared" ca="1" si="8"/>
        <v>R</v>
      </c>
      <c r="F54" s="306"/>
      <c r="G54" s="307">
        <f t="shared" ca="1" si="1"/>
        <v>61</v>
      </c>
      <c r="H54" s="250"/>
      <c r="I54" s="250"/>
      <c r="J54" s="262"/>
      <c r="K54" s="262"/>
      <c r="AF54" s="236">
        <f t="shared" si="2"/>
        <v>1</v>
      </c>
      <c r="AG54" s="236" t="str">
        <f t="shared" ca="1" si="3"/>
        <v/>
      </c>
      <c r="AH54" s="236" t="str">
        <f t="shared" ca="1" si="18"/>
        <v/>
      </c>
      <c r="AJ54" s="236">
        <f t="shared" ca="1" si="19"/>
        <v>53</v>
      </c>
      <c r="AK54" s="236" t="str">
        <f t="shared" ca="1" si="20"/>
        <v>BBB-</v>
      </c>
      <c r="AL54" s="236">
        <f t="shared" ca="1" si="20"/>
        <v>17</v>
      </c>
      <c r="AM54" s="236" t="str">
        <f t="shared" ca="1" si="4"/>
        <v/>
      </c>
      <c r="AQ54" s="286" t="s">
        <v>26</v>
      </c>
      <c r="AR54" s="286" t="s">
        <v>10</v>
      </c>
      <c r="AS54" s="286">
        <v>20</v>
      </c>
      <c r="AT54" s="286" t="s">
        <v>336</v>
      </c>
      <c r="AV54" s="234">
        <f t="shared" si="21"/>
        <v>3</v>
      </c>
      <c r="AW54" s="234">
        <f>COUNTIF( AV$7:AV54, AV54 )</f>
        <v>11</v>
      </c>
      <c r="AX54" s="287">
        <f t="shared" si="22"/>
        <v>4.0999999999999996</v>
      </c>
      <c r="AY54" s="234">
        <f t="shared" si="23"/>
        <v>13</v>
      </c>
      <c r="AZ54" s="236"/>
      <c r="BA54" s="236"/>
      <c r="BC54" s="234">
        <f t="shared" ca="1" si="24"/>
        <v>48</v>
      </c>
      <c r="BD54" s="288">
        <f t="shared" ca="1" si="6"/>
        <v>40</v>
      </c>
      <c r="BF54" s="240" t="str">
        <f t="shared" ca="1" si="25"/>
        <v>Puget Energy, Inc.</v>
      </c>
      <c r="BG54" s="240" t="str">
        <f t="shared" ca="1" si="25"/>
        <v>BBB-</v>
      </c>
      <c r="BH54" s="240">
        <f t="shared" ca="1" si="25"/>
        <v>17</v>
      </c>
      <c r="BI54" s="240" t="str">
        <f t="shared" ca="1" si="25"/>
        <v>**PSD</v>
      </c>
    </row>
    <row r="55" spans="1:61" x14ac:dyDescent="0.2">
      <c r="A55" s="303" t="s">
        <v>64</v>
      </c>
      <c r="B55" s="304" t="s">
        <v>61</v>
      </c>
      <c r="C55" s="304">
        <v>15</v>
      </c>
      <c r="D55" s="304" t="s">
        <v>443</v>
      </c>
      <c r="E55" s="305" t="str">
        <f t="shared" ca="1" si="8"/>
        <v>R</v>
      </c>
      <c r="F55" s="306"/>
      <c r="G55" s="307">
        <f t="shared" ca="1" si="1"/>
        <v>57</v>
      </c>
      <c r="H55" s="250"/>
      <c r="I55" s="250"/>
      <c r="J55" s="262"/>
      <c r="K55" s="262"/>
      <c r="AF55" s="236">
        <f t="shared" si="2"/>
        <v>0</v>
      </c>
      <c r="AG55" s="236" t="str">
        <f t="shared" ca="1" si="3"/>
        <v/>
      </c>
      <c r="AH55" s="236" t="str">
        <f t="shared" ca="1" si="18"/>
        <v/>
      </c>
      <c r="AJ55" s="236">
        <f t="shared" ca="1" si="19"/>
        <v>55</v>
      </c>
      <c r="AK55" s="236" t="str">
        <f t="shared" ca="1" si="20"/>
        <v>BB</v>
      </c>
      <c r="AL55" s="236">
        <f t="shared" ca="1" si="20"/>
        <v>15</v>
      </c>
      <c r="AM55" s="236" t="str">
        <f t="shared" ca="1" si="4"/>
        <v/>
      </c>
      <c r="AQ55" s="286" t="s">
        <v>258</v>
      </c>
      <c r="AR55" s="286" t="s">
        <v>10</v>
      </c>
      <c r="AS55" s="286">
        <v>20</v>
      </c>
      <c r="AT55" s="286" t="s">
        <v>338</v>
      </c>
      <c r="AV55" s="234">
        <f t="shared" si="21"/>
        <v>3</v>
      </c>
      <c r="AW55" s="234">
        <f>COUNTIF( AV$7:AV55, AV55 )</f>
        <v>12</v>
      </c>
      <c r="AX55" s="287">
        <f t="shared" si="22"/>
        <v>4.2</v>
      </c>
      <c r="AY55" s="234">
        <f t="shared" si="23"/>
        <v>14</v>
      </c>
      <c r="AZ55" s="236"/>
      <c r="BA55" s="236"/>
      <c r="BC55" s="234">
        <f t="shared" ca="1" si="24"/>
        <v>49</v>
      </c>
      <c r="BD55" s="288">
        <f t="shared" ca="1" si="6"/>
        <v>14</v>
      </c>
      <c r="BF55" s="240" t="str">
        <f t="shared" ca="1" si="25"/>
        <v>DPL Inc.</v>
      </c>
      <c r="BG55" s="240" t="str">
        <f t="shared" ca="1" si="25"/>
        <v>BB</v>
      </c>
      <c r="BH55" s="240">
        <f t="shared" ca="1" si="25"/>
        <v>15</v>
      </c>
      <c r="BI55" s="240" t="str">
        <f t="shared" ca="1" si="25"/>
        <v>**DPL</v>
      </c>
    </row>
    <row r="56" spans="1:61" x14ac:dyDescent="0.2">
      <c r="A56" s="303"/>
      <c r="B56" s="304"/>
      <c r="C56" s="304"/>
      <c r="D56" s="304"/>
      <c r="E56" s="305"/>
      <c r="F56" s="306"/>
      <c r="G56" s="307" t="str">
        <f t="shared" ca="1" si="1"/>
        <v/>
      </c>
      <c r="H56" s="250"/>
      <c r="I56" s="250"/>
      <c r="J56" s="262"/>
      <c r="K56" s="262"/>
      <c r="AF56" s="236">
        <f t="shared" si="2"/>
        <v>0</v>
      </c>
      <c r="AG56" s="236" t="str">
        <f t="shared" si="3"/>
        <v/>
      </c>
      <c r="AH56" s="236" t="str">
        <f t="shared" si="18"/>
        <v/>
      </c>
      <c r="AJ56" s="236" t="e">
        <f t="shared" ca="1" si="19"/>
        <v>#N/A</v>
      </c>
      <c r="AK56" s="236" t="str">
        <f t="shared" ca="1" si="20"/>
        <v/>
      </c>
      <c r="AL56" s="236" t="str">
        <f t="shared" ca="1" si="20"/>
        <v/>
      </c>
      <c r="AM56" s="236" t="str">
        <f t="shared" ca="1" si="4"/>
        <v/>
      </c>
      <c r="AQ56" s="286"/>
      <c r="AR56" s="286"/>
      <c r="AS56" s="286"/>
      <c r="AT56" s="286"/>
      <c r="AV56" s="234">
        <f t="shared" si="21"/>
        <v>99</v>
      </c>
      <c r="AW56" s="234">
        <f>COUNTIF( AV$7:AV56, AV56 )</f>
        <v>1</v>
      </c>
      <c r="AX56" s="287">
        <f t="shared" si="22"/>
        <v>99.1</v>
      </c>
      <c r="AY56" s="234">
        <f t="shared" si="23"/>
        <v>50</v>
      </c>
      <c r="AZ56" s="236"/>
      <c r="BA56" s="236"/>
      <c r="BC56" s="234">
        <f t="shared" ca="1" si="24"/>
        <v>50</v>
      </c>
      <c r="BD56" s="288">
        <f t="shared" ca="1" si="6"/>
        <v>50</v>
      </c>
      <c r="BF56" s="240">
        <f t="shared" ca="1" si="25"/>
        <v>0</v>
      </c>
      <c r="BG56" s="240">
        <f t="shared" ca="1" si="25"/>
        <v>0</v>
      </c>
      <c r="BH56" s="240">
        <f t="shared" ca="1" si="25"/>
        <v>0</v>
      </c>
      <c r="BI56" s="240">
        <f t="shared" ca="1" si="25"/>
        <v>0</v>
      </c>
    </row>
    <row r="57" spans="1:61" x14ac:dyDescent="0.2">
      <c r="A57" s="303"/>
      <c r="B57" s="304"/>
      <c r="C57" s="304"/>
      <c r="D57" s="304"/>
      <c r="E57" s="305"/>
      <c r="F57" s="306"/>
      <c r="G57" s="307" t="str">
        <f t="shared" ca="1" si="1"/>
        <v/>
      </c>
      <c r="H57" s="250"/>
      <c r="I57" s="250"/>
      <c r="J57" s="262"/>
      <c r="K57" s="262"/>
      <c r="AF57" s="236">
        <f t="shared" si="2"/>
        <v>0</v>
      </c>
      <c r="AG57" s="236" t="str">
        <f t="shared" si="3"/>
        <v/>
      </c>
      <c r="AH57" s="236" t="str">
        <f t="shared" si="18"/>
        <v/>
      </c>
      <c r="AJ57" s="236" t="e">
        <f t="shared" ca="1" si="19"/>
        <v>#N/A</v>
      </c>
      <c r="AK57" s="236" t="str">
        <f t="shared" ca="1" si="20"/>
        <v/>
      </c>
      <c r="AL57" s="236" t="str">
        <f t="shared" ca="1" si="20"/>
        <v/>
      </c>
      <c r="AM57" s="236" t="str">
        <f t="shared" ca="1" si="4"/>
        <v/>
      </c>
      <c r="AQ57" s="286"/>
      <c r="AR57" s="286"/>
      <c r="AS57" s="286"/>
      <c r="AT57" s="286"/>
      <c r="AV57" s="234">
        <f t="shared" si="21"/>
        <v>99</v>
      </c>
      <c r="AW57" s="234">
        <f>COUNTIF( AV$7:AV57, AV57 )</f>
        <v>2</v>
      </c>
      <c r="AX57" s="287">
        <f t="shared" si="22"/>
        <v>99.2</v>
      </c>
      <c r="AY57" s="234">
        <f t="shared" si="23"/>
        <v>51</v>
      </c>
      <c r="AZ57" s="236"/>
      <c r="BA57" s="236"/>
      <c r="BC57" s="234">
        <f t="shared" ca="1" si="24"/>
        <v>51</v>
      </c>
      <c r="BD57" s="288">
        <f t="shared" ca="1" si="6"/>
        <v>51</v>
      </c>
      <c r="BF57" s="240">
        <f t="shared" ca="1" si="25"/>
        <v>0</v>
      </c>
      <c r="BG57" s="240">
        <f t="shared" ca="1" si="25"/>
        <v>0</v>
      </c>
      <c r="BH57" s="240">
        <f t="shared" ca="1" si="25"/>
        <v>0</v>
      </c>
      <c r="BI57" s="240">
        <f t="shared" ca="1" si="25"/>
        <v>0</v>
      </c>
    </row>
    <row r="58" spans="1:61" x14ac:dyDescent="0.2">
      <c r="A58" s="303"/>
      <c r="B58" s="304"/>
      <c r="C58" s="304"/>
      <c r="D58" s="304"/>
      <c r="E58" s="305"/>
      <c r="F58" s="306"/>
      <c r="G58" s="307" t="str">
        <f t="shared" ca="1" si="1"/>
        <v/>
      </c>
      <c r="H58" s="250"/>
      <c r="I58" s="250"/>
      <c r="J58" s="262"/>
      <c r="K58" s="262"/>
      <c r="AF58" s="236">
        <f t="shared" si="2"/>
        <v>0</v>
      </c>
      <c r="AG58" s="236" t="str">
        <f t="shared" si="3"/>
        <v/>
      </c>
      <c r="AH58" s="236" t="str">
        <f t="shared" si="18"/>
        <v/>
      </c>
      <c r="AJ58" s="236" t="e">
        <f t="shared" ca="1" si="19"/>
        <v>#N/A</v>
      </c>
      <c r="AK58" s="236" t="str">
        <f t="shared" ca="1" si="20"/>
        <v/>
      </c>
      <c r="AL58" s="236" t="str">
        <f t="shared" ca="1" si="20"/>
        <v/>
      </c>
      <c r="AM58" s="236" t="str">
        <f t="shared" ca="1" si="4"/>
        <v/>
      </c>
      <c r="AQ58" s="286"/>
      <c r="AR58" s="286"/>
      <c r="AS58" s="286"/>
      <c r="AT58" s="286"/>
      <c r="AV58" s="234">
        <f t="shared" si="21"/>
        <v>99</v>
      </c>
      <c r="AW58" s="234">
        <f>COUNTIF( AV$7:AV58, AV58 )</f>
        <v>3</v>
      </c>
      <c r="AX58" s="287">
        <f t="shared" si="22"/>
        <v>99.3</v>
      </c>
      <c r="AY58" s="234">
        <f t="shared" si="23"/>
        <v>52</v>
      </c>
      <c r="AZ58" s="236"/>
      <c r="BA58" s="236"/>
      <c r="BC58" s="234">
        <f t="shared" ca="1" si="24"/>
        <v>52</v>
      </c>
      <c r="BD58" s="288">
        <f t="shared" ca="1" si="6"/>
        <v>52</v>
      </c>
      <c r="BF58" s="240">
        <f t="shared" ca="1" si="25"/>
        <v>0</v>
      </c>
      <c r="BG58" s="240">
        <f t="shared" ca="1" si="25"/>
        <v>0</v>
      </c>
      <c r="BH58" s="240">
        <f t="shared" ca="1" si="25"/>
        <v>0</v>
      </c>
      <c r="BI58" s="240">
        <f t="shared" ca="1" si="25"/>
        <v>0</v>
      </c>
    </row>
    <row r="59" spans="1:61" x14ac:dyDescent="0.2">
      <c r="A59" s="303"/>
      <c r="B59" s="304"/>
      <c r="C59" s="304"/>
      <c r="D59" s="304"/>
      <c r="E59" s="305" t="str">
        <f t="shared" ca="1" si="8"/>
        <v/>
      </c>
      <c r="F59" s="306"/>
      <c r="G59" s="307" t="str">
        <f t="shared" ca="1" si="1"/>
        <v/>
      </c>
      <c r="H59" s="250"/>
      <c r="I59" s="250"/>
      <c r="J59" s="262"/>
      <c r="K59" s="262"/>
      <c r="AF59" s="236">
        <f t="shared" si="2"/>
        <v>0</v>
      </c>
      <c r="AG59" s="236" t="str">
        <f t="shared" si="3"/>
        <v/>
      </c>
      <c r="AH59" s="236" t="str">
        <f t="shared" si="18"/>
        <v/>
      </c>
      <c r="AJ59" s="236" t="e">
        <f t="shared" ca="1" si="19"/>
        <v>#N/A</v>
      </c>
      <c r="AK59" s="236" t="str">
        <f t="shared" ca="1" si="20"/>
        <v/>
      </c>
      <c r="AL59" s="236" t="str">
        <f t="shared" ca="1" si="20"/>
        <v/>
      </c>
      <c r="AM59" s="236" t="str">
        <f t="shared" ca="1" si="4"/>
        <v/>
      </c>
      <c r="AQ59" s="286"/>
      <c r="AR59" s="286"/>
      <c r="AS59" s="286"/>
      <c r="AT59" s="286"/>
      <c r="AV59" s="234">
        <f t="shared" si="21"/>
        <v>99</v>
      </c>
      <c r="AW59" s="234">
        <f>COUNTIF( AV$7:AV59, AV59 )</f>
        <v>4</v>
      </c>
      <c r="AX59" s="287">
        <f t="shared" si="22"/>
        <v>99.4</v>
      </c>
      <c r="AY59" s="234">
        <f t="shared" si="23"/>
        <v>53</v>
      </c>
      <c r="AZ59" s="236"/>
      <c r="BA59" s="236"/>
      <c r="BC59" s="234">
        <f t="shared" ca="1" si="24"/>
        <v>53</v>
      </c>
      <c r="BD59" s="288">
        <f t="shared" ca="1" si="6"/>
        <v>53</v>
      </c>
      <c r="BF59" s="240">
        <f t="shared" ca="1" si="25"/>
        <v>0</v>
      </c>
      <c r="BG59" s="240">
        <f t="shared" ca="1" si="25"/>
        <v>0</v>
      </c>
      <c r="BH59" s="240">
        <f t="shared" ca="1" si="25"/>
        <v>0</v>
      </c>
      <c r="BI59" s="240">
        <f t="shared" ca="1" si="25"/>
        <v>0</v>
      </c>
    </row>
    <row r="60" spans="1:61" ht="13.5" thickBot="1" x14ac:dyDescent="0.25">
      <c r="A60" s="265"/>
      <c r="B60" s="266"/>
      <c r="C60" s="266"/>
      <c r="D60" s="266"/>
      <c r="E60" s="267" t="str">
        <f t="shared" ca="1" si="8"/>
        <v/>
      </c>
      <c r="F60" s="250"/>
      <c r="G60" s="251" t="str">
        <f t="shared" ca="1" si="1"/>
        <v/>
      </c>
      <c r="H60" s="250"/>
      <c r="I60" s="250"/>
      <c r="AF60" s="236">
        <f t="shared" si="2"/>
        <v>0</v>
      </c>
      <c r="AG60" s="236" t="str">
        <f t="shared" si="3"/>
        <v/>
      </c>
      <c r="AH60" s="236" t="str">
        <f t="shared" si="18"/>
        <v/>
      </c>
      <c r="AJ60" s="236" t="e">
        <f t="shared" ca="1" si="19"/>
        <v>#N/A</v>
      </c>
      <c r="AK60" s="236" t="str">
        <f t="shared" ca="1" si="20"/>
        <v/>
      </c>
      <c r="AL60" s="236" t="str">
        <f t="shared" ca="1" si="20"/>
        <v/>
      </c>
      <c r="AM60" s="236" t="str">
        <f t="shared" ca="1" si="4"/>
        <v/>
      </c>
      <c r="AQ60" s="286"/>
      <c r="AR60" s="286"/>
      <c r="AS60" s="286"/>
      <c r="AT60" s="286"/>
      <c r="AV60" s="234">
        <f t="shared" si="21"/>
        <v>99</v>
      </c>
      <c r="AW60" s="234">
        <f>COUNTIF( AV$7:AV60, AV60 )</f>
        <v>5</v>
      </c>
      <c r="AX60" s="287">
        <f t="shared" si="22"/>
        <v>99.5</v>
      </c>
      <c r="AY60" s="234">
        <f t="shared" si="23"/>
        <v>54</v>
      </c>
      <c r="AZ60" s="236"/>
      <c r="BA60" s="236"/>
      <c r="BC60" s="234">
        <f t="shared" ca="1" si="24"/>
        <v>54</v>
      </c>
      <c r="BD60" s="288">
        <f t="shared" ca="1" si="6"/>
        <v>54</v>
      </c>
      <c r="BF60" s="240">
        <f t="shared" ca="1" si="25"/>
        <v>0</v>
      </c>
      <c r="BG60" s="240">
        <f t="shared" ca="1" si="25"/>
        <v>0</v>
      </c>
      <c r="BH60" s="240">
        <f t="shared" ca="1" si="25"/>
        <v>0</v>
      </c>
      <c r="BI60" s="240">
        <f t="shared" ca="1" si="25"/>
        <v>0</v>
      </c>
    </row>
    <row r="61" spans="1:61" x14ac:dyDescent="0.2">
      <c r="A61" s="308" t="s">
        <v>74</v>
      </c>
      <c r="B61" s="309" t="s">
        <v>108</v>
      </c>
      <c r="C61" s="309">
        <v>23</v>
      </c>
      <c r="D61" s="309" t="s">
        <v>440</v>
      </c>
      <c r="E61" s="310" t="str">
        <f t="shared" ca="1" si="8"/>
        <v>MR</v>
      </c>
      <c r="F61" s="311"/>
      <c r="G61" s="312">
        <f t="shared" ca="1" si="1"/>
        <v>32</v>
      </c>
      <c r="H61" s="250"/>
      <c r="I61" s="250"/>
      <c r="AF61" s="236">
        <f t="shared" si="2"/>
        <v>1</v>
      </c>
      <c r="AG61" s="236" t="str">
        <f t="shared" ca="1" si="3"/>
        <v/>
      </c>
      <c r="AH61" s="236" t="str">
        <f t="shared" ca="1" si="18"/>
        <v/>
      </c>
      <c r="AJ61" s="236">
        <f t="shared" ca="1" si="19"/>
        <v>61</v>
      </c>
      <c r="AK61" s="236" t="str">
        <f t="shared" ca="1" si="20"/>
        <v>AA-</v>
      </c>
      <c r="AL61" s="236">
        <f t="shared" ca="1" si="20"/>
        <v>23</v>
      </c>
      <c r="AM61" s="236" t="str">
        <f t="shared" ca="1" si="4"/>
        <v/>
      </c>
      <c r="AQ61" s="286"/>
      <c r="AR61" s="286"/>
      <c r="AS61" s="286"/>
      <c r="AT61" s="286"/>
      <c r="AV61" s="234">
        <f t="shared" si="21"/>
        <v>99</v>
      </c>
      <c r="AW61" s="234">
        <f>COUNTIF( AV$7:AV61, AV61 )</f>
        <v>6</v>
      </c>
      <c r="AX61" s="287">
        <f t="shared" si="22"/>
        <v>99.6</v>
      </c>
      <c r="AY61" s="234">
        <f t="shared" si="23"/>
        <v>55</v>
      </c>
      <c r="AZ61" s="236"/>
      <c r="BA61" s="236"/>
      <c r="BC61" s="234">
        <f t="shared" ca="1" si="24"/>
        <v>55</v>
      </c>
      <c r="BD61" s="288">
        <f t="shared" ca="1" si="6"/>
        <v>55</v>
      </c>
      <c r="BF61" s="240">
        <f t="shared" ca="1" si="25"/>
        <v>0</v>
      </c>
      <c r="BG61" s="240">
        <f t="shared" ca="1" si="25"/>
        <v>0</v>
      </c>
      <c r="BH61" s="240">
        <f t="shared" ca="1" si="25"/>
        <v>0</v>
      </c>
      <c r="BI61" s="240">
        <f t="shared" ca="1" si="25"/>
        <v>0</v>
      </c>
    </row>
    <row r="62" spans="1:61" x14ac:dyDescent="0.2">
      <c r="A62" s="303" t="s">
        <v>249</v>
      </c>
      <c r="B62" s="304"/>
      <c r="C62" s="304"/>
      <c r="D62" s="304" t="s">
        <v>445</v>
      </c>
      <c r="E62" s="305" t="str">
        <f t="shared" ca="1" si="8"/>
        <v>D</v>
      </c>
      <c r="F62" s="306"/>
      <c r="G62" s="307">
        <f t="shared" ca="1" si="1"/>
        <v>58</v>
      </c>
      <c r="H62" s="250"/>
      <c r="I62" s="250"/>
      <c r="AF62" s="236">
        <f t="shared" si="2"/>
        <v>0</v>
      </c>
      <c r="AG62" s="236" t="str">
        <f t="shared" si="3"/>
        <v/>
      </c>
      <c r="AH62" s="236" t="str">
        <f t="shared" si="18"/>
        <v/>
      </c>
      <c r="AJ62" s="236">
        <f t="shared" ca="1" si="19"/>
        <v>62</v>
      </c>
      <c r="AK62" s="236">
        <f t="shared" ca="1" si="20"/>
        <v>0</v>
      </c>
      <c r="AL62" s="236">
        <f t="shared" ca="1" si="20"/>
        <v>0</v>
      </c>
      <c r="AM62" s="236" t="str">
        <f t="shared" ca="1" si="4"/>
        <v/>
      </c>
      <c r="AQ62" s="286"/>
      <c r="AR62" s="286"/>
      <c r="AS62" s="286"/>
      <c r="AT62" s="286"/>
      <c r="AV62" s="234">
        <f t="shared" si="21"/>
        <v>99</v>
      </c>
      <c r="AW62" s="234">
        <f>COUNTIF( AV$7:AV62, AV62 )</f>
        <v>7</v>
      </c>
      <c r="AX62" s="287">
        <f t="shared" si="22"/>
        <v>99.7</v>
      </c>
      <c r="AY62" s="234">
        <f t="shared" si="23"/>
        <v>56</v>
      </c>
      <c r="AZ62" s="236"/>
      <c r="BA62" s="236"/>
      <c r="BC62" s="234">
        <f t="shared" ca="1" si="24"/>
        <v>56</v>
      </c>
      <c r="BD62" s="288">
        <f t="shared" ca="1" si="6"/>
        <v>56</v>
      </c>
      <c r="BF62" s="240">
        <f t="shared" ca="1" si="25"/>
        <v>0</v>
      </c>
      <c r="BG62" s="240">
        <f t="shared" ca="1" si="25"/>
        <v>0</v>
      </c>
      <c r="BH62" s="240">
        <f t="shared" ca="1" si="25"/>
        <v>0</v>
      </c>
      <c r="BI62" s="240">
        <f t="shared" ca="1" si="25"/>
        <v>0</v>
      </c>
    </row>
    <row r="63" spans="1:61" x14ac:dyDescent="0.2">
      <c r="A63" s="303"/>
      <c r="B63" s="313"/>
      <c r="C63" s="304"/>
      <c r="D63" s="304"/>
      <c r="E63" s="305"/>
      <c r="F63" s="306"/>
      <c r="G63" s="307"/>
      <c r="H63" s="250"/>
      <c r="I63" s="250"/>
      <c r="AF63" s="236">
        <f t="shared" si="2"/>
        <v>0</v>
      </c>
      <c r="AG63" s="236" t="str">
        <f t="shared" si="3"/>
        <v/>
      </c>
      <c r="AH63" s="236" t="str">
        <f t="shared" si="18"/>
        <v/>
      </c>
      <c r="AJ63" s="236" t="e">
        <f t="shared" ca="1" si="19"/>
        <v>#N/A</v>
      </c>
      <c r="AK63" s="236" t="str">
        <f t="shared" ca="1" si="20"/>
        <v/>
      </c>
      <c r="AL63" s="236" t="str">
        <f t="shared" ca="1" si="20"/>
        <v/>
      </c>
      <c r="AM63" s="236" t="str">
        <f t="shared" ca="1" si="4"/>
        <v/>
      </c>
      <c r="AQ63" s="286"/>
      <c r="AR63" s="286"/>
      <c r="AS63" s="286"/>
      <c r="AT63" s="286"/>
      <c r="AU63" s="286"/>
      <c r="AV63" s="234">
        <f t="shared" si="21"/>
        <v>99</v>
      </c>
      <c r="AW63" s="234">
        <f>COUNTIF( AV$7:AV63, AV63 )</f>
        <v>8</v>
      </c>
      <c r="AX63" s="287">
        <f t="shared" si="22"/>
        <v>99.8</v>
      </c>
      <c r="AY63" s="234">
        <f t="shared" si="23"/>
        <v>57</v>
      </c>
      <c r="AZ63" s="236"/>
      <c r="BA63" s="236"/>
      <c r="BC63" s="234">
        <f t="shared" ca="1" si="24"/>
        <v>57</v>
      </c>
      <c r="BD63" s="288">
        <f ca="1">MATCH( BC63, $AY$7:$AY$63, 0 )</f>
        <v>57</v>
      </c>
      <c r="BF63" s="240">
        <f t="shared" ca="1" si="25"/>
        <v>0</v>
      </c>
      <c r="BG63" s="240">
        <f t="shared" ca="1" si="25"/>
        <v>0</v>
      </c>
      <c r="BH63" s="240">
        <f t="shared" ca="1" si="25"/>
        <v>0</v>
      </c>
      <c r="BI63" s="240">
        <f t="shared" ca="1" si="25"/>
        <v>0</v>
      </c>
    </row>
    <row r="64" spans="1:61" x14ac:dyDescent="0.2">
      <c r="A64" s="303"/>
      <c r="B64" s="313"/>
      <c r="C64" s="304"/>
      <c r="D64" s="304"/>
      <c r="E64" s="305"/>
      <c r="F64" s="306"/>
      <c r="G64" s="307"/>
      <c r="H64" s="250"/>
      <c r="I64" s="250"/>
      <c r="AF64" s="236">
        <f t="shared" si="2"/>
        <v>0</v>
      </c>
      <c r="AG64" s="236" t="str">
        <f t="shared" si="3"/>
        <v/>
      </c>
      <c r="AH64" s="236" t="str">
        <f t="shared" si="18"/>
        <v/>
      </c>
      <c r="AJ64" s="236" t="e">
        <f t="shared" ca="1" si="19"/>
        <v>#N/A</v>
      </c>
      <c r="AK64" s="236" t="str">
        <f t="shared" ca="1" si="20"/>
        <v/>
      </c>
      <c r="AL64" s="236" t="str">
        <f t="shared" ca="1" si="20"/>
        <v/>
      </c>
      <c r="AM64" s="236" t="str">
        <f t="shared" ca="1" si="4"/>
        <v/>
      </c>
      <c r="AQ64" s="286" t="s">
        <v>74</v>
      </c>
      <c r="AR64" s="286" t="s">
        <v>108</v>
      </c>
      <c r="AS64" s="286">
        <v>23</v>
      </c>
      <c r="AT64" s="289" t="s">
        <v>440</v>
      </c>
      <c r="AU64" s="286"/>
      <c r="AZ64" s="236"/>
      <c r="BA64" s="236"/>
      <c r="BF64" s="236"/>
    </row>
    <row r="65" spans="1:58" x14ac:dyDescent="0.2">
      <c r="A65" s="303"/>
      <c r="B65" s="313"/>
      <c r="C65" s="304"/>
      <c r="D65" s="304"/>
      <c r="E65" s="305"/>
      <c r="F65" s="306"/>
      <c r="G65" s="307"/>
      <c r="H65" s="250"/>
      <c r="I65" s="250"/>
      <c r="N65" s="234" t="s">
        <v>73</v>
      </c>
      <c r="AF65" s="236">
        <f t="shared" si="2"/>
        <v>0</v>
      </c>
      <c r="AG65" s="236" t="str">
        <f>IF( LEN( $C65 ) = 0, "", IF( $C65 &gt; $AL65, 1, "" ) )</f>
        <v/>
      </c>
      <c r="AH65" s="236" t="str">
        <f t="shared" si="18"/>
        <v/>
      </c>
      <c r="AJ65" s="236" t="e">
        <f t="shared" ca="1" si="19"/>
        <v>#N/A</v>
      </c>
      <c r="AK65" s="236" t="str">
        <f t="shared" ca="1" si="20"/>
        <v/>
      </c>
      <c r="AL65" s="236" t="str">
        <f t="shared" ca="1" si="20"/>
        <v/>
      </c>
      <c r="AM65" s="236" t="str">
        <f t="shared" ca="1" si="4"/>
        <v/>
      </c>
      <c r="AQ65" s="286" t="s">
        <v>249</v>
      </c>
      <c r="AR65" s="286"/>
      <c r="AS65" s="286"/>
      <c r="AT65" s="286" t="s">
        <v>445</v>
      </c>
      <c r="AU65" s="286"/>
      <c r="AZ65" s="236"/>
      <c r="BA65" s="236"/>
      <c r="BF65" s="236"/>
    </row>
    <row r="66" spans="1:58" x14ac:dyDescent="0.2">
      <c r="A66" s="268"/>
      <c r="B66" s="269"/>
      <c r="C66" s="270"/>
      <c r="D66" s="270"/>
      <c r="E66" s="249"/>
      <c r="F66" s="250"/>
      <c r="H66" s="250"/>
      <c r="I66" s="250"/>
      <c r="AF66" s="236">
        <f t="shared" si="2"/>
        <v>0</v>
      </c>
      <c r="AG66" s="236" t="str">
        <f t="shared" ref="AG66:AG67" si="26">IF( LEN( $C66 ) = 0, "", IF( $C66 &gt; $AL66, 1, "" ) )</f>
        <v/>
      </c>
      <c r="AH66" s="236" t="str">
        <f t="shared" si="18"/>
        <v/>
      </c>
      <c r="AJ66" s="236" t="e">
        <f t="shared" ca="1" si="19"/>
        <v>#N/A</v>
      </c>
      <c r="AK66" s="236" t="str">
        <f t="shared" ca="1" si="20"/>
        <v/>
      </c>
      <c r="AL66" s="236" t="str">
        <f t="shared" ca="1" si="20"/>
        <v/>
      </c>
      <c r="AM66" s="236" t="str">
        <f t="shared" ca="1" si="4"/>
        <v/>
      </c>
      <c r="AU66" s="286"/>
      <c r="AX66" s="287"/>
      <c r="AZ66" s="236"/>
      <c r="BA66" s="236"/>
      <c r="BD66" s="288"/>
      <c r="BF66" s="236"/>
    </row>
    <row r="67" spans="1:58" ht="13.5" thickBot="1" x14ac:dyDescent="0.25">
      <c r="A67" s="271"/>
      <c r="B67" s="272"/>
      <c r="C67" s="337"/>
      <c r="D67" s="272"/>
      <c r="E67" s="273"/>
      <c r="F67" s="250"/>
      <c r="H67" s="250"/>
      <c r="I67" s="250"/>
      <c r="AF67" s="236">
        <f t="shared" si="2"/>
        <v>0</v>
      </c>
      <c r="AG67" s="236" t="str">
        <f t="shared" si="26"/>
        <v/>
      </c>
      <c r="AH67" s="236" t="str">
        <f t="shared" si="18"/>
        <v/>
      </c>
      <c r="AJ67" s="236" t="e">
        <f t="shared" ca="1" si="19"/>
        <v>#N/A</v>
      </c>
      <c r="AK67" s="236" t="str">
        <f t="shared" ca="1" si="20"/>
        <v/>
      </c>
      <c r="AL67" s="236" t="str">
        <f t="shared" ca="1" si="20"/>
        <v/>
      </c>
      <c r="AM67" s="236" t="str">
        <f t="shared" ca="1" si="4"/>
        <v/>
      </c>
      <c r="AX67" s="287"/>
      <c r="AZ67" s="236"/>
      <c r="BA67" s="236"/>
      <c r="BD67" s="288"/>
      <c r="BF67" s="236"/>
    </row>
    <row r="68" spans="1:58" x14ac:dyDescent="0.2">
      <c r="A68" s="274" t="s">
        <v>135</v>
      </c>
      <c r="B68" s="275" t="str">
        <f ca="1">OFFSET( Scale!$H$5, ROUND( C68, 0 ) - 1, 1 )</f>
        <v>BBB+</v>
      </c>
      <c r="C68" s="276">
        <f>AVERAGE(C7:C65)</f>
        <v>18.88</v>
      </c>
      <c r="D68" s="276"/>
      <c r="E68" s="276"/>
      <c r="F68" s="250"/>
      <c r="H68" s="250"/>
      <c r="I68" s="250"/>
      <c r="J68" s="253"/>
      <c r="K68" s="253"/>
      <c r="AX68" s="287"/>
      <c r="AZ68" s="236"/>
      <c r="BA68" s="236"/>
      <c r="BD68" s="288"/>
      <c r="BF68" s="236"/>
    </row>
    <row r="69" spans="1:58" x14ac:dyDescent="0.2">
      <c r="A69" s="277"/>
      <c r="B69" s="278"/>
      <c r="F69" s="250"/>
      <c r="H69" s="250"/>
      <c r="I69" s="250"/>
      <c r="AX69" s="287"/>
      <c r="AZ69" s="236"/>
      <c r="BA69" s="236"/>
      <c r="BD69" s="288"/>
      <c r="BF69" s="236"/>
    </row>
    <row r="70" spans="1:58" x14ac:dyDescent="0.2">
      <c r="A70" s="277"/>
      <c r="B70" s="278"/>
      <c r="F70" s="240"/>
      <c r="H70" s="240"/>
      <c r="I70" s="240"/>
      <c r="J70" s="253"/>
      <c r="K70" s="253"/>
    </row>
    <row r="71" spans="1:58" x14ac:dyDescent="0.2">
      <c r="A71" s="279" t="s">
        <v>267</v>
      </c>
      <c r="F71" s="240"/>
      <c r="H71" s="240"/>
      <c r="I71" s="240"/>
    </row>
    <row r="72" spans="1:58" x14ac:dyDescent="0.2">
      <c r="A72" s="279" t="s">
        <v>366</v>
      </c>
      <c r="B72" s="240"/>
      <c r="D72" s="264"/>
      <c r="E72" s="264"/>
      <c r="F72" s="280"/>
      <c r="H72" s="280"/>
      <c r="I72" s="280"/>
    </row>
    <row r="73" spans="1:58" x14ac:dyDescent="0.2">
      <c r="A73" s="281" t="s">
        <v>357</v>
      </c>
      <c r="B73" s="240"/>
      <c r="D73" s="264"/>
      <c r="E73" s="264"/>
      <c r="F73" s="280"/>
      <c r="H73" s="280"/>
      <c r="I73" s="280"/>
    </row>
    <row r="74" spans="1:58" x14ac:dyDescent="0.2">
      <c r="A74" s="279" t="s">
        <v>359</v>
      </c>
      <c r="D74" s="280"/>
      <c r="E74" s="234"/>
      <c r="F74" s="282"/>
      <c r="H74" s="282"/>
      <c r="I74" s="282"/>
      <c r="AQ74" s="286"/>
      <c r="AR74" s="286"/>
      <c r="AS74" s="286"/>
    </row>
    <row r="75" spans="1:58" x14ac:dyDescent="0.2">
      <c r="A75" s="279" t="s">
        <v>507</v>
      </c>
      <c r="D75" s="280"/>
      <c r="E75" s="234"/>
      <c r="F75" s="282"/>
      <c r="H75" s="282"/>
      <c r="I75" s="282"/>
      <c r="AQ75" s="286"/>
      <c r="AR75" s="286"/>
      <c r="AS75" s="286"/>
    </row>
    <row r="76" spans="1:58" x14ac:dyDescent="0.2">
      <c r="A76" s="279"/>
      <c r="AQ76" s="286"/>
      <c r="AR76" s="286"/>
      <c r="AS76" s="286"/>
    </row>
    <row r="77" spans="1:58" x14ac:dyDescent="0.2">
      <c r="C77" s="339">
        <f>SUMPRODUCT( L8:L13, Y8:Y13 ) / L14</f>
        <v>18.86</v>
      </c>
      <c r="E77" s="283"/>
      <c r="G77" s="251"/>
      <c r="J77" s="240"/>
      <c r="K77" s="240"/>
      <c r="AQ77" s="286"/>
      <c r="AR77" s="286"/>
      <c r="AS77" s="286"/>
    </row>
    <row r="78" spans="1:58" s="240" customFormat="1" x14ac:dyDescent="0.2">
      <c r="A78" s="284"/>
      <c r="B78" s="285"/>
      <c r="C78" s="285"/>
      <c r="D78" s="285"/>
      <c r="E78" s="249"/>
      <c r="F78" s="234"/>
      <c r="G78" s="236"/>
      <c r="H78" s="234"/>
      <c r="I78" s="234"/>
      <c r="Q78" s="234"/>
      <c r="T78" s="236"/>
      <c r="U78" s="236"/>
      <c r="V78" s="236"/>
      <c r="AF78" s="236"/>
      <c r="AG78" s="236"/>
      <c r="AH78" s="236"/>
      <c r="AJ78" s="236"/>
      <c r="AK78" s="236"/>
      <c r="AL78" s="236"/>
      <c r="AM78" s="236"/>
      <c r="AN78" s="236"/>
      <c r="AQ78" s="286"/>
      <c r="AR78" s="286"/>
      <c r="AS78" s="286"/>
    </row>
  </sheetData>
  <sortState ref="AQ7:AT58">
    <sortCondition ref="AQ7"/>
  </sortState>
  <mergeCells count="9">
    <mergeCell ref="L16:M16"/>
    <mergeCell ref="O16:P16"/>
    <mergeCell ref="R16:S16"/>
    <mergeCell ref="U16:V16"/>
    <mergeCell ref="J5:J6"/>
    <mergeCell ref="L5:M6"/>
    <mergeCell ref="O5:P6"/>
    <mergeCell ref="R5:S6"/>
    <mergeCell ref="U5:V6"/>
  </mergeCells>
  <conditionalFormatting sqref="A60:E61 E62:E65 E7:E59">
    <cfRule type="expression" dxfId="740" priority="28" stopIfTrue="1">
      <formula>IF( $AH7 = 1, TRUE, FALSE )</formula>
    </cfRule>
    <cfRule type="expression" dxfId="739" priority="29" stopIfTrue="1">
      <formula>IF( $AG7 = 1, TRUE, FALSE )</formula>
    </cfRule>
    <cfRule type="expression" dxfId="738" priority="30" stopIfTrue="1">
      <formula>IF( $AF7 = 1, TRUE, FALSE )</formula>
    </cfRule>
  </conditionalFormatting>
  <conditionalFormatting sqref="A67:E67">
    <cfRule type="expression" dxfId="737" priority="31" stopIfTrue="1">
      <formula>IF( $AH67 = 1, TRUE, FALSE )</formula>
    </cfRule>
    <cfRule type="expression" dxfId="736" priority="32" stopIfTrue="1">
      <formula>IF( $AG67 = 1, TRUE, FALSE )</formula>
    </cfRule>
    <cfRule type="expression" dxfId="735" priority="33" stopIfTrue="1">
      <formula>IF( $AF67 = 1, TRUE, FALSE )</formula>
    </cfRule>
  </conditionalFormatting>
  <conditionalFormatting sqref="A66:E66">
    <cfRule type="expression" dxfId="734" priority="25" stopIfTrue="1">
      <formula>IF( $AH66 = 1, TRUE, FALSE )</formula>
    </cfRule>
    <cfRule type="expression" dxfId="733" priority="26" stopIfTrue="1">
      <formula>IF( $AG66 = 1, TRUE, FALSE )</formula>
    </cfRule>
    <cfRule type="expression" dxfId="732" priority="27" stopIfTrue="1">
      <formula>IF( $AF66 = 1, TRUE, FALSE )</formula>
    </cfRule>
  </conditionalFormatting>
  <conditionalFormatting sqref="A8:D58 B7:D7">
    <cfRule type="expression" dxfId="731" priority="22" stopIfTrue="1">
      <formula>IF( $AH7 = 1, TRUE, FALSE )</formula>
    </cfRule>
    <cfRule type="expression" dxfId="730" priority="23" stopIfTrue="1">
      <formula>IF( $AG7 = 1, TRUE, FALSE )</formula>
    </cfRule>
    <cfRule type="expression" dxfId="729" priority="24" stopIfTrue="1">
      <formula>IF( $AF7 = 1, TRUE, FALSE )</formula>
    </cfRule>
  </conditionalFormatting>
  <conditionalFormatting sqref="A59:D59">
    <cfRule type="expression" dxfId="728" priority="19" stopIfTrue="1">
      <formula>IF( $AH59 = 1, TRUE, FALSE )</formula>
    </cfRule>
    <cfRule type="expression" dxfId="727" priority="20" stopIfTrue="1">
      <formula>IF( $AG59 = 1, TRUE, FALSE )</formula>
    </cfRule>
    <cfRule type="expression" dxfId="726" priority="21" stopIfTrue="1">
      <formula>IF( $AF59 = 1, TRUE, FALSE )</formula>
    </cfRule>
  </conditionalFormatting>
  <conditionalFormatting sqref="A61:D65">
    <cfRule type="expression" dxfId="725" priority="16" stopIfTrue="1">
      <formula>IF( $AH61 = 1, TRUE, FALSE )</formula>
    </cfRule>
    <cfRule type="expression" dxfId="724" priority="17" stopIfTrue="1">
      <formula>IF( $AG61 = 1, TRUE, FALSE )</formula>
    </cfRule>
    <cfRule type="expression" dxfId="723" priority="18" stopIfTrue="1">
      <formula>IF( $AF61 = 1, TRUE, FALSE )</formula>
    </cfRule>
  </conditionalFormatting>
  <conditionalFormatting sqref="U8:U12">
    <cfRule type="cellIs" dxfId="722" priority="15" operator="equal">
      <formula>0</formula>
    </cfRule>
  </conditionalFormatting>
  <conditionalFormatting sqref="O8:O12 Q8:Q12">
    <cfRule type="cellIs" dxfId="721" priority="14" operator="equal">
      <formula>0</formula>
    </cfRule>
  </conditionalFormatting>
  <conditionalFormatting sqref="V8:V12">
    <cfRule type="cellIs" dxfId="720" priority="13" operator="equal">
      <formula>0</formula>
    </cfRule>
  </conditionalFormatting>
  <conditionalFormatting sqref="S8:S12">
    <cfRule type="cellIs" dxfId="719" priority="11" operator="equal">
      <formula>0</formula>
    </cfRule>
  </conditionalFormatting>
  <conditionalFormatting sqref="R8:R12">
    <cfRule type="cellIs" dxfId="718" priority="12" operator="equal">
      <formula>0</formula>
    </cfRule>
  </conditionalFormatting>
  <conditionalFormatting sqref="P8:P12">
    <cfRule type="cellIs" dxfId="717" priority="10" operator="equal">
      <formula>0</formula>
    </cfRule>
  </conditionalFormatting>
  <conditionalFormatting sqref="M8:M12">
    <cfRule type="cellIs" dxfId="716" priority="9" operator="equal">
      <formula>0</formula>
    </cfRule>
  </conditionalFormatting>
  <conditionalFormatting sqref="T8:T12">
    <cfRule type="cellIs" dxfId="715" priority="8" operator="equal">
      <formula>0</formula>
    </cfRule>
  </conditionalFormatting>
  <conditionalFormatting sqref="N8:N12">
    <cfRule type="cellIs" dxfId="714" priority="7" operator="equal">
      <formula>0</formula>
    </cfRule>
  </conditionalFormatting>
  <conditionalFormatting sqref="K8:K12">
    <cfRule type="cellIs" dxfId="713" priority="6" operator="equal">
      <formula>0</formula>
    </cfRule>
  </conditionalFormatting>
  <conditionalFormatting sqref="I8:I12">
    <cfRule type="cellIs" dxfId="712" priority="5" operator="equal">
      <formula>0</formula>
    </cfRule>
  </conditionalFormatting>
  <conditionalFormatting sqref="W8:W12">
    <cfRule type="cellIs" dxfId="711" priority="4" operator="equal">
      <formula>0</formula>
    </cfRule>
  </conditionalFormatting>
  <conditionalFormatting sqref="A7">
    <cfRule type="expression" dxfId="710" priority="1" stopIfTrue="1">
      <formula>IF( $AH7 = 1, TRUE, FALSE )</formula>
    </cfRule>
    <cfRule type="expression" dxfId="709" priority="2" stopIfTrue="1">
      <formula>IF( $AG7 = 1, TRUE, FALSE )</formula>
    </cfRule>
    <cfRule type="expression" dxfId="708" priority="3" stopIfTrue="1">
      <formula>IF( $AF7 = 1, TRUE, FALSE )</formula>
    </cfRule>
  </conditionalFormatting>
  <pageMargins left="0.17" right="0.18" top="0.28000000000000003" bottom="0.17" header="0.3" footer="0.3"/>
  <pageSetup scale="19"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BJ78"/>
  <sheetViews>
    <sheetView showGridLines="0" zoomScale="85" zoomScaleNormal="85" workbookViewId="0">
      <pane ySplit="6" topLeftCell="A7" activePane="bottomLeft" state="frozen"/>
      <selection activeCell="A7" sqref="A7"/>
      <selection pane="bottomLeft" activeCell="A7" sqref="A7"/>
    </sheetView>
  </sheetViews>
  <sheetFormatPr defaultColWidth="9.140625" defaultRowHeight="12.75" outlineLevelRow="1" outlineLevelCol="2" x14ac:dyDescent="0.2"/>
  <cols>
    <col min="1" max="1" width="35.140625" style="234" customWidth="1"/>
    <col min="2" max="2" width="9.140625" style="234"/>
    <col min="3" max="3" width="9.42578125" style="263" customWidth="1"/>
    <col min="4" max="4" width="9.140625" style="235" customWidth="1" outlineLevel="1"/>
    <col min="5" max="5" width="12.5703125" style="235" customWidth="1" outlineLevel="1"/>
    <col min="6" max="6" width="3.42578125" style="234" customWidth="1" outlineLevel="1"/>
    <col min="7" max="7" width="17.7109375" style="236" hidden="1" customWidth="1" outlineLevel="2"/>
    <col min="8" max="8" width="3.42578125" style="234" hidden="1" customWidth="1" outlineLevel="2" collapsed="1"/>
    <col min="9" max="9" width="3.28515625" style="234" customWidth="1" outlineLevel="1" collapsed="1"/>
    <col min="10" max="10" width="22" style="234" customWidth="1"/>
    <col min="11" max="11" width="2" style="234" customWidth="1"/>
    <col min="12" max="13" width="10.42578125" style="234" customWidth="1"/>
    <col min="14" max="14" width="2" style="234" customWidth="1"/>
    <col min="15" max="16" width="10.42578125" style="234" customWidth="1"/>
    <col min="17" max="17" width="2" style="234" customWidth="1"/>
    <col min="18" max="19" width="10.42578125" style="234" customWidth="1"/>
    <col min="20" max="20" width="2" style="236" customWidth="1"/>
    <col min="21" max="22" width="10.42578125" style="236" customWidth="1"/>
    <col min="23" max="23" width="2" style="234" customWidth="1"/>
    <col min="24" max="24" width="4.140625" style="234" customWidth="1"/>
    <col min="25" max="25" width="5.5703125" style="234" customWidth="1"/>
    <col min="26" max="26" width="2.42578125" style="234" customWidth="1"/>
    <col min="27" max="27" width="4.28515625" style="234" customWidth="1"/>
    <col min="28" max="30" width="2.42578125" style="234" hidden="1" customWidth="1" outlineLevel="1"/>
    <col min="31" max="31" width="4.42578125" style="234" hidden="1" customWidth="1" outlineLevel="1"/>
    <col min="32" max="32" width="6.5703125" style="236" hidden="1" customWidth="1" outlineLevel="1" collapsed="1"/>
    <col min="33" max="34" width="6.5703125" style="236" hidden="1" customWidth="1" outlineLevel="1"/>
    <col min="35" max="35" width="3.140625" style="234" hidden="1" customWidth="1" outlineLevel="1"/>
    <col min="36" max="36" width="15.85546875" style="236" hidden="1" customWidth="1" outlineLevel="1" collapsed="1"/>
    <col min="37" max="38" width="15.85546875" style="236" hidden="1" customWidth="1" outlineLevel="1"/>
    <col min="39" max="39" width="8.42578125" style="236" hidden="1" customWidth="1" outlineLevel="1"/>
    <col min="40" max="40" width="11.85546875" style="236" hidden="1" customWidth="1" outlineLevel="1"/>
    <col min="41" max="41" width="3.42578125" style="234" customWidth="1" collapsed="1"/>
    <col min="42" max="42" width="3.42578125" style="234" customWidth="1"/>
    <col min="43" max="43" width="29.7109375" style="234" hidden="1" customWidth="1" outlineLevel="1"/>
    <col min="44" max="44" width="6.42578125" style="234" hidden="1" customWidth="1" outlineLevel="1"/>
    <col min="45" max="45" width="6.7109375" style="234" hidden="1" customWidth="1" outlineLevel="1"/>
    <col min="46" max="46" width="8.7109375" style="234" hidden="1" customWidth="1" outlineLevel="1"/>
    <col min="47" max="47" width="3.140625" style="234" hidden="1" customWidth="1" outlineLevel="1"/>
    <col min="48" max="56" width="9.140625" style="234" hidden="1" customWidth="1" outlineLevel="2"/>
    <col min="57" max="57" width="5.42578125" style="234" hidden="1" customWidth="1" outlineLevel="1" collapsed="1"/>
    <col min="58" max="58" width="36.85546875" style="234" hidden="1" customWidth="1" outlineLevel="1"/>
    <col min="59" max="59" width="6.42578125" style="234" hidden="1" customWidth="1" outlineLevel="1"/>
    <col min="60" max="60" width="3.42578125" style="234" hidden="1" customWidth="1" outlineLevel="1"/>
    <col min="61" max="61" width="9.140625" style="234" hidden="1" customWidth="1" outlineLevel="1"/>
    <col min="62" max="62" width="9.140625" collapsed="1"/>
    <col min="63" max="16384" width="9.140625" style="234"/>
  </cols>
  <sheetData>
    <row r="1" spans="1:61" ht="18.75" x14ac:dyDescent="0.2">
      <c r="A1" s="323" t="str">
        <f>"I.  S&amp;P Utility Credit Ratings Distribution -- " &amp; B6</f>
        <v>I.  S&amp;P Utility Credit Ratings Distribution -- 2016 Q1</v>
      </c>
      <c r="G1" s="242" t="s">
        <v>506</v>
      </c>
      <c r="AF1" s="237" t="s">
        <v>420</v>
      </c>
      <c r="AG1" s="237" t="s">
        <v>421</v>
      </c>
      <c r="AH1" s="237" t="s">
        <v>422</v>
      </c>
      <c r="AJ1" s="237" t="s">
        <v>424</v>
      </c>
      <c r="AK1" s="237" t="s">
        <v>426</v>
      </c>
      <c r="AL1" s="237" t="s">
        <v>426</v>
      </c>
      <c r="AM1" s="237" t="s">
        <v>424</v>
      </c>
      <c r="AN1" s="237"/>
      <c r="AQ1" s="237" t="s">
        <v>497</v>
      </c>
    </row>
    <row r="2" spans="1:61" ht="18.75" hidden="1" outlineLevel="1" x14ac:dyDescent="0.2">
      <c r="A2" s="233"/>
      <c r="E2" s="238" t="str">
        <f>G2</f>
        <v>Reg_Percent_2015</v>
      </c>
      <c r="G2" s="239" t="s">
        <v>539</v>
      </c>
      <c r="AJ2" s="240" t="str">
        <f>AJ4 &amp; AJ3</f>
        <v>'Credit_2015Q4'!d:d</v>
      </c>
      <c r="AK2" s="240" t="str">
        <f>AK4 &amp; AK3</f>
        <v>'Credit_2015Q4'!b1</v>
      </c>
      <c r="AL2" s="240" t="str">
        <f>AL4 &amp; AL3</f>
        <v>'Credit_2015Q4'!c1</v>
      </c>
      <c r="AQ2" s="236"/>
    </row>
    <row r="3" spans="1:61" ht="18.75" hidden="1" outlineLevel="1" x14ac:dyDescent="0.2">
      <c r="A3" s="233"/>
      <c r="E3" s="241" t="str">
        <f>"'" &amp; E2 &amp; "'!"</f>
        <v>'Reg_Percent_2015'!</v>
      </c>
      <c r="G3" s="234" t="str">
        <f>"'" &amp; G2 &amp; "'!"</f>
        <v>'Reg_Percent_2015'!</v>
      </c>
      <c r="O3" s="242" t="s">
        <v>371</v>
      </c>
      <c r="P3" s="242"/>
      <c r="Q3" s="242"/>
      <c r="R3" s="242" t="s">
        <v>372</v>
      </c>
      <c r="T3" s="234"/>
      <c r="U3" s="242" t="s">
        <v>86</v>
      </c>
      <c r="V3" s="234"/>
      <c r="X3" s="242"/>
      <c r="Y3" s="242"/>
      <c r="Z3" s="242"/>
      <c r="AA3" s="242"/>
      <c r="AJ3" s="210" t="s">
        <v>438</v>
      </c>
      <c r="AK3" s="210" t="s">
        <v>427</v>
      </c>
      <c r="AL3" s="210" t="s">
        <v>453</v>
      </c>
      <c r="AQ3" s="236"/>
    </row>
    <row r="4" spans="1:61" ht="18.75" hidden="1" outlineLevel="1" x14ac:dyDescent="0.2">
      <c r="A4" s="233"/>
      <c r="E4" s="242" t="s">
        <v>439</v>
      </c>
      <c r="G4" s="242" t="s">
        <v>438</v>
      </c>
      <c r="O4" s="236"/>
      <c r="P4" s="236"/>
      <c r="Q4" s="236"/>
      <c r="T4" s="234"/>
      <c r="U4" s="234"/>
      <c r="V4" s="234"/>
      <c r="AJ4" s="236" t="str">
        <f>$AQ$5</f>
        <v>'Credit_2015Q4'!</v>
      </c>
      <c r="AK4" s="236" t="str">
        <f t="shared" ref="AK4:AL4" si="0">$AQ$5</f>
        <v>'Credit_2015Q4'!</v>
      </c>
      <c r="AL4" s="236" t="str">
        <f t="shared" si="0"/>
        <v>'Credit_2015Q4'!</v>
      </c>
      <c r="AQ4" s="236"/>
    </row>
    <row r="5" spans="1:61" collapsed="1" x14ac:dyDescent="0.2">
      <c r="E5" s="243" t="s">
        <v>436</v>
      </c>
      <c r="G5" s="237" t="s">
        <v>424</v>
      </c>
      <c r="I5" s="314"/>
      <c r="J5" s="466" t="s">
        <v>77</v>
      </c>
      <c r="K5" s="314"/>
      <c r="L5" s="468" t="str">
        <f>"All Companies" &amp; CHAR( 10 ) &amp; "("&amp; L14 &amp; ")"</f>
        <v>All Companies
(50)</v>
      </c>
      <c r="M5" s="468"/>
      <c r="N5" s="314"/>
      <c r="O5" s="466" t="str">
        <f ca="1">"Regulated" &amp; CHAR( 10 ) &amp; "(" &amp; O14 &amp; ")"</f>
        <v>Regulated
(37)</v>
      </c>
      <c r="P5" s="470"/>
      <c r="Q5" s="314"/>
      <c r="R5" s="466" t="str">
        <f ca="1">"Mostly Regulated" &amp; CHAR( 10 ) &amp; "(" &amp; R14 &amp; ")"</f>
        <v>Mostly Regulated
(11)</v>
      </c>
      <c r="S5" s="470"/>
      <c r="T5" s="314"/>
      <c r="U5" s="466" t="str">
        <f ca="1">"Diversified" &amp; CHAR( 10 ) &amp; "(" &amp; U14 &amp; ")"</f>
        <v>Diversified
(2)</v>
      </c>
      <c r="V5" s="470"/>
      <c r="W5" s="314"/>
      <c r="AE5" s="244"/>
      <c r="AF5" s="234"/>
      <c r="AG5" s="234"/>
      <c r="AH5" s="234"/>
      <c r="AJ5" s="234"/>
      <c r="AK5" s="234"/>
      <c r="AL5" s="234"/>
      <c r="AM5" s="234"/>
      <c r="AN5" s="234"/>
      <c r="AQ5" s="432" t="s">
        <v>533</v>
      </c>
    </row>
    <row r="6" spans="1:61" ht="28.5" customHeight="1" x14ac:dyDescent="0.2">
      <c r="A6" s="299" t="s">
        <v>0</v>
      </c>
      <c r="B6" s="300" t="s">
        <v>534</v>
      </c>
      <c r="C6" s="338" t="s">
        <v>471</v>
      </c>
      <c r="D6" s="301"/>
      <c r="E6" s="302">
        <f ca="1">INDIRECT( E3 &amp; G1 )</f>
        <v>42369</v>
      </c>
      <c r="I6" s="315"/>
      <c r="J6" s="467"/>
      <c r="K6" s="315"/>
      <c r="L6" s="469"/>
      <c r="M6" s="469"/>
      <c r="N6" s="315"/>
      <c r="O6" s="467"/>
      <c r="P6" s="467"/>
      <c r="Q6" s="315"/>
      <c r="R6" s="467" t="s">
        <v>137</v>
      </c>
      <c r="S6" s="467"/>
      <c r="T6" s="315"/>
      <c r="U6" s="467"/>
      <c r="V6" s="467"/>
      <c r="W6" s="315"/>
      <c r="AE6" s="245"/>
      <c r="AJ6" s="246"/>
    </row>
    <row r="7" spans="1:61" x14ac:dyDescent="0.2">
      <c r="A7" s="303" t="s">
        <v>501</v>
      </c>
      <c r="B7" s="304" t="s">
        <v>2</v>
      </c>
      <c r="C7" s="304">
        <v>21</v>
      </c>
      <c r="D7" s="304" t="s">
        <v>447</v>
      </c>
      <c r="E7" s="305" t="str">
        <f ca="1">IF( LEN( $G7 ) = 0, "", OFFSET( INDIRECT( E$3 &amp; E$4 ), $G7 - 1, 0 ) )</f>
        <v>R</v>
      </c>
      <c r="F7" s="306"/>
      <c r="G7" s="307">
        <f t="shared" ref="G7:G62" ca="1" si="1">IF( LEN( $D7 ) = 0, "", MATCH( $D7, INDIRECT( G$3 &amp; G$4 ), 0 ) )</f>
        <v>60</v>
      </c>
      <c r="H7" s="250"/>
      <c r="I7" s="316"/>
      <c r="J7" s="252"/>
      <c r="K7" s="316"/>
      <c r="L7" s="252" t="s">
        <v>81</v>
      </c>
      <c r="M7" s="252" t="s">
        <v>82</v>
      </c>
      <c r="N7" s="316"/>
      <c r="O7" s="252" t="s">
        <v>81</v>
      </c>
      <c r="P7" s="252" t="s">
        <v>82</v>
      </c>
      <c r="Q7" s="316"/>
      <c r="R7" s="252" t="s">
        <v>81</v>
      </c>
      <c r="S7" s="252" t="s">
        <v>82</v>
      </c>
      <c r="T7" s="316"/>
      <c r="U7" s="252" t="s">
        <v>81</v>
      </c>
      <c r="V7" s="252" t="s">
        <v>82</v>
      </c>
      <c r="W7" s="316"/>
      <c r="AE7" s="254"/>
      <c r="AF7" s="236">
        <f t="shared" ref="AF7:AF67" si="2">IF( LEN( C7 ) = 0, 0, IF( C7 = C6, AF6, IF( AF6 = 1, 0, 1 ) ) )</f>
        <v>1</v>
      </c>
      <c r="AG7" s="236">
        <f t="shared" ref="AG7:AG64" ca="1" si="3">IF( LEN( $C7 ) = 0, "", IF( $C7 &gt; $AL7, 1, "" ) )</f>
        <v>1</v>
      </c>
      <c r="AH7" s="236" t="str">
        <f ca="1">IF( LEN( $C7 ) = 0, "", IF( $C7 &lt; $AL7, 1, "" ) )</f>
        <v/>
      </c>
      <c r="AJ7" s="236">
        <f ca="1">MATCH( $D7, INDIRECT( AJ$2 ), 0 )</f>
        <v>23</v>
      </c>
      <c r="AK7" s="236" t="str">
        <f ca="1">IF( ISNA( $AJ7 ), "", OFFSET( INDIRECT( AK$2 ), $AJ7-1, 0 ) )</f>
        <v>BBB+</v>
      </c>
      <c r="AL7" s="236">
        <f ca="1">IF( ISNA( $AJ7 ), "", OFFSET( INDIRECT( AL$2 ), $AJ7-1, 0 ) )</f>
        <v>19</v>
      </c>
      <c r="AM7" s="236" t="str">
        <f t="shared" ref="AM7:AM67" ca="1" si="4">IF( B7 = AK7, "", "Change" )</f>
        <v>Change</v>
      </c>
      <c r="AQ7" s="286" t="s">
        <v>15</v>
      </c>
      <c r="AR7" s="286" t="s">
        <v>16</v>
      </c>
      <c r="AS7" s="286">
        <v>19</v>
      </c>
      <c r="AT7" s="286" t="s">
        <v>277</v>
      </c>
      <c r="AV7" s="234">
        <f>IF( LEN( AS7 ) = 0, 99, RANK( AS7, $AS$7:$AS$63 ) )</f>
        <v>15</v>
      </c>
      <c r="AW7" s="234">
        <f>COUNTIF( AV7:AV$7, AV7 )</f>
        <v>1</v>
      </c>
      <c r="AX7" s="287">
        <f>AV7 + AW7 / 10</f>
        <v>15.1</v>
      </c>
      <c r="AY7" s="234">
        <f>RANK( AX7, $AX$7:$AX$63, 1 )</f>
        <v>15</v>
      </c>
      <c r="AZ7" s="236"/>
      <c r="BA7" s="236"/>
      <c r="BC7" s="234">
        <f t="shared" ref="BC7" ca="1" si="5">OFFSET( BC7, -1, 0 ) + 1</f>
        <v>1</v>
      </c>
      <c r="BD7" s="288">
        <f t="shared" ref="BD7:BD62" ca="1" si="6">MATCH( BC7, $AY$7:$AY$63, 0 )</f>
        <v>7</v>
      </c>
      <c r="BF7" s="240" t="str">
        <f t="shared" ref="BF7:BI38" ca="1" si="7">OFFSET( AQ$6, $BD7, 0 )</f>
        <v>Berkshire Energy Holdings Company</v>
      </c>
      <c r="BG7" s="240" t="str">
        <f t="shared" ca="1" si="7"/>
        <v>A</v>
      </c>
      <c r="BH7" s="240">
        <f t="shared" ca="1" si="7"/>
        <v>21</v>
      </c>
      <c r="BI7" s="240" t="str">
        <f t="shared" ca="1" si="7"/>
        <v>**BRK</v>
      </c>
    </row>
    <row r="8" spans="1:61" x14ac:dyDescent="0.2">
      <c r="A8" s="303" t="s">
        <v>516</v>
      </c>
      <c r="B8" s="304" t="s">
        <v>2</v>
      </c>
      <c r="C8" s="304">
        <v>21</v>
      </c>
      <c r="D8" s="304" t="s">
        <v>512</v>
      </c>
      <c r="E8" s="305" t="str">
        <f t="shared" ref="E8:E62" ca="1" si="8">IF( LEN( $G8 ) = 0, "", OFFSET( INDIRECT( E$3 &amp; E$4 ), $G8 - 1, 0 ) )</f>
        <v>R</v>
      </c>
      <c r="F8" s="306"/>
      <c r="G8" s="307">
        <f t="shared" ca="1" si="1"/>
        <v>25</v>
      </c>
      <c r="H8" s="250"/>
      <c r="I8" s="317"/>
      <c r="J8" s="293" t="s">
        <v>138</v>
      </c>
      <c r="K8" s="317"/>
      <c r="L8" s="293">
        <f t="shared" ref="L8:L13" si="9">COUNTIF($C$7:$C$67,$X8)</f>
        <v>3</v>
      </c>
      <c r="M8" s="294">
        <f t="shared" ref="M8:M13" si="10">IF( L8 = 0, "", L8/L$14 )</f>
        <v>0.06</v>
      </c>
      <c r="N8" s="317"/>
      <c r="O8" s="293">
        <f t="shared" ref="O8:O13" ca="1" si="11">COUNTIFS( $E$7:$E$66, O$3, $C$7:$C$66, $X8 )</f>
        <v>2</v>
      </c>
      <c r="P8" s="294">
        <f t="shared" ref="P8:P13" ca="1" si="12">IF( O8 = 0, "", O8/O$14 )</f>
        <v>5.4054054054054057E-2</v>
      </c>
      <c r="Q8" s="317"/>
      <c r="R8" s="293">
        <f t="shared" ref="R8:R13" ca="1" si="13">COUNTIFS( $E$7:$E$66, R$3, $C$7:$C$66, $X8 )</f>
        <v>1</v>
      </c>
      <c r="S8" s="294">
        <f t="shared" ref="S8:S13" ca="1" si="14">IF( R8 = 0, "", R8/R$14 )</f>
        <v>9.0909090909090912E-2</v>
      </c>
      <c r="T8" s="317"/>
      <c r="U8" s="293">
        <f t="shared" ref="U8:U13" ca="1" si="15">COUNTIFS( $E$7:$E$66, U$3, $C$7:$C$66, $X8 )</f>
        <v>0</v>
      </c>
      <c r="V8" s="294" t="str">
        <f t="shared" ref="V8:V13" ca="1" si="16">IF( U8 = 0, "", U8/U$14 )</f>
        <v/>
      </c>
      <c r="W8" s="317"/>
      <c r="X8" s="256" t="s">
        <v>464</v>
      </c>
      <c r="Y8" s="256">
        <v>21</v>
      </c>
      <c r="Z8" s="256">
        <v>1</v>
      </c>
      <c r="AA8" s="255">
        <f t="shared" ref="AA8:AA13" ca="1" si="17">SUM(O8, R8, U8)</f>
        <v>3</v>
      </c>
      <c r="AC8" s="257"/>
      <c r="AE8" s="254"/>
      <c r="AF8" s="236">
        <f t="shared" si="2"/>
        <v>1</v>
      </c>
      <c r="AG8" s="236" t="str">
        <f t="shared" ca="1" si="3"/>
        <v/>
      </c>
      <c r="AH8" s="236" t="str">
        <f t="shared" ref="AH8:AH67" ca="1" si="18">IF( LEN( $C8 ) = 0, "", IF( $C8 &lt; $AL8, 1, "" ) )</f>
        <v/>
      </c>
      <c r="AJ8" s="236">
        <f t="shared" ref="AJ8:AJ67" ca="1" si="19">MATCH( $D8, INDIRECT( AJ$2 ), 0 )</f>
        <v>7</v>
      </c>
      <c r="AK8" s="236" t="str">
        <f t="shared" ref="AK8:AL67" ca="1" si="20">IF( ISNA( $AJ8 ), "", OFFSET( INDIRECT( AK$2 ), $AJ8-1, 0 ) )</f>
        <v>A</v>
      </c>
      <c r="AL8" s="236">
        <f t="shared" ca="1" si="20"/>
        <v>21</v>
      </c>
      <c r="AM8" s="236" t="str">
        <f t="shared" ca="1" si="4"/>
        <v/>
      </c>
      <c r="AQ8" s="286" t="s">
        <v>17</v>
      </c>
      <c r="AR8" s="286" t="s">
        <v>10</v>
      </c>
      <c r="AS8" s="286">
        <v>20</v>
      </c>
      <c r="AT8" s="286" t="s">
        <v>307</v>
      </c>
      <c r="AV8" s="234">
        <f t="shared" ref="AV8:AV63" si="21">IF( LEN( AS8 ) = 0, 99, RANK( AS8, $AS$7:$AS$63 ) )</f>
        <v>3</v>
      </c>
      <c r="AW8" s="234">
        <f>COUNTIF( AV$7:AV8, AV8 )</f>
        <v>1</v>
      </c>
      <c r="AX8" s="287">
        <f t="shared" ref="AX8:AX63" si="22">AV8 + AW8 / 10</f>
        <v>3.1</v>
      </c>
      <c r="AY8" s="234">
        <f t="shared" ref="AY8:AY63" si="23">RANK( AX8, $AX$7:$AX$63, 1 )</f>
        <v>3</v>
      </c>
      <c r="AZ8" s="236"/>
      <c r="BA8" s="236"/>
      <c r="BC8" s="234">
        <f ca="1">OFFSET( BC8, -1, 0 ) + 1</f>
        <v>2</v>
      </c>
      <c r="BD8" s="288">
        <f t="shared" ca="1" si="6"/>
        <v>21</v>
      </c>
      <c r="BF8" s="240" t="str">
        <f t="shared" ca="1" si="7"/>
        <v>Eversource Energy</v>
      </c>
      <c r="BG8" s="240" t="str">
        <f t="shared" ca="1" si="7"/>
        <v>A</v>
      </c>
      <c r="BH8" s="240">
        <f t="shared" ca="1" si="7"/>
        <v>21</v>
      </c>
      <c r="BI8" s="240" t="str">
        <f t="shared" ca="1" si="7"/>
        <v>ES</v>
      </c>
    </row>
    <row r="9" spans="1:61" x14ac:dyDescent="0.2">
      <c r="A9" s="303" t="s">
        <v>17</v>
      </c>
      <c r="B9" s="304" t="s">
        <v>10</v>
      </c>
      <c r="C9" s="304">
        <v>20</v>
      </c>
      <c r="D9" s="304" t="s">
        <v>307</v>
      </c>
      <c r="E9" s="305" t="str">
        <f t="shared" ca="1" si="8"/>
        <v>R</v>
      </c>
      <c r="F9" s="306"/>
      <c r="G9" s="307">
        <f t="shared" ca="1" si="1"/>
        <v>8</v>
      </c>
      <c r="H9" s="250"/>
      <c r="I9" s="318"/>
      <c r="J9" s="295" t="s">
        <v>10</v>
      </c>
      <c r="K9" s="318"/>
      <c r="L9" s="295">
        <f t="shared" si="9"/>
        <v>12</v>
      </c>
      <c r="M9" s="296">
        <f t="shared" si="10"/>
        <v>0.24</v>
      </c>
      <c r="N9" s="318"/>
      <c r="O9" s="295">
        <f t="shared" ca="1" si="11"/>
        <v>10</v>
      </c>
      <c r="P9" s="296">
        <f t="shared" ca="1" si="12"/>
        <v>0.27027027027027029</v>
      </c>
      <c r="Q9" s="318"/>
      <c r="R9" s="295">
        <f t="shared" ca="1" si="13"/>
        <v>2</v>
      </c>
      <c r="S9" s="296">
        <f t="shared" ca="1" si="14"/>
        <v>0.18181818181818182</v>
      </c>
      <c r="T9" s="318"/>
      <c r="U9" s="295">
        <f t="shared" ca="1" si="15"/>
        <v>0</v>
      </c>
      <c r="V9" s="296" t="str">
        <f t="shared" ca="1" si="16"/>
        <v/>
      </c>
      <c r="W9" s="318"/>
      <c r="X9" s="256" t="s">
        <v>465</v>
      </c>
      <c r="Y9" s="256">
        <v>20</v>
      </c>
      <c r="Z9" s="256">
        <v>1</v>
      </c>
      <c r="AA9" s="255">
        <f t="shared" ca="1" si="17"/>
        <v>12</v>
      </c>
      <c r="AC9" s="253"/>
      <c r="AE9" s="254"/>
      <c r="AF9" s="236">
        <f t="shared" si="2"/>
        <v>0</v>
      </c>
      <c r="AG9" s="236" t="str">
        <f t="shared" ca="1" si="3"/>
        <v/>
      </c>
      <c r="AH9" s="236" t="str">
        <f t="shared" ca="1" si="18"/>
        <v/>
      </c>
      <c r="AJ9" s="236">
        <f t="shared" ca="1" si="19"/>
        <v>8</v>
      </c>
      <c r="AK9" s="236" t="str">
        <f t="shared" ca="1" si="20"/>
        <v>A-</v>
      </c>
      <c r="AL9" s="236">
        <f t="shared" ca="1" si="20"/>
        <v>20</v>
      </c>
      <c r="AM9" s="236" t="str">
        <f t="shared" ca="1" si="4"/>
        <v/>
      </c>
      <c r="AQ9" s="286" t="s">
        <v>9</v>
      </c>
      <c r="AR9" s="286" t="s">
        <v>16</v>
      </c>
      <c r="AS9" s="286">
        <v>19</v>
      </c>
      <c r="AT9" s="286" t="s">
        <v>274</v>
      </c>
      <c r="AV9" s="234">
        <f t="shared" si="21"/>
        <v>15</v>
      </c>
      <c r="AW9" s="234">
        <f>COUNTIF( AV$7:AV9, AV9 )</f>
        <v>2</v>
      </c>
      <c r="AX9" s="287">
        <f t="shared" si="22"/>
        <v>15.2</v>
      </c>
      <c r="AY9" s="234">
        <f t="shared" si="23"/>
        <v>16</v>
      </c>
      <c r="AZ9" s="236"/>
      <c r="BA9" s="236"/>
      <c r="BC9" s="234">
        <f t="shared" ref="BC9:BC63" ca="1" si="24">OFFSET( BC9, -1, 0 ) + 1</f>
        <v>3</v>
      </c>
      <c r="BD9" s="288">
        <f t="shared" ca="1" si="6"/>
        <v>2</v>
      </c>
      <c r="BF9" s="240" t="str">
        <f t="shared" ca="1" si="7"/>
        <v>Alliant Energy Corporation</v>
      </c>
      <c r="BG9" s="240" t="str">
        <f t="shared" ca="1" si="7"/>
        <v>A-</v>
      </c>
      <c r="BH9" s="240">
        <f t="shared" ca="1" si="7"/>
        <v>20</v>
      </c>
      <c r="BI9" s="240" t="str">
        <f t="shared" ca="1" si="7"/>
        <v>LNT</v>
      </c>
    </row>
    <row r="10" spans="1:61" x14ac:dyDescent="0.2">
      <c r="A10" s="303" t="s">
        <v>29</v>
      </c>
      <c r="B10" s="304" t="s">
        <v>10</v>
      </c>
      <c r="C10" s="304">
        <v>20</v>
      </c>
      <c r="D10" s="304" t="s">
        <v>286</v>
      </c>
      <c r="E10" s="305" t="str">
        <f t="shared" ca="1" si="8"/>
        <v>MR</v>
      </c>
      <c r="F10" s="306"/>
      <c r="G10" s="307">
        <f t="shared" ca="1" si="1"/>
        <v>14</v>
      </c>
      <c r="H10" s="250"/>
      <c r="I10" s="318"/>
      <c r="J10" s="295" t="s">
        <v>16</v>
      </c>
      <c r="K10" s="318"/>
      <c r="L10" s="295">
        <f t="shared" si="9"/>
        <v>17</v>
      </c>
      <c r="M10" s="296">
        <f t="shared" si="10"/>
        <v>0.34</v>
      </c>
      <c r="N10" s="318"/>
      <c r="O10" s="295">
        <f t="shared" ca="1" si="11"/>
        <v>11</v>
      </c>
      <c r="P10" s="296">
        <f t="shared" ca="1" si="12"/>
        <v>0.29729729729729731</v>
      </c>
      <c r="Q10" s="318"/>
      <c r="R10" s="295">
        <f t="shared" ca="1" si="13"/>
        <v>6</v>
      </c>
      <c r="S10" s="296">
        <f t="shared" ca="1" si="14"/>
        <v>0.54545454545454541</v>
      </c>
      <c r="T10" s="318"/>
      <c r="U10" s="295">
        <f t="shared" ca="1" si="15"/>
        <v>0</v>
      </c>
      <c r="V10" s="296" t="str">
        <f t="shared" ca="1" si="16"/>
        <v/>
      </c>
      <c r="W10" s="318"/>
      <c r="X10" s="256" t="s">
        <v>466</v>
      </c>
      <c r="Y10" s="256">
        <v>19</v>
      </c>
      <c r="Z10" s="256">
        <v>1</v>
      </c>
      <c r="AA10" s="255">
        <f t="shared" ca="1" si="17"/>
        <v>17</v>
      </c>
      <c r="AE10" s="254"/>
      <c r="AF10" s="236">
        <f t="shared" si="2"/>
        <v>0</v>
      </c>
      <c r="AG10" s="236" t="str">
        <f t="shared" ca="1" si="3"/>
        <v/>
      </c>
      <c r="AH10" s="236" t="str">
        <f t="shared" ca="1" si="18"/>
        <v/>
      </c>
      <c r="AJ10" s="236">
        <f t="shared" ca="1" si="19"/>
        <v>9</v>
      </c>
      <c r="AK10" s="236" t="str">
        <f t="shared" ca="1" si="20"/>
        <v>A-</v>
      </c>
      <c r="AL10" s="236">
        <f t="shared" ca="1" si="20"/>
        <v>20</v>
      </c>
      <c r="AM10" s="236" t="str">
        <f t="shared" ca="1" si="4"/>
        <v/>
      </c>
      <c r="AQ10" s="286" t="s">
        <v>259</v>
      </c>
      <c r="AR10" s="286" t="s">
        <v>28</v>
      </c>
      <c r="AS10" s="286">
        <v>18</v>
      </c>
      <c r="AT10" s="286" t="s">
        <v>275</v>
      </c>
      <c r="AV10" s="234">
        <f t="shared" si="21"/>
        <v>32</v>
      </c>
      <c r="AW10" s="234">
        <f>COUNTIF( AV$7:AV10, AV10 )</f>
        <v>1</v>
      </c>
      <c r="AX10" s="287">
        <f t="shared" si="22"/>
        <v>32.1</v>
      </c>
      <c r="AY10" s="234">
        <f t="shared" si="23"/>
        <v>32</v>
      </c>
      <c r="AZ10" s="236"/>
      <c r="BA10" s="236"/>
      <c r="BC10" s="234">
        <f t="shared" ca="1" si="24"/>
        <v>4</v>
      </c>
      <c r="BD10" s="288">
        <f t="shared" ca="1" si="6"/>
        <v>9</v>
      </c>
      <c r="BF10" s="240" t="str">
        <f t="shared" ca="1" si="7"/>
        <v>CenterPoint Energy, Inc.</v>
      </c>
      <c r="BG10" s="240" t="str">
        <f t="shared" ca="1" si="7"/>
        <v>A-</v>
      </c>
      <c r="BH10" s="240">
        <f t="shared" ca="1" si="7"/>
        <v>20</v>
      </c>
      <c r="BI10" s="240" t="str">
        <f t="shared" ca="1" si="7"/>
        <v>CNP</v>
      </c>
    </row>
    <row r="11" spans="1:61" x14ac:dyDescent="0.2">
      <c r="A11" s="303" t="s">
        <v>3</v>
      </c>
      <c r="B11" s="304" t="s">
        <v>10</v>
      </c>
      <c r="C11" s="304">
        <v>20</v>
      </c>
      <c r="D11" s="304" t="s">
        <v>292</v>
      </c>
      <c r="E11" s="305" t="str">
        <f t="shared" ca="1" si="8"/>
        <v>R</v>
      </c>
      <c r="F11" s="306"/>
      <c r="G11" s="307">
        <f t="shared" ca="1" si="1"/>
        <v>17</v>
      </c>
      <c r="H11" s="250"/>
      <c r="I11" s="318"/>
      <c r="J11" s="295" t="s">
        <v>28</v>
      </c>
      <c r="K11" s="318"/>
      <c r="L11" s="295">
        <f t="shared" si="9"/>
        <v>13</v>
      </c>
      <c r="M11" s="296">
        <f t="shared" si="10"/>
        <v>0.26</v>
      </c>
      <c r="N11" s="318"/>
      <c r="O11" s="295">
        <f t="shared" ca="1" si="11"/>
        <v>11</v>
      </c>
      <c r="P11" s="296">
        <f t="shared" ca="1" si="12"/>
        <v>0.29729729729729731</v>
      </c>
      <c r="Q11" s="318"/>
      <c r="R11" s="295">
        <f t="shared" ca="1" si="13"/>
        <v>1</v>
      </c>
      <c r="S11" s="296">
        <f t="shared" ca="1" si="14"/>
        <v>9.0909090909090912E-2</v>
      </c>
      <c r="T11" s="318"/>
      <c r="U11" s="295">
        <f t="shared" ca="1" si="15"/>
        <v>1</v>
      </c>
      <c r="V11" s="296">
        <f t="shared" ca="1" si="16"/>
        <v>0.5</v>
      </c>
      <c r="W11" s="318"/>
      <c r="X11" s="256" t="s">
        <v>467</v>
      </c>
      <c r="Y11" s="256">
        <v>18</v>
      </c>
      <c r="Z11" s="256">
        <v>1</v>
      </c>
      <c r="AA11" s="255">
        <f t="shared" ca="1" si="17"/>
        <v>13</v>
      </c>
      <c r="AE11" s="254"/>
      <c r="AF11" s="236">
        <f t="shared" si="2"/>
        <v>0</v>
      </c>
      <c r="AG11" s="236" t="str">
        <f t="shared" ca="1" si="3"/>
        <v/>
      </c>
      <c r="AH11" s="236" t="str">
        <f t="shared" ca="1" si="18"/>
        <v/>
      </c>
      <c r="AJ11" s="236">
        <f t="shared" ca="1" si="19"/>
        <v>10</v>
      </c>
      <c r="AK11" s="236" t="str">
        <f t="shared" ca="1" si="20"/>
        <v>A-</v>
      </c>
      <c r="AL11" s="236">
        <f t="shared" ca="1" si="20"/>
        <v>20</v>
      </c>
      <c r="AM11" s="236" t="str">
        <f t="shared" ca="1" si="4"/>
        <v/>
      </c>
      <c r="AQ11" s="286" t="s">
        <v>532</v>
      </c>
      <c r="AR11" s="286" t="s">
        <v>28</v>
      </c>
      <c r="AS11" s="286">
        <v>18</v>
      </c>
      <c r="AT11" s="286" t="s">
        <v>530</v>
      </c>
      <c r="AV11" s="234">
        <f t="shared" si="21"/>
        <v>32</v>
      </c>
      <c r="AW11" s="234">
        <f>COUNTIF( AV$7:AV11, AV11 )</f>
        <v>2</v>
      </c>
      <c r="AX11" s="287">
        <f t="shared" si="22"/>
        <v>32.200000000000003</v>
      </c>
      <c r="AY11" s="234">
        <f t="shared" si="23"/>
        <v>33</v>
      </c>
      <c r="AZ11" s="236"/>
      <c r="BA11" s="236"/>
      <c r="BC11" s="234">
        <f t="shared" ca="1" si="24"/>
        <v>5</v>
      </c>
      <c r="BD11" s="288">
        <f t="shared" ca="1" si="6"/>
        <v>12</v>
      </c>
      <c r="BF11" s="240" t="str">
        <f t="shared" ca="1" si="7"/>
        <v>Consolidated Edison, Inc.</v>
      </c>
      <c r="BG11" s="240" t="str">
        <f t="shared" ca="1" si="7"/>
        <v>A-</v>
      </c>
      <c r="BH11" s="240">
        <f t="shared" ca="1" si="7"/>
        <v>20</v>
      </c>
      <c r="BI11" s="240" t="str">
        <f t="shared" ca="1" si="7"/>
        <v>ED</v>
      </c>
    </row>
    <row r="12" spans="1:61" x14ac:dyDescent="0.2">
      <c r="A12" s="303" t="s">
        <v>32</v>
      </c>
      <c r="B12" s="304" t="s">
        <v>10</v>
      </c>
      <c r="C12" s="304">
        <v>20</v>
      </c>
      <c r="D12" s="304" t="s">
        <v>290</v>
      </c>
      <c r="E12" s="305" t="str">
        <f t="shared" ca="1" si="8"/>
        <v>R</v>
      </c>
      <c r="F12" s="306"/>
      <c r="G12" s="307">
        <f t="shared" ca="1" si="1"/>
        <v>20</v>
      </c>
      <c r="H12" s="250"/>
      <c r="I12" s="318"/>
      <c r="J12" s="295" t="s">
        <v>49</v>
      </c>
      <c r="K12" s="318"/>
      <c r="L12" s="295">
        <f t="shared" si="9"/>
        <v>3</v>
      </c>
      <c r="M12" s="296">
        <f t="shared" si="10"/>
        <v>0.06</v>
      </c>
      <c r="N12" s="318"/>
      <c r="O12" s="295">
        <f t="shared" ca="1" si="11"/>
        <v>1</v>
      </c>
      <c r="P12" s="296">
        <f t="shared" ca="1" si="12"/>
        <v>2.7027027027027029E-2</v>
      </c>
      <c r="Q12" s="318"/>
      <c r="R12" s="295">
        <f t="shared" ca="1" si="13"/>
        <v>1</v>
      </c>
      <c r="S12" s="296">
        <f t="shared" ca="1" si="14"/>
        <v>9.0909090909090912E-2</v>
      </c>
      <c r="T12" s="318"/>
      <c r="U12" s="295">
        <f t="shared" ca="1" si="15"/>
        <v>1</v>
      </c>
      <c r="V12" s="296">
        <f t="shared" ca="1" si="16"/>
        <v>0.5</v>
      </c>
      <c r="W12" s="318"/>
      <c r="X12" s="256" t="s">
        <v>468</v>
      </c>
      <c r="Y12" s="256">
        <v>17</v>
      </c>
      <c r="Z12" s="256">
        <v>1</v>
      </c>
      <c r="AA12" s="255">
        <f t="shared" ca="1" si="17"/>
        <v>3</v>
      </c>
      <c r="AE12" s="254"/>
      <c r="AF12" s="236">
        <f t="shared" si="2"/>
        <v>0</v>
      </c>
      <c r="AG12" s="236" t="str">
        <f t="shared" ca="1" si="3"/>
        <v/>
      </c>
      <c r="AH12" s="236" t="str">
        <f t="shared" ca="1" si="18"/>
        <v/>
      </c>
      <c r="AJ12" s="236">
        <f t="shared" ca="1" si="19"/>
        <v>12</v>
      </c>
      <c r="AK12" s="236" t="str">
        <f t="shared" ca="1" si="20"/>
        <v>A-</v>
      </c>
      <c r="AL12" s="236">
        <f t="shared" ca="1" si="20"/>
        <v>20</v>
      </c>
      <c r="AM12" s="236" t="str">
        <f t="shared" ca="1" si="4"/>
        <v/>
      </c>
      <c r="AQ12" s="286" t="s">
        <v>55</v>
      </c>
      <c r="AR12" s="286" t="s">
        <v>28</v>
      </c>
      <c r="AS12" s="286">
        <v>18</v>
      </c>
      <c r="AT12" s="286" t="s">
        <v>278</v>
      </c>
      <c r="AV12" s="234">
        <f t="shared" si="21"/>
        <v>32</v>
      </c>
      <c r="AW12" s="234">
        <f>COUNTIF( AV$7:AV12, AV12 )</f>
        <v>3</v>
      </c>
      <c r="AX12" s="287">
        <f t="shared" si="22"/>
        <v>32.299999999999997</v>
      </c>
      <c r="AY12" s="234">
        <f t="shared" si="23"/>
        <v>34</v>
      </c>
      <c r="AZ12" s="236"/>
      <c r="BA12" s="236"/>
      <c r="BC12" s="234">
        <f t="shared" ca="1" si="24"/>
        <v>6</v>
      </c>
      <c r="BD12" s="288">
        <f t="shared" ca="1" si="6"/>
        <v>16</v>
      </c>
      <c r="BF12" s="240" t="str">
        <f t="shared" ca="1" si="7"/>
        <v>Duke Energy Corporation</v>
      </c>
      <c r="BG12" s="240" t="str">
        <f t="shared" ca="1" si="7"/>
        <v>A-</v>
      </c>
      <c r="BH12" s="240">
        <f t="shared" ca="1" si="7"/>
        <v>20</v>
      </c>
      <c r="BI12" s="240" t="str">
        <f t="shared" ca="1" si="7"/>
        <v>DUK</v>
      </c>
    </row>
    <row r="13" spans="1:61" x14ac:dyDescent="0.2">
      <c r="A13" s="303" t="s">
        <v>370</v>
      </c>
      <c r="B13" s="304" t="s">
        <v>10</v>
      </c>
      <c r="C13" s="304">
        <v>20</v>
      </c>
      <c r="D13" s="304" t="s">
        <v>369</v>
      </c>
      <c r="E13" s="305" t="str">
        <f t="shared" ca="1" si="8"/>
        <v>MR</v>
      </c>
      <c r="F13" s="306"/>
      <c r="G13" s="307">
        <f t="shared" ca="1" si="1"/>
        <v>33</v>
      </c>
      <c r="H13" s="250"/>
      <c r="I13" s="319"/>
      <c r="J13" s="297" t="s">
        <v>79</v>
      </c>
      <c r="K13" s="319"/>
      <c r="L13" s="297">
        <f t="shared" si="9"/>
        <v>2</v>
      </c>
      <c r="M13" s="298">
        <f t="shared" si="10"/>
        <v>0.04</v>
      </c>
      <c r="N13" s="319"/>
      <c r="O13" s="297">
        <f t="shared" ca="1" si="11"/>
        <v>2</v>
      </c>
      <c r="P13" s="298">
        <f t="shared" ca="1" si="12"/>
        <v>5.4054054054054057E-2</v>
      </c>
      <c r="Q13" s="319"/>
      <c r="R13" s="297">
        <f t="shared" ca="1" si="13"/>
        <v>0</v>
      </c>
      <c r="S13" s="298" t="str">
        <f t="shared" ca="1" si="14"/>
        <v/>
      </c>
      <c r="T13" s="319"/>
      <c r="U13" s="297">
        <f t="shared" ca="1" si="15"/>
        <v>0</v>
      </c>
      <c r="V13" s="298" t="str">
        <f t="shared" ca="1" si="16"/>
        <v/>
      </c>
      <c r="W13" s="319"/>
      <c r="X13" s="256" t="s">
        <v>469</v>
      </c>
      <c r="Y13" s="256">
        <v>16</v>
      </c>
      <c r="Z13" s="256">
        <v>1</v>
      </c>
      <c r="AA13" s="259">
        <f t="shared" ca="1" si="17"/>
        <v>2</v>
      </c>
      <c r="AE13" s="254"/>
      <c r="AF13" s="236">
        <f t="shared" si="2"/>
        <v>0</v>
      </c>
      <c r="AG13" s="236" t="str">
        <f t="shared" ca="1" si="3"/>
        <v/>
      </c>
      <c r="AH13" s="236" t="str">
        <f t="shared" ca="1" si="18"/>
        <v/>
      </c>
      <c r="AJ13" s="236">
        <f t="shared" ca="1" si="19"/>
        <v>13</v>
      </c>
      <c r="AK13" s="236" t="str">
        <f t="shared" ca="1" si="20"/>
        <v>A-</v>
      </c>
      <c r="AL13" s="236">
        <f t="shared" ca="1" si="20"/>
        <v>20</v>
      </c>
      <c r="AM13" s="236" t="str">
        <f t="shared" ca="1" si="4"/>
        <v/>
      </c>
      <c r="AQ13" s="286" t="s">
        <v>501</v>
      </c>
      <c r="AR13" s="286" t="s">
        <v>2</v>
      </c>
      <c r="AS13" s="286">
        <v>21</v>
      </c>
      <c r="AT13" s="286" t="s">
        <v>447</v>
      </c>
      <c r="AV13" s="234">
        <f t="shared" si="21"/>
        <v>1</v>
      </c>
      <c r="AW13" s="234">
        <f>COUNTIF( AV$7:AV13, AV13 )</f>
        <v>1</v>
      </c>
      <c r="AX13" s="287">
        <f t="shared" si="22"/>
        <v>1.1000000000000001</v>
      </c>
      <c r="AY13" s="234">
        <f t="shared" si="23"/>
        <v>1</v>
      </c>
      <c r="AZ13" s="236"/>
      <c r="BA13" s="236"/>
      <c r="BC13" s="234">
        <f t="shared" ca="1" si="24"/>
        <v>7</v>
      </c>
      <c r="BD13" s="288">
        <f t="shared" ca="1" si="6"/>
        <v>29</v>
      </c>
      <c r="BF13" s="240" t="str">
        <f t="shared" ca="1" si="7"/>
        <v>NextEra Energy, Inc.</v>
      </c>
      <c r="BG13" s="240" t="str">
        <f t="shared" ca="1" si="7"/>
        <v>A-</v>
      </c>
      <c r="BH13" s="240">
        <f t="shared" ca="1" si="7"/>
        <v>20</v>
      </c>
      <c r="BI13" s="240" t="str">
        <f t="shared" ca="1" si="7"/>
        <v>NEE</v>
      </c>
    </row>
    <row r="14" spans="1:61" x14ac:dyDescent="0.2">
      <c r="A14" s="303" t="s">
        <v>21</v>
      </c>
      <c r="B14" s="304" t="s">
        <v>10</v>
      </c>
      <c r="C14" s="304">
        <v>20</v>
      </c>
      <c r="D14" s="304" t="s">
        <v>316</v>
      </c>
      <c r="E14" s="305" t="str">
        <f t="shared" ca="1" si="8"/>
        <v>R</v>
      </c>
      <c r="F14" s="306"/>
      <c r="G14" s="307">
        <f t="shared" ca="1" si="1"/>
        <v>36</v>
      </c>
      <c r="H14" s="250"/>
      <c r="I14" s="320"/>
      <c r="J14" s="291" t="s">
        <v>80</v>
      </c>
      <c r="K14" s="320"/>
      <c r="L14" s="291">
        <f>SUM(L8:L13)</f>
        <v>50</v>
      </c>
      <c r="M14" s="292">
        <f>L14/L$14</f>
        <v>1</v>
      </c>
      <c r="N14" s="320"/>
      <c r="O14" s="291">
        <f ca="1">SUM(O8:O13)</f>
        <v>37</v>
      </c>
      <c r="P14" s="292">
        <f ca="1">O14/O$14</f>
        <v>1</v>
      </c>
      <c r="Q14" s="320"/>
      <c r="R14" s="291">
        <f ca="1">SUM(R8:R13)</f>
        <v>11</v>
      </c>
      <c r="S14" s="292">
        <f ca="1">R14/R$14</f>
        <v>1</v>
      </c>
      <c r="T14" s="320"/>
      <c r="U14" s="291">
        <f ca="1">SUM(U8:U13)</f>
        <v>2</v>
      </c>
      <c r="V14" s="292">
        <f ca="1">U14/U$14</f>
        <v>1</v>
      </c>
      <c r="W14" s="320"/>
      <c r="Y14" s="261">
        <f>SUMPRODUCT( L8:L13, Y8:Y13 ) / L14</f>
        <v>18.86</v>
      </c>
      <c r="Z14" s="261"/>
      <c r="AA14" s="446">
        <f ca="1">SUM(AA8:AA13)</f>
        <v>50</v>
      </c>
      <c r="AE14" s="254"/>
      <c r="AF14" s="236">
        <f t="shared" si="2"/>
        <v>0</v>
      </c>
      <c r="AG14" s="236" t="str">
        <f t="shared" ca="1" si="3"/>
        <v/>
      </c>
      <c r="AH14" s="236" t="str">
        <f t="shared" ca="1" si="18"/>
        <v/>
      </c>
      <c r="AJ14" s="236">
        <f t="shared" ca="1" si="19"/>
        <v>14</v>
      </c>
      <c r="AK14" s="236" t="str">
        <f t="shared" ca="1" si="20"/>
        <v>A-</v>
      </c>
      <c r="AL14" s="236">
        <f t="shared" ca="1" si="20"/>
        <v>20</v>
      </c>
      <c r="AM14" s="236" t="str">
        <f t="shared" ca="1" si="4"/>
        <v/>
      </c>
      <c r="AQ14" s="286" t="s">
        <v>48</v>
      </c>
      <c r="AR14" s="286" t="s">
        <v>28</v>
      </c>
      <c r="AS14" s="286">
        <v>18</v>
      </c>
      <c r="AT14" s="286" t="s">
        <v>280</v>
      </c>
      <c r="AV14" s="234">
        <f>IF( LEN( AS14 ) = 0, 99, RANK( AS14, $AS$7:$AS$63 ) )</f>
        <v>32</v>
      </c>
      <c r="AW14" s="234">
        <f>COUNTIF( AV$7:AV14, AV14 )</f>
        <v>4</v>
      </c>
      <c r="AX14" s="287">
        <f t="shared" si="22"/>
        <v>32.4</v>
      </c>
      <c r="AY14" s="234">
        <f t="shared" si="23"/>
        <v>35</v>
      </c>
      <c r="AZ14" s="236"/>
      <c r="BA14" s="236"/>
      <c r="BC14" s="234">
        <f t="shared" ca="1" si="24"/>
        <v>8</v>
      </c>
      <c r="BD14" s="288">
        <f t="shared" ca="1" si="6"/>
        <v>32</v>
      </c>
      <c r="BF14" s="240" t="str">
        <f t="shared" ca="1" si="7"/>
        <v>OGE Energy Corp.</v>
      </c>
      <c r="BG14" s="240" t="str">
        <f t="shared" ca="1" si="7"/>
        <v>A-</v>
      </c>
      <c r="BH14" s="240">
        <f t="shared" ca="1" si="7"/>
        <v>20</v>
      </c>
      <c r="BI14" s="240" t="str">
        <f t="shared" ca="1" si="7"/>
        <v>OGE</v>
      </c>
    </row>
    <row r="15" spans="1:61" x14ac:dyDescent="0.2">
      <c r="A15" s="303" t="s">
        <v>41</v>
      </c>
      <c r="B15" s="304" t="s">
        <v>10</v>
      </c>
      <c r="C15" s="304">
        <v>20</v>
      </c>
      <c r="D15" s="304" t="s">
        <v>322</v>
      </c>
      <c r="E15" s="305" t="str">
        <f t="shared" ca="1" si="8"/>
        <v>R</v>
      </c>
      <c r="F15" s="306"/>
      <c r="G15" s="307">
        <f t="shared" ca="1" si="1"/>
        <v>39</v>
      </c>
      <c r="H15" s="250"/>
      <c r="I15" s="321"/>
      <c r="K15" s="321"/>
      <c r="N15" s="321"/>
      <c r="Q15" s="321"/>
      <c r="T15" s="321"/>
      <c r="W15" s="321"/>
      <c r="X15" s="240"/>
      <c r="AA15" s="240"/>
      <c r="AE15" s="254"/>
      <c r="AF15" s="236">
        <f t="shared" si="2"/>
        <v>0</v>
      </c>
      <c r="AG15" s="236" t="str">
        <f t="shared" ca="1" si="3"/>
        <v/>
      </c>
      <c r="AH15" s="236" t="str">
        <f t="shared" ca="1" si="18"/>
        <v/>
      </c>
      <c r="AJ15" s="236">
        <f t="shared" ca="1" si="19"/>
        <v>15</v>
      </c>
      <c r="AK15" s="236" t="str">
        <f t="shared" ca="1" si="20"/>
        <v>A-</v>
      </c>
      <c r="AL15" s="236">
        <f t="shared" ca="1" si="20"/>
        <v>20</v>
      </c>
      <c r="AM15" s="236" t="str">
        <f t="shared" ca="1" si="4"/>
        <v/>
      </c>
      <c r="AQ15" s="286" t="s">
        <v>29</v>
      </c>
      <c r="AR15" s="286" t="s">
        <v>10</v>
      </c>
      <c r="AS15" s="286">
        <v>20</v>
      </c>
      <c r="AT15" s="286" t="s">
        <v>286</v>
      </c>
      <c r="AV15" s="234">
        <f t="shared" si="21"/>
        <v>3</v>
      </c>
      <c r="AW15" s="234">
        <f>COUNTIF( AV$7:AV15, AV15 )</f>
        <v>2</v>
      </c>
      <c r="AX15" s="287">
        <f t="shared" si="22"/>
        <v>3.2</v>
      </c>
      <c r="AY15" s="234">
        <f t="shared" si="23"/>
        <v>4</v>
      </c>
      <c r="AZ15" s="236"/>
      <c r="BA15" s="236"/>
      <c r="BC15" s="234">
        <f t="shared" ca="1" si="24"/>
        <v>9</v>
      </c>
      <c r="BD15" s="288">
        <f t="shared" ca="1" si="6"/>
        <v>35</v>
      </c>
      <c r="BF15" s="240" t="str">
        <f t="shared" ca="1" si="7"/>
        <v>Pinnacle West Capital Corporation</v>
      </c>
      <c r="BG15" s="240" t="str">
        <f t="shared" ca="1" si="7"/>
        <v>A-</v>
      </c>
      <c r="BH15" s="240">
        <f t="shared" ca="1" si="7"/>
        <v>20</v>
      </c>
      <c r="BI15" s="240" t="str">
        <f t="shared" ca="1" si="7"/>
        <v>PNW</v>
      </c>
    </row>
    <row r="16" spans="1:61" x14ac:dyDescent="0.2">
      <c r="A16" s="303" t="s">
        <v>43</v>
      </c>
      <c r="B16" s="304" t="s">
        <v>10</v>
      </c>
      <c r="C16" s="304">
        <v>20</v>
      </c>
      <c r="D16" s="304" t="s">
        <v>325</v>
      </c>
      <c r="E16" s="305" t="str">
        <f t="shared" ca="1" si="8"/>
        <v>R</v>
      </c>
      <c r="F16" s="306"/>
      <c r="G16" s="307">
        <f t="shared" ca="1" si="1"/>
        <v>42</v>
      </c>
      <c r="H16" s="250"/>
      <c r="I16" s="316"/>
      <c r="J16" s="290" t="s">
        <v>450</v>
      </c>
      <c r="K16" s="316"/>
      <c r="L16" s="463">
        <f t="array" ref="L16">SUM( IF( LEN( $C$7:$C$65 ) = 0, 0, $C$7:$C$65 ) ) / SUM( IF( LEN( $C$7:$C$65 ) = 0, 0, 1  ) )</f>
        <v>18.88</v>
      </c>
      <c r="M16" s="464"/>
      <c r="N16" s="316"/>
      <c r="O16" s="463">
        <f t="array" aca="1" ref="O16" ca="1">SUM( IF( LEN( $C$7:$C$65 ) = 0, 0, IF( $E$7:$E$65 = O3, $C$7:$C$65, 0 ) ) ) / SUM( IF( LEN( $C$7:$C$65 ) = 0, 0, IF( $E$7:$E$65 = O3, 1, 0 ) ) )</f>
        <v>18.837837837837839</v>
      </c>
      <c r="P16" s="464"/>
      <c r="Q16" s="316"/>
      <c r="R16" s="463">
        <f t="array" aca="1" ref="R16" ca="1">SUM( IF( LEN( $C$7:$C$65 ) = 0, 0, IF( $E$7:$E$65 = R3, $C$7:$C$65, 0 ) ) ) / SUM( IF( LEN( $C$7:$C$65 ) = 0, 0, IF( $E$7:$E$65 = R3, 1, 0 ) ) )</f>
        <v>19.272727272727273</v>
      </c>
      <c r="S16" s="464"/>
      <c r="T16" s="316"/>
      <c r="U16" s="463">
        <f t="array" aca="1" ref="U16" ca="1">SUM( IF( LEN( $C$7:$C$65 ) = 0, 0, IF( $E$7:$E$65 = U3, $C$7:$C$65, 0 ) ) ) / SUM( IF( LEN( $C$7:$C$65 ) = 0, 0, IF( $E$7:$E$65 = U3, 1, 0 ) ) )</f>
        <v>17.5</v>
      </c>
      <c r="V16" s="465"/>
      <c r="W16" s="316"/>
      <c r="AE16" s="254"/>
      <c r="AF16" s="236">
        <f t="shared" si="2"/>
        <v>0</v>
      </c>
      <c r="AG16" s="236" t="str">
        <f t="shared" ca="1" si="3"/>
        <v/>
      </c>
      <c r="AH16" s="236" t="str">
        <f t="shared" ca="1" si="18"/>
        <v/>
      </c>
      <c r="AJ16" s="236">
        <f t="shared" ca="1" si="19"/>
        <v>16</v>
      </c>
      <c r="AK16" s="236" t="str">
        <f t="shared" ca="1" si="20"/>
        <v>A-</v>
      </c>
      <c r="AL16" s="236">
        <f t="shared" ca="1" si="20"/>
        <v>20</v>
      </c>
      <c r="AM16" s="236" t="str">
        <f t="shared" ca="1" si="4"/>
        <v/>
      </c>
      <c r="AQ16" s="286" t="s">
        <v>30</v>
      </c>
      <c r="AR16" s="286" t="s">
        <v>16</v>
      </c>
      <c r="AS16" s="286">
        <v>19</v>
      </c>
      <c r="AT16" s="286" t="s">
        <v>285</v>
      </c>
      <c r="AV16" s="234">
        <f t="shared" si="21"/>
        <v>15</v>
      </c>
      <c r="AW16" s="234">
        <f>COUNTIF( AV$7:AV16, AV16 )</f>
        <v>3</v>
      </c>
      <c r="AX16" s="287">
        <f t="shared" si="22"/>
        <v>15.3</v>
      </c>
      <c r="AY16" s="234">
        <f t="shared" si="23"/>
        <v>17</v>
      </c>
      <c r="AZ16" s="236"/>
      <c r="BA16" s="236"/>
      <c r="BC16" s="234">
        <f t="shared" ca="1" si="24"/>
        <v>10</v>
      </c>
      <c r="BD16" s="288">
        <f t="shared" ca="1" si="6"/>
        <v>38</v>
      </c>
      <c r="BF16" s="240" t="str">
        <f t="shared" ca="1" si="7"/>
        <v>PPL Corporation</v>
      </c>
      <c r="BG16" s="240" t="str">
        <f t="shared" ca="1" si="7"/>
        <v>A-</v>
      </c>
      <c r="BH16" s="240">
        <f t="shared" ca="1" si="7"/>
        <v>20</v>
      </c>
      <c r="BI16" s="240" t="str">
        <f t="shared" ca="1" si="7"/>
        <v>PPL</v>
      </c>
    </row>
    <row r="17" spans="1:61" x14ac:dyDescent="0.2">
      <c r="A17" s="303" t="s">
        <v>7</v>
      </c>
      <c r="B17" s="304" t="s">
        <v>10</v>
      </c>
      <c r="C17" s="304">
        <v>20</v>
      </c>
      <c r="D17" s="304" t="s">
        <v>328</v>
      </c>
      <c r="E17" s="305" t="str">
        <f t="shared" ca="1" si="8"/>
        <v>R</v>
      </c>
      <c r="F17" s="306"/>
      <c r="G17" s="307">
        <f t="shared" ca="1" si="1"/>
        <v>46</v>
      </c>
      <c r="H17" s="250"/>
      <c r="I17" s="321"/>
      <c r="K17" s="321"/>
      <c r="N17" s="321"/>
      <c r="O17" s="240"/>
      <c r="Q17" s="321"/>
      <c r="T17" s="321"/>
      <c r="W17" s="321"/>
      <c r="AE17" s="245"/>
      <c r="AF17" s="236">
        <f t="shared" si="2"/>
        <v>0</v>
      </c>
      <c r="AG17" s="236" t="str">
        <f t="shared" ca="1" si="3"/>
        <v/>
      </c>
      <c r="AH17" s="236" t="str">
        <f t="shared" ca="1" si="18"/>
        <v/>
      </c>
      <c r="AJ17" s="236">
        <f t="shared" ca="1" si="19"/>
        <v>17</v>
      </c>
      <c r="AK17" s="236" t="str">
        <f t="shared" ca="1" si="20"/>
        <v>A-</v>
      </c>
      <c r="AL17" s="236">
        <f t="shared" ca="1" si="20"/>
        <v>20</v>
      </c>
      <c r="AM17" s="236" t="str">
        <f t="shared" ca="1" si="4"/>
        <v/>
      </c>
      <c r="AQ17" s="286" t="s">
        <v>60</v>
      </c>
      <c r="AR17" s="286" t="s">
        <v>16</v>
      </c>
      <c r="AS17" s="286">
        <v>19</v>
      </c>
      <c r="AT17" s="286" t="s">
        <v>284</v>
      </c>
      <c r="AV17" s="234">
        <f t="shared" si="21"/>
        <v>15</v>
      </c>
      <c r="AW17" s="234">
        <f>COUNTIF( AV$7:AV17, AV17 )</f>
        <v>4</v>
      </c>
      <c r="AX17" s="287">
        <f t="shared" si="22"/>
        <v>15.4</v>
      </c>
      <c r="AY17" s="234">
        <f t="shared" si="23"/>
        <v>18</v>
      </c>
      <c r="AZ17" s="236"/>
      <c r="BA17" s="236"/>
      <c r="BC17" s="234">
        <f t="shared" ca="1" si="24"/>
        <v>11</v>
      </c>
      <c r="BD17" s="288">
        <f t="shared" ca="1" si="6"/>
        <v>43</v>
      </c>
      <c r="BF17" s="240" t="str">
        <f t="shared" ca="1" si="7"/>
        <v>Southern Company</v>
      </c>
      <c r="BG17" s="240" t="str">
        <f t="shared" ca="1" si="7"/>
        <v>A-</v>
      </c>
      <c r="BH17" s="240">
        <f t="shared" ca="1" si="7"/>
        <v>20</v>
      </c>
      <c r="BI17" s="240" t="str">
        <f t="shared" ca="1" si="7"/>
        <v>SO</v>
      </c>
    </row>
    <row r="18" spans="1:61" x14ac:dyDescent="0.2">
      <c r="A18" s="303" t="s">
        <v>14</v>
      </c>
      <c r="B18" s="304" t="s">
        <v>10</v>
      </c>
      <c r="C18" s="304">
        <v>20</v>
      </c>
      <c r="D18" s="304" t="s">
        <v>335</v>
      </c>
      <c r="E18" s="305" t="str">
        <f t="shared" ca="1" si="8"/>
        <v>R</v>
      </c>
      <c r="F18" s="306"/>
      <c r="G18" s="307">
        <f t="shared" ca="1" si="1"/>
        <v>49</v>
      </c>
      <c r="H18" s="250"/>
      <c r="I18" s="321"/>
      <c r="K18" s="321"/>
      <c r="N18" s="321"/>
      <c r="O18" s="240"/>
      <c r="Q18" s="321"/>
      <c r="T18" s="321"/>
      <c r="W18" s="321"/>
      <c r="AE18" s="254"/>
      <c r="AF18" s="236">
        <f t="shared" si="2"/>
        <v>0</v>
      </c>
      <c r="AG18" s="236" t="str">
        <f t="shared" ca="1" si="3"/>
        <v/>
      </c>
      <c r="AH18" s="236" t="str">
        <f t="shared" ca="1" si="18"/>
        <v/>
      </c>
      <c r="AJ18" s="236">
        <f t="shared" ca="1" si="19"/>
        <v>18</v>
      </c>
      <c r="AK18" s="236" t="str">
        <f t="shared" ca="1" si="20"/>
        <v>A-</v>
      </c>
      <c r="AL18" s="236">
        <f t="shared" ca="1" si="20"/>
        <v>20</v>
      </c>
      <c r="AM18" s="236" t="str">
        <f t="shared" ca="1" si="4"/>
        <v/>
      </c>
      <c r="AQ18" s="286" t="s">
        <v>3</v>
      </c>
      <c r="AR18" s="286" t="s">
        <v>10</v>
      </c>
      <c r="AS18" s="286">
        <v>20</v>
      </c>
      <c r="AT18" s="286" t="s">
        <v>292</v>
      </c>
      <c r="AV18" s="234">
        <f t="shared" si="21"/>
        <v>3</v>
      </c>
      <c r="AW18" s="234">
        <f>COUNTIF( AV$7:AV18, AV18 )</f>
        <v>3</v>
      </c>
      <c r="AX18" s="287">
        <f t="shared" si="22"/>
        <v>3.3</v>
      </c>
      <c r="AY18" s="234">
        <f t="shared" si="23"/>
        <v>5</v>
      </c>
      <c r="AZ18" s="236"/>
      <c r="BA18" s="236"/>
      <c r="BC18" s="234">
        <f t="shared" ca="1" si="24"/>
        <v>12</v>
      </c>
      <c r="BD18" s="288">
        <f t="shared" ca="1" si="6"/>
        <v>46</v>
      </c>
      <c r="BF18" s="240" t="str">
        <f t="shared" ca="1" si="7"/>
        <v>Vectren Corporation</v>
      </c>
      <c r="BG18" s="240" t="str">
        <f t="shared" ca="1" si="7"/>
        <v>A-</v>
      </c>
      <c r="BH18" s="240">
        <f t="shared" ca="1" si="7"/>
        <v>20</v>
      </c>
      <c r="BI18" s="240" t="str">
        <f t="shared" ca="1" si="7"/>
        <v>VVC</v>
      </c>
    </row>
    <row r="19" spans="1:61" x14ac:dyDescent="0.2">
      <c r="A19" s="303" t="s">
        <v>26</v>
      </c>
      <c r="B19" s="304" t="s">
        <v>10</v>
      </c>
      <c r="C19" s="304">
        <v>20</v>
      </c>
      <c r="D19" s="304" t="s">
        <v>336</v>
      </c>
      <c r="E19" s="305" t="str">
        <f t="shared" ca="1" si="8"/>
        <v>R</v>
      </c>
      <c r="F19" s="306"/>
      <c r="G19" s="307">
        <f t="shared" ca="1" si="1"/>
        <v>50</v>
      </c>
      <c r="H19" s="250"/>
      <c r="I19" s="321"/>
      <c r="K19" s="321"/>
      <c r="N19" s="321"/>
      <c r="O19" s="240"/>
      <c r="Q19" s="321"/>
      <c r="T19" s="321"/>
      <c r="W19" s="321"/>
      <c r="AE19" s="254"/>
      <c r="AF19" s="236">
        <f t="shared" si="2"/>
        <v>0</v>
      </c>
      <c r="AG19" s="236" t="str">
        <f t="shared" ca="1" si="3"/>
        <v/>
      </c>
      <c r="AH19" s="236" t="str">
        <f t="shared" ca="1" si="18"/>
        <v/>
      </c>
      <c r="AJ19" s="236">
        <f t="shared" ca="1" si="19"/>
        <v>19</v>
      </c>
      <c r="AK19" s="236" t="str">
        <f t="shared" ca="1" si="20"/>
        <v>A-</v>
      </c>
      <c r="AL19" s="236">
        <f t="shared" ca="1" si="20"/>
        <v>20</v>
      </c>
      <c r="AM19" s="236" t="str">
        <f t="shared" ca="1" si="4"/>
        <v/>
      </c>
      <c r="AQ19" s="286" t="s">
        <v>18</v>
      </c>
      <c r="AR19" s="286" t="s">
        <v>16</v>
      </c>
      <c r="AS19" s="286">
        <v>19</v>
      </c>
      <c r="AT19" s="286" t="s">
        <v>86</v>
      </c>
      <c r="AV19" s="234">
        <f t="shared" si="21"/>
        <v>15</v>
      </c>
      <c r="AW19" s="234">
        <f>COUNTIF( AV$7:AV19, AV19 )</f>
        <v>5</v>
      </c>
      <c r="AX19" s="287">
        <f t="shared" si="22"/>
        <v>15.5</v>
      </c>
      <c r="AY19" s="234">
        <f t="shared" si="23"/>
        <v>19</v>
      </c>
      <c r="AZ19" s="236"/>
      <c r="BA19" s="236"/>
      <c r="BC19" s="234">
        <f t="shared" ca="1" si="24"/>
        <v>13</v>
      </c>
      <c r="BD19" s="288">
        <f t="shared" ca="1" si="6"/>
        <v>48</v>
      </c>
      <c r="BF19" s="240" t="str">
        <f t="shared" ca="1" si="7"/>
        <v>Wisconsin Energy Corporation</v>
      </c>
      <c r="BG19" s="240" t="str">
        <f t="shared" ca="1" si="7"/>
        <v>A-</v>
      </c>
      <c r="BH19" s="240">
        <f t="shared" ca="1" si="7"/>
        <v>20</v>
      </c>
      <c r="BI19" s="240" t="str">
        <f t="shared" ca="1" si="7"/>
        <v>WEC</v>
      </c>
    </row>
    <row r="20" spans="1:61" x14ac:dyDescent="0.2">
      <c r="A20" s="303" t="s">
        <v>258</v>
      </c>
      <c r="B20" s="304" t="s">
        <v>10</v>
      </c>
      <c r="C20" s="304">
        <v>20</v>
      </c>
      <c r="D20" s="304" t="s">
        <v>338</v>
      </c>
      <c r="E20" s="305" t="str">
        <f t="shared" ca="1" si="8"/>
        <v>R</v>
      </c>
      <c r="F20" s="306"/>
      <c r="G20" s="307">
        <f t="shared" ca="1" si="1"/>
        <v>52</v>
      </c>
      <c r="H20" s="250"/>
      <c r="I20" s="322"/>
      <c r="K20" s="322"/>
      <c r="N20" s="322"/>
      <c r="O20" s="240"/>
      <c r="Q20" s="322"/>
      <c r="T20" s="322"/>
      <c r="W20" s="322"/>
      <c r="AE20" s="254"/>
      <c r="AF20" s="236">
        <f t="shared" si="2"/>
        <v>0</v>
      </c>
      <c r="AG20" s="236" t="str">
        <f t="shared" ca="1" si="3"/>
        <v/>
      </c>
      <c r="AH20" s="236" t="str">
        <f t="shared" ca="1" si="18"/>
        <v/>
      </c>
      <c r="AJ20" s="236">
        <f t="shared" ca="1" si="19"/>
        <v>20</v>
      </c>
      <c r="AK20" s="236" t="str">
        <f t="shared" ca="1" si="20"/>
        <v>A-</v>
      </c>
      <c r="AL20" s="236">
        <f t="shared" ca="1" si="20"/>
        <v>20</v>
      </c>
      <c r="AM20" s="236" t="str">
        <f t="shared" ca="1" si="4"/>
        <v/>
      </c>
      <c r="AQ20" s="286" t="s">
        <v>64</v>
      </c>
      <c r="AR20" s="286" t="s">
        <v>61</v>
      </c>
      <c r="AS20" s="286">
        <v>15</v>
      </c>
      <c r="AT20" s="286" t="s">
        <v>443</v>
      </c>
      <c r="AV20" s="234">
        <f t="shared" si="21"/>
        <v>49</v>
      </c>
      <c r="AW20" s="234">
        <f>COUNTIF( AV$7:AV20, AV20 )</f>
        <v>1</v>
      </c>
      <c r="AX20" s="287">
        <f t="shared" si="22"/>
        <v>49.1</v>
      </c>
      <c r="AY20" s="234">
        <f t="shared" si="23"/>
        <v>49</v>
      </c>
      <c r="AZ20" s="236"/>
      <c r="BA20" s="236"/>
      <c r="BC20" s="234">
        <f t="shared" ca="1" si="24"/>
        <v>14</v>
      </c>
      <c r="BD20" s="288">
        <f t="shared" ca="1" si="6"/>
        <v>49</v>
      </c>
      <c r="BF20" s="240" t="str">
        <f t="shared" ca="1" si="7"/>
        <v>Xcel Energy Inc.</v>
      </c>
      <c r="BG20" s="240" t="str">
        <f t="shared" ca="1" si="7"/>
        <v>A-</v>
      </c>
      <c r="BH20" s="240">
        <f t="shared" ca="1" si="7"/>
        <v>20</v>
      </c>
      <c r="BI20" s="240" t="str">
        <f t="shared" ca="1" si="7"/>
        <v>XEL</v>
      </c>
    </row>
    <row r="21" spans="1:61" x14ac:dyDescent="0.2">
      <c r="A21" s="303" t="s">
        <v>15</v>
      </c>
      <c r="B21" s="304" t="s">
        <v>16</v>
      </c>
      <c r="C21" s="304">
        <v>19</v>
      </c>
      <c r="D21" s="304" t="s">
        <v>277</v>
      </c>
      <c r="E21" s="305" t="str">
        <f t="shared" ca="1" si="8"/>
        <v>MR</v>
      </c>
      <c r="F21" s="306"/>
      <c r="G21" s="307">
        <f t="shared" ca="1" si="1"/>
        <v>7</v>
      </c>
      <c r="H21" s="250"/>
      <c r="I21" s="321"/>
      <c r="K21" s="321"/>
      <c r="N21" s="321"/>
      <c r="Q21" s="321"/>
      <c r="T21" s="321"/>
      <c r="W21" s="321"/>
      <c r="AE21" s="254"/>
      <c r="AF21" s="236">
        <f t="shared" si="2"/>
        <v>1</v>
      </c>
      <c r="AG21" s="236" t="str">
        <f t="shared" ca="1" si="3"/>
        <v/>
      </c>
      <c r="AH21" s="236" t="str">
        <f t="shared" ca="1" si="18"/>
        <v/>
      </c>
      <c r="AJ21" s="236">
        <f t="shared" ca="1" si="19"/>
        <v>21</v>
      </c>
      <c r="AK21" s="236" t="str">
        <f t="shared" ca="1" si="20"/>
        <v>BBB+</v>
      </c>
      <c r="AL21" s="236">
        <f t="shared" ca="1" si="20"/>
        <v>19</v>
      </c>
      <c r="AM21" s="236" t="str">
        <f t="shared" ca="1" si="4"/>
        <v/>
      </c>
      <c r="AQ21" s="286" t="s">
        <v>31</v>
      </c>
      <c r="AR21" s="286" t="s">
        <v>16</v>
      </c>
      <c r="AS21" s="286">
        <v>19</v>
      </c>
      <c r="AT21" s="286" t="s">
        <v>289</v>
      </c>
      <c r="AV21" s="234">
        <f t="shared" si="21"/>
        <v>15</v>
      </c>
      <c r="AW21" s="234">
        <f>COUNTIF( AV$7:AV21, AV21 )</f>
        <v>6</v>
      </c>
      <c r="AX21" s="287">
        <f t="shared" si="22"/>
        <v>15.6</v>
      </c>
      <c r="AY21" s="234">
        <f t="shared" si="23"/>
        <v>20</v>
      </c>
      <c r="AZ21" s="236"/>
      <c r="BA21" s="236"/>
      <c r="BC21" s="234">
        <f t="shared" ca="1" si="24"/>
        <v>15</v>
      </c>
      <c r="BD21" s="288">
        <f t="shared" ca="1" si="6"/>
        <v>1</v>
      </c>
      <c r="BF21" s="240" t="str">
        <f t="shared" ca="1" si="7"/>
        <v>ALLETE, Inc.</v>
      </c>
      <c r="BG21" s="240" t="str">
        <f t="shared" ca="1" si="7"/>
        <v>BBB+</v>
      </c>
      <c r="BH21" s="240">
        <f t="shared" ca="1" si="7"/>
        <v>19</v>
      </c>
      <c r="BI21" s="240" t="str">
        <f t="shared" ca="1" si="7"/>
        <v>ALE</v>
      </c>
    </row>
    <row r="22" spans="1:61" x14ac:dyDescent="0.2">
      <c r="A22" s="303" t="s">
        <v>9</v>
      </c>
      <c r="B22" s="304" t="s">
        <v>16</v>
      </c>
      <c r="C22" s="304">
        <v>19</v>
      </c>
      <c r="D22" s="304" t="s">
        <v>274</v>
      </c>
      <c r="E22" s="305" t="str">
        <f t="shared" ca="1" si="8"/>
        <v>R</v>
      </c>
      <c r="F22" s="306"/>
      <c r="G22" s="307">
        <f t="shared" ca="1" si="1"/>
        <v>9</v>
      </c>
      <c r="H22" s="250"/>
      <c r="I22" s="321"/>
      <c r="K22" s="321"/>
      <c r="N22" s="321"/>
      <c r="Q22" s="321"/>
      <c r="T22" s="321"/>
      <c r="W22" s="321"/>
      <c r="AE22" s="254"/>
      <c r="AF22" s="236">
        <f t="shared" si="2"/>
        <v>1</v>
      </c>
      <c r="AG22" s="236" t="str">
        <f t="shared" ca="1" si="3"/>
        <v/>
      </c>
      <c r="AH22" s="236" t="str">
        <f t="shared" ca="1" si="18"/>
        <v/>
      </c>
      <c r="AJ22" s="236">
        <f t="shared" ca="1" si="19"/>
        <v>22</v>
      </c>
      <c r="AK22" s="236" t="str">
        <f t="shared" ca="1" si="20"/>
        <v>BBB+</v>
      </c>
      <c r="AL22" s="236">
        <f t="shared" ca="1" si="20"/>
        <v>19</v>
      </c>
      <c r="AM22" s="236" t="str">
        <f t="shared" ca="1" si="4"/>
        <v/>
      </c>
      <c r="AQ22" s="286" t="s">
        <v>32</v>
      </c>
      <c r="AR22" s="286" t="s">
        <v>10</v>
      </c>
      <c r="AS22" s="286">
        <v>20</v>
      </c>
      <c r="AT22" s="286" t="s">
        <v>290</v>
      </c>
      <c r="AV22" s="234">
        <f t="shared" si="21"/>
        <v>3</v>
      </c>
      <c r="AW22" s="234">
        <f>COUNTIF( AV$7:AV22, AV22 )</f>
        <v>4</v>
      </c>
      <c r="AX22" s="287">
        <f t="shared" si="22"/>
        <v>3.4</v>
      </c>
      <c r="AY22" s="234">
        <f t="shared" si="23"/>
        <v>6</v>
      </c>
      <c r="AZ22" s="236"/>
      <c r="BA22" s="236"/>
      <c r="BC22" s="234">
        <f t="shared" ca="1" si="24"/>
        <v>16</v>
      </c>
      <c r="BD22" s="288">
        <f t="shared" ca="1" si="6"/>
        <v>3</v>
      </c>
      <c r="BF22" s="240" t="str">
        <f t="shared" ca="1" si="7"/>
        <v>Ameren Corporation</v>
      </c>
      <c r="BG22" s="240" t="str">
        <f t="shared" ca="1" si="7"/>
        <v>BBB+</v>
      </c>
      <c r="BH22" s="240">
        <f t="shared" ca="1" si="7"/>
        <v>19</v>
      </c>
      <c r="BI22" s="240" t="str">
        <f t="shared" ca="1" si="7"/>
        <v>AEE</v>
      </c>
    </row>
    <row r="23" spans="1:61" x14ac:dyDescent="0.2">
      <c r="A23" s="303" t="s">
        <v>30</v>
      </c>
      <c r="B23" s="304" t="s">
        <v>16</v>
      </c>
      <c r="C23" s="304">
        <v>19</v>
      </c>
      <c r="D23" s="304" t="s">
        <v>285</v>
      </c>
      <c r="E23" s="305" t="str">
        <f t="shared" ca="1" si="8"/>
        <v>R</v>
      </c>
      <c r="F23" s="306"/>
      <c r="G23" s="307">
        <f t="shared" ca="1" si="1"/>
        <v>15</v>
      </c>
      <c r="H23" s="250"/>
      <c r="I23" s="321"/>
      <c r="K23" s="321"/>
      <c r="N23" s="321"/>
      <c r="Q23" s="321"/>
      <c r="T23" s="321"/>
      <c r="W23" s="321"/>
      <c r="AE23" s="254"/>
      <c r="AF23" s="236">
        <f t="shared" si="2"/>
        <v>1</v>
      </c>
      <c r="AG23" s="236" t="str">
        <f t="shared" ca="1" si="3"/>
        <v/>
      </c>
      <c r="AH23" s="236" t="str">
        <f t="shared" ca="1" si="18"/>
        <v/>
      </c>
      <c r="AJ23" s="236">
        <f t="shared" ca="1" si="19"/>
        <v>24</v>
      </c>
      <c r="AK23" s="236" t="str">
        <f t="shared" ca="1" si="20"/>
        <v>BBB+</v>
      </c>
      <c r="AL23" s="236">
        <f t="shared" ca="1" si="20"/>
        <v>19</v>
      </c>
      <c r="AM23" s="236" t="str">
        <f t="shared" ca="1" si="4"/>
        <v/>
      </c>
      <c r="AQ23" s="286" t="s">
        <v>57</v>
      </c>
      <c r="AR23" s="286" t="s">
        <v>16</v>
      </c>
      <c r="AS23" s="286">
        <v>19</v>
      </c>
      <c r="AT23" s="286" t="s">
        <v>296</v>
      </c>
      <c r="AV23" s="234">
        <f t="shared" si="21"/>
        <v>15</v>
      </c>
      <c r="AW23" s="234">
        <f>COUNTIF( AV$7:AV23, AV23 )</f>
        <v>7</v>
      </c>
      <c r="AX23" s="287">
        <f t="shared" si="22"/>
        <v>15.7</v>
      </c>
      <c r="AY23" s="234">
        <f t="shared" si="23"/>
        <v>21</v>
      </c>
      <c r="AZ23" s="236"/>
      <c r="BA23" s="236"/>
      <c r="BC23" s="234">
        <f t="shared" ca="1" si="24"/>
        <v>17</v>
      </c>
      <c r="BD23" s="288">
        <f t="shared" ca="1" si="6"/>
        <v>10</v>
      </c>
      <c r="BF23" s="240" t="str">
        <f t="shared" ca="1" si="7"/>
        <v>Cleco Corporation</v>
      </c>
      <c r="BG23" s="240" t="str">
        <f t="shared" ca="1" si="7"/>
        <v>BBB+</v>
      </c>
      <c r="BH23" s="240">
        <f t="shared" ca="1" si="7"/>
        <v>19</v>
      </c>
      <c r="BI23" s="240" t="str">
        <f t="shared" ca="1" si="7"/>
        <v>CNL</v>
      </c>
    </row>
    <row r="24" spans="1:61" x14ac:dyDescent="0.2">
      <c r="A24" s="303" t="s">
        <v>60</v>
      </c>
      <c r="B24" s="304" t="s">
        <v>16</v>
      </c>
      <c r="C24" s="304">
        <v>19</v>
      </c>
      <c r="D24" s="304" t="s">
        <v>284</v>
      </c>
      <c r="E24" s="305" t="str">
        <f t="shared" ca="1" si="8"/>
        <v>R</v>
      </c>
      <c r="F24" s="306"/>
      <c r="G24" s="307">
        <f t="shared" ca="1" si="1"/>
        <v>16</v>
      </c>
      <c r="H24" s="250"/>
      <c r="I24" s="321"/>
      <c r="J24" s="262"/>
      <c r="K24" s="321"/>
      <c r="N24" s="321"/>
      <c r="Q24" s="321"/>
      <c r="T24" s="321"/>
      <c r="W24" s="321"/>
      <c r="AE24" s="254"/>
      <c r="AF24" s="236">
        <f t="shared" si="2"/>
        <v>1</v>
      </c>
      <c r="AG24" s="236" t="str">
        <f t="shared" ca="1" si="3"/>
        <v/>
      </c>
      <c r="AH24" s="236" t="str">
        <f t="shared" ca="1" si="18"/>
        <v/>
      </c>
      <c r="AJ24" s="236">
        <f t="shared" ca="1" si="19"/>
        <v>25</v>
      </c>
      <c r="AK24" s="236" t="str">
        <f t="shared" ca="1" si="20"/>
        <v>BBB+</v>
      </c>
      <c r="AL24" s="236">
        <f t="shared" ca="1" si="20"/>
        <v>19</v>
      </c>
      <c r="AM24" s="236" t="str">
        <f t="shared" ca="1" si="4"/>
        <v/>
      </c>
      <c r="AQ24" s="286" t="s">
        <v>34</v>
      </c>
      <c r="AR24" s="286" t="s">
        <v>28</v>
      </c>
      <c r="AS24" s="286">
        <v>18</v>
      </c>
      <c r="AT24" s="286" t="s">
        <v>294</v>
      </c>
      <c r="AV24" s="234">
        <f t="shared" si="21"/>
        <v>32</v>
      </c>
      <c r="AW24" s="234">
        <f>COUNTIF( AV$7:AV24, AV24 )</f>
        <v>5</v>
      </c>
      <c r="AX24" s="287">
        <f t="shared" si="22"/>
        <v>32.5</v>
      </c>
      <c r="AY24" s="234">
        <f t="shared" si="23"/>
        <v>36</v>
      </c>
      <c r="AZ24" s="236"/>
      <c r="BA24" s="236"/>
      <c r="BC24" s="234">
        <f t="shared" ca="1" si="24"/>
        <v>18</v>
      </c>
      <c r="BD24" s="288">
        <f t="shared" ca="1" si="6"/>
        <v>11</v>
      </c>
      <c r="BF24" s="240" t="str">
        <f t="shared" ca="1" si="7"/>
        <v>CMS Energy Corporation</v>
      </c>
      <c r="BG24" s="240" t="str">
        <f t="shared" ca="1" si="7"/>
        <v>BBB+</v>
      </c>
      <c r="BH24" s="240">
        <f t="shared" ca="1" si="7"/>
        <v>19</v>
      </c>
      <c r="BI24" s="240" t="str">
        <f t="shared" ca="1" si="7"/>
        <v>CMS</v>
      </c>
    </row>
    <row r="25" spans="1:61" x14ac:dyDescent="0.2">
      <c r="A25" s="303" t="s">
        <v>18</v>
      </c>
      <c r="B25" s="304" t="s">
        <v>16</v>
      </c>
      <c r="C25" s="304">
        <v>19</v>
      </c>
      <c r="D25" s="304" t="s">
        <v>86</v>
      </c>
      <c r="E25" s="305" t="str">
        <f t="shared" ca="1" si="8"/>
        <v>MR</v>
      </c>
      <c r="F25" s="306"/>
      <c r="G25" s="307">
        <f t="shared" ca="1" si="1"/>
        <v>18</v>
      </c>
      <c r="H25" s="250"/>
      <c r="I25" s="321"/>
      <c r="J25" s="262"/>
      <c r="K25" s="321"/>
      <c r="N25" s="321"/>
      <c r="Q25" s="321"/>
      <c r="T25" s="321"/>
      <c r="W25" s="321"/>
      <c r="AE25" s="254"/>
      <c r="AF25" s="236">
        <f t="shared" si="2"/>
        <v>1</v>
      </c>
      <c r="AG25" s="236" t="str">
        <f t="shared" ca="1" si="3"/>
        <v/>
      </c>
      <c r="AH25" s="236">
        <f t="shared" ca="1" si="18"/>
        <v>1</v>
      </c>
      <c r="AJ25" s="236">
        <f t="shared" ca="1" si="19"/>
        <v>11</v>
      </c>
      <c r="AK25" s="236" t="str">
        <f t="shared" ca="1" si="20"/>
        <v>A-</v>
      </c>
      <c r="AL25" s="236">
        <f t="shared" ca="1" si="20"/>
        <v>20</v>
      </c>
      <c r="AM25" s="236" t="str">
        <f t="shared" ca="1" si="4"/>
        <v>Change</v>
      </c>
      <c r="AQ25" s="286" t="s">
        <v>35</v>
      </c>
      <c r="AR25" s="286" t="s">
        <v>28</v>
      </c>
      <c r="AS25" s="286">
        <v>18</v>
      </c>
      <c r="AT25" s="286" t="s">
        <v>293</v>
      </c>
      <c r="AV25" s="234">
        <f t="shared" si="21"/>
        <v>32</v>
      </c>
      <c r="AW25" s="234">
        <f>COUNTIF( AV$7:AV25, AV25 )</f>
        <v>6</v>
      </c>
      <c r="AX25" s="287">
        <f t="shared" si="22"/>
        <v>32.6</v>
      </c>
      <c r="AY25" s="234">
        <f t="shared" si="23"/>
        <v>37</v>
      </c>
      <c r="AZ25" s="236"/>
      <c r="BA25" s="236"/>
      <c r="BC25" s="234">
        <f t="shared" ca="1" si="24"/>
        <v>19</v>
      </c>
      <c r="BD25" s="288">
        <f t="shared" ca="1" si="6"/>
        <v>13</v>
      </c>
      <c r="BF25" s="240" t="str">
        <f t="shared" ca="1" si="7"/>
        <v>Dominion Resources, Inc.</v>
      </c>
      <c r="BG25" s="240" t="str">
        <f t="shared" ca="1" si="7"/>
        <v>BBB+</v>
      </c>
      <c r="BH25" s="240">
        <f t="shared" ca="1" si="7"/>
        <v>19</v>
      </c>
      <c r="BI25" s="240" t="str">
        <f t="shared" ca="1" si="7"/>
        <v>D</v>
      </c>
    </row>
    <row r="26" spans="1:61" x14ac:dyDescent="0.2">
      <c r="A26" s="303" t="s">
        <v>31</v>
      </c>
      <c r="B26" s="304" t="s">
        <v>16</v>
      </c>
      <c r="C26" s="304">
        <v>19</v>
      </c>
      <c r="D26" s="304" t="s">
        <v>289</v>
      </c>
      <c r="E26" s="305" t="str">
        <f t="shared" ca="1" si="8"/>
        <v>R</v>
      </c>
      <c r="F26" s="306"/>
      <c r="G26" s="307">
        <f t="shared" ca="1" si="1"/>
        <v>19</v>
      </c>
      <c r="H26" s="250"/>
      <c r="I26" s="321"/>
      <c r="J26" s="262"/>
      <c r="K26" s="321"/>
      <c r="N26" s="321"/>
      <c r="Q26" s="321"/>
      <c r="T26" s="321"/>
      <c r="W26" s="321"/>
      <c r="AE26" s="254"/>
      <c r="AF26" s="236">
        <f t="shared" si="2"/>
        <v>1</v>
      </c>
      <c r="AG26" s="236" t="str">
        <f t="shared" ca="1" si="3"/>
        <v/>
      </c>
      <c r="AH26" s="236" t="str">
        <f t="shared" ca="1" si="18"/>
        <v/>
      </c>
      <c r="AJ26" s="236">
        <f t="shared" ca="1" si="19"/>
        <v>26</v>
      </c>
      <c r="AK26" s="236" t="str">
        <f t="shared" ca="1" si="20"/>
        <v>BBB+</v>
      </c>
      <c r="AL26" s="236">
        <f t="shared" ca="1" si="20"/>
        <v>19</v>
      </c>
      <c r="AM26" s="236" t="str">
        <f t="shared" ca="1" si="4"/>
        <v/>
      </c>
      <c r="AQ26" s="286" t="s">
        <v>36</v>
      </c>
      <c r="AR26" s="286" t="s">
        <v>28</v>
      </c>
      <c r="AS26" s="286">
        <v>18</v>
      </c>
      <c r="AT26" s="286" t="s">
        <v>297</v>
      </c>
      <c r="AV26" s="234">
        <f t="shared" si="21"/>
        <v>32</v>
      </c>
      <c r="AW26" s="234">
        <f>COUNTIF( AV$7:AV26, AV26 )</f>
        <v>7</v>
      </c>
      <c r="AX26" s="287">
        <f t="shared" si="22"/>
        <v>32.700000000000003</v>
      </c>
      <c r="AY26" s="234">
        <f t="shared" si="23"/>
        <v>38</v>
      </c>
      <c r="AZ26" s="236"/>
      <c r="BA26" s="236"/>
      <c r="BC26" s="234">
        <f t="shared" ca="1" si="24"/>
        <v>20</v>
      </c>
      <c r="BD26" s="288">
        <f t="shared" ca="1" si="6"/>
        <v>15</v>
      </c>
      <c r="BF26" s="240" t="str">
        <f t="shared" ca="1" si="7"/>
        <v>DTE Energy Company</v>
      </c>
      <c r="BG26" s="240" t="str">
        <f t="shared" ca="1" si="7"/>
        <v>BBB+</v>
      </c>
      <c r="BH26" s="240">
        <f t="shared" ca="1" si="7"/>
        <v>19</v>
      </c>
      <c r="BI26" s="240" t="str">
        <f t="shared" ca="1" si="7"/>
        <v>DTE</v>
      </c>
    </row>
    <row r="27" spans="1:61" x14ac:dyDescent="0.2">
      <c r="A27" s="303" t="s">
        <v>57</v>
      </c>
      <c r="B27" s="304" t="s">
        <v>16</v>
      </c>
      <c r="C27" s="304">
        <v>19</v>
      </c>
      <c r="D27" s="304" t="s">
        <v>296</v>
      </c>
      <c r="E27" s="305" t="str">
        <f t="shared" ca="1" si="8"/>
        <v>R</v>
      </c>
      <c r="F27" s="306"/>
      <c r="G27" s="307">
        <f t="shared" ca="1" si="1"/>
        <v>21</v>
      </c>
      <c r="H27" s="250"/>
      <c r="I27" s="321"/>
      <c r="J27" s="262"/>
      <c r="K27" s="321"/>
      <c r="N27" s="321"/>
      <c r="Q27" s="321"/>
      <c r="T27" s="321"/>
      <c r="W27" s="321"/>
      <c r="AE27" s="254"/>
      <c r="AF27" s="236">
        <f t="shared" si="2"/>
        <v>1</v>
      </c>
      <c r="AG27" s="236" t="str">
        <f t="shared" ca="1" si="3"/>
        <v/>
      </c>
      <c r="AH27" s="236" t="str">
        <f t="shared" ca="1" si="18"/>
        <v/>
      </c>
      <c r="AJ27" s="236">
        <f t="shared" ca="1" si="19"/>
        <v>27</v>
      </c>
      <c r="AK27" s="236" t="str">
        <f t="shared" ca="1" si="20"/>
        <v>BBB+</v>
      </c>
      <c r="AL27" s="236">
        <f t="shared" ca="1" si="20"/>
        <v>19</v>
      </c>
      <c r="AM27" s="236" t="str">
        <f t="shared" ca="1" si="4"/>
        <v/>
      </c>
      <c r="AQ27" s="286" t="s">
        <v>516</v>
      </c>
      <c r="AR27" s="286" t="s">
        <v>2</v>
      </c>
      <c r="AS27" s="286">
        <v>21</v>
      </c>
      <c r="AT27" s="289" t="s">
        <v>512</v>
      </c>
      <c r="AV27" s="234">
        <f t="shared" si="21"/>
        <v>1</v>
      </c>
      <c r="AW27" s="234">
        <f>COUNTIF( AV$7:AV27, AV27 )</f>
        <v>2</v>
      </c>
      <c r="AX27" s="287">
        <f t="shared" si="22"/>
        <v>1.2</v>
      </c>
      <c r="AY27" s="234">
        <f t="shared" si="23"/>
        <v>2</v>
      </c>
      <c r="AZ27" s="236"/>
      <c r="BA27" s="236"/>
      <c r="BC27" s="234">
        <f t="shared" ca="1" si="24"/>
        <v>21</v>
      </c>
      <c r="BD27" s="288">
        <f t="shared" ca="1" si="6"/>
        <v>17</v>
      </c>
      <c r="BF27" s="240" t="str">
        <f t="shared" ca="1" si="7"/>
        <v>Edison International</v>
      </c>
      <c r="BG27" s="240" t="str">
        <f t="shared" ca="1" si="7"/>
        <v>BBB+</v>
      </c>
      <c r="BH27" s="240">
        <f t="shared" ca="1" si="7"/>
        <v>19</v>
      </c>
      <c r="BI27" s="240" t="str">
        <f t="shared" ca="1" si="7"/>
        <v>EIX</v>
      </c>
    </row>
    <row r="28" spans="1:61" x14ac:dyDescent="0.2">
      <c r="A28" s="303" t="s">
        <v>261</v>
      </c>
      <c r="B28" s="304" t="s">
        <v>16</v>
      </c>
      <c r="C28" s="304">
        <v>19</v>
      </c>
      <c r="D28" s="304" t="s">
        <v>301</v>
      </c>
      <c r="E28" s="305" t="str">
        <f t="shared" ca="1" si="8"/>
        <v>R</v>
      </c>
      <c r="F28" s="306"/>
      <c r="G28" s="307">
        <f t="shared" ca="1" si="1"/>
        <v>28</v>
      </c>
      <c r="H28" s="250"/>
      <c r="I28" s="321"/>
      <c r="J28" s="262"/>
      <c r="K28" s="321"/>
      <c r="N28" s="321"/>
      <c r="Q28" s="321"/>
      <c r="T28" s="321"/>
      <c r="W28" s="321"/>
      <c r="AE28" s="245"/>
      <c r="AF28" s="236">
        <f t="shared" si="2"/>
        <v>1</v>
      </c>
      <c r="AG28" s="236" t="str">
        <f t="shared" ca="1" si="3"/>
        <v/>
      </c>
      <c r="AH28" s="236" t="str">
        <f t="shared" ca="1" si="18"/>
        <v/>
      </c>
      <c r="AJ28" s="236">
        <f t="shared" ca="1" si="19"/>
        <v>28</v>
      </c>
      <c r="AK28" s="236" t="str">
        <f t="shared" ca="1" si="20"/>
        <v>BBB+</v>
      </c>
      <c r="AL28" s="236">
        <f t="shared" ca="1" si="20"/>
        <v>19</v>
      </c>
      <c r="AM28" s="236" t="str">
        <f t="shared" ca="1" si="4"/>
        <v/>
      </c>
      <c r="AQ28" s="286" t="s">
        <v>11</v>
      </c>
      <c r="AR28" s="286" t="s">
        <v>28</v>
      </c>
      <c r="AS28" s="286">
        <v>18</v>
      </c>
      <c r="AT28" s="286" t="s">
        <v>298</v>
      </c>
      <c r="AV28" s="234">
        <f t="shared" si="21"/>
        <v>32</v>
      </c>
      <c r="AW28" s="234">
        <f>COUNTIF( AV$7:AV28, AV28 )</f>
        <v>8</v>
      </c>
      <c r="AX28" s="287">
        <f t="shared" si="22"/>
        <v>32.799999999999997</v>
      </c>
      <c r="AY28" s="234">
        <f t="shared" si="23"/>
        <v>39</v>
      </c>
      <c r="AZ28" s="236"/>
      <c r="BA28" s="236"/>
      <c r="BC28" s="234">
        <f t="shared" ca="1" si="24"/>
        <v>22</v>
      </c>
      <c r="BD28" s="288">
        <f t="shared" ca="1" si="6"/>
        <v>24</v>
      </c>
      <c r="BF28" s="240" t="str">
        <f t="shared" ca="1" si="7"/>
        <v>Great Plains Energy Inc.</v>
      </c>
      <c r="BG28" s="240" t="str">
        <f t="shared" ca="1" si="7"/>
        <v>BBB+</v>
      </c>
      <c r="BH28" s="240">
        <f t="shared" ca="1" si="7"/>
        <v>19</v>
      </c>
      <c r="BI28" s="240" t="str">
        <f t="shared" ca="1" si="7"/>
        <v>GXP</v>
      </c>
    </row>
    <row r="29" spans="1:61" x14ac:dyDescent="0.2">
      <c r="A29" s="303" t="s">
        <v>12</v>
      </c>
      <c r="B29" s="304" t="s">
        <v>16</v>
      </c>
      <c r="C29" s="304">
        <v>19</v>
      </c>
      <c r="D29" s="304" t="s">
        <v>309</v>
      </c>
      <c r="E29" s="305" t="str">
        <f t="shared" ca="1" si="8"/>
        <v>MR</v>
      </c>
      <c r="F29" s="306"/>
      <c r="G29" s="307">
        <f t="shared" ca="1" si="1"/>
        <v>31</v>
      </c>
      <c r="H29" s="250"/>
      <c r="I29" s="321"/>
      <c r="J29" s="262"/>
      <c r="K29" s="321"/>
      <c r="N29" s="321"/>
      <c r="Q29" s="321"/>
      <c r="T29" s="321"/>
      <c r="W29" s="321"/>
      <c r="AF29" s="236">
        <f t="shared" si="2"/>
        <v>1</v>
      </c>
      <c r="AG29" s="236" t="str">
        <f t="shared" ca="1" si="3"/>
        <v/>
      </c>
      <c r="AH29" s="236" t="str">
        <f t="shared" ca="1" si="18"/>
        <v/>
      </c>
      <c r="AJ29" s="236">
        <f t="shared" ca="1" si="19"/>
        <v>29</v>
      </c>
      <c r="AK29" s="236" t="str">
        <f t="shared" ca="1" si="20"/>
        <v>BBB+</v>
      </c>
      <c r="AL29" s="236">
        <f t="shared" ca="1" si="20"/>
        <v>19</v>
      </c>
      <c r="AM29" s="236" t="str">
        <f t="shared" ca="1" si="4"/>
        <v/>
      </c>
      <c r="AQ29" s="286" t="s">
        <v>51</v>
      </c>
      <c r="AR29" s="286" t="s">
        <v>49</v>
      </c>
      <c r="AS29" s="286">
        <v>17</v>
      </c>
      <c r="AT29" s="286" t="s">
        <v>299</v>
      </c>
      <c r="AV29" s="234">
        <f t="shared" si="21"/>
        <v>45</v>
      </c>
      <c r="AW29" s="234">
        <f>COUNTIF( AV$7:AV29, AV29 )</f>
        <v>1</v>
      </c>
      <c r="AX29" s="287">
        <f t="shared" si="22"/>
        <v>45.1</v>
      </c>
      <c r="AY29" s="234">
        <f t="shared" si="23"/>
        <v>45</v>
      </c>
      <c r="AZ29" s="236"/>
      <c r="BA29" s="236"/>
      <c r="BC29" s="234">
        <f t="shared" ca="1" si="24"/>
        <v>23</v>
      </c>
      <c r="BD29" s="288">
        <f t="shared" ca="1" si="6"/>
        <v>28</v>
      </c>
      <c r="BF29" s="240" t="str">
        <f t="shared" ca="1" si="7"/>
        <v>MDU Resources Group, Inc.</v>
      </c>
      <c r="BG29" s="240" t="str">
        <f t="shared" ca="1" si="7"/>
        <v>BBB+</v>
      </c>
      <c r="BH29" s="240">
        <f t="shared" ca="1" si="7"/>
        <v>19</v>
      </c>
      <c r="BI29" s="240" t="str">
        <f t="shared" ca="1" si="7"/>
        <v>MDU</v>
      </c>
    </row>
    <row r="30" spans="1:61" x14ac:dyDescent="0.2">
      <c r="A30" s="303" t="s">
        <v>40</v>
      </c>
      <c r="B30" s="304" t="s">
        <v>16</v>
      </c>
      <c r="C30" s="304">
        <v>19</v>
      </c>
      <c r="D30" s="304" t="s">
        <v>311</v>
      </c>
      <c r="E30" s="305" t="str">
        <f t="shared" ca="1" si="8"/>
        <v>R</v>
      </c>
      <c r="F30" s="306"/>
      <c r="G30" s="307">
        <f t="shared" ca="1" si="1"/>
        <v>34</v>
      </c>
      <c r="H30" s="250"/>
      <c r="I30" s="321"/>
      <c r="J30" s="262"/>
      <c r="K30" s="321"/>
      <c r="N30" s="321"/>
      <c r="Q30" s="321"/>
      <c r="T30" s="321"/>
      <c r="W30" s="321"/>
      <c r="AF30" s="236">
        <f t="shared" si="2"/>
        <v>1</v>
      </c>
      <c r="AG30" s="236" t="str">
        <f t="shared" ca="1" si="3"/>
        <v/>
      </c>
      <c r="AH30" s="236" t="str">
        <f t="shared" ca="1" si="18"/>
        <v/>
      </c>
      <c r="AJ30" s="236">
        <f t="shared" ca="1" si="19"/>
        <v>30</v>
      </c>
      <c r="AK30" s="236" t="str">
        <f t="shared" ca="1" si="20"/>
        <v>BBB+</v>
      </c>
      <c r="AL30" s="236">
        <f t="shared" ca="1" si="20"/>
        <v>19</v>
      </c>
      <c r="AM30" s="236" t="str">
        <f t="shared" ca="1" si="4"/>
        <v/>
      </c>
      <c r="AQ30" s="286" t="s">
        <v>261</v>
      </c>
      <c r="AR30" s="286" t="s">
        <v>16</v>
      </c>
      <c r="AS30" s="286">
        <v>19</v>
      </c>
      <c r="AT30" s="286" t="s">
        <v>301</v>
      </c>
      <c r="AV30" s="234">
        <f t="shared" si="21"/>
        <v>15</v>
      </c>
      <c r="AW30" s="234">
        <f>COUNTIF( AV$7:AV30, AV30 )</f>
        <v>8</v>
      </c>
      <c r="AX30" s="287">
        <f t="shared" si="22"/>
        <v>15.8</v>
      </c>
      <c r="AY30" s="234">
        <f t="shared" si="23"/>
        <v>22</v>
      </c>
      <c r="AZ30" s="236"/>
      <c r="BA30" s="236"/>
      <c r="BC30" s="234">
        <f t="shared" ca="1" si="24"/>
        <v>24</v>
      </c>
      <c r="BD30" s="288">
        <f t="shared" ca="1" si="6"/>
        <v>30</v>
      </c>
      <c r="BF30" s="240" t="str">
        <f t="shared" ca="1" si="7"/>
        <v>NiSource Inc.</v>
      </c>
      <c r="BG30" s="240" t="str">
        <f t="shared" ca="1" si="7"/>
        <v>BBB+</v>
      </c>
      <c r="BH30" s="240">
        <f t="shared" ca="1" si="7"/>
        <v>19</v>
      </c>
      <c r="BI30" s="240" t="str">
        <f t="shared" ca="1" si="7"/>
        <v>NI</v>
      </c>
    </row>
    <row r="31" spans="1:61" x14ac:dyDescent="0.2">
      <c r="A31" s="303" t="s">
        <v>42</v>
      </c>
      <c r="B31" s="304" t="s">
        <v>16</v>
      </c>
      <c r="C31" s="304">
        <v>19</v>
      </c>
      <c r="D31" s="304" t="s">
        <v>321</v>
      </c>
      <c r="E31" s="305" t="str">
        <f t="shared" ca="1" si="8"/>
        <v>R</v>
      </c>
      <c r="F31" s="306"/>
      <c r="G31" s="307">
        <f t="shared" ca="1" si="1"/>
        <v>40</v>
      </c>
      <c r="H31" s="250"/>
      <c r="I31" s="321"/>
      <c r="J31" s="262"/>
      <c r="K31" s="321"/>
      <c r="N31" s="321"/>
      <c r="O31" s="253"/>
      <c r="Q31" s="321"/>
      <c r="T31" s="321"/>
      <c r="W31" s="321"/>
      <c r="AF31" s="236">
        <f t="shared" si="2"/>
        <v>1</v>
      </c>
      <c r="AG31" s="236" t="str">
        <f t="shared" ca="1" si="3"/>
        <v/>
      </c>
      <c r="AH31" s="236" t="str">
        <f t="shared" ca="1" si="18"/>
        <v/>
      </c>
      <c r="AJ31" s="236">
        <f t="shared" ca="1" si="19"/>
        <v>32</v>
      </c>
      <c r="AK31" s="236" t="str">
        <f t="shared" ca="1" si="20"/>
        <v>BBB+</v>
      </c>
      <c r="AL31" s="236">
        <f t="shared" ca="1" si="20"/>
        <v>19</v>
      </c>
      <c r="AM31" s="236" t="str">
        <f t="shared" ca="1" si="4"/>
        <v/>
      </c>
      <c r="AQ31" s="286" t="s">
        <v>39</v>
      </c>
      <c r="AR31" s="286" t="s">
        <v>49</v>
      </c>
      <c r="AS31" s="286">
        <v>17</v>
      </c>
      <c r="AT31" s="286" t="s">
        <v>302</v>
      </c>
      <c r="AV31" s="234">
        <f t="shared" si="21"/>
        <v>45</v>
      </c>
      <c r="AW31" s="234">
        <f>COUNTIF( AV$7:AV31, AV31 )</f>
        <v>2</v>
      </c>
      <c r="AX31" s="287">
        <f t="shared" si="22"/>
        <v>45.2</v>
      </c>
      <c r="AY31" s="234">
        <f t="shared" si="23"/>
        <v>46</v>
      </c>
      <c r="AZ31" s="236"/>
      <c r="BA31" s="236"/>
      <c r="BC31" s="234">
        <f t="shared" ca="1" si="24"/>
        <v>25</v>
      </c>
      <c r="BD31" s="288">
        <f t="shared" ca="1" si="6"/>
        <v>36</v>
      </c>
      <c r="BF31" s="240" t="str">
        <f t="shared" ca="1" si="7"/>
        <v>PNM Resources, Inc.</v>
      </c>
      <c r="BG31" s="240" t="str">
        <f t="shared" ca="1" si="7"/>
        <v>BBB+</v>
      </c>
      <c r="BH31" s="240">
        <f t="shared" ca="1" si="7"/>
        <v>19</v>
      </c>
      <c r="BI31" s="240" t="str">
        <f t="shared" ca="1" si="7"/>
        <v>PNM</v>
      </c>
    </row>
    <row r="32" spans="1:61" x14ac:dyDescent="0.2">
      <c r="A32" s="303" t="s">
        <v>45</v>
      </c>
      <c r="B32" s="304" t="s">
        <v>16</v>
      </c>
      <c r="C32" s="304">
        <v>19</v>
      </c>
      <c r="D32" s="304" t="s">
        <v>319</v>
      </c>
      <c r="E32" s="305" t="str">
        <f t="shared" ca="1" si="8"/>
        <v>MR</v>
      </c>
      <c r="F32" s="306"/>
      <c r="G32" s="307">
        <f t="shared" ca="1" si="1"/>
        <v>43</v>
      </c>
      <c r="H32" s="250"/>
      <c r="I32" s="321"/>
      <c r="J32" s="262"/>
      <c r="K32" s="321"/>
      <c r="N32" s="321"/>
      <c r="Q32" s="321"/>
      <c r="T32" s="321"/>
      <c r="W32" s="321"/>
      <c r="AF32" s="236">
        <f t="shared" si="2"/>
        <v>1</v>
      </c>
      <c r="AG32" s="236" t="str">
        <f t="shared" ca="1" si="3"/>
        <v/>
      </c>
      <c r="AH32" s="236" t="str">
        <f t="shared" ca="1" si="18"/>
        <v/>
      </c>
      <c r="AJ32" s="236">
        <f t="shared" ca="1" si="19"/>
        <v>33</v>
      </c>
      <c r="AK32" s="236" t="str">
        <f t="shared" ca="1" si="20"/>
        <v>BBB+</v>
      </c>
      <c r="AL32" s="236">
        <f t="shared" ca="1" si="20"/>
        <v>19</v>
      </c>
      <c r="AM32" s="236" t="str">
        <f t="shared" ca="1" si="4"/>
        <v/>
      </c>
      <c r="AQ32" s="286" t="s">
        <v>20</v>
      </c>
      <c r="AR32" s="286" t="s">
        <v>28</v>
      </c>
      <c r="AS32" s="286">
        <v>18</v>
      </c>
      <c r="AT32" s="286" t="s">
        <v>303</v>
      </c>
      <c r="AV32" s="234">
        <f t="shared" si="21"/>
        <v>32</v>
      </c>
      <c r="AW32" s="234">
        <f>COUNTIF( AV$7:AV32, AV32 )</f>
        <v>9</v>
      </c>
      <c r="AX32" s="287">
        <f t="shared" si="22"/>
        <v>32.9</v>
      </c>
      <c r="AY32" s="234">
        <f t="shared" si="23"/>
        <v>40</v>
      </c>
      <c r="AZ32" s="236"/>
      <c r="BA32" s="236"/>
      <c r="BC32" s="234">
        <f t="shared" ca="1" si="24"/>
        <v>26</v>
      </c>
      <c r="BD32" s="288">
        <f t="shared" ca="1" si="6"/>
        <v>39</v>
      </c>
      <c r="BF32" s="240" t="str">
        <f t="shared" ca="1" si="7"/>
        <v>Public Service Enterprise Group Incorporated</v>
      </c>
      <c r="BG32" s="240" t="str">
        <f t="shared" ca="1" si="7"/>
        <v>BBB+</v>
      </c>
      <c r="BH32" s="240">
        <f t="shared" ca="1" si="7"/>
        <v>19</v>
      </c>
      <c r="BI32" s="240" t="str">
        <f t="shared" ca="1" si="7"/>
        <v>PEG</v>
      </c>
    </row>
    <row r="33" spans="1:61" x14ac:dyDescent="0.2">
      <c r="A33" s="303" t="s">
        <v>13</v>
      </c>
      <c r="B33" s="304" t="s">
        <v>16</v>
      </c>
      <c r="C33" s="304">
        <v>19</v>
      </c>
      <c r="D33" s="304" t="s">
        <v>327</v>
      </c>
      <c r="E33" s="305" t="str">
        <f t="shared" ca="1" si="8"/>
        <v>MR</v>
      </c>
      <c r="F33" s="306"/>
      <c r="G33" s="307">
        <f t="shared" ca="1" si="1"/>
        <v>44</v>
      </c>
      <c r="H33" s="250"/>
      <c r="I33" s="321"/>
      <c r="J33" s="262"/>
      <c r="K33" s="321"/>
      <c r="N33" s="321"/>
      <c r="Q33" s="321"/>
      <c r="T33" s="321"/>
      <c r="W33" s="321"/>
      <c r="AF33" s="236">
        <f t="shared" si="2"/>
        <v>1</v>
      </c>
      <c r="AG33" s="236" t="str">
        <f t="shared" ca="1" si="3"/>
        <v/>
      </c>
      <c r="AH33" s="236" t="str">
        <f t="shared" ca="1" si="18"/>
        <v/>
      </c>
      <c r="AJ33" s="236">
        <f t="shared" ca="1" si="19"/>
        <v>34</v>
      </c>
      <c r="AK33" s="236" t="str">
        <f t="shared" ca="1" si="20"/>
        <v>BBB+</v>
      </c>
      <c r="AL33" s="236">
        <f t="shared" ca="1" si="20"/>
        <v>19</v>
      </c>
      <c r="AM33" s="236" t="str">
        <f t="shared" ca="1" si="4"/>
        <v/>
      </c>
      <c r="AQ33" s="286" t="s">
        <v>58</v>
      </c>
      <c r="AR33" s="286" t="s">
        <v>56</v>
      </c>
      <c r="AS33" s="286">
        <v>16</v>
      </c>
      <c r="AT33" s="286" t="s">
        <v>446</v>
      </c>
      <c r="AV33" s="234">
        <f t="shared" si="21"/>
        <v>48</v>
      </c>
      <c r="AW33" s="234">
        <f>COUNTIF( AV$7:AV33, AV33 )</f>
        <v>1</v>
      </c>
      <c r="AX33" s="287">
        <f t="shared" si="22"/>
        <v>48.1</v>
      </c>
      <c r="AY33" s="234">
        <f t="shared" si="23"/>
        <v>48</v>
      </c>
      <c r="AZ33" s="236"/>
      <c r="BA33" s="236"/>
      <c r="BC33" s="234">
        <f t="shared" ca="1" si="24"/>
        <v>27</v>
      </c>
      <c r="BD33" s="288">
        <f t="shared" ca="1" si="6"/>
        <v>41</v>
      </c>
      <c r="BF33" s="240" t="str">
        <f t="shared" ca="1" si="7"/>
        <v>SCANA Corporation</v>
      </c>
      <c r="BG33" s="240" t="str">
        <f t="shared" ca="1" si="7"/>
        <v>BBB+</v>
      </c>
      <c r="BH33" s="240">
        <f t="shared" ca="1" si="7"/>
        <v>19</v>
      </c>
      <c r="BI33" s="240" t="str">
        <f t="shared" ca="1" si="7"/>
        <v>SCG</v>
      </c>
    </row>
    <row r="34" spans="1:61" x14ac:dyDescent="0.2">
      <c r="A34" s="303" t="s">
        <v>25</v>
      </c>
      <c r="B34" s="304" t="s">
        <v>16</v>
      </c>
      <c r="C34" s="304">
        <v>19</v>
      </c>
      <c r="D34" s="304" t="s">
        <v>329</v>
      </c>
      <c r="E34" s="305" t="str">
        <f t="shared" ca="1" si="8"/>
        <v>MR</v>
      </c>
      <c r="F34" s="306"/>
      <c r="G34" s="307">
        <f t="shared" ca="1" si="1"/>
        <v>45</v>
      </c>
      <c r="H34" s="250"/>
      <c r="I34" s="321"/>
      <c r="J34" s="262"/>
      <c r="K34" s="321"/>
      <c r="L34" s="235"/>
      <c r="M34" s="235"/>
      <c r="N34" s="321"/>
      <c r="Q34" s="321"/>
      <c r="T34" s="321"/>
      <c r="W34" s="321"/>
      <c r="AF34" s="236">
        <f t="shared" si="2"/>
        <v>1</v>
      </c>
      <c r="AG34" s="236" t="str">
        <f t="shared" ca="1" si="3"/>
        <v/>
      </c>
      <c r="AH34" s="236" t="str">
        <f t="shared" ca="1" si="18"/>
        <v/>
      </c>
      <c r="AJ34" s="236">
        <f t="shared" ca="1" si="19"/>
        <v>35</v>
      </c>
      <c r="AK34" s="236" t="str">
        <f t="shared" ca="1" si="20"/>
        <v>BBB+</v>
      </c>
      <c r="AL34" s="236">
        <f t="shared" ca="1" si="20"/>
        <v>19</v>
      </c>
      <c r="AM34" s="236" t="str">
        <f t="shared" ca="1" si="4"/>
        <v/>
      </c>
      <c r="AQ34" s="286" t="s">
        <v>12</v>
      </c>
      <c r="AR34" s="286" t="s">
        <v>16</v>
      </c>
      <c r="AS34" s="286">
        <v>19</v>
      </c>
      <c r="AT34" s="286" t="s">
        <v>309</v>
      </c>
      <c r="AV34" s="234">
        <f t="shared" si="21"/>
        <v>15</v>
      </c>
      <c r="AW34" s="234">
        <f>COUNTIF( AV$7:AV34, AV34 )</f>
        <v>9</v>
      </c>
      <c r="AX34" s="287">
        <f t="shared" si="22"/>
        <v>15.9</v>
      </c>
      <c r="AY34" s="234">
        <f t="shared" si="23"/>
        <v>23</v>
      </c>
      <c r="AZ34" s="236"/>
      <c r="BA34" s="236"/>
      <c r="BC34" s="234">
        <f t="shared" ca="1" si="24"/>
        <v>28</v>
      </c>
      <c r="BD34" s="288">
        <f t="shared" ca="1" si="6"/>
        <v>42</v>
      </c>
      <c r="BF34" s="240" t="str">
        <f t="shared" ca="1" si="7"/>
        <v>Sempra Energy</v>
      </c>
      <c r="BG34" s="240" t="str">
        <f t="shared" ca="1" si="7"/>
        <v>BBB+</v>
      </c>
      <c r="BH34" s="240">
        <f t="shared" ca="1" si="7"/>
        <v>19</v>
      </c>
      <c r="BI34" s="240" t="str">
        <f t="shared" ca="1" si="7"/>
        <v>SRE</v>
      </c>
    </row>
    <row r="35" spans="1:61" x14ac:dyDescent="0.2">
      <c r="A35" s="303" t="s">
        <v>62</v>
      </c>
      <c r="B35" s="304" t="s">
        <v>16</v>
      </c>
      <c r="C35" s="304">
        <v>19</v>
      </c>
      <c r="D35" s="304" t="s">
        <v>330</v>
      </c>
      <c r="E35" s="305" t="str">
        <f t="shared" ca="1" si="8"/>
        <v>R</v>
      </c>
      <c r="F35" s="306"/>
      <c r="G35" s="307">
        <f t="shared" ca="1" si="1"/>
        <v>47</v>
      </c>
      <c r="H35" s="250"/>
      <c r="I35" s="321"/>
      <c r="K35" s="321"/>
      <c r="L35" s="235"/>
      <c r="M35" s="235"/>
      <c r="N35" s="321"/>
      <c r="Q35" s="321"/>
      <c r="T35" s="321"/>
      <c r="W35" s="321"/>
      <c r="AF35" s="236">
        <f t="shared" si="2"/>
        <v>1</v>
      </c>
      <c r="AG35" s="236" t="str">
        <f t="shared" ca="1" si="3"/>
        <v/>
      </c>
      <c r="AH35" s="236" t="str">
        <f t="shared" ca="1" si="18"/>
        <v/>
      </c>
      <c r="AJ35" s="236">
        <f t="shared" ca="1" si="19"/>
        <v>36</v>
      </c>
      <c r="AK35" s="236" t="str">
        <f t="shared" ca="1" si="20"/>
        <v>BBB+</v>
      </c>
      <c r="AL35" s="236">
        <f t="shared" ca="1" si="20"/>
        <v>19</v>
      </c>
      <c r="AM35" s="236" t="str">
        <f t="shared" ca="1" si="4"/>
        <v/>
      </c>
      <c r="AQ35" s="286" t="s">
        <v>370</v>
      </c>
      <c r="AR35" s="286" t="s">
        <v>10</v>
      </c>
      <c r="AS35" s="286">
        <v>20</v>
      </c>
      <c r="AT35" s="286" t="s">
        <v>369</v>
      </c>
      <c r="AV35" s="234">
        <f t="shared" si="21"/>
        <v>3</v>
      </c>
      <c r="AW35" s="234">
        <f>COUNTIF( AV$7:AV35, AV35 )</f>
        <v>5</v>
      </c>
      <c r="AX35" s="287">
        <f t="shared" si="22"/>
        <v>3.5</v>
      </c>
      <c r="AY35" s="234">
        <f t="shared" si="23"/>
        <v>7</v>
      </c>
      <c r="AZ35" s="236"/>
      <c r="BA35" s="236"/>
      <c r="BC35" s="234">
        <f t="shared" ca="1" si="24"/>
        <v>29</v>
      </c>
      <c r="BD35" s="288">
        <f t="shared" ca="1" si="6"/>
        <v>44</v>
      </c>
      <c r="BF35" s="240" t="str">
        <f t="shared" ca="1" si="7"/>
        <v>TECO Energy, Inc.</v>
      </c>
      <c r="BG35" s="240" t="str">
        <f t="shared" ca="1" si="7"/>
        <v>BBB+</v>
      </c>
      <c r="BH35" s="240">
        <f t="shared" ca="1" si="7"/>
        <v>19</v>
      </c>
      <c r="BI35" s="240" t="str">
        <f t="shared" ca="1" si="7"/>
        <v>TE</v>
      </c>
    </row>
    <row r="36" spans="1:61" x14ac:dyDescent="0.2">
      <c r="A36" s="303" t="s">
        <v>76</v>
      </c>
      <c r="B36" s="304" t="s">
        <v>16</v>
      </c>
      <c r="C36" s="304">
        <v>19</v>
      </c>
      <c r="D36" s="304" t="s">
        <v>334</v>
      </c>
      <c r="E36" s="305" t="str">
        <f t="shared" ca="1" si="8"/>
        <v>R</v>
      </c>
      <c r="F36" s="306"/>
      <c r="G36" s="307">
        <f t="shared" ca="1" si="1"/>
        <v>48</v>
      </c>
      <c r="H36" s="250"/>
      <c r="I36" s="321"/>
      <c r="J36" s="262"/>
      <c r="K36" s="321"/>
      <c r="L36" s="263"/>
      <c r="M36" s="263"/>
      <c r="N36" s="321"/>
      <c r="Q36" s="321"/>
      <c r="T36" s="321"/>
      <c r="W36" s="321"/>
      <c r="AF36" s="236">
        <f t="shared" si="2"/>
        <v>1</v>
      </c>
      <c r="AG36" s="236" t="str">
        <f t="shared" ca="1" si="3"/>
        <v/>
      </c>
      <c r="AH36" s="236" t="str">
        <f t="shared" ca="1" si="18"/>
        <v/>
      </c>
      <c r="AJ36" s="236">
        <f t="shared" ca="1" si="19"/>
        <v>37</v>
      </c>
      <c r="AK36" s="236" t="str">
        <f t="shared" ca="1" si="20"/>
        <v>BBB+</v>
      </c>
      <c r="AL36" s="236">
        <f t="shared" ca="1" si="20"/>
        <v>19</v>
      </c>
      <c r="AM36" s="236" t="str">
        <f t="shared" ca="1" si="4"/>
        <v/>
      </c>
      <c r="AQ36" s="286" t="s">
        <v>40</v>
      </c>
      <c r="AR36" s="286" t="s">
        <v>16</v>
      </c>
      <c r="AS36" s="286">
        <v>19</v>
      </c>
      <c r="AT36" s="286" t="s">
        <v>311</v>
      </c>
      <c r="AV36" s="234">
        <f t="shared" si="21"/>
        <v>15</v>
      </c>
      <c r="AW36" s="234">
        <f>COUNTIF( AV$7:AV36, AV36 )</f>
        <v>10</v>
      </c>
      <c r="AX36" s="287">
        <f t="shared" si="22"/>
        <v>16</v>
      </c>
      <c r="AY36" s="234">
        <f t="shared" si="23"/>
        <v>24</v>
      </c>
      <c r="AZ36" s="236"/>
      <c r="BA36" s="236"/>
      <c r="BC36" s="234">
        <f t="shared" ca="1" si="24"/>
        <v>30</v>
      </c>
      <c r="BD36" s="288">
        <f t="shared" ca="1" si="6"/>
        <v>45</v>
      </c>
      <c r="BF36" s="240" t="str">
        <f t="shared" ca="1" si="7"/>
        <v>Unitil Corporation</v>
      </c>
      <c r="BG36" s="240" t="str">
        <f t="shared" ca="1" si="7"/>
        <v>BBB+</v>
      </c>
      <c r="BH36" s="240">
        <f t="shared" ca="1" si="7"/>
        <v>19</v>
      </c>
      <c r="BI36" s="240" t="str">
        <f t="shared" ca="1" si="7"/>
        <v>*UTL</v>
      </c>
    </row>
    <row r="37" spans="1:61" x14ac:dyDescent="0.2">
      <c r="A37" s="303" t="s">
        <v>59</v>
      </c>
      <c r="B37" s="304" t="s">
        <v>16</v>
      </c>
      <c r="C37" s="304">
        <v>19</v>
      </c>
      <c r="D37" s="304" t="s">
        <v>337</v>
      </c>
      <c r="E37" s="305" t="str">
        <f t="shared" ca="1" si="8"/>
        <v>R</v>
      </c>
      <c r="F37" s="306"/>
      <c r="G37" s="307">
        <f t="shared" ca="1" si="1"/>
        <v>51</v>
      </c>
      <c r="H37" s="250"/>
      <c r="I37" s="321"/>
      <c r="K37" s="321"/>
      <c r="L37" s="264"/>
      <c r="M37" s="235"/>
      <c r="N37" s="321"/>
      <c r="Q37" s="321"/>
      <c r="T37" s="321"/>
      <c r="W37" s="321"/>
      <c r="AF37" s="236">
        <f t="shared" si="2"/>
        <v>1</v>
      </c>
      <c r="AG37" s="236" t="str">
        <f t="shared" ca="1" si="3"/>
        <v/>
      </c>
      <c r="AH37" s="236" t="str">
        <f t="shared" ca="1" si="18"/>
        <v/>
      </c>
      <c r="AJ37" s="236">
        <f t="shared" ca="1" si="19"/>
        <v>38</v>
      </c>
      <c r="AK37" s="236" t="str">
        <f t="shared" ca="1" si="20"/>
        <v>BBB+</v>
      </c>
      <c r="AL37" s="236">
        <f t="shared" ca="1" si="20"/>
        <v>19</v>
      </c>
      <c r="AM37" s="236" t="str">
        <f t="shared" ca="1" si="4"/>
        <v/>
      </c>
      <c r="AQ37" s="286" t="s">
        <v>66</v>
      </c>
      <c r="AR37" s="286" t="s">
        <v>28</v>
      </c>
      <c r="AS37" s="286">
        <v>18</v>
      </c>
      <c r="AT37" s="286" t="s">
        <v>315</v>
      </c>
      <c r="AV37" s="234">
        <f t="shared" si="21"/>
        <v>32</v>
      </c>
      <c r="AW37" s="234">
        <f>COUNTIF( AV$7:AV37, AV37 )</f>
        <v>10</v>
      </c>
      <c r="AX37" s="287">
        <f t="shared" si="22"/>
        <v>33</v>
      </c>
      <c r="AY37" s="234">
        <f t="shared" si="23"/>
        <v>41</v>
      </c>
      <c r="AZ37" s="236"/>
      <c r="BA37" s="236"/>
      <c r="BC37" s="234">
        <f t="shared" ca="1" si="24"/>
        <v>31</v>
      </c>
      <c r="BD37" s="288">
        <f t="shared" ca="1" si="6"/>
        <v>47</v>
      </c>
      <c r="BF37" s="240" t="str">
        <f t="shared" ca="1" si="7"/>
        <v>Westar Energy, Inc.</v>
      </c>
      <c r="BG37" s="240" t="str">
        <f t="shared" ca="1" si="7"/>
        <v>BBB+</v>
      </c>
      <c r="BH37" s="240">
        <f t="shared" ca="1" si="7"/>
        <v>19</v>
      </c>
      <c r="BI37" s="240" t="str">
        <f t="shared" ca="1" si="7"/>
        <v>WR</v>
      </c>
    </row>
    <row r="38" spans="1:61" x14ac:dyDescent="0.2">
      <c r="A38" s="303" t="s">
        <v>259</v>
      </c>
      <c r="B38" s="304" t="s">
        <v>28</v>
      </c>
      <c r="C38" s="304">
        <v>18</v>
      </c>
      <c r="D38" s="304" t="s">
        <v>275</v>
      </c>
      <c r="E38" s="305" t="str">
        <f t="shared" ca="1" si="8"/>
        <v>R</v>
      </c>
      <c r="F38" s="306"/>
      <c r="G38" s="307">
        <f t="shared" ca="1" si="1"/>
        <v>10</v>
      </c>
      <c r="H38" s="250"/>
      <c r="I38" s="321"/>
      <c r="J38" s="262"/>
      <c r="K38" s="321"/>
      <c r="L38" s="264"/>
      <c r="M38" s="235"/>
      <c r="N38" s="321"/>
      <c r="Q38" s="321"/>
      <c r="T38" s="321"/>
      <c r="W38" s="321"/>
      <c r="AF38" s="236">
        <f t="shared" si="2"/>
        <v>0</v>
      </c>
      <c r="AG38" s="236" t="str">
        <f t="shared" ca="1" si="3"/>
        <v/>
      </c>
      <c r="AH38" s="236" t="str">
        <f t="shared" ca="1" si="18"/>
        <v/>
      </c>
      <c r="AJ38" s="236">
        <f t="shared" ca="1" si="19"/>
        <v>39</v>
      </c>
      <c r="AK38" s="236" t="str">
        <f t="shared" ca="1" si="20"/>
        <v>BBB</v>
      </c>
      <c r="AL38" s="236">
        <f t="shared" ca="1" si="20"/>
        <v>18</v>
      </c>
      <c r="AM38" s="236" t="str">
        <f t="shared" ca="1" si="4"/>
        <v/>
      </c>
      <c r="AQ38" s="286" t="s">
        <v>21</v>
      </c>
      <c r="AR38" s="286" t="s">
        <v>10</v>
      </c>
      <c r="AS38" s="286">
        <v>20</v>
      </c>
      <c r="AT38" s="286" t="s">
        <v>316</v>
      </c>
      <c r="AV38" s="234">
        <f t="shared" si="21"/>
        <v>3</v>
      </c>
      <c r="AW38" s="234">
        <f>COUNTIF( AV$7:AV38, AV38 )</f>
        <v>6</v>
      </c>
      <c r="AX38" s="287">
        <f t="shared" si="22"/>
        <v>3.6</v>
      </c>
      <c r="AY38" s="234">
        <f t="shared" si="23"/>
        <v>8</v>
      </c>
      <c r="AZ38" s="236"/>
      <c r="BA38" s="236"/>
      <c r="BC38" s="234">
        <f t="shared" ca="1" si="24"/>
        <v>32</v>
      </c>
      <c r="BD38" s="288">
        <f t="shared" ca="1" si="6"/>
        <v>4</v>
      </c>
      <c r="BF38" s="240" t="str">
        <f t="shared" ca="1" si="7"/>
        <v>American Electric Power Company, Inc.</v>
      </c>
      <c r="BG38" s="240" t="str">
        <f t="shared" ca="1" si="7"/>
        <v>BBB</v>
      </c>
      <c r="BH38" s="240">
        <f t="shared" ca="1" si="7"/>
        <v>18</v>
      </c>
      <c r="BI38" s="240" t="str">
        <f t="shared" ca="1" si="7"/>
        <v>AEP</v>
      </c>
    </row>
    <row r="39" spans="1:61" x14ac:dyDescent="0.2">
      <c r="A39" s="303" t="s">
        <v>532</v>
      </c>
      <c r="B39" s="304" t="s">
        <v>28</v>
      </c>
      <c r="C39" s="304">
        <v>18</v>
      </c>
      <c r="D39" s="304" t="s">
        <v>530</v>
      </c>
      <c r="E39" s="305" t="str">
        <f t="shared" ca="1" si="8"/>
        <v>MR</v>
      </c>
      <c r="F39" s="306"/>
      <c r="G39" s="307">
        <f t="shared" ca="1" si="1"/>
        <v>11</v>
      </c>
      <c r="H39" s="250"/>
      <c r="I39" s="321"/>
      <c r="K39" s="321"/>
      <c r="L39" s="264"/>
      <c r="M39" s="235"/>
      <c r="N39" s="321"/>
      <c r="Q39" s="321"/>
      <c r="T39" s="321"/>
      <c r="W39" s="321"/>
      <c r="AF39" s="236">
        <f t="shared" si="2"/>
        <v>0</v>
      </c>
      <c r="AG39" s="236" t="str">
        <f t="shared" ca="1" si="3"/>
        <v/>
      </c>
      <c r="AH39" s="236" t="str">
        <f t="shared" ca="1" si="18"/>
        <v/>
      </c>
      <c r="AJ39" s="236">
        <f t="shared" ca="1" si="19"/>
        <v>40</v>
      </c>
      <c r="AK39" s="236" t="str">
        <f t="shared" ca="1" si="20"/>
        <v>BBB</v>
      </c>
      <c r="AL39" s="236">
        <f t="shared" ca="1" si="20"/>
        <v>18</v>
      </c>
      <c r="AM39" s="236" t="str">
        <f t="shared" ca="1" si="4"/>
        <v/>
      </c>
      <c r="AQ39" s="286" t="s">
        <v>22</v>
      </c>
      <c r="AR39" s="286" t="s">
        <v>28</v>
      </c>
      <c r="AS39" s="286">
        <v>18</v>
      </c>
      <c r="AT39" s="286" t="s">
        <v>317</v>
      </c>
      <c r="AV39" s="234">
        <f t="shared" si="21"/>
        <v>32</v>
      </c>
      <c r="AW39" s="234">
        <f>COUNTIF( AV$7:AV39, AV39 )</f>
        <v>11</v>
      </c>
      <c r="AX39" s="287">
        <f t="shared" si="22"/>
        <v>33.1</v>
      </c>
      <c r="AY39" s="234">
        <f t="shared" si="23"/>
        <v>42</v>
      </c>
      <c r="AZ39" s="236"/>
      <c r="BA39" s="236"/>
      <c r="BC39" s="234">
        <f t="shared" ca="1" si="24"/>
        <v>33</v>
      </c>
      <c r="BD39" s="288">
        <f t="shared" ca="1" si="6"/>
        <v>5</v>
      </c>
      <c r="BF39" s="240" t="str">
        <f t="shared" ref="BF39:BI63" ca="1" si="25">OFFSET( AQ$6, $BD39, 0 )</f>
        <v>AVANGRID, Inc.</v>
      </c>
      <c r="BG39" s="240" t="str">
        <f t="shared" ca="1" si="25"/>
        <v>BBB</v>
      </c>
      <c r="BH39" s="240">
        <f t="shared" ca="1" si="25"/>
        <v>18</v>
      </c>
      <c r="BI39" s="240" t="str">
        <f t="shared" ca="1" si="25"/>
        <v>AGR</v>
      </c>
    </row>
    <row r="40" spans="1:61" x14ac:dyDescent="0.2">
      <c r="A40" s="303" t="s">
        <v>55</v>
      </c>
      <c r="B40" s="304" t="s">
        <v>28</v>
      </c>
      <c r="C40" s="304">
        <v>18</v>
      </c>
      <c r="D40" s="304" t="s">
        <v>278</v>
      </c>
      <c r="E40" s="305" t="str">
        <f t="shared" ca="1" si="8"/>
        <v>R</v>
      </c>
      <c r="F40" s="306"/>
      <c r="G40" s="307">
        <f t="shared" ca="1" si="1"/>
        <v>12</v>
      </c>
      <c r="H40" s="250"/>
      <c r="I40" s="321"/>
      <c r="J40" s="262"/>
      <c r="K40" s="321"/>
      <c r="L40" s="264"/>
      <c r="M40" s="235"/>
      <c r="N40" s="321"/>
      <c r="Q40" s="321"/>
      <c r="T40" s="321"/>
      <c r="W40" s="321"/>
      <c r="AF40" s="236">
        <f t="shared" si="2"/>
        <v>0</v>
      </c>
      <c r="AG40" s="236" t="str">
        <f t="shared" ca="1" si="3"/>
        <v/>
      </c>
      <c r="AH40" s="236" t="str">
        <f t="shared" ca="1" si="18"/>
        <v/>
      </c>
      <c r="AJ40" s="236">
        <f t="shared" ca="1" si="19"/>
        <v>41</v>
      </c>
      <c r="AK40" s="236" t="str">
        <f t="shared" ca="1" si="20"/>
        <v>BBB</v>
      </c>
      <c r="AL40" s="236">
        <f t="shared" ca="1" si="20"/>
        <v>18</v>
      </c>
      <c r="AM40" s="236" t="str">
        <f t="shared" ca="1" si="4"/>
        <v/>
      </c>
      <c r="AQ40" s="286" t="s">
        <v>53</v>
      </c>
      <c r="AR40" s="286" t="s">
        <v>28</v>
      </c>
      <c r="AS40" s="286">
        <v>18</v>
      </c>
      <c r="AT40" s="286" t="s">
        <v>318</v>
      </c>
      <c r="AV40" s="234">
        <f t="shared" si="21"/>
        <v>32</v>
      </c>
      <c r="AW40" s="234">
        <f>COUNTIF( AV$7:AV40, AV40 )</f>
        <v>12</v>
      </c>
      <c r="AX40" s="287">
        <f t="shared" si="22"/>
        <v>33.200000000000003</v>
      </c>
      <c r="AY40" s="234">
        <f t="shared" si="23"/>
        <v>43</v>
      </c>
      <c r="AZ40" s="236"/>
      <c r="BA40" s="236"/>
      <c r="BC40" s="234">
        <f t="shared" ca="1" si="24"/>
        <v>34</v>
      </c>
      <c r="BD40" s="288">
        <f t="shared" ca="1" si="6"/>
        <v>6</v>
      </c>
      <c r="BF40" s="240" t="str">
        <f t="shared" ca="1" si="25"/>
        <v>Avista Corporation</v>
      </c>
      <c r="BG40" s="240" t="str">
        <f t="shared" ca="1" si="25"/>
        <v>BBB</v>
      </c>
      <c r="BH40" s="240">
        <f t="shared" ca="1" si="25"/>
        <v>18</v>
      </c>
      <c r="BI40" s="240" t="str">
        <f t="shared" ca="1" si="25"/>
        <v>AVA</v>
      </c>
    </row>
    <row r="41" spans="1:61" x14ac:dyDescent="0.2">
      <c r="A41" s="303" t="s">
        <v>48</v>
      </c>
      <c r="B41" s="304" t="s">
        <v>28</v>
      </c>
      <c r="C41" s="304">
        <v>18</v>
      </c>
      <c r="D41" s="304" t="s">
        <v>280</v>
      </c>
      <c r="E41" s="305" t="str">
        <f t="shared" ca="1" si="8"/>
        <v>R</v>
      </c>
      <c r="F41" s="306"/>
      <c r="G41" s="307">
        <f t="shared" ca="1" si="1"/>
        <v>13</v>
      </c>
      <c r="H41" s="250"/>
      <c r="I41" s="321"/>
      <c r="J41" s="262"/>
      <c r="K41" s="321"/>
      <c r="L41" s="264"/>
      <c r="M41" s="235"/>
      <c r="N41" s="321"/>
      <c r="Q41" s="321"/>
      <c r="T41" s="321"/>
      <c r="W41" s="321"/>
      <c r="AF41" s="236">
        <f t="shared" si="2"/>
        <v>0</v>
      </c>
      <c r="AG41" s="236" t="str">
        <f t="shared" ca="1" si="3"/>
        <v/>
      </c>
      <c r="AH41" s="236" t="str">
        <f t="shared" ca="1" si="18"/>
        <v/>
      </c>
      <c r="AJ41" s="236">
        <f t="shared" ca="1" si="19"/>
        <v>42</v>
      </c>
      <c r="AK41" s="236" t="str">
        <f t="shared" ca="1" si="20"/>
        <v>BBB</v>
      </c>
      <c r="AL41" s="236">
        <f t="shared" ca="1" si="20"/>
        <v>18</v>
      </c>
      <c r="AM41" s="236" t="str">
        <f t="shared" ca="1" si="4"/>
        <v/>
      </c>
      <c r="AQ41" s="286" t="s">
        <v>41</v>
      </c>
      <c r="AR41" s="286" t="s">
        <v>10</v>
      </c>
      <c r="AS41" s="286">
        <v>20</v>
      </c>
      <c r="AT41" s="286" t="s">
        <v>322</v>
      </c>
      <c r="AV41" s="234">
        <f t="shared" si="21"/>
        <v>3</v>
      </c>
      <c r="AW41" s="234">
        <f>COUNTIF( AV$7:AV41, AV41 )</f>
        <v>7</v>
      </c>
      <c r="AX41" s="287">
        <f t="shared" si="22"/>
        <v>3.7</v>
      </c>
      <c r="AY41" s="234">
        <f t="shared" si="23"/>
        <v>9</v>
      </c>
      <c r="AZ41" s="236"/>
      <c r="BA41" s="236"/>
      <c r="BC41" s="234">
        <f t="shared" ca="1" si="24"/>
        <v>35</v>
      </c>
      <c r="BD41" s="288">
        <f t="shared" ca="1" si="6"/>
        <v>8</v>
      </c>
      <c r="BF41" s="240" t="str">
        <f t="shared" ca="1" si="25"/>
        <v>Black Hills Corporation</v>
      </c>
      <c r="BG41" s="240" t="str">
        <f t="shared" ca="1" si="25"/>
        <v>BBB</v>
      </c>
      <c r="BH41" s="240">
        <f t="shared" ca="1" si="25"/>
        <v>18</v>
      </c>
      <c r="BI41" s="240" t="str">
        <f t="shared" ca="1" si="25"/>
        <v>BKH</v>
      </c>
    </row>
    <row r="42" spans="1:61" x14ac:dyDescent="0.2">
      <c r="A42" s="303" t="s">
        <v>34</v>
      </c>
      <c r="B42" s="304" t="s">
        <v>28</v>
      </c>
      <c r="C42" s="304">
        <v>18</v>
      </c>
      <c r="D42" s="304" t="s">
        <v>294</v>
      </c>
      <c r="E42" s="305" t="str">
        <f t="shared" ca="1" si="8"/>
        <v>R</v>
      </c>
      <c r="F42" s="306"/>
      <c r="G42" s="307">
        <f t="shared" ca="1" si="1"/>
        <v>22</v>
      </c>
      <c r="H42" s="250"/>
      <c r="I42" s="321"/>
      <c r="J42" s="262"/>
      <c r="K42" s="321"/>
      <c r="L42" s="264"/>
      <c r="M42" s="235"/>
      <c r="N42" s="321"/>
      <c r="Q42" s="321"/>
      <c r="T42" s="321"/>
      <c r="W42" s="321"/>
      <c r="AF42" s="236">
        <f t="shared" si="2"/>
        <v>0</v>
      </c>
      <c r="AG42" s="236" t="str">
        <f t="shared" ca="1" si="3"/>
        <v/>
      </c>
      <c r="AH42" s="236" t="str">
        <f t="shared" ca="1" si="18"/>
        <v/>
      </c>
      <c r="AJ42" s="236">
        <f t="shared" ca="1" si="19"/>
        <v>43</v>
      </c>
      <c r="AK42" s="236" t="str">
        <f t="shared" ca="1" si="20"/>
        <v>BBB</v>
      </c>
      <c r="AL42" s="236">
        <f t="shared" ca="1" si="20"/>
        <v>18</v>
      </c>
      <c r="AM42" s="236" t="str">
        <f t="shared" ca="1" si="4"/>
        <v/>
      </c>
      <c r="AQ42" s="286" t="s">
        <v>42</v>
      </c>
      <c r="AR42" s="286" t="s">
        <v>16</v>
      </c>
      <c r="AS42" s="286">
        <v>19</v>
      </c>
      <c r="AT42" s="286" t="s">
        <v>321</v>
      </c>
      <c r="AV42" s="234">
        <f t="shared" si="21"/>
        <v>15</v>
      </c>
      <c r="AW42" s="234">
        <f>COUNTIF( AV$7:AV42, AV42 )</f>
        <v>11</v>
      </c>
      <c r="AX42" s="287">
        <f t="shared" si="22"/>
        <v>16.100000000000001</v>
      </c>
      <c r="AY42" s="234">
        <f t="shared" si="23"/>
        <v>25</v>
      </c>
      <c r="AZ42" s="236"/>
      <c r="BA42" s="236"/>
      <c r="BC42" s="234">
        <f t="shared" ca="1" si="24"/>
        <v>36</v>
      </c>
      <c r="BD42" s="288">
        <f t="shared" ca="1" si="6"/>
        <v>18</v>
      </c>
      <c r="BF42" s="240" t="str">
        <f t="shared" ca="1" si="25"/>
        <v>El Paso Electric Company</v>
      </c>
      <c r="BG42" s="240" t="str">
        <f t="shared" ca="1" si="25"/>
        <v>BBB</v>
      </c>
      <c r="BH42" s="240">
        <f t="shared" ca="1" si="25"/>
        <v>18</v>
      </c>
      <c r="BI42" s="240" t="str">
        <f t="shared" ca="1" si="25"/>
        <v>EE</v>
      </c>
    </row>
    <row r="43" spans="1:61" x14ac:dyDescent="0.2">
      <c r="A43" s="303" t="s">
        <v>35</v>
      </c>
      <c r="B43" s="304" t="s">
        <v>28</v>
      </c>
      <c r="C43" s="304">
        <v>18</v>
      </c>
      <c r="D43" s="304" t="s">
        <v>293</v>
      </c>
      <c r="E43" s="305" t="str">
        <f t="shared" ca="1" si="8"/>
        <v>R</v>
      </c>
      <c r="F43" s="306"/>
      <c r="G43" s="307">
        <f t="shared" ca="1" si="1"/>
        <v>23</v>
      </c>
      <c r="H43" s="250"/>
      <c r="I43" s="321"/>
      <c r="J43" s="262"/>
      <c r="K43" s="321"/>
      <c r="L43" s="235"/>
      <c r="M43" s="235"/>
      <c r="N43" s="321"/>
      <c r="Q43" s="321"/>
      <c r="T43" s="321"/>
      <c r="W43" s="321"/>
      <c r="AF43" s="236">
        <f t="shared" si="2"/>
        <v>0</v>
      </c>
      <c r="AG43" s="236" t="str">
        <f t="shared" ca="1" si="3"/>
        <v/>
      </c>
      <c r="AH43" s="236" t="str">
        <f t="shared" ca="1" si="18"/>
        <v/>
      </c>
      <c r="AJ43" s="236">
        <f t="shared" ca="1" si="19"/>
        <v>44</v>
      </c>
      <c r="AK43" s="236" t="str">
        <f t="shared" ca="1" si="20"/>
        <v>BBB</v>
      </c>
      <c r="AL43" s="236">
        <f t="shared" ca="1" si="20"/>
        <v>18</v>
      </c>
      <c r="AM43" s="236" t="str">
        <f t="shared" ca="1" si="4"/>
        <v/>
      </c>
      <c r="AQ43" s="286" t="s">
        <v>24</v>
      </c>
      <c r="AR43" s="286" t="s">
        <v>28</v>
      </c>
      <c r="AS43" s="286">
        <v>18</v>
      </c>
      <c r="AT43" s="286" t="s">
        <v>324</v>
      </c>
      <c r="AV43" s="234">
        <f t="shared" si="21"/>
        <v>32</v>
      </c>
      <c r="AW43" s="234">
        <f>COUNTIF( AV$7:AV43, AV43 )</f>
        <v>13</v>
      </c>
      <c r="AX43" s="287">
        <f t="shared" si="22"/>
        <v>33.299999999999997</v>
      </c>
      <c r="AY43" s="234">
        <f t="shared" si="23"/>
        <v>44</v>
      </c>
      <c r="AZ43" s="236"/>
      <c r="BA43" s="236"/>
      <c r="BC43" s="234">
        <f t="shared" ca="1" si="24"/>
        <v>37</v>
      </c>
      <c r="BD43" s="288">
        <f t="shared" ca="1" si="6"/>
        <v>19</v>
      </c>
      <c r="BF43" s="240" t="str">
        <f t="shared" ca="1" si="25"/>
        <v>Empire District Electric Company</v>
      </c>
      <c r="BG43" s="240" t="str">
        <f t="shared" ca="1" si="25"/>
        <v>BBB</v>
      </c>
      <c r="BH43" s="240">
        <f t="shared" ca="1" si="25"/>
        <v>18</v>
      </c>
      <c r="BI43" s="240" t="str">
        <f t="shared" ca="1" si="25"/>
        <v>EDE</v>
      </c>
    </row>
    <row r="44" spans="1:61" x14ac:dyDescent="0.2">
      <c r="A44" s="303" t="s">
        <v>36</v>
      </c>
      <c r="B44" s="304" t="s">
        <v>28</v>
      </c>
      <c r="C44" s="304">
        <v>18</v>
      </c>
      <c r="D44" s="304" t="s">
        <v>297</v>
      </c>
      <c r="E44" s="305" t="str">
        <f t="shared" ca="1" si="8"/>
        <v>R</v>
      </c>
      <c r="F44" s="306"/>
      <c r="G44" s="307">
        <f t="shared" ca="1" si="1"/>
        <v>24</v>
      </c>
      <c r="H44" s="250"/>
      <c r="I44" s="321"/>
      <c r="J44" s="262"/>
      <c r="K44" s="321"/>
      <c r="L44" s="235"/>
      <c r="M44" s="235"/>
      <c r="N44" s="321"/>
      <c r="Q44" s="321"/>
      <c r="T44" s="321"/>
      <c r="W44" s="321"/>
      <c r="AF44" s="236">
        <f t="shared" si="2"/>
        <v>0</v>
      </c>
      <c r="AG44" s="236" t="str">
        <f t="shared" ca="1" si="3"/>
        <v/>
      </c>
      <c r="AH44" s="236" t="str">
        <f t="shared" ca="1" si="18"/>
        <v/>
      </c>
      <c r="AJ44" s="236">
        <f t="shared" ca="1" si="19"/>
        <v>45</v>
      </c>
      <c r="AK44" s="236" t="str">
        <f t="shared" ca="1" si="20"/>
        <v>BBB</v>
      </c>
      <c r="AL44" s="236">
        <f t="shared" ca="1" si="20"/>
        <v>18</v>
      </c>
      <c r="AM44" s="236" t="str">
        <f t="shared" ca="1" si="4"/>
        <v/>
      </c>
      <c r="AQ44" s="286" t="s">
        <v>43</v>
      </c>
      <c r="AR44" s="286" t="s">
        <v>10</v>
      </c>
      <c r="AS44" s="286">
        <v>20</v>
      </c>
      <c r="AT44" s="289" t="s">
        <v>325</v>
      </c>
      <c r="AV44" s="234">
        <f t="shared" si="21"/>
        <v>3</v>
      </c>
      <c r="AW44" s="234">
        <f>COUNTIF( AV$7:AV44, AV44 )</f>
        <v>8</v>
      </c>
      <c r="AX44" s="287">
        <f t="shared" si="22"/>
        <v>3.8</v>
      </c>
      <c r="AY44" s="234">
        <f t="shared" si="23"/>
        <v>10</v>
      </c>
      <c r="AZ44" s="236"/>
      <c r="BA44" s="236"/>
      <c r="BC44" s="234">
        <f t="shared" ca="1" si="24"/>
        <v>38</v>
      </c>
      <c r="BD44" s="288">
        <f t="shared" ca="1" si="6"/>
        <v>20</v>
      </c>
      <c r="BF44" s="240" t="str">
        <f t="shared" ca="1" si="25"/>
        <v>Entergy Corporation</v>
      </c>
      <c r="BG44" s="240" t="str">
        <f t="shared" ca="1" si="25"/>
        <v>BBB</v>
      </c>
      <c r="BH44" s="240">
        <f t="shared" ca="1" si="25"/>
        <v>18</v>
      </c>
      <c r="BI44" s="240" t="str">
        <f t="shared" ca="1" si="25"/>
        <v>ETR</v>
      </c>
    </row>
    <row r="45" spans="1:61" x14ac:dyDescent="0.2">
      <c r="A45" s="303" t="s">
        <v>11</v>
      </c>
      <c r="B45" s="304" t="s">
        <v>28</v>
      </c>
      <c r="C45" s="304">
        <v>18</v>
      </c>
      <c r="D45" s="304" t="s">
        <v>298</v>
      </c>
      <c r="E45" s="305" t="str">
        <f t="shared" ca="1" si="8"/>
        <v>D</v>
      </c>
      <c r="F45" s="306"/>
      <c r="G45" s="307">
        <f t="shared" ca="1" si="1"/>
        <v>26</v>
      </c>
      <c r="H45" s="250"/>
      <c r="I45" s="321"/>
      <c r="J45" s="262"/>
      <c r="K45" s="321"/>
      <c r="L45" s="235"/>
      <c r="M45" s="235"/>
      <c r="N45" s="321"/>
      <c r="Q45" s="321"/>
      <c r="T45" s="321"/>
      <c r="W45" s="321"/>
      <c r="AF45" s="236">
        <f t="shared" si="2"/>
        <v>0</v>
      </c>
      <c r="AG45" s="236" t="str">
        <f t="shared" ca="1" si="3"/>
        <v/>
      </c>
      <c r="AH45" s="236" t="str">
        <f t="shared" ca="1" si="18"/>
        <v/>
      </c>
      <c r="AJ45" s="236">
        <f t="shared" ca="1" si="19"/>
        <v>46</v>
      </c>
      <c r="AK45" s="236" t="str">
        <f t="shared" ca="1" si="20"/>
        <v>BBB</v>
      </c>
      <c r="AL45" s="236">
        <f t="shared" ca="1" si="20"/>
        <v>18</v>
      </c>
      <c r="AM45" s="236" t="str">
        <f t="shared" ca="1" si="4"/>
        <v/>
      </c>
      <c r="AQ45" s="286" t="s">
        <v>45</v>
      </c>
      <c r="AR45" s="286" t="s">
        <v>16</v>
      </c>
      <c r="AS45" s="286">
        <v>19</v>
      </c>
      <c r="AT45" s="286" t="s">
        <v>319</v>
      </c>
      <c r="AV45" s="234">
        <f t="shared" si="21"/>
        <v>15</v>
      </c>
      <c r="AW45" s="234">
        <f>COUNTIF( AV$7:AV45, AV45 )</f>
        <v>12</v>
      </c>
      <c r="AX45" s="287">
        <f t="shared" si="22"/>
        <v>16.2</v>
      </c>
      <c r="AY45" s="234">
        <f t="shared" si="23"/>
        <v>26</v>
      </c>
      <c r="AZ45" s="236"/>
      <c r="BA45" s="236"/>
      <c r="BC45" s="234">
        <f t="shared" ca="1" si="24"/>
        <v>39</v>
      </c>
      <c r="BD45" s="288">
        <f t="shared" ca="1" si="6"/>
        <v>22</v>
      </c>
      <c r="BF45" s="240" t="str">
        <f t="shared" ca="1" si="25"/>
        <v>Exelon Corporation</v>
      </c>
      <c r="BG45" s="240" t="str">
        <f t="shared" ca="1" si="25"/>
        <v>BBB</v>
      </c>
      <c r="BH45" s="240">
        <f t="shared" ca="1" si="25"/>
        <v>18</v>
      </c>
      <c r="BI45" s="240" t="str">
        <f t="shared" ca="1" si="25"/>
        <v>EXC</v>
      </c>
    </row>
    <row r="46" spans="1:61" x14ac:dyDescent="0.2">
      <c r="A46" s="303" t="s">
        <v>20</v>
      </c>
      <c r="B46" s="304" t="s">
        <v>28</v>
      </c>
      <c r="C46" s="304">
        <v>18</v>
      </c>
      <c r="D46" s="304" t="s">
        <v>303</v>
      </c>
      <c r="E46" s="305" t="str">
        <f t="shared" ca="1" si="8"/>
        <v>R</v>
      </c>
      <c r="F46" s="306"/>
      <c r="G46" s="307">
        <f t="shared" ca="1" si="1"/>
        <v>30</v>
      </c>
      <c r="H46" s="250"/>
      <c r="I46" s="262"/>
      <c r="K46" s="262"/>
      <c r="N46" s="257"/>
      <c r="W46" s="262"/>
      <c r="AF46" s="236">
        <f t="shared" si="2"/>
        <v>0</v>
      </c>
      <c r="AG46" s="236" t="str">
        <f t="shared" ca="1" si="3"/>
        <v/>
      </c>
      <c r="AH46" s="236" t="str">
        <f t="shared" ca="1" si="18"/>
        <v/>
      </c>
      <c r="AJ46" s="236">
        <f t="shared" ca="1" si="19"/>
        <v>47</v>
      </c>
      <c r="AK46" s="236" t="str">
        <f t="shared" ca="1" si="20"/>
        <v>BBB</v>
      </c>
      <c r="AL46" s="236">
        <f t="shared" ca="1" si="20"/>
        <v>18</v>
      </c>
      <c r="AM46" s="236" t="str">
        <f t="shared" ca="1" si="4"/>
        <v/>
      </c>
      <c r="AQ46" s="286" t="s">
        <v>54</v>
      </c>
      <c r="AR46" s="286" t="s">
        <v>49</v>
      </c>
      <c r="AS46" s="286">
        <v>17</v>
      </c>
      <c r="AT46" s="286" t="s">
        <v>449</v>
      </c>
      <c r="AV46" s="234">
        <f t="shared" si="21"/>
        <v>45</v>
      </c>
      <c r="AW46" s="234">
        <f>COUNTIF( AV$7:AV46, AV46 )</f>
        <v>3</v>
      </c>
      <c r="AX46" s="287">
        <f t="shared" si="22"/>
        <v>45.3</v>
      </c>
      <c r="AY46" s="234">
        <f t="shared" si="23"/>
        <v>47</v>
      </c>
      <c r="AZ46" s="236"/>
      <c r="BA46" s="236"/>
      <c r="BC46" s="234">
        <f t="shared" ca="1" si="24"/>
        <v>40</v>
      </c>
      <c r="BD46" s="288">
        <f t="shared" ca="1" si="6"/>
        <v>26</v>
      </c>
      <c r="BF46" s="240" t="str">
        <f t="shared" ca="1" si="25"/>
        <v>IDACORP, Inc.</v>
      </c>
      <c r="BG46" s="240" t="str">
        <f t="shared" ca="1" si="25"/>
        <v>BBB</v>
      </c>
      <c r="BH46" s="240">
        <f t="shared" ca="1" si="25"/>
        <v>18</v>
      </c>
      <c r="BI46" s="240" t="str">
        <f t="shared" ca="1" si="25"/>
        <v>IDA</v>
      </c>
    </row>
    <row r="47" spans="1:61" x14ac:dyDescent="0.2">
      <c r="A47" s="303" t="s">
        <v>66</v>
      </c>
      <c r="B47" s="304" t="s">
        <v>28</v>
      </c>
      <c r="C47" s="304">
        <v>18</v>
      </c>
      <c r="D47" s="304" t="s">
        <v>315</v>
      </c>
      <c r="E47" s="305" t="str">
        <f t="shared" ca="1" si="8"/>
        <v>R</v>
      </c>
      <c r="F47" s="306"/>
      <c r="G47" s="307">
        <f t="shared" ca="1" si="1"/>
        <v>35</v>
      </c>
      <c r="H47" s="250"/>
      <c r="I47" s="250"/>
      <c r="J47" s="258" t="s">
        <v>268</v>
      </c>
      <c r="K47" s="262"/>
      <c r="M47" s="253"/>
      <c r="N47" s="253"/>
      <c r="AF47" s="236">
        <f t="shared" si="2"/>
        <v>0</v>
      </c>
      <c r="AG47" s="236" t="str">
        <f t="shared" ca="1" si="3"/>
        <v/>
      </c>
      <c r="AH47" s="236" t="str">
        <f t="shared" ca="1" si="18"/>
        <v/>
      </c>
      <c r="AJ47" s="236">
        <f t="shared" ca="1" si="19"/>
        <v>48</v>
      </c>
      <c r="AK47" s="236" t="str">
        <f t="shared" ca="1" si="20"/>
        <v>BBB</v>
      </c>
      <c r="AL47" s="236">
        <f t="shared" ca="1" si="20"/>
        <v>18</v>
      </c>
      <c r="AM47" s="236" t="str">
        <f t="shared" ca="1" si="4"/>
        <v/>
      </c>
      <c r="AQ47" s="286" t="s">
        <v>13</v>
      </c>
      <c r="AR47" s="286" t="s">
        <v>16</v>
      </c>
      <c r="AS47" s="286">
        <v>19</v>
      </c>
      <c r="AT47" s="286" t="s">
        <v>327</v>
      </c>
      <c r="AV47" s="234">
        <f t="shared" si="21"/>
        <v>15</v>
      </c>
      <c r="AW47" s="234">
        <f>COUNTIF( AV$7:AV47, AV47 )</f>
        <v>13</v>
      </c>
      <c r="AX47" s="287">
        <f t="shared" si="22"/>
        <v>16.3</v>
      </c>
      <c r="AY47" s="234">
        <f t="shared" si="23"/>
        <v>27</v>
      </c>
      <c r="AZ47" s="236"/>
      <c r="BA47" s="236"/>
      <c r="BC47" s="234">
        <f t="shared" ca="1" si="24"/>
        <v>41</v>
      </c>
      <c r="BD47" s="288">
        <f t="shared" ca="1" si="6"/>
        <v>31</v>
      </c>
      <c r="BF47" s="240" t="str">
        <f t="shared" ca="1" si="25"/>
        <v>NorthWestern Corporation</v>
      </c>
      <c r="BG47" s="240" t="str">
        <f t="shared" ca="1" si="25"/>
        <v>BBB</v>
      </c>
      <c r="BH47" s="240">
        <f t="shared" ca="1" si="25"/>
        <v>18</v>
      </c>
      <c r="BI47" s="240" t="str">
        <f t="shared" ca="1" si="25"/>
        <v>NWE</v>
      </c>
    </row>
    <row r="48" spans="1:61" x14ac:dyDescent="0.2">
      <c r="A48" s="303" t="s">
        <v>22</v>
      </c>
      <c r="B48" s="304" t="s">
        <v>28</v>
      </c>
      <c r="C48" s="304">
        <v>18</v>
      </c>
      <c r="D48" s="304" t="s">
        <v>317</v>
      </c>
      <c r="E48" s="305" t="str">
        <f t="shared" ca="1" si="8"/>
        <v>R</v>
      </c>
      <c r="F48" s="306"/>
      <c r="G48" s="307">
        <f t="shared" ca="1" si="1"/>
        <v>37</v>
      </c>
      <c r="H48" s="250"/>
      <c r="I48" s="250"/>
      <c r="K48" s="262"/>
      <c r="M48" s="253"/>
      <c r="N48" s="253"/>
      <c r="AF48" s="236">
        <f t="shared" si="2"/>
        <v>0</v>
      </c>
      <c r="AG48" s="236" t="str">
        <f t="shared" ca="1" si="3"/>
        <v/>
      </c>
      <c r="AH48" s="236" t="str">
        <f t="shared" ca="1" si="18"/>
        <v/>
      </c>
      <c r="AJ48" s="236">
        <f t="shared" ca="1" si="19"/>
        <v>49</v>
      </c>
      <c r="AK48" s="236" t="str">
        <f t="shared" ca="1" si="20"/>
        <v>BBB</v>
      </c>
      <c r="AL48" s="236">
        <f t="shared" ca="1" si="20"/>
        <v>18</v>
      </c>
      <c r="AM48" s="236" t="str">
        <f t="shared" ca="1" si="4"/>
        <v/>
      </c>
      <c r="AQ48" s="286" t="s">
        <v>25</v>
      </c>
      <c r="AR48" s="286" t="s">
        <v>16</v>
      </c>
      <c r="AS48" s="286">
        <v>19</v>
      </c>
      <c r="AT48" s="286" t="s">
        <v>329</v>
      </c>
      <c r="AV48" s="234">
        <f t="shared" si="21"/>
        <v>15</v>
      </c>
      <c r="AW48" s="234">
        <f>COUNTIF( AV$7:AV48, AV48 )</f>
        <v>14</v>
      </c>
      <c r="AX48" s="287">
        <f t="shared" si="22"/>
        <v>16.399999999999999</v>
      </c>
      <c r="AY48" s="234">
        <f t="shared" si="23"/>
        <v>28</v>
      </c>
      <c r="AZ48" s="236"/>
      <c r="BA48" s="236"/>
      <c r="BC48" s="234">
        <f t="shared" ca="1" si="24"/>
        <v>42</v>
      </c>
      <c r="BD48" s="288">
        <f t="shared" ca="1" si="6"/>
        <v>33</v>
      </c>
      <c r="BF48" s="240" t="str">
        <f t="shared" ca="1" si="25"/>
        <v>Otter Tail Corporation</v>
      </c>
      <c r="BG48" s="240" t="str">
        <f t="shared" ca="1" si="25"/>
        <v>BBB</v>
      </c>
      <c r="BH48" s="240">
        <f t="shared" ca="1" si="25"/>
        <v>18</v>
      </c>
      <c r="BI48" s="240" t="str">
        <f t="shared" ca="1" si="25"/>
        <v>OTTR</v>
      </c>
    </row>
    <row r="49" spans="1:61" x14ac:dyDescent="0.2">
      <c r="A49" s="303" t="s">
        <v>53</v>
      </c>
      <c r="B49" s="304" t="s">
        <v>28</v>
      </c>
      <c r="C49" s="304">
        <v>18</v>
      </c>
      <c r="D49" s="304" t="s">
        <v>318</v>
      </c>
      <c r="E49" s="305" t="str">
        <f t="shared" ca="1" si="8"/>
        <v>R</v>
      </c>
      <c r="F49" s="306"/>
      <c r="G49" s="307">
        <f t="shared" ca="1" si="1"/>
        <v>38</v>
      </c>
      <c r="H49" s="250"/>
      <c r="I49" s="250"/>
      <c r="J49" s="262"/>
      <c r="K49" s="262"/>
      <c r="M49" s="253"/>
      <c r="N49" s="253"/>
      <c r="AF49" s="236">
        <f t="shared" si="2"/>
        <v>0</v>
      </c>
      <c r="AG49" s="236" t="str">
        <f t="shared" ca="1" si="3"/>
        <v/>
      </c>
      <c r="AH49" s="236" t="str">
        <f t="shared" ca="1" si="18"/>
        <v/>
      </c>
      <c r="AJ49" s="236">
        <f t="shared" ca="1" si="19"/>
        <v>50</v>
      </c>
      <c r="AK49" s="236" t="str">
        <f t="shared" ca="1" si="20"/>
        <v>BBB</v>
      </c>
      <c r="AL49" s="236">
        <f t="shared" ca="1" si="20"/>
        <v>18</v>
      </c>
      <c r="AM49" s="236" t="str">
        <f t="shared" ca="1" si="4"/>
        <v/>
      </c>
      <c r="AQ49" s="286" t="s">
        <v>7</v>
      </c>
      <c r="AR49" s="286" t="s">
        <v>10</v>
      </c>
      <c r="AS49" s="286">
        <v>20</v>
      </c>
      <c r="AT49" s="286" t="s">
        <v>328</v>
      </c>
      <c r="AV49" s="234">
        <f t="shared" si="21"/>
        <v>3</v>
      </c>
      <c r="AW49" s="234">
        <f>COUNTIF( AV$7:AV49, AV49 )</f>
        <v>9</v>
      </c>
      <c r="AX49" s="287">
        <f t="shared" si="22"/>
        <v>3.9</v>
      </c>
      <c r="AY49" s="234">
        <f t="shared" si="23"/>
        <v>11</v>
      </c>
      <c r="AZ49" s="236"/>
      <c r="BA49" s="236"/>
      <c r="BC49" s="234">
        <f t="shared" ca="1" si="24"/>
        <v>43</v>
      </c>
      <c r="BD49" s="288">
        <f t="shared" ca="1" si="6"/>
        <v>34</v>
      </c>
      <c r="BF49" s="240" t="str">
        <f t="shared" ca="1" si="25"/>
        <v>PG&amp;E Corporation</v>
      </c>
      <c r="BG49" s="240" t="str">
        <f t="shared" ca="1" si="25"/>
        <v>BBB</v>
      </c>
      <c r="BH49" s="240">
        <f t="shared" ca="1" si="25"/>
        <v>18</v>
      </c>
      <c r="BI49" s="240" t="str">
        <f t="shared" ca="1" si="25"/>
        <v>PCG</v>
      </c>
    </row>
    <row r="50" spans="1:61" x14ac:dyDescent="0.2">
      <c r="A50" s="303" t="s">
        <v>24</v>
      </c>
      <c r="B50" s="304" t="s">
        <v>28</v>
      </c>
      <c r="C50" s="304">
        <v>18</v>
      </c>
      <c r="D50" s="304" t="s">
        <v>324</v>
      </c>
      <c r="E50" s="305" t="str">
        <f t="shared" ca="1" si="8"/>
        <v>R</v>
      </c>
      <c r="F50" s="306"/>
      <c r="G50" s="307">
        <f t="shared" ca="1" si="1"/>
        <v>41</v>
      </c>
      <c r="H50" s="250"/>
      <c r="I50" s="250"/>
      <c r="J50" s="262"/>
      <c r="K50" s="262"/>
      <c r="L50" s="235"/>
      <c r="M50" s="257"/>
      <c r="N50" s="257"/>
      <c r="AF50" s="236">
        <f t="shared" si="2"/>
        <v>0</v>
      </c>
      <c r="AG50" s="236" t="str">
        <f t="shared" ca="1" si="3"/>
        <v/>
      </c>
      <c r="AH50" s="236" t="str">
        <f t="shared" ca="1" si="18"/>
        <v/>
      </c>
      <c r="AJ50" s="236">
        <f t="shared" ca="1" si="19"/>
        <v>51</v>
      </c>
      <c r="AK50" s="236" t="str">
        <f t="shared" ca="1" si="20"/>
        <v>BBB</v>
      </c>
      <c r="AL50" s="236">
        <f t="shared" ca="1" si="20"/>
        <v>18</v>
      </c>
      <c r="AM50" s="236" t="str">
        <f t="shared" ca="1" si="4"/>
        <v/>
      </c>
      <c r="AQ50" s="286" t="s">
        <v>62</v>
      </c>
      <c r="AR50" s="286" t="s">
        <v>16</v>
      </c>
      <c r="AS50" s="286">
        <v>19</v>
      </c>
      <c r="AT50" s="286" t="s">
        <v>330</v>
      </c>
      <c r="AV50" s="234">
        <f t="shared" si="21"/>
        <v>15</v>
      </c>
      <c r="AW50" s="234">
        <f>COUNTIF( AV$7:AV50, AV50 )</f>
        <v>15</v>
      </c>
      <c r="AX50" s="287">
        <f t="shared" si="22"/>
        <v>16.5</v>
      </c>
      <c r="AY50" s="234">
        <f t="shared" si="23"/>
        <v>29</v>
      </c>
      <c r="AZ50" s="236"/>
      <c r="BA50" s="236"/>
      <c r="BC50" s="234">
        <f t="shared" ca="1" si="24"/>
        <v>44</v>
      </c>
      <c r="BD50" s="288">
        <f t="shared" ca="1" si="6"/>
        <v>37</v>
      </c>
      <c r="BF50" s="240" t="str">
        <f t="shared" ca="1" si="25"/>
        <v>Portland General Electric Company</v>
      </c>
      <c r="BG50" s="240" t="str">
        <f t="shared" ca="1" si="25"/>
        <v>BBB</v>
      </c>
      <c r="BH50" s="240">
        <f t="shared" ca="1" si="25"/>
        <v>18</v>
      </c>
      <c r="BI50" s="240" t="str">
        <f t="shared" ca="1" si="25"/>
        <v>POR</v>
      </c>
    </row>
    <row r="51" spans="1:61" x14ac:dyDescent="0.2">
      <c r="A51" s="303" t="s">
        <v>51</v>
      </c>
      <c r="B51" s="304" t="s">
        <v>49</v>
      </c>
      <c r="C51" s="304">
        <v>17</v>
      </c>
      <c r="D51" s="304" t="s">
        <v>299</v>
      </c>
      <c r="E51" s="305" t="str">
        <f t="shared" ca="1" si="8"/>
        <v>MR</v>
      </c>
      <c r="F51" s="306"/>
      <c r="G51" s="307">
        <f t="shared" ca="1" si="1"/>
        <v>27</v>
      </c>
      <c r="H51" s="250"/>
      <c r="I51" s="250"/>
      <c r="J51" s="262"/>
      <c r="K51" s="262"/>
      <c r="L51" s="235"/>
      <c r="M51" s="257"/>
      <c r="N51" s="257"/>
      <c r="AF51" s="236">
        <f t="shared" si="2"/>
        <v>1</v>
      </c>
      <c r="AG51" s="236" t="str">
        <f t="shared" ca="1" si="3"/>
        <v/>
      </c>
      <c r="AH51" s="236" t="str">
        <f t="shared" ca="1" si="18"/>
        <v/>
      </c>
      <c r="AJ51" s="236">
        <f t="shared" ca="1" si="19"/>
        <v>52</v>
      </c>
      <c r="AK51" s="236" t="str">
        <f t="shared" ca="1" si="20"/>
        <v>BBB-</v>
      </c>
      <c r="AL51" s="236">
        <f t="shared" ca="1" si="20"/>
        <v>17</v>
      </c>
      <c r="AM51" s="236" t="str">
        <f t="shared" ca="1" si="4"/>
        <v/>
      </c>
      <c r="AQ51" s="286" t="s">
        <v>76</v>
      </c>
      <c r="AR51" s="286" t="s">
        <v>16</v>
      </c>
      <c r="AS51" s="286">
        <v>19</v>
      </c>
      <c r="AT51" s="286" t="s">
        <v>448</v>
      </c>
      <c r="AV51" s="234">
        <f t="shared" si="21"/>
        <v>15</v>
      </c>
      <c r="AW51" s="234">
        <f>COUNTIF( AV$7:AV51, AV51 )</f>
        <v>16</v>
      </c>
      <c r="AX51" s="287">
        <f t="shared" si="22"/>
        <v>16.600000000000001</v>
      </c>
      <c r="AY51" s="234">
        <f t="shared" si="23"/>
        <v>30</v>
      </c>
      <c r="AZ51" s="236"/>
      <c r="BA51" s="236"/>
      <c r="BC51" s="234">
        <f t="shared" ca="1" si="24"/>
        <v>45</v>
      </c>
      <c r="BD51" s="288">
        <f t="shared" ca="1" si="6"/>
        <v>23</v>
      </c>
      <c r="BF51" s="240" t="str">
        <f t="shared" ca="1" si="25"/>
        <v>FirstEnergy Corp.</v>
      </c>
      <c r="BG51" s="240" t="str">
        <f t="shared" ca="1" si="25"/>
        <v>BBB-</v>
      </c>
      <c r="BH51" s="240">
        <f t="shared" ca="1" si="25"/>
        <v>17</v>
      </c>
      <c r="BI51" s="240" t="str">
        <f t="shared" ca="1" si="25"/>
        <v>FE</v>
      </c>
    </row>
    <row r="52" spans="1:61" x14ac:dyDescent="0.2">
      <c r="A52" s="303" t="s">
        <v>39</v>
      </c>
      <c r="B52" s="304" t="s">
        <v>49</v>
      </c>
      <c r="C52" s="304">
        <v>17</v>
      </c>
      <c r="D52" s="304" t="s">
        <v>302</v>
      </c>
      <c r="E52" s="305" t="str">
        <f t="shared" ca="1" si="8"/>
        <v>D</v>
      </c>
      <c r="F52" s="306"/>
      <c r="G52" s="307">
        <f t="shared" ca="1" si="1"/>
        <v>29</v>
      </c>
      <c r="H52" s="250"/>
      <c r="I52" s="250"/>
      <c r="J52" s="262"/>
      <c r="K52" s="262"/>
      <c r="AF52" s="236">
        <f t="shared" si="2"/>
        <v>1</v>
      </c>
      <c r="AG52" s="236" t="str">
        <f t="shared" ca="1" si="3"/>
        <v/>
      </c>
      <c r="AH52" s="236" t="str">
        <f t="shared" ca="1" si="18"/>
        <v/>
      </c>
      <c r="AJ52" s="236">
        <f t="shared" ca="1" si="19"/>
        <v>53</v>
      </c>
      <c r="AK52" s="236" t="str">
        <f t="shared" ca="1" si="20"/>
        <v>BBB-</v>
      </c>
      <c r="AL52" s="236">
        <f t="shared" ca="1" si="20"/>
        <v>17</v>
      </c>
      <c r="AM52" s="236" t="str">
        <f t="shared" ca="1" si="4"/>
        <v/>
      </c>
      <c r="AQ52" s="286" t="s">
        <v>14</v>
      </c>
      <c r="AR52" s="286" t="s">
        <v>10</v>
      </c>
      <c r="AS52" s="286">
        <v>20</v>
      </c>
      <c r="AT52" s="286" t="s">
        <v>335</v>
      </c>
      <c r="AV52" s="234">
        <f t="shared" si="21"/>
        <v>3</v>
      </c>
      <c r="AW52" s="234">
        <f>COUNTIF( AV$7:AV52, AV52 )</f>
        <v>10</v>
      </c>
      <c r="AX52" s="287">
        <f t="shared" si="22"/>
        <v>4</v>
      </c>
      <c r="AY52" s="234">
        <f t="shared" si="23"/>
        <v>12</v>
      </c>
      <c r="AZ52" s="236"/>
      <c r="BA52" s="236"/>
      <c r="BC52" s="234">
        <f t="shared" ca="1" si="24"/>
        <v>46</v>
      </c>
      <c r="BD52" s="288">
        <f t="shared" ca="1" si="6"/>
        <v>25</v>
      </c>
      <c r="BF52" s="240" t="str">
        <f t="shared" ca="1" si="25"/>
        <v>Hawaiian Electric Industries, Inc.</v>
      </c>
      <c r="BG52" s="240" t="str">
        <f t="shared" ca="1" si="25"/>
        <v>BBB-</v>
      </c>
      <c r="BH52" s="240">
        <f t="shared" ca="1" si="25"/>
        <v>17</v>
      </c>
      <c r="BI52" s="240" t="str">
        <f t="shared" ca="1" si="25"/>
        <v>HE</v>
      </c>
    </row>
    <row r="53" spans="1:61" x14ac:dyDescent="0.2">
      <c r="A53" s="303" t="s">
        <v>54</v>
      </c>
      <c r="B53" s="304" t="s">
        <v>49</v>
      </c>
      <c r="C53" s="304">
        <v>17</v>
      </c>
      <c r="D53" s="304" t="s">
        <v>449</v>
      </c>
      <c r="E53" s="305" t="str">
        <f t="shared" ca="1" si="8"/>
        <v>R</v>
      </c>
      <c r="F53" s="306"/>
      <c r="G53" s="307">
        <f t="shared" ca="1" si="1"/>
        <v>61</v>
      </c>
      <c r="H53" s="250"/>
      <c r="I53" s="250"/>
      <c r="J53" s="262"/>
      <c r="K53" s="262"/>
      <c r="AF53" s="236">
        <f t="shared" si="2"/>
        <v>1</v>
      </c>
      <c r="AG53" s="236" t="str">
        <f t="shared" ca="1" si="3"/>
        <v/>
      </c>
      <c r="AH53" s="236" t="str">
        <f t="shared" ca="1" si="18"/>
        <v/>
      </c>
      <c r="AJ53" s="236">
        <f t="shared" ca="1" si="19"/>
        <v>54</v>
      </c>
      <c r="AK53" s="236" t="str">
        <f t="shared" ca="1" si="20"/>
        <v>BBB-</v>
      </c>
      <c r="AL53" s="236">
        <f t="shared" ca="1" si="20"/>
        <v>17</v>
      </c>
      <c r="AM53" s="236" t="str">
        <f t="shared" ca="1" si="4"/>
        <v/>
      </c>
      <c r="AQ53" s="286" t="s">
        <v>59</v>
      </c>
      <c r="AR53" s="286" t="s">
        <v>16</v>
      </c>
      <c r="AS53" s="286">
        <v>19</v>
      </c>
      <c r="AT53" s="286" t="s">
        <v>337</v>
      </c>
      <c r="AV53" s="234">
        <f t="shared" si="21"/>
        <v>15</v>
      </c>
      <c r="AW53" s="234">
        <f>COUNTIF( AV$7:AV53, AV53 )</f>
        <v>17</v>
      </c>
      <c r="AX53" s="287">
        <f t="shared" si="22"/>
        <v>16.7</v>
      </c>
      <c r="AY53" s="234">
        <f t="shared" si="23"/>
        <v>31</v>
      </c>
      <c r="AZ53" s="236"/>
      <c r="BA53" s="236"/>
      <c r="BC53" s="234">
        <f t="shared" ca="1" si="24"/>
        <v>47</v>
      </c>
      <c r="BD53" s="288">
        <f t="shared" ca="1" si="6"/>
        <v>40</v>
      </c>
      <c r="BF53" s="240" t="str">
        <f t="shared" ca="1" si="25"/>
        <v>Puget Energy, Inc.</v>
      </c>
      <c r="BG53" s="240" t="str">
        <f t="shared" ca="1" si="25"/>
        <v>BBB-</v>
      </c>
      <c r="BH53" s="240">
        <f t="shared" ca="1" si="25"/>
        <v>17</v>
      </c>
      <c r="BI53" s="240" t="str">
        <f t="shared" ca="1" si="25"/>
        <v>**PSD</v>
      </c>
    </row>
    <row r="54" spans="1:61" x14ac:dyDescent="0.2">
      <c r="A54" s="303" t="s">
        <v>58</v>
      </c>
      <c r="B54" s="304" t="s">
        <v>56</v>
      </c>
      <c r="C54" s="304">
        <v>16</v>
      </c>
      <c r="D54" s="304" t="s">
        <v>446</v>
      </c>
      <c r="E54" s="305" t="str">
        <f t="shared" ca="1" si="8"/>
        <v>R</v>
      </c>
      <c r="F54" s="306"/>
      <c r="G54" s="307">
        <f t="shared" ca="1" si="1"/>
        <v>59</v>
      </c>
      <c r="H54" s="250"/>
      <c r="I54" s="250"/>
      <c r="J54" s="262"/>
      <c r="K54" s="262"/>
      <c r="AF54" s="236">
        <f t="shared" si="2"/>
        <v>0</v>
      </c>
      <c r="AG54" s="236" t="str">
        <f t="shared" ca="1" si="3"/>
        <v/>
      </c>
      <c r="AH54" s="236" t="str">
        <f t="shared" ca="1" si="18"/>
        <v/>
      </c>
      <c r="AJ54" s="236">
        <f t="shared" ca="1" si="19"/>
        <v>55</v>
      </c>
      <c r="AK54" s="236" t="str">
        <f t="shared" ca="1" si="20"/>
        <v>BB+</v>
      </c>
      <c r="AL54" s="236">
        <f t="shared" ca="1" si="20"/>
        <v>16</v>
      </c>
      <c r="AM54" s="236" t="str">
        <f t="shared" ca="1" si="4"/>
        <v/>
      </c>
      <c r="AQ54" s="286" t="s">
        <v>26</v>
      </c>
      <c r="AR54" s="286" t="s">
        <v>10</v>
      </c>
      <c r="AS54" s="286">
        <v>20</v>
      </c>
      <c r="AT54" s="286" t="s">
        <v>336</v>
      </c>
      <c r="AV54" s="234">
        <f t="shared" si="21"/>
        <v>3</v>
      </c>
      <c r="AW54" s="234">
        <f>COUNTIF( AV$7:AV54, AV54 )</f>
        <v>11</v>
      </c>
      <c r="AX54" s="287">
        <f t="shared" si="22"/>
        <v>4.0999999999999996</v>
      </c>
      <c r="AY54" s="234">
        <f t="shared" si="23"/>
        <v>13</v>
      </c>
      <c r="AZ54" s="236"/>
      <c r="BA54" s="236"/>
      <c r="BC54" s="234">
        <f t="shared" ca="1" si="24"/>
        <v>48</v>
      </c>
      <c r="BD54" s="288">
        <f t="shared" ca="1" si="6"/>
        <v>27</v>
      </c>
      <c r="BF54" s="240" t="str">
        <f t="shared" ca="1" si="25"/>
        <v>IPALCO Enterprises, Inc.</v>
      </c>
      <c r="BG54" s="240" t="str">
        <f t="shared" ca="1" si="25"/>
        <v>BB+</v>
      </c>
      <c r="BH54" s="240">
        <f t="shared" ca="1" si="25"/>
        <v>16</v>
      </c>
      <c r="BI54" s="240" t="str">
        <f t="shared" ca="1" si="25"/>
        <v>**IPALCO</v>
      </c>
    </row>
    <row r="55" spans="1:61" x14ac:dyDescent="0.2">
      <c r="A55" s="303" t="s">
        <v>64</v>
      </c>
      <c r="B55" s="304" t="s">
        <v>61</v>
      </c>
      <c r="C55" s="304">
        <v>15</v>
      </c>
      <c r="D55" s="304" t="s">
        <v>443</v>
      </c>
      <c r="E55" s="305" t="str">
        <f t="shared" ca="1" si="8"/>
        <v>R</v>
      </c>
      <c r="F55" s="306"/>
      <c r="G55" s="307">
        <f t="shared" ca="1" si="1"/>
        <v>57</v>
      </c>
      <c r="H55" s="250"/>
      <c r="I55" s="250"/>
      <c r="J55" s="262"/>
      <c r="K55" s="262"/>
      <c r="AF55" s="236">
        <f t="shared" si="2"/>
        <v>1</v>
      </c>
      <c r="AG55" s="236" t="str">
        <f t="shared" ca="1" si="3"/>
        <v/>
      </c>
      <c r="AH55" s="236" t="str">
        <f t="shared" ca="1" si="18"/>
        <v/>
      </c>
      <c r="AJ55" s="236">
        <f t="shared" ca="1" si="19"/>
        <v>56</v>
      </c>
      <c r="AK55" s="236" t="str">
        <f t="shared" ca="1" si="20"/>
        <v>BB</v>
      </c>
      <c r="AL55" s="236">
        <f t="shared" ca="1" si="20"/>
        <v>15</v>
      </c>
      <c r="AM55" s="236" t="str">
        <f t="shared" ca="1" si="4"/>
        <v/>
      </c>
      <c r="AQ55" s="286" t="s">
        <v>258</v>
      </c>
      <c r="AR55" s="286" t="s">
        <v>10</v>
      </c>
      <c r="AS55" s="286">
        <v>20</v>
      </c>
      <c r="AT55" s="286" t="s">
        <v>338</v>
      </c>
      <c r="AV55" s="234">
        <f t="shared" si="21"/>
        <v>3</v>
      </c>
      <c r="AW55" s="234">
        <f>COUNTIF( AV$7:AV55, AV55 )</f>
        <v>12</v>
      </c>
      <c r="AX55" s="287">
        <f t="shared" si="22"/>
        <v>4.2</v>
      </c>
      <c r="AY55" s="234">
        <f t="shared" si="23"/>
        <v>14</v>
      </c>
      <c r="AZ55" s="236"/>
      <c r="BA55" s="236"/>
      <c r="BC55" s="234">
        <f t="shared" ca="1" si="24"/>
        <v>49</v>
      </c>
      <c r="BD55" s="288">
        <f t="shared" ca="1" si="6"/>
        <v>14</v>
      </c>
      <c r="BF55" s="240" t="str">
        <f t="shared" ca="1" si="25"/>
        <v>DPL Inc.</v>
      </c>
      <c r="BG55" s="240" t="str">
        <f t="shared" ca="1" si="25"/>
        <v>BB</v>
      </c>
      <c r="BH55" s="240">
        <f t="shared" ca="1" si="25"/>
        <v>15</v>
      </c>
      <c r="BI55" s="240" t="str">
        <f t="shared" ca="1" si="25"/>
        <v>**DPL</v>
      </c>
    </row>
    <row r="56" spans="1:61" x14ac:dyDescent="0.2">
      <c r="A56" s="303"/>
      <c r="B56" s="304"/>
      <c r="C56" s="304"/>
      <c r="D56" s="304"/>
      <c r="E56" s="305"/>
      <c r="F56" s="306"/>
      <c r="G56" s="307" t="str">
        <f t="shared" ca="1" si="1"/>
        <v/>
      </c>
      <c r="H56" s="250"/>
      <c r="I56" s="250"/>
      <c r="J56" s="262"/>
      <c r="K56" s="262"/>
      <c r="AF56" s="236">
        <f t="shared" si="2"/>
        <v>0</v>
      </c>
      <c r="AG56" s="236" t="str">
        <f t="shared" si="3"/>
        <v/>
      </c>
      <c r="AH56" s="236" t="str">
        <f t="shared" si="18"/>
        <v/>
      </c>
      <c r="AJ56" s="236" t="e">
        <f t="shared" ca="1" si="19"/>
        <v>#N/A</v>
      </c>
      <c r="AK56" s="236" t="str">
        <f t="shared" ca="1" si="20"/>
        <v/>
      </c>
      <c r="AL56" s="236" t="str">
        <f t="shared" ca="1" si="20"/>
        <v/>
      </c>
      <c r="AM56" s="236" t="str">
        <f t="shared" ca="1" si="4"/>
        <v/>
      </c>
      <c r="AQ56" s="286"/>
      <c r="AR56" s="286"/>
      <c r="AS56" s="286"/>
      <c r="AT56" s="286"/>
      <c r="AV56" s="234">
        <f t="shared" si="21"/>
        <v>99</v>
      </c>
      <c r="AW56" s="234">
        <f>COUNTIF( AV$7:AV56, AV56 )</f>
        <v>1</v>
      </c>
      <c r="AX56" s="287">
        <f t="shared" si="22"/>
        <v>99.1</v>
      </c>
      <c r="AY56" s="234">
        <f t="shared" si="23"/>
        <v>50</v>
      </c>
      <c r="AZ56" s="236"/>
      <c r="BA56" s="236"/>
      <c r="BC56" s="234">
        <f t="shared" ca="1" si="24"/>
        <v>50</v>
      </c>
      <c r="BD56" s="288">
        <f t="shared" ca="1" si="6"/>
        <v>50</v>
      </c>
      <c r="BF56" s="240">
        <f t="shared" ca="1" si="25"/>
        <v>0</v>
      </c>
      <c r="BG56" s="240">
        <f t="shared" ca="1" si="25"/>
        <v>0</v>
      </c>
      <c r="BH56" s="240">
        <f t="shared" ca="1" si="25"/>
        <v>0</v>
      </c>
      <c r="BI56" s="240">
        <f t="shared" ca="1" si="25"/>
        <v>0</v>
      </c>
    </row>
    <row r="57" spans="1:61" x14ac:dyDescent="0.2">
      <c r="A57" s="303"/>
      <c r="B57" s="304"/>
      <c r="C57" s="304"/>
      <c r="D57" s="304"/>
      <c r="E57" s="305"/>
      <c r="F57" s="306"/>
      <c r="G57" s="307" t="str">
        <f t="shared" ca="1" si="1"/>
        <v/>
      </c>
      <c r="H57" s="250"/>
      <c r="I57" s="250"/>
      <c r="J57" s="262"/>
      <c r="K57" s="262"/>
      <c r="AF57" s="236">
        <f t="shared" si="2"/>
        <v>0</v>
      </c>
      <c r="AG57" s="236" t="str">
        <f t="shared" si="3"/>
        <v/>
      </c>
      <c r="AH57" s="236" t="str">
        <f t="shared" si="18"/>
        <v/>
      </c>
      <c r="AJ57" s="236" t="e">
        <f t="shared" ca="1" si="19"/>
        <v>#N/A</v>
      </c>
      <c r="AK57" s="236" t="str">
        <f t="shared" ca="1" si="20"/>
        <v/>
      </c>
      <c r="AL57" s="236" t="str">
        <f t="shared" ca="1" si="20"/>
        <v/>
      </c>
      <c r="AM57" s="236" t="str">
        <f t="shared" ca="1" si="4"/>
        <v/>
      </c>
      <c r="AQ57" s="286"/>
      <c r="AR57" s="286"/>
      <c r="AS57" s="286"/>
      <c r="AT57" s="286"/>
      <c r="AV57" s="234">
        <f t="shared" si="21"/>
        <v>99</v>
      </c>
      <c r="AW57" s="234">
        <f>COUNTIF( AV$7:AV57, AV57 )</f>
        <v>2</v>
      </c>
      <c r="AX57" s="287">
        <f t="shared" si="22"/>
        <v>99.2</v>
      </c>
      <c r="AY57" s="234">
        <f t="shared" si="23"/>
        <v>51</v>
      </c>
      <c r="AZ57" s="236"/>
      <c r="BA57" s="236"/>
      <c r="BC57" s="234">
        <f t="shared" ca="1" si="24"/>
        <v>51</v>
      </c>
      <c r="BD57" s="288">
        <f t="shared" ca="1" si="6"/>
        <v>51</v>
      </c>
      <c r="BF57" s="240">
        <f t="shared" ca="1" si="25"/>
        <v>0</v>
      </c>
      <c r="BG57" s="240">
        <f t="shared" ca="1" si="25"/>
        <v>0</v>
      </c>
      <c r="BH57" s="240">
        <f t="shared" ca="1" si="25"/>
        <v>0</v>
      </c>
      <c r="BI57" s="240">
        <f t="shared" ca="1" si="25"/>
        <v>0</v>
      </c>
    </row>
    <row r="58" spans="1:61" x14ac:dyDescent="0.2">
      <c r="A58" s="303"/>
      <c r="B58" s="304"/>
      <c r="C58" s="304"/>
      <c r="D58" s="304"/>
      <c r="E58" s="305"/>
      <c r="F58" s="306"/>
      <c r="G58" s="307" t="str">
        <f t="shared" ca="1" si="1"/>
        <v/>
      </c>
      <c r="H58" s="250"/>
      <c r="I58" s="250"/>
      <c r="J58" s="262"/>
      <c r="K58" s="262"/>
      <c r="AF58" s="236">
        <f t="shared" si="2"/>
        <v>0</v>
      </c>
      <c r="AG58" s="236" t="str">
        <f t="shared" si="3"/>
        <v/>
      </c>
      <c r="AH58" s="236" t="str">
        <f t="shared" si="18"/>
        <v/>
      </c>
      <c r="AJ58" s="236" t="e">
        <f t="shared" ca="1" si="19"/>
        <v>#N/A</v>
      </c>
      <c r="AK58" s="236" t="str">
        <f t="shared" ca="1" si="20"/>
        <v/>
      </c>
      <c r="AL58" s="236" t="str">
        <f t="shared" ca="1" si="20"/>
        <v/>
      </c>
      <c r="AM58" s="236" t="str">
        <f t="shared" ca="1" si="4"/>
        <v/>
      </c>
      <c r="AQ58" s="286"/>
      <c r="AR58" s="286"/>
      <c r="AS58" s="286"/>
      <c r="AT58" s="286"/>
      <c r="AV58" s="234">
        <f t="shared" si="21"/>
        <v>99</v>
      </c>
      <c r="AW58" s="234">
        <f>COUNTIF( AV$7:AV58, AV58 )</f>
        <v>3</v>
      </c>
      <c r="AX58" s="287">
        <f t="shared" si="22"/>
        <v>99.3</v>
      </c>
      <c r="AY58" s="234">
        <f t="shared" si="23"/>
        <v>52</v>
      </c>
      <c r="AZ58" s="236"/>
      <c r="BA58" s="236"/>
      <c r="BC58" s="234">
        <f t="shared" ca="1" si="24"/>
        <v>52</v>
      </c>
      <c r="BD58" s="288">
        <f t="shared" ca="1" si="6"/>
        <v>52</v>
      </c>
      <c r="BF58" s="240">
        <f t="shared" ca="1" si="25"/>
        <v>0</v>
      </c>
      <c r="BG58" s="240">
        <f t="shared" ca="1" si="25"/>
        <v>0</v>
      </c>
      <c r="BH58" s="240">
        <f t="shared" ca="1" si="25"/>
        <v>0</v>
      </c>
      <c r="BI58" s="240">
        <f t="shared" ca="1" si="25"/>
        <v>0</v>
      </c>
    </row>
    <row r="59" spans="1:61" x14ac:dyDescent="0.2">
      <c r="A59" s="303"/>
      <c r="B59" s="304"/>
      <c r="C59" s="304"/>
      <c r="D59" s="304"/>
      <c r="E59" s="305" t="str">
        <f t="shared" ca="1" si="8"/>
        <v/>
      </c>
      <c r="F59" s="306"/>
      <c r="G59" s="307" t="str">
        <f t="shared" ca="1" si="1"/>
        <v/>
      </c>
      <c r="H59" s="250"/>
      <c r="I59" s="250"/>
      <c r="J59" s="262"/>
      <c r="K59" s="262"/>
      <c r="AF59" s="236">
        <f t="shared" si="2"/>
        <v>0</v>
      </c>
      <c r="AG59" s="236" t="str">
        <f t="shared" si="3"/>
        <v/>
      </c>
      <c r="AH59" s="236" t="str">
        <f t="shared" si="18"/>
        <v/>
      </c>
      <c r="AJ59" s="236" t="e">
        <f t="shared" ca="1" si="19"/>
        <v>#N/A</v>
      </c>
      <c r="AK59" s="236" t="str">
        <f t="shared" ca="1" si="20"/>
        <v/>
      </c>
      <c r="AL59" s="236" t="str">
        <f t="shared" ca="1" si="20"/>
        <v/>
      </c>
      <c r="AM59" s="236" t="str">
        <f t="shared" ca="1" si="4"/>
        <v/>
      </c>
      <c r="AQ59" s="286"/>
      <c r="AR59" s="286"/>
      <c r="AS59" s="286"/>
      <c r="AT59" s="286"/>
      <c r="AV59" s="234">
        <f t="shared" si="21"/>
        <v>99</v>
      </c>
      <c r="AW59" s="234">
        <f>COUNTIF( AV$7:AV59, AV59 )</f>
        <v>4</v>
      </c>
      <c r="AX59" s="287">
        <f t="shared" si="22"/>
        <v>99.4</v>
      </c>
      <c r="AY59" s="234">
        <f t="shared" si="23"/>
        <v>53</v>
      </c>
      <c r="AZ59" s="236"/>
      <c r="BA59" s="236"/>
      <c r="BC59" s="234">
        <f t="shared" ca="1" si="24"/>
        <v>53</v>
      </c>
      <c r="BD59" s="288">
        <f t="shared" ca="1" si="6"/>
        <v>53</v>
      </c>
      <c r="BF59" s="240">
        <f t="shared" ca="1" si="25"/>
        <v>0</v>
      </c>
      <c r="BG59" s="240">
        <f t="shared" ca="1" si="25"/>
        <v>0</v>
      </c>
      <c r="BH59" s="240">
        <f t="shared" ca="1" si="25"/>
        <v>0</v>
      </c>
      <c r="BI59" s="240">
        <f t="shared" ca="1" si="25"/>
        <v>0</v>
      </c>
    </row>
    <row r="60" spans="1:61" ht="13.5" thickBot="1" x14ac:dyDescent="0.25">
      <c r="A60" s="265"/>
      <c r="B60" s="266"/>
      <c r="C60" s="266"/>
      <c r="D60" s="266"/>
      <c r="E60" s="267" t="str">
        <f t="shared" ca="1" si="8"/>
        <v/>
      </c>
      <c r="F60" s="250"/>
      <c r="G60" s="251" t="str">
        <f t="shared" ca="1" si="1"/>
        <v/>
      </c>
      <c r="H60" s="250"/>
      <c r="I60" s="250"/>
      <c r="AF60" s="236">
        <f t="shared" si="2"/>
        <v>0</v>
      </c>
      <c r="AG60" s="236" t="str">
        <f t="shared" si="3"/>
        <v/>
      </c>
      <c r="AH60" s="236" t="str">
        <f t="shared" si="18"/>
        <v/>
      </c>
      <c r="AJ60" s="236" t="e">
        <f t="shared" ca="1" si="19"/>
        <v>#N/A</v>
      </c>
      <c r="AK60" s="236" t="str">
        <f t="shared" ca="1" si="20"/>
        <v/>
      </c>
      <c r="AL60" s="236" t="str">
        <f t="shared" ca="1" si="20"/>
        <v/>
      </c>
      <c r="AM60" s="236" t="str">
        <f t="shared" ca="1" si="4"/>
        <v/>
      </c>
      <c r="AQ60" s="286"/>
      <c r="AR60" s="286"/>
      <c r="AS60" s="286"/>
      <c r="AT60" s="286"/>
      <c r="AV60" s="234">
        <f t="shared" si="21"/>
        <v>99</v>
      </c>
      <c r="AW60" s="234">
        <f>COUNTIF( AV$7:AV60, AV60 )</f>
        <v>5</v>
      </c>
      <c r="AX60" s="287">
        <f t="shared" si="22"/>
        <v>99.5</v>
      </c>
      <c r="AY60" s="234">
        <f t="shared" si="23"/>
        <v>54</v>
      </c>
      <c r="AZ60" s="236"/>
      <c r="BA60" s="236"/>
      <c r="BC60" s="234">
        <f t="shared" ca="1" si="24"/>
        <v>54</v>
      </c>
      <c r="BD60" s="288">
        <f t="shared" ca="1" si="6"/>
        <v>54</v>
      </c>
      <c r="BF60" s="240">
        <f t="shared" ca="1" si="25"/>
        <v>0</v>
      </c>
      <c r="BG60" s="240">
        <f t="shared" ca="1" si="25"/>
        <v>0</v>
      </c>
      <c r="BH60" s="240">
        <f t="shared" ca="1" si="25"/>
        <v>0</v>
      </c>
      <c r="BI60" s="240">
        <f t="shared" ca="1" si="25"/>
        <v>0</v>
      </c>
    </row>
    <row r="61" spans="1:61" x14ac:dyDescent="0.2">
      <c r="A61" s="308" t="s">
        <v>74</v>
      </c>
      <c r="B61" s="309" t="s">
        <v>108</v>
      </c>
      <c r="C61" s="309">
        <v>23</v>
      </c>
      <c r="D61" s="309" t="s">
        <v>440</v>
      </c>
      <c r="E61" s="310" t="str">
        <f t="shared" ca="1" si="8"/>
        <v>MR</v>
      </c>
      <c r="F61" s="311"/>
      <c r="G61" s="312">
        <f t="shared" ca="1" si="1"/>
        <v>32</v>
      </c>
      <c r="H61" s="250"/>
      <c r="I61" s="250"/>
      <c r="AF61" s="236">
        <f t="shared" si="2"/>
        <v>1</v>
      </c>
      <c r="AG61" s="236" t="str">
        <f t="shared" ca="1" si="3"/>
        <v/>
      </c>
      <c r="AH61" s="236" t="str">
        <f t="shared" ca="1" si="18"/>
        <v/>
      </c>
      <c r="AJ61" s="236">
        <f t="shared" ca="1" si="19"/>
        <v>61</v>
      </c>
      <c r="AK61" s="236" t="str">
        <f t="shared" ca="1" si="20"/>
        <v>AA-</v>
      </c>
      <c r="AL61" s="236">
        <f t="shared" ca="1" si="20"/>
        <v>23</v>
      </c>
      <c r="AM61" s="236" t="str">
        <f t="shared" ca="1" si="4"/>
        <v/>
      </c>
      <c r="AQ61" s="286"/>
      <c r="AR61" s="286"/>
      <c r="AS61" s="286"/>
      <c r="AT61" s="286"/>
      <c r="AV61" s="234">
        <f t="shared" si="21"/>
        <v>99</v>
      </c>
      <c r="AW61" s="234">
        <f>COUNTIF( AV$7:AV61, AV61 )</f>
        <v>6</v>
      </c>
      <c r="AX61" s="287">
        <f t="shared" si="22"/>
        <v>99.6</v>
      </c>
      <c r="AY61" s="234">
        <f t="shared" si="23"/>
        <v>55</v>
      </c>
      <c r="AZ61" s="236"/>
      <c r="BA61" s="236"/>
      <c r="BC61" s="234">
        <f t="shared" ca="1" si="24"/>
        <v>55</v>
      </c>
      <c r="BD61" s="288">
        <f t="shared" ca="1" si="6"/>
        <v>55</v>
      </c>
      <c r="BF61" s="240">
        <f t="shared" ca="1" si="25"/>
        <v>0</v>
      </c>
      <c r="BG61" s="240">
        <f t="shared" ca="1" si="25"/>
        <v>0</v>
      </c>
      <c r="BH61" s="240">
        <f t="shared" ca="1" si="25"/>
        <v>0</v>
      </c>
      <c r="BI61" s="240">
        <f t="shared" ca="1" si="25"/>
        <v>0</v>
      </c>
    </row>
    <row r="62" spans="1:61" x14ac:dyDescent="0.2">
      <c r="A62" s="303" t="s">
        <v>249</v>
      </c>
      <c r="B62" s="304"/>
      <c r="C62" s="304"/>
      <c r="D62" s="304" t="s">
        <v>445</v>
      </c>
      <c r="E62" s="305" t="str">
        <f t="shared" ca="1" si="8"/>
        <v>D</v>
      </c>
      <c r="F62" s="306"/>
      <c r="G62" s="307">
        <f t="shared" ca="1" si="1"/>
        <v>58</v>
      </c>
      <c r="H62" s="250"/>
      <c r="I62" s="250"/>
      <c r="AF62" s="236">
        <f t="shared" si="2"/>
        <v>0</v>
      </c>
      <c r="AG62" s="236" t="str">
        <f t="shared" si="3"/>
        <v/>
      </c>
      <c r="AH62" s="236" t="str">
        <f t="shared" si="18"/>
        <v/>
      </c>
      <c r="AJ62" s="236">
        <f t="shared" ca="1" si="19"/>
        <v>62</v>
      </c>
      <c r="AK62" s="236">
        <f t="shared" ca="1" si="20"/>
        <v>0</v>
      </c>
      <c r="AL62" s="236">
        <f t="shared" ca="1" si="20"/>
        <v>0</v>
      </c>
      <c r="AM62" s="236" t="str">
        <f t="shared" ca="1" si="4"/>
        <v/>
      </c>
      <c r="AQ62" s="286"/>
      <c r="AR62" s="286"/>
      <c r="AS62" s="286"/>
      <c r="AT62" s="286"/>
      <c r="AV62" s="234">
        <f t="shared" si="21"/>
        <v>99</v>
      </c>
      <c r="AW62" s="234">
        <f>COUNTIF( AV$7:AV62, AV62 )</f>
        <v>7</v>
      </c>
      <c r="AX62" s="287">
        <f t="shared" si="22"/>
        <v>99.7</v>
      </c>
      <c r="AY62" s="234">
        <f t="shared" si="23"/>
        <v>56</v>
      </c>
      <c r="AZ62" s="236"/>
      <c r="BA62" s="236"/>
      <c r="BC62" s="234">
        <f t="shared" ca="1" si="24"/>
        <v>56</v>
      </c>
      <c r="BD62" s="288">
        <f t="shared" ca="1" si="6"/>
        <v>56</v>
      </c>
      <c r="BF62" s="240">
        <f t="shared" ca="1" si="25"/>
        <v>0</v>
      </c>
      <c r="BG62" s="240">
        <f t="shared" ca="1" si="25"/>
        <v>0</v>
      </c>
      <c r="BH62" s="240">
        <f t="shared" ca="1" si="25"/>
        <v>0</v>
      </c>
      <c r="BI62" s="240">
        <f t="shared" ca="1" si="25"/>
        <v>0</v>
      </c>
    </row>
    <row r="63" spans="1:61" x14ac:dyDescent="0.2">
      <c r="A63" s="303"/>
      <c r="B63" s="313"/>
      <c r="C63" s="304"/>
      <c r="D63" s="304"/>
      <c r="E63" s="305"/>
      <c r="F63" s="306"/>
      <c r="G63" s="307"/>
      <c r="H63" s="250"/>
      <c r="I63" s="250"/>
      <c r="AF63" s="236">
        <f t="shared" si="2"/>
        <v>0</v>
      </c>
      <c r="AG63" s="236" t="str">
        <f t="shared" si="3"/>
        <v/>
      </c>
      <c r="AH63" s="236" t="str">
        <f t="shared" si="18"/>
        <v/>
      </c>
      <c r="AJ63" s="236" t="e">
        <f t="shared" ca="1" si="19"/>
        <v>#N/A</v>
      </c>
      <c r="AK63" s="236" t="str">
        <f t="shared" ca="1" si="20"/>
        <v/>
      </c>
      <c r="AL63" s="236" t="str">
        <f t="shared" ca="1" si="20"/>
        <v/>
      </c>
      <c r="AM63" s="236" t="str">
        <f t="shared" ca="1" si="4"/>
        <v/>
      </c>
      <c r="AQ63" s="286"/>
      <c r="AR63" s="286"/>
      <c r="AS63" s="286"/>
      <c r="AT63" s="286"/>
      <c r="AU63" s="286"/>
      <c r="AV63" s="234">
        <f t="shared" si="21"/>
        <v>99</v>
      </c>
      <c r="AW63" s="234">
        <f>COUNTIF( AV$7:AV63, AV63 )</f>
        <v>8</v>
      </c>
      <c r="AX63" s="287">
        <f t="shared" si="22"/>
        <v>99.8</v>
      </c>
      <c r="AY63" s="234">
        <f t="shared" si="23"/>
        <v>57</v>
      </c>
      <c r="AZ63" s="236"/>
      <c r="BA63" s="236"/>
      <c r="BC63" s="234">
        <f t="shared" ca="1" si="24"/>
        <v>57</v>
      </c>
      <c r="BD63" s="288">
        <f ca="1">MATCH( BC63, $AY$7:$AY$63, 0 )</f>
        <v>57</v>
      </c>
      <c r="BF63" s="240">
        <f t="shared" ca="1" si="25"/>
        <v>0</v>
      </c>
      <c r="BG63" s="240">
        <f t="shared" ca="1" si="25"/>
        <v>0</v>
      </c>
      <c r="BH63" s="240">
        <f t="shared" ca="1" si="25"/>
        <v>0</v>
      </c>
      <c r="BI63" s="240">
        <f t="shared" ca="1" si="25"/>
        <v>0</v>
      </c>
    </row>
    <row r="64" spans="1:61" x14ac:dyDescent="0.2">
      <c r="A64" s="303"/>
      <c r="B64" s="313"/>
      <c r="C64" s="304"/>
      <c r="D64" s="304"/>
      <c r="E64" s="305"/>
      <c r="F64" s="306"/>
      <c r="G64" s="307"/>
      <c r="H64" s="250"/>
      <c r="I64" s="250"/>
      <c r="AF64" s="236">
        <f t="shared" si="2"/>
        <v>0</v>
      </c>
      <c r="AG64" s="236" t="str">
        <f t="shared" si="3"/>
        <v/>
      </c>
      <c r="AH64" s="236" t="str">
        <f t="shared" si="18"/>
        <v/>
      </c>
      <c r="AJ64" s="236" t="e">
        <f t="shared" ca="1" si="19"/>
        <v>#N/A</v>
      </c>
      <c r="AK64" s="236" t="str">
        <f t="shared" ca="1" si="20"/>
        <v/>
      </c>
      <c r="AL64" s="236" t="str">
        <f t="shared" ca="1" si="20"/>
        <v/>
      </c>
      <c r="AM64" s="236" t="str">
        <f t="shared" ca="1" si="4"/>
        <v/>
      </c>
      <c r="AQ64" s="286" t="s">
        <v>74</v>
      </c>
      <c r="AR64" s="286" t="s">
        <v>108</v>
      </c>
      <c r="AS64" s="286">
        <v>23</v>
      </c>
      <c r="AT64" s="289" t="s">
        <v>440</v>
      </c>
      <c r="AU64" s="286"/>
      <c r="AZ64" s="236"/>
      <c r="BA64" s="236"/>
      <c r="BF64" s="236"/>
    </row>
    <row r="65" spans="1:58" x14ac:dyDescent="0.2">
      <c r="A65" s="303"/>
      <c r="B65" s="313"/>
      <c r="C65" s="304"/>
      <c r="D65" s="304"/>
      <c r="E65" s="305"/>
      <c r="F65" s="306"/>
      <c r="G65" s="307"/>
      <c r="H65" s="250"/>
      <c r="I65" s="250"/>
      <c r="N65" s="234" t="s">
        <v>73</v>
      </c>
      <c r="AF65" s="236">
        <f t="shared" si="2"/>
        <v>0</v>
      </c>
      <c r="AG65" s="236" t="str">
        <f>IF( LEN( $C65 ) = 0, "", IF( $C65 &gt; $AL65, 1, "" ) )</f>
        <v/>
      </c>
      <c r="AH65" s="236" t="str">
        <f t="shared" si="18"/>
        <v/>
      </c>
      <c r="AJ65" s="236" t="e">
        <f t="shared" ca="1" si="19"/>
        <v>#N/A</v>
      </c>
      <c r="AK65" s="236" t="str">
        <f t="shared" ca="1" si="20"/>
        <v/>
      </c>
      <c r="AL65" s="236" t="str">
        <f t="shared" ca="1" si="20"/>
        <v/>
      </c>
      <c r="AM65" s="236" t="str">
        <f t="shared" ca="1" si="4"/>
        <v/>
      </c>
      <c r="AQ65" s="286" t="s">
        <v>249</v>
      </c>
      <c r="AR65" s="286"/>
      <c r="AS65" s="286"/>
      <c r="AT65" s="286" t="s">
        <v>445</v>
      </c>
      <c r="AU65" s="286"/>
      <c r="AZ65" s="236"/>
      <c r="BA65" s="236"/>
      <c r="BF65" s="236"/>
    </row>
    <row r="66" spans="1:58" x14ac:dyDescent="0.2">
      <c r="A66" s="268"/>
      <c r="B66" s="269"/>
      <c r="C66" s="270"/>
      <c r="D66" s="270"/>
      <c r="E66" s="249"/>
      <c r="F66" s="250"/>
      <c r="H66" s="250"/>
      <c r="I66" s="250"/>
      <c r="AF66" s="236">
        <f t="shared" si="2"/>
        <v>0</v>
      </c>
      <c r="AG66" s="236" t="str">
        <f t="shared" ref="AG66:AG67" si="26">IF( LEN( $C66 ) = 0, "", IF( $C66 &gt; $AL66, 1, "" ) )</f>
        <v/>
      </c>
      <c r="AH66" s="236" t="str">
        <f t="shared" si="18"/>
        <v/>
      </c>
      <c r="AJ66" s="236" t="e">
        <f t="shared" ca="1" si="19"/>
        <v>#N/A</v>
      </c>
      <c r="AK66" s="236" t="str">
        <f t="shared" ca="1" si="20"/>
        <v/>
      </c>
      <c r="AL66" s="236" t="str">
        <f t="shared" ca="1" si="20"/>
        <v/>
      </c>
      <c r="AM66" s="236" t="str">
        <f t="shared" ca="1" si="4"/>
        <v/>
      </c>
      <c r="AU66" s="286"/>
      <c r="AX66" s="287"/>
      <c r="AZ66" s="236"/>
      <c r="BA66" s="236"/>
      <c r="BD66" s="288"/>
      <c r="BF66" s="236"/>
    </row>
    <row r="67" spans="1:58" ht="13.5" thickBot="1" x14ac:dyDescent="0.25">
      <c r="A67" s="271"/>
      <c r="B67" s="272"/>
      <c r="C67" s="337"/>
      <c r="D67" s="272"/>
      <c r="E67" s="273"/>
      <c r="F67" s="250"/>
      <c r="H67" s="250"/>
      <c r="I67" s="250"/>
      <c r="AF67" s="236">
        <f t="shared" si="2"/>
        <v>0</v>
      </c>
      <c r="AG67" s="236" t="str">
        <f t="shared" si="26"/>
        <v/>
      </c>
      <c r="AH67" s="236" t="str">
        <f t="shared" si="18"/>
        <v/>
      </c>
      <c r="AJ67" s="236" t="e">
        <f t="shared" ca="1" si="19"/>
        <v>#N/A</v>
      </c>
      <c r="AK67" s="236" t="str">
        <f t="shared" ca="1" si="20"/>
        <v/>
      </c>
      <c r="AL67" s="236" t="str">
        <f t="shared" ca="1" si="20"/>
        <v/>
      </c>
      <c r="AM67" s="236" t="str">
        <f t="shared" ca="1" si="4"/>
        <v/>
      </c>
      <c r="AX67" s="287"/>
      <c r="AZ67" s="236"/>
      <c r="BA67" s="236"/>
      <c r="BD67" s="288"/>
      <c r="BF67" s="236"/>
    </row>
    <row r="68" spans="1:58" x14ac:dyDescent="0.2">
      <c r="A68" s="274" t="s">
        <v>135</v>
      </c>
      <c r="B68" s="275" t="str">
        <f ca="1">OFFSET( Scale!$H$5, ROUND( C68, 0 ) - 1, 1 )</f>
        <v>BBB+</v>
      </c>
      <c r="C68" s="276">
        <f>AVERAGE(C7:C65)</f>
        <v>18.88</v>
      </c>
      <c r="D68" s="276"/>
      <c r="E68" s="276"/>
      <c r="F68" s="250"/>
      <c r="H68" s="250"/>
      <c r="I68" s="250"/>
      <c r="J68" s="253"/>
      <c r="K68" s="253"/>
      <c r="AX68" s="287"/>
      <c r="AZ68" s="236"/>
      <c r="BA68" s="236"/>
      <c r="BD68" s="288"/>
      <c r="BF68" s="236"/>
    </row>
    <row r="69" spans="1:58" x14ac:dyDescent="0.2">
      <c r="A69" s="277"/>
      <c r="B69" s="278"/>
      <c r="F69" s="250"/>
      <c r="H69" s="250"/>
      <c r="I69" s="250"/>
      <c r="AX69" s="287"/>
      <c r="AZ69" s="236"/>
      <c r="BA69" s="236"/>
      <c r="BD69" s="288"/>
      <c r="BF69" s="236"/>
    </row>
    <row r="70" spans="1:58" x14ac:dyDescent="0.2">
      <c r="A70" s="277"/>
      <c r="B70" s="278"/>
      <c r="F70" s="240"/>
      <c r="H70" s="240"/>
      <c r="I70" s="240"/>
      <c r="J70" s="253"/>
      <c r="K70" s="253"/>
    </row>
    <row r="71" spans="1:58" x14ac:dyDescent="0.2">
      <c r="A71" s="279" t="s">
        <v>267</v>
      </c>
      <c r="F71" s="240"/>
      <c r="H71" s="240"/>
      <c r="I71" s="240"/>
    </row>
    <row r="72" spans="1:58" x14ac:dyDescent="0.2">
      <c r="A72" s="279" t="s">
        <v>366</v>
      </c>
      <c r="B72" s="240"/>
      <c r="D72" s="264"/>
      <c r="E72" s="264"/>
      <c r="F72" s="280"/>
      <c r="H72" s="280"/>
      <c r="I72" s="280"/>
    </row>
    <row r="73" spans="1:58" x14ac:dyDescent="0.2">
      <c r="A73" s="281" t="s">
        <v>357</v>
      </c>
      <c r="B73" s="240"/>
      <c r="D73" s="264"/>
      <c r="E73" s="264"/>
      <c r="F73" s="280"/>
      <c r="H73" s="280"/>
      <c r="I73" s="280"/>
    </row>
    <row r="74" spans="1:58" x14ac:dyDescent="0.2">
      <c r="A74" s="279" t="s">
        <v>359</v>
      </c>
      <c r="D74" s="280"/>
      <c r="E74" s="234"/>
      <c r="F74" s="282"/>
      <c r="H74" s="282"/>
      <c r="I74" s="282"/>
      <c r="AQ74" s="286"/>
      <c r="AR74" s="286"/>
      <c r="AS74" s="286"/>
    </row>
    <row r="75" spans="1:58" x14ac:dyDescent="0.2">
      <c r="A75" s="279" t="s">
        <v>507</v>
      </c>
      <c r="D75" s="280"/>
      <c r="E75" s="234"/>
      <c r="F75" s="282"/>
      <c r="H75" s="282"/>
      <c r="I75" s="282"/>
      <c r="AQ75" s="286"/>
      <c r="AR75" s="286"/>
      <c r="AS75" s="286"/>
    </row>
    <row r="76" spans="1:58" x14ac:dyDescent="0.2">
      <c r="A76" s="279"/>
      <c r="AQ76" s="286"/>
      <c r="AR76" s="286"/>
      <c r="AS76" s="286"/>
    </row>
    <row r="77" spans="1:58" x14ac:dyDescent="0.2">
      <c r="C77" s="339">
        <f>SUMPRODUCT( L8:L13, Y8:Y13 ) / L14</f>
        <v>18.86</v>
      </c>
      <c r="E77" s="283"/>
      <c r="G77" s="251"/>
      <c r="J77" s="240"/>
      <c r="K77" s="240"/>
      <c r="AQ77" s="286"/>
      <c r="AR77" s="286"/>
      <c r="AS77" s="286"/>
    </row>
    <row r="78" spans="1:58" s="240" customFormat="1" x14ac:dyDescent="0.2">
      <c r="A78" s="284"/>
      <c r="B78" s="285"/>
      <c r="C78" s="285"/>
      <c r="D78" s="285"/>
      <c r="E78" s="249"/>
      <c r="F78" s="234"/>
      <c r="G78" s="236"/>
      <c r="H78" s="234"/>
      <c r="I78" s="234"/>
      <c r="Q78" s="234"/>
      <c r="T78" s="236"/>
      <c r="U78" s="236"/>
      <c r="V78" s="236"/>
      <c r="AF78" s="236"/>
      <c r="AG78" s="236"/>
      <c r="AH78" s="236"/>
      <c r="AJ78" s="236"/>
      <c r="AK78" s="236"/>
      <c r="AL78" s="236"/>
      <c r="AM78" s="236"/>
      <c r="AN78" s="236"/>
      <c r="AQ78" s="286"/>
      <c r="AR78" s="286"/>
      <c r="AS78" s="286"/>
    </row>
  </sheetData>
  <sortState ref="AQ7:AT55">
    <sortCondition ref="AQ7"/>
  </sortState>
  <mergeCells count="9">
    <mergeCell ref="L16:M16"/>
    <mergeCell ref="O16:P16"/>
    <mergeCell ref="R16:S16"/>
    <mergeCell ref="U16:V16"/>
    <mergeCell ref="J5:J6"/>
    <mergeCell ref="L5:M6"/>
    <mergeCell ref="O5:P6"/>
    <mergeCell ref="R5:S6"/>
    <mergeCell ref="U5:V6"/>
  </mergeCells>
  <conditionalFormatting sqref="A60:E61 E62:E65 E7:E59">
    <cfRule type="expression" dxfId="707" priority="28" stopIfTrue="1">
      <formula>IF( $AH7 = 1, TRUE, FALSE )</formula>
    </cfRule>
    <cfRule type="expression" dxfId="706" priority="29" stopIfTrue="1">
      <formula>IF( $AG7 = 1, TRUE, FALSE )</formula>
    </cfRule>
    <cfRule type="expression" dxfId="705" priority="30" stopIfTrue="1">
      <formula>IF( $AF7 = 1, TRUE, FALSE )</formula>
    </cfRule>
  </conditionalFormatting>
  <conditionalFormatting sqref="A67:E67">
    <cfRule type="expression" dxfId="704" priority="31" stopIfTrue="1">
      <formula>IF( $AH67 = 1, TRUE, FALSE )</formula>
    </cfRule>
    <cfRule type="expression" dxfId="703" priority="32" stopIfTrue="1">
      <formula>IF( $AG67 = 1, TRUE, FALSE )</formula>
    </cfRule>
    <cfRule type="expression" dxfId="702" priority="33" stopIfTrue="1">
      <formula>IF( $AF67 = 1, TRUE, FALSE )</formula>
    </cfRule>
  </conditionalFormatting>
  <conditionalFormatting sqref="A66:E66">
    <cfRule type="expression" dxfId="701" priority="25" stopIfTrue="1">
      <formula>IF( $AH66 = 1, TRUE, FALSE )</formula>
    </cfRule>
    <cfRule type="expression" dxfId="700" priority="26" stopIfTrue="1">
      <formula>IF( $AG66 = 1, TRUE, FALSE )</formula>
    </cfRule>
    <cfRule type="expression" dxfId="699" priority="27" stopIfTrue="1">
      <formula>IF( $AF66 = 1, TRUE, FALSE )</formula>
    </cfRule>
  </conditionalFormatting>
  <conditionalFormatting sqref="A8:D58 B7:D7">
    <cfRule type="expression" dxfId="698" priority="22" stopIfTrue="1">
      <formula>IF( $AH7 = 1, TRUE, FALSE )</formula>
    </cfRule>
    <cfRule type="expression" dxfId="697" priority="23" stopIfTrue="1">
      <formula>IF( $AG7 = 1, TRUE, FALSE )</formula>
    </cfRule>
    <cfRule type="expression" dxfId="696" priority="24" stopIfTrue="1">
      <formula>IF( $AF7 = 1, TRUE, FALSE )</formula>
    </cfRule>
  </conditionalFormatting>
  <conditionalFormatting sqref="A59:D59">
    <cfRule type="expression" dxfId="695" priority="19" stopIfTrue="1">
      <formula>IF( $AH59 = 1, TRUE, FALSE )</formula>
    </cfRule>
    <cfRule type="expression" dxfId="694" priority="20" stopIfTrue="1">
      <formula>IF( $AG59 = 1, TRUE, FALSE )</formula>
    </cfRule>
    <cfRule type="expression" dxfId="693" priority="21" stopIfTrue="1">
      <formula>IF( $AF59 = 1, TRUE, FALSE )</formula>
    </cfRule>
  </conditionalFormatting>
  <conditionalFormatting sqref="A61:D65">
    <cfRule type="expression" dxfId="692" priority="16" stopIfTrue="1">
      <formula>IF( $AH61 = 1, TRUE, FALSE )</formula>
    </cfRule>
    <cfRule type="expression" dxfId="691" priority="17" stopIfTrue="1">
      <formula>IF( $AG61 = 1, TRUE, FALSE )</formula>
    </cfRule>
    <cfRule type="expression" dxfId="690" priority="18" stopIfTrue="1">
      <formula>IF( $AF61 = 1, TRUE, FALSE )</formula>
    </cfRule>
  </conditionalFormatting>
  <conditionalFormatting sqref="U8:U12">
    <cfRule type="cellIs" dxfId="689" priority="15" operator="equal">
      <formula>0</formula>
    </cfRule>
  </conditionalFormatting>
  <conditionalFormatting sqref="O8:O12 Q8:Q12">
    <cfRule type="cellIs" dxfId="688" priority="14" operator="equal">
      <formula>0</formula>
    </cfRule>
  </conditionalFormatting>
  <conditionalFormatting sqref="V8:V12">
    <cfRule type="cellIs" dxfId="687" priority="13" operator="equal">
      <formula>0</formula>
    </cfRule>
  </conditionalFormatting>
  <conditionalFormatting sqref="S8:S12">
    <cfRule type="cellIs" dxfId="686" priority="11" operator="equal">
      <formula>0</formula>
    </cfRule>
  </conditionalFormatting>
  <conditionalFormatting sqref="R8:R12">
    <cfRule type="cellIs" dxfId="685" priority="12" operator="equal">
      <formula>0</formula>
    </cfRule>
  </conditionalFormatting>
  <conditionalFormatting sqref="P8:P12">
    <cfRule type="cellIs" dxfId="684" priority="10" operator="equal">
      <formula>0</formula>
    </cfRule>
  </conditionalFormatting>
  <conditionalFormatting sqref="M8:M12">
    <cfRule type="cellIs" dxfId="683" priority="9" operator="equal">
      <formula>0</formula>
    </cfRule>
  </conditionalFormatting>
  <conditionalFormatting sqref="T8:T12">
    <cfRule type="cellIs" dxfId="682" priority="8" operator="equal">
      <formula>0</formula>
    </cfRule>
  </conditionalFormatting>
  <conditionalFormatting sqref="N8:N12">
    <cfRule type="cellIs" dxfId="681" priority="7" operator="equal">
      <formula>0</formula>
    </cfRule>
  </conditionalFormatting>
  <conditionalFormatting sqref="K8:K12">
    <cfRule type="cellIs" dxfId="680" priority="6" operator="equal">
      <formula>0</formula>
    </cfRule>
  </conditionalFormatting>
  <conditionalFormatting sqref="I8:I12">
    <cfRule type="cellIs" dxfId="679" priority="5" operator="equal">
      <formula>0</formula>
    </cfRule>
  </conditionalFormatting>
  <conditionalFormatting sqref="W8:W12">
    <cfRule type="cellIs" dxfId="678" priority="4" operator="equal">
      <formula>0</formula>
    </cfRule>
  </conditionalFormatting>
  <conditionalFormatting sqref="A7">
    <cfRule type="expression" dxfId="677" priority="1" stopIfTrue="1">
      <formula>IF( $AH7 = 1, TRUE, FALSE )</formula>
    </cfRule>
    <cfRule type="expression" dxfId="676" priority="2" stopIfTrue="1">
      <formula>IF( $AG7 = 1, TRUE, FALSE )</formula>
    </cfRule>
    <cfRule type="expression" dxfId="675" priority="3" stopIfTrue="1">
      <formula>IF( $AF7 = 1, TRUE, FALSE )</formula>
    </cfRule>
  </conditionalFormatting>
  <pageMargins left="0.17" right="0.18" top="0.28000000000000003" bottom="0.17" header="0.3" footer="0.3"/>
  <pageSetup scale="19" orientation="portrait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BJ78"/>
  <sheetViews>
    <sheetView showGridLines="0" zoomScale="85" zoomScaleNormal="85" workbookViewId="0">
      <pane ySplit="6" topLeftCell="A7" activePane="bottomLeft" state="frozen"/>
      <selection activeCell="A7" sqref="A7"/>
      <selection pane="bottomLeft" activeCell="A7" sqref="A7"/>
    </sheetView>
  </sheetViews>
  <sheetFormatPr defaultColWidth="9.140625" defaultRowHeight="12.75" outlineLevelRow="1" outlineLevelCol="2" x14ac:dyDescent="0.2"/>
  <cols>
    <col min="1" max="1" width="35.140625" style="234" customWidth="1"/>
    <col min="2" max="2" width="9.140625" style="234"/>
    <col min="3" max="3" width="9.42578125" style="263" customWidth="1"/>
    <col min="4" max="4" width="9.140625" style="235" customWidth="1" outlineLevel="1"/>
    <col min="5" max="5" width="12.5703125" style="235" customWidth="1" outlineLevel="1"/>
    <col min="6" max="6" width="3.42578125" style="234" customWidth="1" outlineLevel="1"/>
    <col min="7" max="7" width="17.7109375" style="236" hidden="1" customWidth="1" outlineLevel="2"/>
    <col min="8" max="8" width="3.42578125" style="234" hidden="1" customWidth="1" outlineLevel="2" collapsed="1"/>
    <col min="9" max="9" width="3.28515625" style="234" customWidth="1" outlineLevel="1" collapsed="1"/>
    <col min="10" max="10" width="22" style="234" customWidth="1"/>
    <col min="11" max="11" width="2" style="234" customWidth="1"/>
    <col min="12" max="13" width="10.42578125" style="234" customWidth="1"/>
    <col min="14" max="14" width="2" style="234" customWidth="1"/>
    <col min="15" max="16" width="10.42578125" style="234" customWidth="1"/>
    <col min="17" max="17" width="2" style="234" customWidth="1"/>
    <col min="18" max="19" width="10.42578125" style="234" customWidth="1"/>
    <col min="20" max="20" width="2" style="236" customWidth="1"/>
    <col min="21" max="22" width="10.42578125" style="236" customWidth="1"/>
    <col min="23" max="23" width="2" style="234" customWidth="1"/>
    <col min="24" max="24" width="4.140625" style="234" customWidth="1"/>
    <col min="25" max="25" width="5.5703125" style="234" customWidth="1"/>
    <col min="26" max="26" width="2.42578125" style="234" customWidth="1"/>
    <col min="27" max="27" width="4.28515625" style="234" customWidth="1"/>
    <col min="28" max="30" width="2.42578125" style="234" hidden="1" customWidth="1" outlineLevel="1"/>
    <col min="31" max="31" width="4.42578125" style="234" hidden="1" customWidth="1" outlineLevel="1"/>
    <col min="32" max="32" width="6.5703125" style="236" hidden="1" customWidth="1" outlineLevel="1" collapsed="1"/>
    <col min="33" max="34" width="6.5703125" style="236" hidden="1" customWidth="1" outlineLevel="1"/>
    <col min="35" max="35" width="3.140625" style="234" hidden="1" customWidth="1" outlineLevel="1"/>
    <col min="36" max="36" width="15.85546875" style="236" hidden="1" customWidth="1" outlineLevel="1" collapsed="1"/>
    <col min="37" max="38" width="15.85546875" style="236" hidden="1" customWidth="1" outlineLevel="1"/>
    <col min="39" max="39" width="8.42578125" style="236" hidden="1" customWidth="1" outlineLevel="1"/>
    <col min="40" max="40" width="11.85546875" style="236" hidden="1" customWidth="1" outlineLevel="1"/>
    <col min="41" max="41" width="3.42578125" style="234" customWidth="1" collapsed="1"/>
    <col min="42" max="42" width="3.42578125" style="234" customWidth="1"/>
    <col min="43" max="43" width="29.7109375" style="234" hidden="1" customWidth="1" outlineLevel="1"/>
    <col min="44" max="44" width="6.42578125" style="234" hidden="1" customWidth="1" outlineLevel="1"/>
    <col min="45" max="45" width="6.7109375" style="234" hidden="1" customWidth="1" outlineLevel="1"/>
    <col min="46" max="46" width="8.7109375" style="234" hidden="1" customWidth="1" outlineLevel="1"/>
    <col min="47" max="47" width="3.140625" style="234" hidden="1" customWidth="1" outlineLevel="1"/>
    <col min="48" max="56" width="9.140625" style="234" hidden="1" customWidth="1" outlineLevel="2"/>
    <col min="57" max="57" width="5.42578125" style="234" hidden="1" customWidth="1" outlineLevel="1" collapsed="1"/>
    <col min="58" max="58" width="36.85546875" style="234" hidden="1" customWidth="1" outlineLevel="1"/>
    <col min="59" max="59" width="6.42578125" style="234" hidden="1" customWidth="1" outlineLevel="1"/>
    <col min="60" max="60" width="3.42578125" style="234" hidden="1" customWidth="1" outlineLevel="1"/>
    <col min="61" max="61" width="9.140625" style="234" hidden="1" customWidth="1" outlineLevel="1"/>
    <col min="62" max="62" width="9.140625" collapsed="1"/>
    <col min="63" max="16384" width="9.140625" style="234"/>
  </cols>
  <sheetData>
    <row r="1" spans="1:61" ht="18.75" x14ac:dyDescent="0.2">
      <c r="A1" s="323" t="str">
        <f>"I.  S&amp;P Utility Credit Ratings Distribution -- " &amp; B6</f>
        <v>I.  S&amp;P Utility Credit Ratings Distribution -- 2015 Q4</v>
      </c>
      <c r="G1" s="242" t="s">
        <v>506</v>
      </c>
      <c r="AF1" s="237" t="s">
        <v>420</v>
      </c>
      <c r="AG1" s="237" t="s">
        <v>421</v>
      </c>
      <c r="AH1" s="237" t="s">
        <v>422</v>
      </c>
      <c r="AJ1" s="237" t="s">
        <v>424</v>
      </c>
      <c r="AK1" s="237" t="s">
        <v>426</v>
      </c>
      <c r="AL1" s="237" t="s">
        <v>426</v>
      </c>
      <c r="AM1" s="237" t="s">
        <v>424</v>
      </c>
      <c r="AN1" s="237"/>
      <c r="AQ1" s="237" t="s">
        <v>497</v>
      </c>
    </row>
    <row r="2" spans="1:61" ht="18.75" hidden="1" outlineLevel="1" x14ac:dyDescent="0.2">
      <c r="A2" s="233"/>
      <c r="E2" s="238" t="str">
        <f>G2</f>
        <v>Reg_Percent_2014</v>
      </c>
      <c r="G2" s="239" t="s">
        <v>526</v>
      </c>
      <c r="AJ2" s="240" t="str">
        <f>AJ4 &amp; AJ3</f>
        <v>'Credit_2015Q3'!d:d</v>
      </c>
      <c r="AK2" s="240" t="str">
        <f>AK4 &amp; AK3</f>
        <v>'Credit_2015Q3'!b1</v>
      </c>
      <c r="AL2" s="240" t="str">
        <f>AL4 &amp; AL3</f>
        <v>'Credit_2015Q3'!c1</v>
      </c>
      <c r="AQ2" s="236"/>
    </row>
    <row r="3" spans="1:61" ht="18.75" hidden="1" outlineLevel="1" x14ac:dyDescent="0.2">
      <c r="A3" s="233"/>
      <c r="E3" s="241" t="str">
        <f>"'" &amp; E2 &amp; "'!"</f>
        <v>'Reg_Percent_2014'!</v>
      </c>
      <c r="G3" s="234" t="str">
        <f>"'" &amp; G2 &amp; "'!"</f>
        <v>'Reg_Percent_2014'!</v>
      </c>
      <c r="O3" s="242" t="s">
        <v>371</v>
      </c>
      <c r="P3" s="242"/>
      <c r="Q3" s="242"/>
      <c r="R3" s="242" t="s">
        <v>372</v>
      </c>
      <c r="T3" s="234"/>
      <c r="U3" s="242" t="s">
        <v>86</v>
      </c>
      <c r="V3" s="234"/>
      <c r="X3" s="242"/>
      <c r="Y3" s="242"/>
      <c r="Z3" s="242"/>
      <c r="AA3" s="242"/>
      <c r="AJ3" s="210" t="s">
        <v>438</v>
      </c>
      <c r="AK3" s="210" t="s">
        <v>427</v>
      </c>
      <c r="AL3" s="210" t="s">
        <v>453</v>
      </c>
      <c r="AQ3" s="236"/>
    </row>
    <row r="4" spans="1:61" ht="18.75" hidden="1" outlineLevel="1" x14ac:dyDescent="0.2">
      <c r="A4" s="233"/>
      <c r="E4" s="242" t="s">
        <v>439</v>
      </c>
      <c r="G4" s="242" t="s">
        <v>438</v>
      </c>
      <c r="O4" s="236"/>
      <c r="P4" s="236"/>
      <c r="Q4" s="236"/>
      <c r="T4" s="234"/>
      <c r="U4" s="234"/>
      <c r="V4" s="234"/>
      <c r="AJ4" s="236" t="str">
        <f>$AQ$5</f>
        <v>'Credit_2015Q3'!</v>
      </c>
      <c r="AK4" s="236" t="str">
        <f t="shared" ref="AK4:AL4" si="0">$AQ$5</f>
        <v>'Credit_2015Q3'!</v>
      </c>
      <c r="AL4" s="236" t="str">
        <f t="shared" si="0"/>
        <v>'Credit_2015Q3'!</v>
      </c>
      <c r="AQ4" s="236"/>
    </row>
    <row r="5" spans="1:61" collapsed="1" x14ac:dyDescent="0.2">
      <c r="E5" s="243" t="s">
        <v>436</v>
      </c>
      <c r="G5" s="237" t="s">
        <v>424</v>
      </c>
      <c r="I5" s="314"/>
      <c r="J5" s="466" t="s">
        <v>77</v>
      </c>
      <c r="K5" s="314"/>
      <c r="L5" s="468" t="str">
        <f>"All Companies" &amp; CHAR( 10 ) &amp; "("&amp; L14 &amp; ")"</f>
        <v>All Companies
(51)</v>
      </c>
      <c r="M5" s="468"/>
      <c r="N5" s="314"/>
      <c r="O5" s="466" t="str">
        <f ca="1">"Regulated" &amp; CHAR( 10 ) &amp; "(" &amp; O14 &amp; ")"</f>
        <v>Regulated
(36)</v>
      </c>
      <c r="P5" s="470"/>
      <c r="Q5" s="314"/>
      <c r="R5" s="466" t="str">
        <f ca="1">"Mostly Regulated" &amp; CHAR( 10 ) &amp; "(" &amp; R14 &amp; ")"</f>
        <v>Mostly Regulated
(13)</v>
      </c>
      <c r="S5" s="470"/>
      <c r="T5" s="314"/>
      <c r="U5" s="466" t="str">
        <f ca="1">"Diversified" &amp; CHAR( 10 ) &amp; "(" &amp; U14 &amp; ")"</f>
        <v>Diversified
(2)</v>
      </c>
      <c r="V5" s="470"/>
      <c r="W5" s="314"/>
      <c r="AE5" s="244"/>
      <c r="AF5" s="234"/>
      <c r="AG5" s="234"/>
      <c r="AH5" s="234"/>
      <c r="AJ5" s="234"/>
      <c r="AK5" s="234"/>
      <c r="AL5" s="234"/>
      <c r="AM5" s="234"/>
      <c r="AN5" s="234"/>
      <c r="AQ5" s="432" t="s">
        <v>528</v>
      </c>
    </row>
    <row r="6" spans="1:61" ht="28.5" customHeight="1" x14ac:dyDescent="0.2">
      <c r="A6" s="299" t="s">
        <v>0</v>
      </c>
      <c r="B6" s="300" t="s">
        <v>519</v>
      </c>
      <c r="C6" s="338" t="s">
        <v>471</v>
      </c>
      <c r="D6" s="301"/>
      <c r="E6" s="302">
        <f ca="1">INDIRECT( E3 &amp; G1 )</f>
        <v>42004</v>
      </c>
      <c r="I6" s="315"/>
      <c r="J6" s="467"/>
      <c r="K6" s="315"/>
      <c r="L6" s="469"/>
      <c r="M6" s="469"/>
      <c r="N6" s="315"/>
      <c r="O6" s="467"/>
      <c r="P6" s="467"/>
      <c r="Q6" s="315"/>
      <c r="R6" s="467" t="s">
        <v>137</v>
      </c>
      <c r="S6" s="467"/>
      <c r="T6" s="315"/>
      <c r="U6" s="467"/>
      <c r="V6" s="467"/>
      <c r="W6" s="315"/>
      <c r="AE6" s="245"/>
      <c r="AJ6" s="246"/>
    </row>
    <row r="7" spans="1:61" x14ac:dyDescent="0.2">
      <c r="A7" s="303" t="s">
        <v>516</v>
      </c>
      <c r="B7" s="304" t="s">
        <v>2</v>
      </c>
      <c r="C7" s="304">
        <v>21</v>
      </c>
      <c r="D7" s="304" t="s">
        <v>512</v>
      </c>
      <c r="E7" s="305" t="str">
        <f ca="1">IF( LEN( $G7 ) = 0, "", OFFSET( INDIRECT( E$3 &amp; E$4 ), $G7 - 1, 0 ) )</f>
        <v>R</v>
      </c>
      <c r="F7" s="306"/>
      <c r="G7" s="307">
        <f t="shared" ref="G7:G62" ca="1" si="1">IF( LEN( $D7 ) = 0, "", MATCH( $D7, INDIRECT( G$3 &amp; G$4 ), 0 ) )</f>
        <v>34</v>
      </c>
      <c r="H7" s="250"/>
      <c r="I7" s="316"/>
      <c r="J7" s="252"/>
      <c r="K7" s="316"/>
      <c r="L7" s="252" t="s">
        <v>81</v>
      </c>
      <c r="M7" s="252" t="s">
        <v>82</v>
      </c>
      <c r="N7" s="316"/>
      <c r="O7" s="252" t="s">
        <v>81</v>
      </c>
      <c r="P7" s="252" t="s">
        <v>82</v>
      </c>
      <c r="Q7" s="316"/>
      <c r="R7" s="252" t="s">
        <v>81</v>
      </c>
      <c r="S7" s="252" t="s">
        <v>82</v>
      </c>
      <c r="T7" s="316"/>
      <c r="U7" s="252" t="s">
        <v>81</v>
      </c>
      <c r="V7" s="252" t="s">
        <v>82</v>
      </c>
      <c r="W7" s="316"/>
      <c r="AE7" s="254"/>
      <c r="AF7" s="236">
        <f t="shared" ref="AF7:AF67" si="2">IF( LEN( C7 ) = 0, 0, IF( C7 = C6, AF6, IF( AF6 = 1, 0, 1 ) ) )</f>
        <v>1</v>
      </c>
      <c r="AG7" s="236" t="str">
        <f t="shared" ref="AG7:AG64" ca="1" si="3">IF( LEN( $C7 ) = 0, "", IF( $C7 &gt; $AL7, 1, "" ) )</f>
        <v/>
      </c>
      <c r="AH7" s="236" t="str">
        <f ca="1">IF( LEN( $C7 ) = 0, "", IF( $C7 &lt; $AL7, 1, "" ) )</f>
        <v/>
      </c>
      <c r="AJ7" s="236">
        <f ca="1">MATCH( $D7, INDIRECT( AJ$2 ), 0 )</f>
        <v>7</v>
      </c>
      <c r="AK7" s="236" t="str">
        <f ca="1">IF( ISNA( $AJ7 ), "", OFFSET( INDIRECT( AK$2 ), $AJ7-1, 0 ) )</f>
        <v>A</v>
      </c>
      <c r="AL7" s="236">
        <f ca="1">IF( ISNA( $AJ7 ), "", OFFSET( INDIRECT( AL$2 ), $AJ7-1, 0 ) )</f>
        <v>21</v>
      </c>
      <c r="AM7" s="236" t="str">
        <f t="shared" ref="AM7:AM67" ca="1" si="4">IF( B7 = AK7, "", "Change" )</f>
        <v/>
      </c>
      <c r="AQ7" s="286" t="s">
        <v>15</v>
      </c>
      <c r="AR7" s="286" t="s">
        <v>16</v>
      </c>
      <c r="AS7" s="286">
        <v>19</v>
      </c>
      <c r="AT7" s="286" t="s">
        <v>277</v>
      </c>
      <c r="AV7" s="234">
        <f>IF( LEN( AS7 ) = 0, 99, RANK( AS7, $AS$7:$AS$63 ) )</f>
        <v>15</v>
      </c>
      <c r="AW7" s="234">
        <f>COUNTIF( AV7:AV$7, AV7 )</f>
        <v>1</v>
      </c>
      <c r="AX7" s="287">
        <f>AV7 + AW7 / 10</f>
        <v>15.1</v>
      </c>
      <c r="AY7" s="234">
        <f>RANK( AX7, $AX$7:$AX$63, 1 )</f>
        <v>15</v>
      </c>
      <c r="AZ7" s="236"/>
      <c r="BA7" s="236"/>
      <c r="BC7" s="234">
        <f t="shared" ref="BC7" ca="1" si="5">OFFSET( BC7, -1, 0 ) + 1</f>
        <v>1</v>
      </c>
      <c r="BD7" s="288">
        <f t="shared" ref="BD7:BD62" ca="1" si="6">MATCH( BC7, $AY$7:$AY$63, 0 )</f>
        <v>21</v>
      </c>
      <c r="BF7" s="240" t="str">
        <f t="shared" ref="BF7:BI38" ca="1" si="7">OFFSET( AQ$6, $BD7, 0 )</f>
        <v>Eversource Energy</v>
      </c>
      <c r="BG7" s="240" t="str">
        <f t="shared" ca="1" si="7"/>
        <v>A</v>
      </c>
      <c r="BH7" s="240">
        <f t="shared" ca="1" si="7"/>
        <v>21</v>
      </c>
      <c r="BI7" s="240" t="str">
        <f t="shared" ca="1" si="7"/>
        <v>ES</v>
      </c>
    </row>
    <row r="8" spans="1:61" x14ac:dyDescent="0.2">
      <c r="A8" s="303" t="s">
        <v>17</v>
      </c>
      <c r="B8" s="304" t="s">
        <v>10</v>
      </c>
      <c r="C8" s="304">
        <v>20</v>
      </c>
      <c r="D8" s="304" t="s">
        <v>307</v>
      </c>
      <c r="E8" s="305" t="str">
        <f t="shared" ref="E8:E62" ca="1" si="8">IF( LEN( $G8 ) = 0, "", OFFSET( INDIRECT( E$3 &amp; E$4 ), $G8 - 1, 0 ) )</f>
        <v>R</v>
      </c>
      <c r="F8" s="306"/>
      <c r="G8" s="307">
        <f t="shared" ca="1" si="1"/>
        <v>8</v>
      </c>
      <c r="H8" s="250"/>
      <c r="I8" s="317"/>
      <c r="J8" s="293" t="s">
        <v>138</v>
      </c>
      <c r="K8" s="317"/>
      <c r="L8" s="293">
        <f t="shared" ref="L8:L13" si="9">COUNTIF($C$7:$C$67,$X8)</f>
        <v>2</v>
      </c>
      <c r="M8" s="294">
        <f t="shared" ref="M8:M13" si="10">IF( L8 = 0, "", L8/L$14 )</f>
        <v>3.9215686274509803E-2</v>
      </c>
      <c r="N8" s="317"/>
      <c r="O8" s="293">
        <f t="shared" ref="O8:O13" ca="1" si="11">COUNTIFS( $E$7:$E$66, O$3, $C$7:$C$66, $X8 )</f>
        <v>1</v>
      </c>
      <c r="P8" s="294">
        <f t="shared" ref="P8:P13" ca="1" si="12">IF( O8 = 0, "", O8/O$14 )</f>
        <v>2.7777777777777776E-2</v>
      </c>
      <c r="Q8" s="317"/>
      <c r="R8" s="293">
        <f t="shared" ref="R8:R13" ca="1" si="13">COUNTIFS( $E$7:$E$66, R$3, $C$7:$C$66, $X8 )</f>
        <v>1</v>
      </c>
      <c r="S8" s="294">
        <f t="shared" ref="S8:S13" ca="1" si="14">IF( R8 = 0, "", R8/R$14 )</f>
        <v>7.6923076923076927E-2</v>
      </c>
      <c r="T8" s="317"/>
      <c r="U8" s="293">
        <f t="shared" ref="U8:U13" ca="1" si="15">COUNTIFS( $E$7:$E$66, U$3, $C$7:$C$66, $X8 )</f>
        <v>0</v>
      </c>
      <c r="V8" s="294" t="str">
        <f t="shared" ref="V8:V13" ca="1" si="16">IF( U8 = 0, "", U8/U$14 )</f>
        <v/>
      </c>
      <c r="W8" s="317"/>
      <c r="X8" s="256" t="s">
        <v>464</v>
      </c>
      <c r="Y8" s="256">
        <v>21</v>
      </c>
      <c r="Z8" s="256">
        <v>1</v>
      </c>
      <c r="AA8" s="255">
        <f t="shared" ref="AA8:AA13" ca="1" si="17">SUM(O8, R8, U8)</f>
        <v>2</v>
      </c>
      <c r="AC8" s="257"/>
      <c r="AE8" s="254"/>
      <c r="AF8" s="236">
        <f t="shared" si="2"/>
        <v>0</v>
      </c>
      <c r="AG8" s="236" t="str">
        <f t="shared" ca="1" si="3"/>
        <v/>
      </c>
      <c r="AH8" s="236" t="str">
        <f t="shared" ref="AH8:AH67" ca="1" si="18">IF( LEN( $C8 ) = 0, "", IF( $C8 &lt; $AL8, 1, "" ) )</f>
        <v/>
      </c>
      <c r="AJ8" s="236">
        <f t="shared" ref="AJ8:AJ67" ca="1" si="19">MATCH( $D8, INDIRECT( AJ$2 ), 0 )</f>
        <v>8</v>
      </c>
      <c r="AK8" s="236" t="str">
        <f t="shared" ref="AK8:AL67" ca="1" si="20">IF( ISNA( $AJ8 ), "", OFFSET( INDIRECT( AK$2 ), $AJ8-1, 0 ) )</f>
        <v>A-</v>
      </c>
      <c r="AL8" s="236">
        <f t="shared" ca="1" si="20"/>
        <v>20</v>
      </c>
      <c r="AM8" s="236" t="str">
        <f t="shared" ca="1" si="4"/>
        <v/>
      </c>
      <c r="AQ8" s="286" t="s">
        <v>17</v>
      </c>
      <c r="AR8" s="286" t="s">
        <v>10</v>
      </c>
      <c r="AS8" s="286">
        <v>20</v>
      </c>
      <c r="AT8" s="286" t="s">
        <v>307</v>
      </c>
      <c r="AV8" s="234">
        <f t="shared" ref="AV8:AV63" si="21">IF( LEN( AS8 ) = 0, 99, RANK( AS8, $AS$7:$AS$63 ) )</f>
        <v>2</v>
      </c>
      <c r="AW8" s="234">
        <f>COUNTIF( AV$7:AV8, AV8 )</f>
        <v>1</v>
      </c>
      <c r="AX8" s="287">
        <f t="shared" ref="AX8:AX63" si="22">AV8 + AW8 / 10</f>
        <v>2.1</v>
      </c>
      <c r="AY8" s="234">
        <f t="shared" ref="AY8:AY63" si="23">RANK( AX8, $AX$7:$AX$63, 1 )</f>
        <v>2</v>
      </c>
      <c r="AZ8" s="236"/>
      <c r="BA8" s="236"/>
      <c r="BC8" s="234">
        <f ca="1">OFFSET( BC8, -1, 0 ) + 1</f>
        <v>2</v>
      </c>
      <c r="BD8" s="288">
        <f t="shared" ca="1" si="6"/>
        <v>2</v>
      </c>
      <c r="BF8" s="240" t="str">
        <f t="shared" ca="1" si="7"/>
        <v>Alliant Energy Corporation</v>
      </c>
      <c r="BG8" s="240" t="str">
        <f t="shared" ca="1" si="7"/>
        <v>A-</v>
      </c>
      <c r="BH8" s="240">
        <f t="shared" ca="1" si="7"/>
        <v>20</v>
      </c>
      <c r="BI8" s="240" t="str">
        <f t="shared" ca="1" si="7"/>
        <v>LNT</v>
      </c>
    </row>
    <row r="9" spans="1:61" x14ac:dyDescent="0.2">
      <c r="A9" s="303" t="s">
        <v>29</v>
      </c>
      <c r="B9" s="304" t="s">
        <v>10</v>
      </c>
      <c r="C9" s="304">
        <v>20</v>
      </c>
      <c r="D9" s="304" t="s">
        <v>286</v>
      </c>
      <c r="E9" s="305" t="str">
        <f t="shared" ca="1" si="8"/>
        <v>MR</v>
      </c>
      <c r="F9" s="306"/>
      <c r="G9" s="307">
        <f t="shared" ca="1" si="1"/>
        <v>13</v>
      </c>
      <c r="H9" s="250"/>
      <c r="I9" s="318"/>
      <c r="J9" s="295" t="s">
        <v>10</v>
      </c>
      <c r="K9" s="318"/>
      <c r="L9" s="295">
        <f t="shared" si="9"/>
        <v>13</v>
      </c>
      <c r="M9" s="296">
        <f t="shared" si="10"/>
        <v>0.25490196078431371</v>
      </c>
      <c r="N9" s="318"/>
      <c r="O9" s="295">
        <f t="shared" ca="1" si="11"/>
        <v>8</v>
      </c>
      <c r="P9" s="296">
        <f t="shared" ca="1" si="12"/>
        <v>0.22222222222222221</v>
      </c>
      <c r="Q9" s="318"/>
      <c r="R9" s="295">
        <f t="shared" ca="1" si="13"/>
        <v>5</v>
      </c>
      <c r="S9" s="296">
        <f t="shared" ca="1" si="14"/>
        <v>0.38461538461538464</v>
      </c>
      <c r="T9" s="318"/>
      <c r="U9" s="295">
        <f t="shared" ca="1" si="15"/>
        <v>0</v>
      </c>
      <c r="V9" s="296" t="str">
        <f t="shared" ca="1" si="16"/>
        <v/>
      </c>
      <c r="W9" s="318"/>
      <c r="X9" s="256" t="s">
        <v>465</v>
      </c>
      <c r="Y9" s="256">
        <v>20</v>
      </c>
      <c r="Z9" s="256">
        <v>1</v>
      </c>
      <c r="AA9" s="255">
        <f t="shared" ca="1" si="17"/>
        <v>13</v>
      </c>
      <c r="AC9" s="253"/>
      <c r="AE9" s="254"/>
      <c r="AF9" s="236">
        <f t="shared" si="2"/>
        <v>0</v>
      </c>
      <c r="AG9" s="236" t="str">
        <f t="shared" ca="1" si="3"/>
        <v/>
      </c>
      <c r="AH9" s="236" t="str">
        <f t="shared" ca="1" si="18"/>
        <v/>
      </c>
      <c r="AJ9" s="236">
        <f t="shared" ca="1" si="19"/>
        <v>9</v>
      </c>
      <c r="AK9" s="236" t="str">
        <f t="shared" ca="1" si="20"/>
        <v>A-</v>
      </c>
      <c r="AL9" s="236">
        <f t="shared" ca="1" si="20"/>
        <v>20</v>
      </c>
      <c r="AM9" s="236" t="str">
        <f t="shared" ca="1" si="4"/>
        <v/>
      </c>
      <c r="AQ9" s="286" t="s">
        <v>9</v>
      </c>
      <c r="AR9" s="286" t="s">
        <v>16</v>
      </c>
      <c r="AS9" s="286">
        <v>19</v>
      </c>
      <c r="AT9" s="286" t="s">
        <v>274</v>
      </c>
      <c r="AV9" s="234">
        <f t="shared" si="21"/>
        <v>15</v>
      </c>
      <c r="AW9" s="234">
        <f>COUNTIF( AV$7:AV9, AV9 )</f>
        <v>2</v>
      </c>
      <c r="AX9" s="287">
        <f t="shared" si="22"/>
        <v>15.2</v>
      </c>
      <c r="AY9" s="234">
        <f t="shared" si="23"/>
        <v>16</v>
      </c>
      <c r="AZ9" s="236"/>
      <c r="BA9" s="236"/>
      <c r="BC9" s="234">
        <f t="shared" ref="BC9:BC63" ca="1" si="24">OFFSET( BC9, -1, 0 ) + 1</f>
        <v>3</v>
      </c>
      <c r="BD9" s="288">
        <f t="shared" ca="1" si="6"/>
        <v>9</v>
      </c>
      <c r="BF9" s="240" t="str">
        <f t="shared" ca="1" si="7"/>
        <v>CenterPoint Energy, Inc.</v>
      </c>
      <c r="BG9" s="240" t="str">
        <f t="shared" ca="1" si="7"/>
        <v>A-</v>
      </c>
      <c r="BH9" s="240">
        <f t="shared" ca="1" si="7"/>
        <v>20</v>
      </c>
      <c r="BI9" s="240" t="str">
        <f t="shared" ca="1" si="7"/>
        <v>CNP</v>
      </c>
    </row>
    <row r="10" spans="1:61" x14ac:dyDescent="0.2">
      <c r="A10" s="303" t="s">
        <v>3</v>
      </c>
      <c r="B10" s="304" t="s">
        <v>10</v>
      </c>
      <c r="C10" s="304">
        <v>20</v>
      </c>
      <c r="D10" s="304" t="s">
        <v>292</v>
      </c>
      <c r="E10" s="305" t="str">
        <f t="shared" ca="1" si="8"/>
        <v>R</v>
      </c>
      <c r="F10" s="306"/>
      <c r="G10" s="307">
        <f t="shared" ca="1" si="1"/>
        <v>16</v>
      </c>
      <c r="H10" s="250"/>
      <c r="I10" s="318"/>
      <c r="J10" s="295" t="s">
        <v>16</v>
      </c>
      <c r="K10" s="318"/>
      <c r="L10" s="295">
        <f t="shared" si="9"/>
        <v>18</v>
      </c>
      <c r="M10" s="296">
        <f t="shared" si="10"/>
        <v>0.35294117647058826</v>
      </c>
      <c r="N10" s="318"/>
      <c r="O10" s="295">
        <f t="shared" ca="1" si="11"/>
        <v>12</v>
      </c>
      <c r="P10" s="296">
        <f t="shared" ca="1" si="12"/>
        <v>0.33333333333333331</v>
      </c>
      <c r="Q10" s="318"/>
      <c r="R10" s="295">
        <f t="shared" ca="1" si="13"/>
        <v>5</v>
      </c>
      <c r="S10" s="296">
        <f t="shared" ca="1" si="14"/>
        <v>0.38461538461538464</v>
      </c>
      <c r="T10" s="318"/>
      <c r="U10" s="295">
        <f t="shared" ca="1" si="15"/>
        <v>1</v>
      </c>
      <c r="V10" s="296">
        <f t="shared" ca="1" si="16"/>
        <v>0.5</v>
      </c>
      <c r="W10" s="318"/>
      <c r="X10" s="256" t="s">
        <v>466</v>
      </c>
      <c r="Y10" s="256">
        <v>19</v>
      </c>
      <c r="Z10" s="256">
        <v>1</v>
      </c>
      <c r="AA10" s="255">
        <f t="shared" ca="1" si="17"/>
        <v>18</v>
      </c>
      <c r="AE10" s="254"/>
      <c r="AF10" s="236">
        <f t="shared" si="2"/>
        <v>0</v>
      </c>
      <c r="AG10" s="236" t="str">
        <f t="shared" ca="1" si="3"/>
        <v/>
      </c>
      <c r="AH10" s="236" t="str">
        <f t="shared" ca="1" si="18"/>
        <v/>
      </c>
      <c r="AJ10" s="236">
        <f t="shared" ca="1" si="19"/>
        <v>10</v>
      </c>
      <c r="AK10" s="236" t="str">
        <f t="shared" ca="1" si="20"/>
        <v>A-</v>
      </c>
      <c r="AL10" s="236">
        <f t="shared" ca="1" si="20"/>
        <v>20</v>
      </c>
      <c r="AM10" s="236" t="str">
        <f t="shared" ca="1" si="4"/>
        <v/>
      </c>
      <c r="AQ10" s="286" t="s">
        <v>259</v>
      </c>
      <c r="AR10" s="286" t="s">
        <v>28</v>
      </c>
      <c r="AS10" s="286">
        <v>18</v>
      </c>
      <c r="AT10" s="286" t="s">
        <v>275</v>
      </c>
      <c r="AV10" s="234">
        <f t="shared" si="21"/>
        <v>33</v>
      </c>
      <c r="AW10" s="234">
        <f>COUNTIF( AV$7:AV10, AV10 )</f>
        <v>1</v>
      </c>
      <c r="AX10" s="287">
        <f t="shared" si="22"/>
        <v>33.1</v>
      </c>
      <c r="AY10" s="234">
        <f t="shared" si="23"/>
        <v>33</v>
      </c>
      <c r="AZ10" s="236"/>
      <c r="BA10" s="236"/>
      <c r="BC10" s="234">
        <f t="shared" ca="1" si="24"/>
        <v>4</v>
      </c>
      <c r="BD10" s="288">
        <f t="shared" ca="1" si="6"/>
        <v>12</v>
      </c>
      <c r="BF10" s="240" t="str">
        <f t="shared" ca="1" si="7"/>
        <v>Consolidated Edison, Inc.</v>
      </c>
      <c r="BG10" s="240" t="str">
        <f t="shared" ca="1" si="7"/>
        <v>A-</v>
      </c>
      <c r="BH10" s="240">
        <f t="shared" ca="1" si="7"/>
        <v>20</v>
      </c>
      <c r="BI10" s="240" t="str">
        <f t="shared" ca="1" si="7"/>
        <v>ED</v>
      </c>
    </row>
    <row r="11" spans="1:61" x14ac:dyDescent="0.2">
      <c r="A11" s="303" t="s">
        <v>18</v>
      </c>
      <c r="B11" s="304" t="s">
        <v>10</v>
      </c>
      <c r="C11" s="304">
        <v>20</v>
      </c>
      <c r="D11" s="304" t="s">
        <v>86</v>
      </c>
      <c r="E11" s="305" t="str">
        <f t="shared" ca="1" si="8"/>
        <v>MR</v>
      </c>
      <c r="F11" s="306"/>
      <c r="G11" s="307">
        <f t="shared" ca="1" si="1"/>
        <v>17</v>
      </c>
      <c r="H11" s="250"/>
      <c r="I11" s="318"/>
      <c r="J11" s="295" t="s">
        <v>28</v>
      </c>
      <c r="K11" s="318"/>
      <c r="L11" s="295">
        <f t="shared" si="9"/>
        <v>13</v>
      </c>
      <c r="M11" s="296">
        <f t="shared" si="10"/>
        <v>0.25490196078431371</v>
      </c>
      <c r="N11" s="318"/>
      <c r="O11" s="295">
        <f t="shared" ca="1" si="11"/>
        <v>12</v>
      </c>
      <c r="P11" s="296">
        <f t="shared" ca="1" si="12"/>
        <v>0.33333333333333331</v>
      </c>
      <c r="Q11" s="318"/>
      <c r="R11" s="295">
        <f t="shared" ca="1" si="13"/>
        <v>1</v>
      </c>
      <c r="S11" s="296">
        <f t="shared" ca="1" si="14"/>
        <v>7.6923076923076927E-2</v>
      </c>
      <c r="T11" s="318"/>
      <c r="U11" s="295">
        <f t="shared" ca="1" si="15"/>
        <v>0</v>
      </c>
      <c r="V11" s="296" t="str">
        <f t="shared" ca="1" si="16"/>
        <v/>
      </c>
      <c r="W11" s="318"/>
      <c r="X11" s="256" t="s">
        <v>467</v>
      </c>
      <c r="Y11" s="256">
        <v>18</v>
      </c>
      <c r="Z11" s="256">
        <v>1</v>
      </c>
      <c r="AA11" s="255">
        <f t="shared" ca="1" si="17"/>
        <v>13</v>
      </c>
      <c r="AE11" s="254"/>
      <c r="AF11" s="236">
        <f t="shared" si="2"/>
        <v>0</v>
      </c>
      <c r="AG11" s="236" t="str">
        <f t="shared" ca="1" si="3"/>
        <v/>
      </c>
      <c r="AH11" s="236" t="str">
        <f t="shared" ca="1" si="18"/>
        <v/>
      </c>
      <c r="AJ11" s="236">
        <f t="shared" ca="1" si="19"/>
        <v>11</v>
      </c>
      <c r="AK11" s="236" t="str">
        <f t="shared" ca="1" si="20"/>
        <v>A-</v>
      </c>
      <c r="AL11" s="236">
        <f t="shared" ca="1" si="20"/>
        <v>20</v>
      </c>
      <c r="AM11" s="236" t="str">
        <f t="shared" ca="1" si="4"/>
        <v/>
      </c>
      <c r="AQ11" s="286" t="s">
        <v>531</v>
      </c>
      <c r="AR11" s="286" t="s">
        <v>28</v>
      </c>
      <c r="AS11" s="286">
        <v>18</v>
      </c>
      <c r="AT11" s="286" t="s">
        <v>530</v>
      </c>
      <c r="AV11" s="234">
        <f t="shared" si="21"/>
        <v>33</v>
      </c>
      <c r="AW11" s="234">
        <f>COUNTIF( AV$7:AV11, AV11 )</f>
        <v>2</v>
      </c>
      <c r="AX11" s="287">
        <f t="shared" si="22"/>
        <v>33.200000000000003</v>
      </c>
      <c r="AY11" s="234">
        <f t="shared" si="23"/>
        <v>34</v>
      </c>
      <c r="AZ11" s="236"/>
      <c r="BA11" s="236"/>
      <c r="BC11" s="234">
        <f t="shared" ca="1" si="24"/>
        <v>5</v>
      </c>
      <c r="BD11" s="288">
        <f t="shared" ca="1" si="6"/>
        <v>13</v>
      </c>
      <c r="BF11" s="240" t="str">
        <f t="shared" ca="1" si="7"/>
        <v>Dominion Resources, Inc.</v>
      </c>
      <c r="BG11" s="240" t="str">
        <f t="shared" ca="1" si="7"/>
        <v>A-</v>
      </c>
      <c r="BH11" s="240">
        <f t="shared" ca="1" si="7"/>
        <v>20</v>
      </c>
      <c r="BI11" s="240" t="str">
        <f t="shared" ca="1" si="7"/>
        <v>D</v>
      </c>
    </row>
    <row r="12" spans="1:61" x14ac:dyDescent="0.2">
      <c r="A12" s="303" t="s">
        <v>32</v>
      </c>
      <c r="B12" s="304" t="s">
        <v>10</v>
      </c>
      <c r="C12" s="304">
        <v>20</v>
      </c>
      <c r="D12" s="304" t="s">
        <v>290</v>
      </c>
      <c r="E12" s="305" t="str">
        <f t="shared" ca="1" si="8"/>
        <v>R</v>
      </c>
      <c r="F12" s="306"/>
      <c r="G12" s="307">
        <f t="shared" ca="1" si="1"/>
        <v>19</v>
      </c>
      <c r="H12" s="250"/>
      <c r="I12" s="318"/>
      <c r="J12" s="295" t="s">
        <v>49</v>
      </c>
      <c r="K12" s="318"/>
      <c r="L12" s="295">
        <f t="shared" si="9"/>
        <v>3</v>
      </c>
      <c r="M12" s="296">
        <f t="shared" si="10"/>
        <v>5.8823529411764705E-2</v>
      </c>
      <c r="N12" s="318"/>
      <c r="O12" s="295">
        <f t="shared" ca="1" si="11"/>
        <v>1</v>
      </c>
      <c r="P12" s="296">
        <f t="shared" ca="1" si="12"/>
        <v>2.7777777777777776E-2</v>
      </c>
      <c r="Q12" s="318"/>
      <c r="R12" s="295">
        <f t="shared" ca="1" si="13"/>
        <v>1</v>
      </c>
      <c r="S12" s="296">
        <f t="shared" ca="1" si="14"/>
        <v>7.6923076923076927E-2</v>
      </c>
      <c r="T12" s="318"/>
      <c r="U12" s="295">
        <f t="shared" ca="1" si="15"/>
        <v>1</v>
      </c>
      <c r="V12" s="296">
        <f t="shared" ca="1" si="16"/>
        <v>0.5</v>
      </c>
      <c r="W12" s="318"/>
      <c r="X12" s="256" t="s">
        <v>468</v>
      </c>
      <c r="Y12" s="256">
        <v>17</v>
      </c>
      <c r="Z12" s="256">
        <v>1</v>
      </c>
      <c r="AA12" s="255">
        <f t="shared" ca="1" si="17"/>
        <v>3</v>
      </c>
      <c r="AE12" s="254"/>
      <c r="AF12" s="236">
        <f t="shared" si="2"/>
        <v>0</v>
      </c>
      <c r="AG12" s="236" t="str">
        <f t="shared" ca="1" si="3"/>
        <v/>
      </c>
      <c r="AH12" s="236" t="str">
        <f t="shared" ca="1" si="18"/>
        <v/>
      </c>
      <c r="AJ12" s="236">
        <f t="shared" ca="1" si="19"/>
        <v>12</v>
      </c>
      <c r="AK12" s="236" t="str">
        <f t="shared" ca="1" si="20"/>
        <v>A-</v>
      </c>
      <c r="AL12" s="236">
        <f t="shared" ca="1" si="20"/>
        <v>20</v>
      </c>
      <c r="AM12" s="236" t="str">
        <f t="shared" ca="1" si="4"/>
        <v/>
      </c>
      <c r="AQ12" s="286" t="s">
        <v>55</v>
      </c>
      <c r="AR12" s="286" t="s">
        <v>28</v>
      </c>
      <c r="AS12" s="286">
        <v>18</v>
      </c>
      <c r="AT12" s="286" t="s">
        <v>278</v>
      </c>
      <c r="AV12" s="234">
        <f t="shared" si="21"/>
        <v>33</v>
      </c>
      <c r="AW12" s="234">
        <f>COUNTIF( AV$7:AV12, AV12 )</f>
        <v>3</v>
      </c>
      <c r="AX12" s="287">
        <f t="shared" si="22"/>
        <v>33.299999999999997</v>
      </c>
      <c r="AY12" s="234">
        <f t="shared" si="23"/>
        <v>35</v>
      </c>
      <c r="AZ12" s="236"/>
      <c r="BA12" s="236"/>
      <c r="BC12" s="234">
        <f t="shared" ca="1" si="24"/>
        <v>6</v>
      </c>
      <c r="BD12" s="288">
        <f t="shared" ca="1" si="6"/>
        <v>16</v>
      </c>
      <c r="BF12" s="240" t="str">
        <f t="shared" ca="1" si="7"/>
        <v>Duke Energy Corporation</v>
      </c>
      <c r="BG12" s="240" t="str">
        <f t="shared" ca="1" si="7"/>
        <v>A-</v>
      </c>
      <c r="BH12" s="240">
        <f t="shared" ca="1" si="7"/>
        <v>20</v>
      </c>
      <c r="BI12" s="240" t="str">
        <f t="shared" ca="1" si="7"/>
        <v>DUK</v>
      </c>
    </row>
    <row r="13" spans="1:61" x14ac:dyDescent="0.2">
      <c r="A13" s="303" t="s">
        <v>370</v>
      </c>
      <c r="B13" s="304" t="s">
        <v>10</v>
      </c>
      <c r="C13" s="304">
        <v>20</v>
      </c>
      <c r="D13" s="304" t="s">
        <v>369</v>
      </c>
      <c r="E13" s="305" t="str">
        <f t="shared" ca="1" si="8"/>
        <v>MR</v>
      </c>
      <c r="F13" s="306"/>
      <c r="G13" s="307">
        <f t="shared" ca="1" si="1"/>
        <v>32</v>
      </c>
      <c r="H13" s="250"/>
      <c r="I13" s="319"/>
      <c r="J13" s="297" t="s">
        <v>79</v>
      </c>
      <c r="K13" s="319"/>
      <c r="L13" s="297">
        <f t="shared" si="9"/>
        <v>2</v>
      </c>
      <c r="M13" s="298">
        <f t="shared" si="10"/>
        <v>3.9215686274509803E-2</v>
      </c>
      <c r="N13" s="319"/>
      <c r="O13" s="297">
        <f t="shared" ca="1" si="11"/>
        <v>2</v>
      </c>
      <c r="P13" s="298">
        <f t="shared" ca="1" si="12"/>
        <v>5.5555555555555552E-2</v>
      </c>
      <c r="Q13" s="319"/>
      <c r="R13" s="297">
        <f t="shared" ca="1" si="13"/>
        <v>0</v>
      </c>
      <c r="S13" s="298" t="str">
        <f t="shared" ca="1" si="14"/>
        <v/>
      </c>
      <c r="T13" s="319"/>
      <c r="U13" s="297">
        <f t="shared" ca="1" si="15"/>
        <v>0</v>
      </c>
      <c r="V13" s="298" t="str">
        <f t="shared" ca="1" si="16"/>
        <v/>
      </c>
      <c r="W13" s="319"/>
      <c r="X13" s="256" t="s">
        <v>469</v>
      </c>
      <c r="Y13" s="256">
        <v>16</v>
      </c>
      <c r="Z13" s="256">
        <v>1</v>
      </c>
      <c r="AA13" s="259">
        <f t="shared" ca="1" si="17"/>
        <v>2</v>
      </c>
      <c r="AE13" s="254"/>
      <c r="AF13" s="236">
        <f t="shared" si="2"/>
        <v>0</v>
      </c>
      <c r="AG13" s="236" t="str">
        <f t="shared" ca="1" si="3"/>
        <v/>
      </c>
      <c r="AH13" s="236" t="str">
        <f t="shared" ca="1" si="18"/>
        <v/>
      </c>
      <c r="AJ13" s="236">
        <f t="shared" ca="1" si="19"/>
        <v>13</v>
      </c>
      <c r="AK13" s="236" t="str">
        <f t="shared" ca="1" si="20"/>
        <v>A-</v>
      </c>
      <c r="AL13" s="236">
        <f t="shared" ca="1" si="20"/>
        <v>20</v>
      </c>
      <c r="AM13" s="236" t="str">
        <f t="shared" ca="1" si="4"/>
        <v/>
      </c>
      <c r="AQ13" s="286" t="s">
        <v>501</v>
      </c>
      <c r="AR13" s="286" t="s">
        <v>16</v>
      </c>
      <c r="AS13" s="286">
        <v>19</v>
      </c>
      <c r="AT13" s="286" t="s">
        <v>447</v>
      </c>
      <c r="AV13" s="234">
        <f t="shared" si="21"/>
        <v>15</v>
      </c>
      <c r="AW13" s="234">
        <f>COUNTIF( AV$7:AV13, AV13 )</f>
        <v>3</v>
      </c>
      <c r="AX13" s="287">
        <f t="shared" si="22"/>
        <v>15.3</v>
      </c>
      <c r="AY13" s="234">
        <f t="shared" si="23"/>
        <v>17</v>
      </c>
      <c r="AZ13" s="236"/>
      <c r="BA13" s="236"/>
      <c r="BC13" s="234">
        <f t="shared" ca="1" si="24"/>
        <v>7</v>
      </c>
      <c r="BD13" s="288">
        <f t="shared" ca="1" si="6"/>
        <v>29</v>
      </c>
      <c r="BF13" s="240" t="str">
        <f t="shared" ca="1" si="7"/>
        <v>NextEra Energy, Inc.</v>
      </c>
      <c r="BG13" s="240" t="str">
        <f t="shared" ca="1" si="7"/>
        <v>A-</v>
      </c>
      <c r="BH13" s="240">
        <f t="shared" ca="1" si="7"/>
        <v>20</v>
      </c>
      <c r="BI13" s="240" t="str">
        <f t="shared" ca="1" si="7"/>
        <v>NEE</v>
      </c>
    </row>
    <row r="14" spans="1:61" x14ac:dyDescent="0.2">
      <c r="A14" s="303" t="s">
        <v>21</v>
      </c>
      <c r="B14" s="304" t="s">
        <v>10</v>
      </c>
      <c r="C14" s="304">
        <v>20</v>
      </c>
      <c r="D14" s="304" t="s">
        <v>316</v>
      </c>
      <c r="E14" s="305" t="str">
        <f t="shared" ca="1" si="8"/>
        <v>R</v>
      </c>
      <c r="F14" s="306"/>
      <c r="G14" s="307">
        <f t="shared" ca="1" si="1"/>
        <v>36</v>
      </c>
      <c r="H14" s="250"/>
      <c r="I14" s="320"/>
      <c r="J14" s="291" t="s">
        <v>80</v>
      </c>
      <c r="K14" s="320"/>
      <c r="L14" s="291">
        <f>SUM(L8:L13)</f>
        <v>51</v>
      </c>
      <c r="M14" s="292">
        <f>L14/L$14</f>
        <v>1</v>
      </c>
      <c r="N14" s="320"/>
      <c r="O14" s="291">
        <f ca="1">SUM(O8:O13)</f>
        <v>36</v>
      </c>
      <c r="P14" s="292">
        <f ca="1">O14/O$14</f>
        <v>1</v>
      </c>
      <c r="Q14" s="320"/>
      <c r="R14" s="291">
        <f ca="1">SUM(R8:R13)</f>
        <v>13</v>
      </c>
      <c r="S14" s="292">
        <f ca="1">R14/R$14</f>
        <v>1</v>
      </c>
      <c r="T14" s="320"/>
      <c r="U14" s="291">
        <f ca="1">SUM(U8:U13)</f>
        <v>2</v>
      </c>
      <c r="V14" s="292">
        <f ca="1">U14/U$14</f>
        <v>1</v>
      </c>
      <c r="W14" s="320"/>
      <c r="Y14" s="261">
        <f>SUMPRODUCT( L8:L13, Y8:Y13 ) / L14</f>
        <v>18.843137254901961</v>
      </c>
      <c r="Z14" s="261"/>
      <c r="AA14" s="442">
        <f ca="1">SUM(AA8:AA13)</f>
        <v>51</v>
      </c>
      <c r="AE14" s="254"/>
      <c r="AF14" s="236">
        <f t="shared" si="2"/>
        <v>0</v>
      </c>
      <c r="AG14" s="236" t="str">
        <f t="shared" ca="1" si="3"/>
        <v/>
      </c>
      <c r="AH14" s="236" t="str">
        <f t="shared" ca="1" si="18"/>
        <v/>
      </c>
      <c r="AJ14" s="236">
        <f t="shared" ca="1" si="19"/>
        <v>14</v>
      </c>
      <c r="AK14" s="236" t="str">
        <f t="shared" ca="1" si="20"/>
        <v>A-</v>
      </c>
      <c r="AL14" s="236">
        <f t="shared" ca="1" si="20"/>
        <v>20</v>
      </c>
      <c r="AM14" s="236" t="str">
        <f t="shared" ca="1" si="4"/>
        <v/>
      </c>
      <c r="AQ14" s="286" t="s">
        <v>48</v>
      </c>
      <c r="AR14" s="286" t="s">
        <v>28</v>
      </c>
      <c r="AS14" s="286">
        <v>18</v>
      </c>
      <c r="AT14" s="286" t="s">
        <v>280</v>
      </c>
      <c r="AV14" s="234">
        <f>IF( LEN( AS14 ) = 0, 99, RANK( AS14, $AS$7:$AS$63 ) )</f>
        <v>33</v>
      </c>
      <c r="AW14" s="234">
        <f>COUNTIF( AV$7:AV14, AV14 )</f>
        <v>4</v>
      </c>
      <c r="AX14" s="287">
        <f t="shared" si="22"/>
        <v>33.4</v>
      </c>
      <c r="AY14" s="234">
        <f t="shared" si="23"/>
        <v>36</v>
      </c>
      <c r="AZ14" s="236"/>
      <c r="BA14" s="236"/>
      <c r="BC14" s="234">
        <f t="shared" ca="1" si="24"/>
        <v>8</v>
      </c>
      <c r="BD14" s="288">
        <f t="shared" ca="1" si="6"/>
        <v>32</v>
      </c>
      <c r="BF14" s="240" t="str">
        <f t="shared" ca="1" si="7"/>
        <v>OGE Energy Corp.</v>
      </c>
      <c r="BG14" s="240" t="str">
        <f t="shared" ca="1" si="7"/>
        <v>A-</v>
      </c>
      <c r="BH14" s="240">
        <f t="shared" ca="1" si="7"/>
        <v>20</v>
      </c>
      <c r="BI14" s="240" t="str">
        <f t="shared" ca="1" si="7"/>
        <v>OGE</v>
      </c>
    </row>
    <row r="15" spans="1:61" x14ac:dyDescent="0.2">
      <c r="A15" s="303" t="s">
        <v>41</v>
      </c>
      <c r="B15" s="304" t="s">
        <v>10</v>
      </c>
      <c r="C15" s="304">
        <v>20</v>
      </c>
      <c r="D15" s="304" t="s">
        <v>322</v>
      </c>
      <c r="E15" s="305" t="str">
        <f t="shared" ca="1" si="8"/>
        <v>R</v>
      </c>
      <c r="F15" s="306"/>
      <c r="G15" s="307">
        <f t="shared" ca="1" si="1"/>
        <v>40</v>
      </c>
      <c r="H15" s="250"/>
      <c r="I15" s="321"/>
      <c r="K15" s="321"/>
      <c r="N15" s="321"/>
      <c r="Q15" s="321"/>
      <c r="T15" s="321"/>
      <c r="W15" s="321"/>
      <c r="X15" s="240"/>
      <c r="AA15" s="240"/>
      <c r="AE15" s="254"/>
      <c r="AF15" s="236">
        <f t="shared" si="2"/>
        <v>0</v>
      </c>
      <c r="AG15" s="236" t="str">
        <f t="shared" ca="1" si="3"/>
        <v/>
      </c>
      <c r="AH15" s="236" t="str">
        <f t="shared" ca="1" si="18"/>
        <v/>
      </c>
      <c r="AJ15" s="236">
        <f t="shared" ca="1" si="19"/>
        <v>15</v>
      </c>
      <c r="AK15" s="236" t="str">
        <f t="shared" ca="1" si="20"/>
        <v>A-</v>
      </c>
      <c r="AL15" s="236">
        <f t="shared" ca="1" si="20"/>
        <v>20</v>
      </c>
      <c r="AM15" s="236" t="str">
        <f t="shared" ca="1" si="4"/>
        <v/>
      </c>
      <c r="AQ15" s="286" t="s">
        <v>29</v>
      </c>
      <c r="AR15" s="286" t="s">
        <v>10</v>
      </c>
      <c r="AS15" s="286">
        <v>20</v>
      </c>
      <c r="AT15" s="286" t="s">
        <v>286</v>
      </c>
      <c r="AV15" s="234">
        <f t="shared" si="21"/>
        <v>2</v>
      </c>
      <c r="AW15" s="234">
        <f>COUNTIF( AV$7:AV15, AV15 )</f>
        <v>2</v>
      </c>
      <c r="AX15" s="287">
        <f t="shared" si="22"/>
        <v>2.2000000000000002</v>
      </c>
      <c r="AY15" s="234">
        <f t="shared" si="23"/>
        <v>3</v>
      </c>
      <c r="AZ15" s="236"/>
      <c r="BA15" s="236"/>
      <c r="BC15" s="234">
        <f t="shared" ca="1" si="24"/>
        <v>9</v>
      </c>
      <c r="BD15" s="288">
        <f t="shared" ca="1" si="6"/>
        <v>36</v>
      </c>
      <c r="BF15" s="240" t="str">
        <f t="shared" ca="1" si="7"/>
        <v>Pinnacle West Capital Corporation</v>
      </c>
      <c r="BG15" s="240" t="str">
        <f t="shared" ca="1" si="7"/>
        <v>A-</v>
      </c>
      <c r="BH15" s="240">
        <f t="shared" ca="1" si="7"/>
        <v>20</v>
      </c>
      <c r="BI15" s="240" t="str">
        <f t="shared" ca="1" si="7"/>
        <v>PNW</v>
      </c>
    </row>
    <row r="16" spans="1:61" x14ac:dyDescent="0.2">
      <c r="A16" s="303" t="s">
        <v>43</v>
      </c>
      <c r="B16" s="304" t="s">
        <v>10</v>
      </c>
      <c r="C16" s="304">
        <v>20</v>
      </c>
      <c r="D16" s="304" t="s">
        <v>325</v>
      </c>
      <c r="E16" s="305" t="str">
        <f t="shared" ca="1" si="8"/>
        <v>MR</v>
      </c>
      <c r="F16" s="306"/>
      <c r="G16" s="307">
        <f t="shared" ca="1" si="1"/>
        <v>43</v>
      </c>
      <c r="H16" s="250"/>
      <c r="I16" s="316"/>
      <c r="J16" s="290" t="s">
        <v>450</v>
      </c>
      <c r="K16" s="316"/>
      <c r="L16" s="463">
        <f t="array" ref="L16">SUM( IF( LEN( $C$7:$C$65 ) = 0, 0, $C$7:$C$65 ) ) / SUM( IF( LEN( $C$7:$C$65 ) = 0, 0, 1  ) )</f>
        <v>18.862745098039216</v>
      </c>
      <c r="M16" s="464"/>
      <c r="N16" s="316"/>
      <c r="O16" s="463">
        <f t="array" aca="1" ref="O16" ca="1">SUM( IF( LEN( $C$7:$C$65 ) = 0, 0, IF( $E$7:$E$65 = O3, $C$7:$C$65, 0 ) ) ) / SUM( IF( LEN( $C$7:$C$65 ) = 0, 0, IF( $E$7:$E$65 = O3, 1, 0 ) ) )</f>
        <v>18.694444444444443</v>
      </c>
      <c r="P16" s="464"/>
      <c r="Q16" s="316"/>
      <c r="R16" s="463">
        <f t="array" aca="1" ref="R16" ca="1">SUM( IF( LEN( $C$7:$C$65 ) = 0, 0, IF( $E$7:$E$65 = R3, $C$7:$C$65, 0 ) ) ) / SUM( IF( LEN( $C$7:$C$65 ) = 0, 0, IF( $E$7:$E$65 = R3, 1, 0 ) ) )</f>
        <v>19.46153846153846</v>
      </c>
      <c r="S16" s="464"/>
      <c r="T16" s="316"/>
      <c r="U16" s="463">
        <f t="array" aca="1" ref="U16" ca="1">SUM( IF( LEN( $C$7:$C$65 ) = 0, 0, IF( $E$7:$E$65 = U3, $C$7:$C$65, 0 ) ) ) / SUM( IF( LEN( $C$7:$C$65 ) = 0, 0, IF( $E$7:$E$65 = U3, 1, 0 ) ) )</f>
        <v>18</v>
      </c>
      <c r="V16" s="465"/>
      <c r="W16" s="316"/>
      <c r="AE16" s="254"/>
      <c r="AF16" s="236">
        <f t="shared" si="2"/>
        <v>0</v>
      </c>
      <c r="AG16" s="236" t="str">
        <f t="shared" ca="1" si="3"/>
        <v/>
      </c>
      <c r="AH16" s="236" t="str">
        <f t="shared" ca="1" si="18"/>
        <v/>
      </c>
      <c r="AJ16" s="236">
        <f t="shared" ca="1" si="19"/>
        <v>16</v>
      </c>
      <c r="AK16" s="236" t="str">
        <f t="shared" ca="1" si="20"/>
        <v>A-</v>
      </c>
      <c r="AL16" s="236">
        <f t="shared" ca="1" si="20"/>
        <v>20</v>
      </c>
      <c r="AM16" s="236" t="str">
        <f t="shared" ca="1" si="4"/>
        <v/>
      </c>
      <c r="AQ16" s="286" t="s">
        <v>30</v>
      </c>
      <c r="AR16" s="286" t="s">
        <v>16</v>
      </c>
      <c r="AS16" s="286">
        <v>19</v>
      </c>
      <c r="AT16" s="286" t="s">
        <v>285</v>
      </c>
      <c r="AV16" s="234">
        <f t="shared" si="21"/>
        <v>15</v>
      </c>
      <c r="AW16" s="234">
        <f>COUNTIF( AV$7:AV16, AV16 )</f>
        <v>4</v>
      </c>
      <c r="AX16" s="287">
        <f t="shared" si="22"/>
        <v>15.4</v>
      </c>
      <c r="AY16" s="234">
        <f t="shared" si="23"/>
        <v>18</v>
      </c>
      <c r="AZ16" s="236"/>
      <c r="BA16" s="236"/>
      <c r="BC16" s="234">
        <f t="shared" ca="1" si="24"/>
        <v>10</v>
      </c>
      <c r="BD16" s="288">
        <f t="shared" ca="1" si="6"/>
        <v>39</v>
      </c>
      <c r="BF16" s="240" t="str">
        <f t="shared" ca="1" si="7"/>
        <v>PPL Corporation</v>
      </c>
      <c r="BG16" s="240" t="str">
        <f t="shared" ca="1" si="7"/>
        <v>A-</v>
      </c>
      <c r="BH16" s="240">
        <f t="shared" ca="1" si="7"/>
        <v>20</v>
      </c>
      <c r="BI16" s="240" t="str">
        <f t="shared" ca="1" si="7"/>
        <v>PPL</v>
      </c>
    </row>
    <row r="17" spans="1:61" x14ac:dyDescent="0.2">
      <c r="A17" s="303" t="s">
        <v>7</v>
      </c>
      <c r="B17" s="304" t="s">
        <v>10</v>
      </c>
      <c r="C17" s="304">
        <v>20</v>
      </c>
      <c r="D17" s="304" t="s">
        <v>328</v>
      </c>
      <c r="E17" s="305" t="str">
        <f t="shared" ca="1" si="8"/>
        <v>R</v>
      </c>
      <c r="F17" s="306"/>
      <c r="G17" s="307">
        <f t="shared" ca="1" si="1"/>
        <v>47</v>
      </c>
      <c r="H17" s="250"/>
      <c r="I17" s="321"/>
      <c r="K17" s="321"/>
      <c r="N17" s="321"/>
      <c r="O17" s="240"/>
      <c r="Q17" s="321"/>
      <c r="T17" s="321"/>
      <c r="W17" s="321"/>
      <c r="AE17" s="245"/>
      <c r="AF17" s="236">
        <f t="shared" si="2"/>
        <v>0</v>
      </c>
      <c r="AG17" s="236" t="str">
        <f t="shared" ca="1" si="3"/>
        <v/>
      </c>
      <c r="AH17" s="236" t="str">
        <f t="shared" ca="1" si="18"/>
        <v/>
      </c>
      <c r="AJ17" s="236">
        <f t="shared" ca="1" si="19"/>
        <v>17</v>
      </c>
      <c r="AK17" s="236" t="str">
        <f t="shared" ca="1" si="20"/>
        <v>A-</v>
      </c>
      <c r="AL17" s="236">
        <f t="shared" ca="1" si="20"/>
        <v>20</v>
      </c>
      <c r="AM17" s="236" t="str">
        <f t="shared" ca="1" si="4"/>
        <v/>
      </c>
      <c r="AQ17" s="286" t="s">
        <v>60</v>
      </c>
      <c r="AR17" s="286" t="s">
        <v>16</v>
      </c>
      <c r="AS17" s="286">
        <v>19</v>
      </c>
      <c r="AT17" s="286" t="s">
        <v>284</v>
      </c>
      <c r="AV17" s="234">
        <f t="shared" si="21"/>
        <v>15</v>
      </c>
      <c r="AW17" s="234">
        <f>COUNTIF( AV$7:AV17, AV17 )</f>
        <v>5</v>
      </c>
      <c r="AX17" s="287">
        <f t="shared" si="22"/>
        <v>15.5</v>
      </c>
      <c r="AY17" s="234">
        <f t="shared" si="23"/>
        <v>19</v>
      </c>
      <c r="AZ17" s="236"/>
      <c r="BA17" s="236"/>
      <c r="BC17" s="234">
        <f t="shared" ca="1" si="24"/>
        <v>11</v>
      </c>
      <c r="BD17" s="288">
        <f t="shared" ca="1" si="6"/>
        <v>44</v>
      </c>
      <c r="BF17" s="240" t="str">
        <f t="shared" ca="1" si="7"/>
        <v>Southern Company</v>
      </c>
      <c r="BG17" s="240" t="str">
        <f t="shared" ca="1" si="7"/>
        <v>A-</v>
      </c>
      <c r="BH17" s="240">
        <f t="shared" ca="1" si="7"/>
        <v>20</v>
      </c>
      <c r="BI17" s="240" t="str">
        <f t="shared" ca="1" si="7"/>
        <v>SO</v>
      </c>
    </row>
    <row r="18" spans="1:61" x14ac:dyDescent="0.2">
      <c r="A18" s="303" t="s">
        <v>14</v>
      </c>
      <c r="B18" s="304" t="s">
        <v>10</v>
      </c>
      <c r="C18" s="304">
        <v>20</v>
      </c>
      <c r="D18" s="304" t="s">
        <v>335</v>
      </c>
      <c r="E18" s="305" t="str">
        <f t="shared" ca="1" si="8"/>
        <v>MR</v>
      </c>
      <c r="F18" s="306"/>
      <c r="G18" s="307">
        <f t="shared" ca="1" si="1"/>
        <v>51</v>
      </c>
      <c r="H18" s="250"/>
      <c r="I18" s="321"/>
      <c r="K18" s="321"/>
      <c r="N18" s="321"/>
      <c r="O18" s="240"/>
      <c r="Q18" s="321"/>
      <c r="T18" s="321"/>
      <c r="W18" s="321"/>
      <c r="AE18" s="254"/>
      <c r="AF18" s="236">
        <f t="shared" si="2"/>
        <v>0</v>
      </c>
      <c r="AG18" s="236" t="str">
        <f t="shared" ca="1" si="3"/>
        <v/>
      </c>
      <c r="AH18" s="236" t="str">
        <f t="shared" ca="1" si="18"/>
        <v/>
      </c>
      <c r="AJ18" s="236">
        <f t="shared" ca="1" si="19"/>
        <v>18</v>
      </c>
      <c r="AK18" s="236" t="str">
        <f t="shared" ca="1" si="20"/>
        <v>A-</v>
      </c>
      <c r="AL18" s="236">
        <f t="shared" ca="1" si="20"/>
        <v>20</v>
      </c>
      <c r="AM18" s="236" t="str">
        <f t="shared" ca="1" si="4"/>
        <v/>
      </c>
      <c r="AQ18" s="286" t="s">
        <v>3</v>
      </c>
      <c r="AR18" s="286" t="s">
        <v>10</v>
      </c>
      <c r="AS18" s="286">
        <v>20</v>
      </c>
      <c r="AT18" s="286" t="s">
        <v>292</v>
      </c>
      <c r="AV18" s="234">
        <f t="shared" si="21"/>
        <v>2</v>
      </c>
      <c r="AW18" s="234">
        <f>COUNTIF( AV$7:AV18, AV18 )</f>
        <v>3</v>
      </c>
      <c r="AX18" s="287">
        <f t="shared" si="22"/>
        <v>2.2999999999999998</v>
      </c>
      <c r="AY18" s="234">
        <f t="shared" si="23"/>
        <v>4</v>
      </c>
      <c r="AZ18" s="236"/>
      <c r="BA18" s="236"/>
      <c r="BC18" s="234">
        <f t="shared" ca="1" si="24"/>
        <v>12</v>
      </c>
      <c r="BD18" s="288">
        <f t="shared" ca="1" si="6"/>
        <v>47</v>
      </c>
      <c r="BF18" s="240" t="str">
        <f t="shared" ca="1" si="7"/>
        <v>Vectren Corporation</v>
      </c>
      <c r="BG18" s="240" t="str">
        <f t="shared" ca="1" si="7"/>
        <v>A-</v>
      </c>
      <c r="BH18" s="240">
        <f t="shared" ca="1" si="7"/>
        <v>20</v>
      </c>
      <c r="BI18" s="240" t="str">
        <f t="shared" ca="1" si="7"/>
        <v>VVC</v>
      </c>
    </row>
    <row r="19" spans="1:61" x14ac:dyDescent="0.2">
      <c r="A19" s="303" t="s">
        <v>26</v>
      </c>
      <c r="B19" s="304" t="s">
        <v>10</v>
      </c>
      <c r="C19" s="304">
        <v>20</v>
      </c>
      <c r="D19" s="304" t="s">
        <v>336</v>
      </c>
      <c r="E19" s="305" t="str">
        <f t="shared" ca="1" si="8"/>
        <v>R</v>
      </c>
      <c r="F19" s="306"/>
      <c r="G19" s="307">
        <f t="shared" ca="1" si="1"/>
        <v>53</v>
      </c>
      <c r="H19" s="250"/>
      <c r="I19" s="321"/>
      <c r="K19" s="321"/>
      <c r="N19" s="321"/>
      <c r="O19" s="240"/>
      <c r="Q19" s="321"/>
      <c r="T19" s="321"/>
      <c r="W19" s="321"/>
      <c r="AE19" s="254"/>
      <c r="AF19" s="236">
        <f t="shared" si="2"/>
        <v>0</v>
      </c>
      <c r="AG19" s="236" t="str">
        <f t="shared" ca="1" si="3"/>
        <v/>
      </c>
      <c r="AH19" s="236" t="str">
        <f t="shared" ca="1" si="18"/>
        <v/>
      </c>
      <c r="AJ19" s="236">
        <f t="shared" ca="1" si="19"/>
        <v>19</v>
      </c>
      <c r="AK19" s="236" t="str">
        <f t="shared" ca="1" si="20"/>
        <v>A-</v>
      </c>
      <c r="AL19" s="236">
        <f t="shared" ca="1" si="20"/>
        <v>20</v>
      </c>
      <c r="AM19" s="236" t="str">
        <f t="shared" ca="1" si="4"/>
        <v/>
      </c>
      <c r="AQ19" s="286" t="s">
        <v>18</v>
      </c>
      <c r="AR19" s="286" t="s">
        <v>10</v>
      </c>
      <c r="AS19" s="286">
        <v>20</v>
      </c>
      <c r="AT19" s="286" t="s">
        <v>86</v>
      </c>
      <c r="AV19" s="234">
        <f t="shared" si="21"/>
        <v>2</v>
      </c>
      <c r="AW19" s="234">
        <f>COUNTIF( AV$7:AV19, AV19 )</f>
        <v>4</v>
      </c>
      <c r="AX19" s="287">
        <f t="shared" si="22"/>
        <v>2.4</v>
      </c>
      <c r="AY19" s="234">
        <f t="shared" si="23"/>
        <v>5</v>
      </c>
      <c r="AZ19" s="236"/>
      <c r="BA19" s="236"/>
      <c r="BC19" s="234">
        <f t="shared" ca="1" si="24"/>
        <v>13</v>
      </c>
      <c r="BD19" s="288">
        <f t="shared" ca="1" si="6"/>
        <v>49</v>
      </c>
      <c r="BF19" s="240" t="str">
        <f t="shared" ca="1" si="7"/>
        <v>Wisconsin Energy Corporation</v>
      </c>
      <c r="BG19" s="240" t="str">
        <f t="shared" ca="1" si="7"/>
        <v>A-</v>
      </c>
      <c r="BH19" s="240">
        <f t="shared" ca="1" si="7"/>
        <v>20</v>
      </c>
      <c r="BI19" s="240" t="str">
        <f t="shared" ca="1" si="7"/>
        <v>WEC</v>
      </c>
    </row>
    <row r="20" spans="1:61" x14ac:dyDescent="0.2">
      <c r="A20" s="303" t="s">
        <v>258</v>
      </c>
      <c r="B20" s="304" t="s">
        <v>10</v>
      </c>
      <c r="C20" s="304">
        <v>20</v>
      </c>
      <c r="D20" s="304" t="s">
        <v>338</v>
      </c>
      <c r="E20" s="305" t="str">
        <f t="shared" ca="1" si="8"/>
        <v>R</v>
      </c>
      <c r="F20" s="306"/>
      <c r="G20" s="307">
        <f t="shared" ca="1" si="1"/>
        <v>54</v>
      </c>
      <c r="H20" s="250"/>
      <c r="I20" s="322"/>
      <c r="K20" s="322"/>
      <c r="N20" s="322"/>
      <c r="O20" s="240"/>
      <c r="Q20" s="322"/>
      <c r="T20" s="322"/>
      <c r="W20" s="322"/>
      <c r="AE20" s="254"/>
      <c r="AF20" s="236">
        <f t="shared" si="2"/>
        <v>0</v>
      </c>
      <c r="AG20" s="236" t="str">
        <f t="shared" ca="1" si="3"/>
        <v/>
      </c>
      <c r="AH20" s="236" t="str">
        <f t="shared" ca="1" si="18"/>
        <v/>
      </c>
      <c r="AJ20" s="236">
        <f t="shared" ca="1" si="19"/>
        <v>20</v>
      </c>
      <c r="AK20" s="236" t="str">
        <f t="shared" ca="1" si="20"/>
        <v>A-</v>
      </c>
      <c r="AL20" s="236">
        <f t="shared" ca="1" si="20"/>
        <v>20</v>
      </c>
      <c r="AM20" s="236" t="str">
        <f t="shared" ca="1" si="4"/>
        <v/>
      </c>
      <c r="AQ20" s="286" t="s">
        <v>64</v>
      </c>
      <c r="AR20" s="286" t="s">
        <v>61</v>
      </c>
      <c r="AS20" s="286">
        <v>15</v>
      </c>
      <c r="AT20" s="286" t="s">
        <v>443</v>
      </c>
      <c r="AV20" s="234">
        <f t="shared" si="21"/>
        <v>50</v>
      </c>
      <c r="AW20" s="234">
        <f>COUNTIF( AV$7:AV20, AV20 )</f>
        <v>1</v>
      </c>
      <c r="AX20" s="287">
        <f t="shared" si="22"/>
        <v>50.1</v>
      </c>
      <c r="AY20" s="234">
        <f t="shared" si="23"/>
        <v>50</v>
      </c>
      <c r="AZ20" s="236"/>
      <c r="BA20" s="236"/>
      <c r="BC20" s="234">
        <f t="shared" ca="1" si="24"/>
        <v>14</v>
      </c>
      <c r="BD20" s="288">
        <f t="shared" ca="1" si="6"/>
        <v>50</v>
      </c>
      <c r="BF20" s="240" t="str">
        <f t="shared" ca="1" si="7"/>
        <v>Xcel Energy Inc.</v>
      </c>
      <c r="BG20" s="240" t="str">
        <f t="shared" ca="1" si="7"/>
        <v>A-</v>
      </c>
      <c r="BH20" s="240">
        <f t="shared" ca="1" si="7"/>
        <v>20</v>
      </c>
      <c r="BI20" s="240" t="str">
        <f t="shared" ca="1" si="7"/>
        <v>XEL</v>
      </c>
    </row>
    <row r="21" spans="1:61" x14ac:dyDescent="0.2">
      <c r="A21" s="303" t="s">
        <v>15</v>
      </c>
      <c r="B21" s="304" t="s">
        <v>16</v>
      </c>
      <c r="C21" s="304">
        <v>19</v>
      </c>
      <c r="D21" s="304" t="s">
        <v>277</v>
      </c>
      <c r="E21" s="305" t="str">
        <f t="shared" ca="1" si="8"/>
        <v>R</v>
      </c>
      <c r="F21" s="306"/>
      <c r="G21" s="307">
        <f t="shared" ca="1" si="1"/>
        <v>7</v>
      </c>
      <c r="H21" s="250"/>
      <c r="I21" s="321"/>
      <c r="K21" s="321"/>
      <c r="N21" s="321"/>
      <c r="Q21" s="321"/>
      <c r="T21" s="321"/>
      <c r="W21" s="321"/>
      <c r="AE21" s="254"/>
      <c r="AF21" s="236">
        <f t="shared" si="2"/>
        <v>1</v>
      </c>
      <c r="AG21" s="236" t="str">
        <f t="shared" ca="1" si="3"/>
        <v/>
      </c>
      <c r="AH21" s="236" t="str">
        <f t="shared" ca="1" si="18"/>
        <v/>
      </c>
      <c r="AJ21" s="236">
        <f t="shared" ca="1" si="19"/>
        <v>21</v>
      </c>
      <c r="AK21" s="236" t="str">
        <f t="shared" ca="1" si="20"/>
        <v>BBB+</v>
      </c>
      <c r="AL21" s="236">
        <f t="shared" ca="1" si="20"/>
        <v>19</v>
      </c>
      <c r="AM21" s="236" t="str">
        <f t="shared" ca="1" si="4"/>
        <v/>
      </c>
      <c r="AQ21" s="286" t="s">
        <v>31</v>
      </c>
      <c r="AR21" s="286" t="s">
        <v>16</v>
      </c>
      <c r="AS21" s="286">
        <v>19</v>
      </c>
      <c r="AT21" s="286" t="s">
        <v>289</v>
      </c>
      <c r="AV21" s="234">
        <f t="shared" si="21"/>
        <v>15</v>
      </c>
      <c r="AW21" s="234">
        <f>COUNTIF( AV$7:AV21, AV21 )</f>
        <v>6</v>
      </c>
      <c r="AX21" s="287">
        <f t="shared" si="22"/>
        <v>15.6</v>
      </c>
      <c r="AY21" s="234">
        <f t="shared" si="23"/>
        <v>20</v>
      </c>
      <c r="AZ21" s="236"/>
      <c r="BA21" s="236"/>
      <c r="BC21" s="234">
        <f t="shared" ca="1" si="24"/>
        <v>15</v>
      </c>
      <c r="BD21" s="288">
        <f t="shared" ca="1" si="6"/>
        <v>1</v>
      </c>
      <c r="BF21" s="240" t="str">
        <f t="shared" ca="1" si="7"/>
        <v>ALLETE, Inc.</v>
      </c>
      <c r="BG21" s="240" t="str">
        <f t="shared" ca="1" si="7"/>
        <v>BBB+</v>
      </c>
      <c r="BH21" s="240">
        <f t="shared" ca="1" si="7"/>
        <v>19</v>
      </c>
      <c r="BI21" s="240" t="str">
        <f t="shared" ca="1" si="7"/>
        <v>ALE</v>
      </c>
    </row>
    <row r="22" spans="1:61" x14ac:dyDescent="0.2">
      <c r="A22" s="303" t="s">
        <v>9</v>
      </c>
      <c r="B22" s="304" t="s">
        <v>16</v>
      </c>
      <c r="C22" s="304">
        <v>19</v>
      </c>
      <c r="D22" s="304" t="s">
        <v>274</v>
      </c>
      <c r="E22" s="305" t="str">
        <f t="shared" ca="1" si="8"/>
        <v>R</v>
      </c>
      <c r="F22" s="306"/>
      <c r="G22" s="307">
        <f t="shared" ca="1" si="1"/>
        <v>9</v>
      </c>
      <c r="H22" s="250"/>
      <c r="I22" s="321"/>
      <c r="K22" s="321"/>
      <c r="N22" s="321"/>
      <c r="Q22" s="321"/>
      <c r="T22" s="321"/>
      <c r="W22" s="321"/>
      <c r="AE22" s="254"/>
      <c r="AF22" s="236">
        <f t="shared" si="2"/>
        <v>1</v>
      </c>
      <c r="AG22" s="236" t="str">
        <f t="shared" ca="1" si="3"/>
        <v/>
      </c>
      <c r="AH22" s="236" t="str">
        <f t="shared" ca="1" si="18"/>
        <v/>
      </c>
      <c r="AJ22" s="236">
        <f t="shared" ca="1" si="19"/>
        <v>22</v>
      </c>
      <c r="AK22" s="236" t="str">
        <f t="shared" ca="1" si="20"/>
        <v>BBB+</v>
      </c>
      <c r="AL22" s="236">
        <f t="shared" ca="1" si="20"/>
        <v>19</v>
      </c>
      <c r="AM22" s="236" t="str">
        <f t="shared" ca="1" si="4"/>
        <v/>
      </c>
      <c r="AQ22" s="286" t="s">
        <v>32</v>
      </c>
      <c r="AR22" s="286" t="s">
        <v>10</v>
      </c>
      <c r="AS22" s="286">
        <v>20</v>
      </c>
      <c r="AT22" s="286" t="s">
        <v>290</v>
      </c>
      <c r="AV22" s="234">
        <f t="shared" si="21"/>
        <v>2</v>
      </c>
      <c r="AW22" s="234">
        <f>COUNTIF( AV$7:AV22, AV22 )</f>
        <v>5</v>
      </c>
      <c r="AX22" s="287">
        <f t="shared" si="22"/>
        <v>2.5</v>
      </c>
      <c r="AY22" s="234">
        <f t="shared" si="23"/>
        <v>6</v>
      </c>
      <c r="AZ22" s="236"/>
      <c r="BA22" s="236"/>
      <c r="BC22" s="234">
        <f t="shared" ca="1" si="24"/>
        <v>16</v>
      </c>
      <c r="BD22" s="288">
        <f t="shared" ca="1" si="6"/>
        <v>3</v>
      </c>
      <c r="BF22" s="240" t="str">
        <f t="shared" ca="1" si="7"/>
        <v>Ameren Corporation</v>
      </c>
      <c r="BG22" s="240" t="str">
        <f t="shared" ca="1" si="7"/>
        <v>BBB+</v>
      </c>
      <c r="BH22" s="240">
        <f t="shared" ca="1" si="7"/>
        <v>19</v>
      </c>
      <c r="BI22" s="240" t="str">
        <f t="shared" ca="1" si="7"/>
        <v>AEE</v>
      </c>
    </row>
    <row r="23" spans="1:61" x14ac:dyDescent="0.2">
      <c r="A23" s="303" t="s">
        <v>501</v>
      </c>
      <c r="B23" s="304" t="s">
        <v>16</v>
      </c>
      <c r="C23" s="304">
        <v>19</v>
      </c>
      <c r="D23" s="304" t="s">
        <v>447</v>
      </c>
      <c r="E23" s="305" t="str">
        <f t="shared" ca="1" si="8"/>
        <v>MR</v>
      </c>
      <c r="F23" s="306"/>
      <c r="G23" s="307">
        <f t="shared" ca="1" si="1"/>
        <v>60</v>
      </c>
      <c r="H23" s="250"/>
      <c r="I23" s="321"/>
      <c r="K23" s="321"/>
      <c r="N23" s="321"/>
      <c r="Q23" s="321"/>
      <c r="T23" s="321"/>
      <c r="W23" s="321"/>
      <c r="AE23" s="254"/>
      <c r="AF23" s="236">
        <f t="shared" si="2"/>
        <v>1</v>
      </c>
      <c r="AG23" s="236" t="str">
        <f t="shared" ca="1" si="3"/>
        <v/>
      </c>
      <c r="AH23" s="236" t="str">
        <f t="shared" ca="1" si="18"/>
        <v/>
      </c>
      <c r="AJ23" s="236">
        <f t="shared" ca="1" si="19"/>
        <v>23</v>
      </c>
      <c r="AK23" s="236" t="str">
        <f t="shared" ca="1" si="20"/>
        <v>BBB+</v>
      </c>
      <c r="AL23" s="236">
        <f t="shared" ca="1" si="20"/>
        <v>19</v>
      </c>
      <c r="AM23" s="236" t="str">
        <f t="shared" ca="1" si="4"/>
        <v/>
      </c>
      <c r="AQ23" s="286" t="s">
        <v>57</v>
      </c>
      <c r="AR23" s="286" t="s">
        <v>16</v>
      </c>
      <c r="AS23" s="286">
        <v>19</v>
      </c>
      <c r="AT23" s="286" t="s">
        <v>296</v>
      </c>
      <c r="AV23" s="234">
        <f t="shared" si="21"/>
        <v>15</v>
      </c>
      <c r="AW23" s="234">
        <f>COUNTIF( AV$7:AV23, AV23 )</f>
        <v>7</v>
      </c>
      <c r="AX23" s="287">
        <f t="shared" si="22"/>
        <v>15.7</v>
      </c>
      <c r="AY23" s="234">
        <f t="shared" si="23"/>
        <v>21</v>
      </c>
      <c r="AZ23" s="236"/>
      <c r="BA23" s="236"/>
      <c r="BC23" s="234">
        <f t="shared" ca="1" si="24"/>
        <v>17</v>
      </c>
      <c r="BD23" s="288">
        <f t="shared" ca="1" si="6"/>
        <v>7</v>
      </c>
      <c r="BF23" s="240" t="str">
        <f t="shared" ca="1" si="7"/>
        <v>Berkshire Energy Holdings Company</v>
      </c>
      <c r="BG23" s="240" t="str">
        <f t="shared" ca="1" si="7"/>
        <v>BBB+</v>
      </c>
      <c r="BH23" s="240">
        <f t="shared" ca="1" si="7"/>
        <v>19</v>
      </c>
      <c r="BI23" s="240" t="str">
        <f t="shared" ca="1" si="7"/>
        <v>**BRK</v>
      </c>
    </row>
    <row r="24" spans="1:61" x14ac:dyDescent="0.2">
      <c r="A24" s="303" t="s">
        <v>30</v>
      </c>
      <c r="B24" s="304" t="s">
        <v>16</v>
      </c>
      <c r="C24" s="304">
        <v>19</v>
      </c>
      <c r="D24" s="304" t="s">
        <v>285</v>
      </c>
      <c r="E24" s="305" t="str">
        <f t="shared" ca="1" si="8"/>
        <v>R</v>
      </c>
      <c r="F24" s="306"/>
      <c r="G24" s="307">
        <f t="shared" ca="1" si="1"/>
        <v>14</v>
      </c>
      <c r="H24" s="250"/>
      <c r="I24" s="321"/>
      <c r="J24" s="262"/>
      <c r="K24" s="321"/>
      <c r="N24" s="321"/>
      <c r="Q24" s="321"/>
      <c r="T24" s="321"/>
      <c r="W24" s="321"/>
      <c r="AE24" s="254"/>
      <c r="AF24" s="236">
        <f t="shared" si="2"/>
        <v>1</v>
      </c>
      <c r="AG24" s="236" t="str">
        <f t="shared" ca="1" si="3"/>
        <v/>
      </c>
      <c r="AH24" s="236" t="str">
        <f t="shared" ca="1" si="18"/>
        <v/>
      </c>
      <c r="AJ24" s="236">
        <f t="shared" ca="1" si="19"/>
        <v>24</v>
      </c>
      <c r="AK24" s="236" t="str">
        <f t="shared" ca="1" si="20"/>
        <v>BBB+</v>
      </c>
      <c r="AL24" s="236">
        <f t="shared" ca="1" si="20"/>
        <v>19</v>
      </c>
      <c r="AM24" s="236" t="str">
        <f t="shared" ca="1" si="4"/>
        <v/>
      </c>
      <c r="AQ24" s="286" t="s">
        <v>34</v>
      </c>
      <c r="AR24" s="286" t="s">
        <v>28</v>
      </c>
      <c r="AS24" s="286">
        <v>18</v>
      </c>
      <c r="AT24" s="286" t="s">
        <v>294</v>
      </c>
      <c r="AV24" s="234">
        <f t="shared" si="21"/>
        <v>33</v>
      </c>
      <c r="AW24" s="234">
        <f>COUNTIF( AV$7:AV24, AV24 )</f>
        <v>5</v>
      </c>
      <c r="AX24" s="287">
        <f t="shared" si="22"/>
        <v>33.5</v>
      </c>
      <c r="AY24" s="234">
        <f t="shared" si="23"/>
        <v>37</v>
      </c>
      <c r="AZ24" s="236"/>
      <c r="BA24" s="236"/>
      <c r="BC24" s="234">
        <f t="shared" ca="1" si="24"/>
        <v>18</v>
      </c>
      <c r="BD24" s="288">
        <f t="shared" ca="1" si="6"/>
        <v>10</v>
      </c>
      <c r="BF24" s="240" t="str">
        <f t="shared" ca="1" si="7"/>
        <v>Cleco Corporation</v>
      </c>
      <c r="BG24" s="240" t="str">
        <f t="shared" ca="1" si="7"/>
        <v>BBB+</v>
      </c>
      <c r="BH24" s="240">
        <f t="shared" ca="1" si="7"/>
        <v>19</v>
      </c>
      <c r="BI24" s="240" t="str">
        <f t="shared" ca="1" si="7"/>
        <v>CNL</v>
      </c>
    </row>
    <row r="25" spans="1:61" x14ac:dyDescent="0.2">
      <c r="A25" s="303" t="s">
        <v>60</v>
      </c>
      <c r="B25" s="304" t="s">
        <v>16</v>
      </c>
      <c r="C25" s="304">
        <v>19</v>
      </c>
      <c r="D25" s="304" t="s">
        <v>284</v>
      </c>
      <c r="E25" s="305" t="str">
        <f t="shared" ca="1" si="8"/>
        <v>R</v>
      </c>
      <c r="F25" s="306"/>
      <c r="G25" s="307">
        <f t="shared" ca="1" si="1"/>
        <v>15</v>
      </c>
      <c r="H25" s="250"/>
      <c r="I25" s="321"/>
      <c r="J25" s="262"/>
      <c r="K25" s="321"/>
      <c r="N25" s="321"/>
      <c r="Q25" s="321"/>
      <c r="T25" s="321"/>
      <c r="W25" s="321"/>
      <c r="AE25" s="254"/>
      <c r="AF25" s="236">
        <f t="shared" si="2"/>
        <v>1</v>
      </c>
      <c r="AG25" s="236" t="str">
        <f t="shared" ca="1" si="3"/>
        <v/>
      </c>
      <c r="AH25" s="236" t="str">
        <f t="shared" ca="1" si="18"/>
        <v/>
      </c>
      <c r="AJ25" s="236">
        <f t="shared" ca="1" si="19"/>
        <v>25</v>
      </c>
      <c r="AK25" s="236" t="str">
        <f t="shared" ca="1" si="20"/>
        <v>BBB+</v>
      </c>
      <c r="AL25" s="236">
        <f t="shared" ca="1" si="20"/>
        <v>19</v>
      </c>
      <c r="AM25" s="236" t="str">
        <f t="shared" ca="1" si="4"/>
        <v/>
      </c>
      <c r="AQ25" s="286" t="s">
        <v>35</v>
      </c>
      <c r="AR25" s="286" t="s">
        <v>28</v>
      </c>
      <c r="AS25" s="286">
        <v>18</v>
      </c>
      <c r="AT25" s="286" t="s">
        <v>293</v>
      </c>
      <c r="AV25" s="234">
        <f t="shared" si="21"/>
        <v>33</v>
      </c>
      <c r="AW25" s="234">
        <f>COUNTIF( AV$7:AV25, AV25 )</f>
        <v>6</v>
      </c>
      <c r="AX25" s="287">
        <f t="shared" si="22"/>
        <v>33.6</v>
      </c>
      <c r="AY25" s="234">
        <f t="shared" si="23"/>
        <v>38</v>
      </c>
      <c r="AZ25" s="236"/>
      <c r="BA25" s="236"/>
      <c r="BC25" s="234">
        <f t="shared" ca="1" si="24"/>
        <v>19</v>
      </c>
      <c r="BD25" s="288">
        <f t="shared" ca="1" si="6"/>
        <v>11</v>
      </c>
      <c r="BF25" s="240" t="str">
        <f t="shared" ca="1" si="7"/>
        <v>CMS Energy Corporation</v>
      </c>
      <c r="BG25" s="240" t="str">
        <f t="shared" ca="1" si="7"/>
        <v>BBB+</v>
      </c>
      <c r="BH25" s="240">
        <f t="shared" ca="1" si="7"/>
        <v>19</v>
      </c>
      <c r="BI25" s="240" t="str">
        <f t="shared" ca="1" si="7"/>
        <v>CMS</v>
      </c>
    </row>
    <row r="26" spans="1:61" x14ac:dyDescent="0.2">
      <c r="A26" s="303" t="s">
        <v>31</v>
      </c>
      <c r="B26" s="304" t="s">
        <v>16</v>
      </c>
      <c r="C26" s="304">
        <v>19</v>
      </c>
      <c r="D26" s="304" t="s">
        <v>289</v>
      </c>
      <c r="E26" s="305" t="str">
        <f t="shared" ca="1" si="8"/>
        <v>R</v>
      </c>
      <c r="F26" s="306"/>
      <c r="G26" s="307">
        <f t="shared" ca="1" si="1"/>
        <v>18</v>
      </c>
      <c r="H26" s="250"/>
      <c r="I26" s="321"/>
      <c r="J26" s="262"/>
      <c r="K26" s="321"/>
      <c r="N26" s="321"/>
      <c r="Q26" s="321"/>
      <c r="T26" s="321"/>
      <c r="W26" s="321"/>
      <c r="AE26" s="254"/>
      <c r="AF26" s="236">
        <f t="shared" si="2"/>
        <v>1</v>
      </c>
      <c r="AG26" s="236" t="str">
        <f t="shared" ca="1" si="3"/>
        <v/>
      </c>
      <c r="AH26" s="236" t="str">
        <f t="shared" ca="1" si="18"/>
        <v/>
      </c>
      <c r="AJ26" s="236">
        <f t="shared" ca="1" si="19"/>
        <v>26</v>
      </c>
      <c r="AK26" s="236" t="str">
        <f t="shared" ca="1" si="20"/>
        <v>BBB+</v>
      </c>
      <c r="AL26" s="236">
        <f t="shared" ca="1" si="20"/>
        <v>19</v>
      </c>
      <c r="AM26" s="236" t="str">
        <f t="shared" ca="1" si="4"/>
        <v/>
      </c>
      <c r="AQ26" s="286" t="s">
        <v>36</v>
      </c>
      <c r="AR26" s="286" t="s">
        <v>28</v>
      </c>
      <c r="AS26" s="286">
        <v>18</v>
      </c>
      <c r="AT26" s="286" t="s">
        <v>297</v>
      </c>
      <c r="AV26" s="234">
        <f t="shared" si="21"/>
        <v>33</v>
      </c>
      <c r="AW26" s="234">
        <f>COUNTIF( AV$7:AV26, AV26 )</f>
        <v>7</v>
      </c>
      <c r="AX26" s="287">
        <f t="shared" si="22"/>
        <v>33.700000000000003</v>
      </c>
      <c r="AY26" s="234">
        <f t="shared" si="23"/>
        <v>39</v>
      </c>
      <c r="AZ26" s="236"/>
      <c r="BA26" s="236"/>
      <c r="BC26" s="234">
        <f t="shared" ca="1" si="24"/>
        <v>20</v>
      </c>
      <c r="BD26" s="288">
        <f t="shared" ca="1" si="6"/>
        <v>15</v>
      </c>
      <c r="BF26" s="240" t="str">
        <f t="shared" ca="1" si="7"/>
        <v>DTE Energy Company</v>
      </c>
      <c r="BG26" s="240" t="str">
        <f t="shared" ca="1" si="7"/>
        <v>BBB+</v>
      </c>
      <c r="BH26" s="240">
        <f t="shared" ca="1" si="7"/>
        <v>19</v>
      </c>
      <c r="BI26" s="240" t="str">
        <f t="shared" ca="1" si="7"/>
        <v>DTE</v>
      </c>
    </row>
    <row r="27" spans="1:61" x14ac:dyDescent="0.2">
      <c r="A27" s="303" t="s">
        <v>57</v>
      </c>
      <c r="B27" s="304" t="s">
        <v>16</v>
      </c>
      <c r="C27" s="304">
        <v>19</v>
      </c>
      <c r="D27" s="304" t="s">
        <v>296</v>
      </c>
      <c r="E27" s="305" t="str">
        <f t="shared" ca="1" si="8"/>
        <v>R</v>
      </c>
      <c r="F27" s="306"/>
      <c r="G27" s="307">
        <f t="shared" ca="1" si="1"/>
        <v>20</v>
      </c>
      <c r="H27" s="250"/>
      <c r="I27" s="321"/>
      <c r="J27" s="262"/>
      <c r="K27" s="321"/>
      <c r="N27" s="321"/>
      <c r="Q27" s="321"/>
      <c r="T27" s="321"/>
      <c r="W27" s="321"/>
      <c r="AE27" s="254"/>
      <c r="AF27" s="236">
        <f t="shared" si="2"/>
        <v>1</v>
      </c>
      <c r="AG27" s="236" t="str">
        <f t="shared" ca="1" si="3"/>
        <v/>
      </c>
      <c r="AH27" s="236" t="str">
        <f t="shared" ca="1" si="18"/>
        <v/>
      </c>
      <c r="AJ27" s="236">
        <f t="shared" ca="1" si="19"/>
        <v>27</v>
      </c>
      <c r="AK27" s="236" t="str">
        <f t="shared" ca="1" si="20"/>
        <v>BBB+</v>
      </c>
      <c r="AL27" s="236">
        <f t="shared" ca="1" si="20"/>
        <v>19</v>
      </c>
      <c r="AM27" s="236" t="str">
        <f t="shared" ca="1" si="4"/>
        <v/>
      </c>
      <c r="AQ27" s="286" t="s">
        <v>516</v>
      </c>
      <c r="AR27" s="286" t="s">
        <v>2</v>
      </c>
      <c r="AS27" s="286">
        <v>21</v>
      </c>
      <c r="AT27" s="286" t="s">
        <v>512</v>
      </c>
      <c r="AV27" s="234">
        <f t="shared" si="21"/>
        <v>1</v>
      </c>
      <c r="AW27" s="234">
        <f>COUNTIF( AV$7:AV27, AV27 )</f>
        <v>1</v>
      </c>
      <c r="AX27" s="287">
        <f t="shared" si="22"/>
        <v>1.1000000000000001</v>
      </c>
      <c r="AY27" s="234">
        <f t="shared" si="23"/>
        <v>1</v>
      </c>
      <c r="AZ27" s="236"/>
      <c r="BA27" s="236"/>
      <c r="BC27" s="234">
        <f t="shared" ca="1" si="24"/>
        <v>21</v>
      </c>
      <c r="BD27" s="288">
        <f t="shared" ca="1" si="6"/>
        <v>17</v>
      </c>
      <c r="BF27" s="240" t="str">
        <f t="shared" ca="1" si="7"/>
        <v>Edison International</v>
      </c>
      <c r="BG27" s="240" t="str">
        <f t="shared" ca="1" si="7"/>
        <v>BBB+</v>
      </c>
      <c r="BH27" s="240">
        <f t="shared" ca="1" si="7"/>
        <v>19</v>
      </c>
      <c r="BI27" s="240" t="str">
        <f t="shared" ca="1" si="7"/>
        <v>EIX</v>
      </c>
    </row>
    <row r="28" spans="1:61" x14ac:dyDescent="0.2">
      <c r="A28" s="303" t="s">
        <v>261</v>
      </c>
      <c r="B28" s="304" t="s">
        <v>16</v>
      </c>
      <c r="C28" s="304">
        <v>19</v>
      </c>
      <c r="D28" s="304" t="s">
        <v>301</v>
      </c>
      <c r="E28" s="305" t="str">
        <f t="shared" ca="1" si="8"/>
        <v>R</v>
      </c>
      <c r="F28" s="306"/>
      <c r="G28" s="307">
        <f t="shared" ca="1" si="1"/>
        <v>26</v>
      </c>
      <c r="H28" s="250"/>
      <c r="I28" s="321"/>
      <c r="J28" s="262"/>
      <c r="K28" s="321"/>
      <c r="N28" s="321"/>
      <c r="Q28" s="321"/>
      <c r="T28" s="321"/>
      <c r="W28" s="321"/>
      <c r="AE28" s="245"/>
      <c r="AF28" s="236">
        <f t="shared" si="2"/>
        <v>1</v>
      </c>
      <c r="AG28" s="236" t="str">
        <f t="shared" ca="1" si="3"/>
        <v/>
      </c>
      <c r="AH28" s="236" t="str">
        <f t="shared" ca="1" si="18"/>
        <v/>
      </c>
      <c r="AJ28" s="236">
        <f t="shared" ca="1" si="19"/>
        <v>28</v>
      </c>
      <c r="AK28" s="236" t="str">
        <f t="shared" ca="1" si="20"/>
        <v>BBB+</v>
      </c>
      <c r="AL28" s="236">
        <f t="shared" ca="1" si="20"/>
        <v>19</v>
      </c>
      <c r="AM28" s="236" t="str">
        <f t="shared" ca="1" si="4"/>
        <v/>
      </c>
      <c r="AQ28" s="286" t="s">
        <v>11</v>
      </c>
      <c r="AR28" s="286" t="s">
        <v>28</v>
      </c>
      <c r="AS28" s="286">
        <v>18</v>
      </c>
      <c r="AT28" s="286" t="s">
        <v>298</v>
      </c>
      <c r="AV28" s="234">
        <f t="shared" si="21"/>
        <v>33</v>
      </c>
      <c r="AW28" s="234">
        <f>COUNTIF( AV$7:AV28, AV28 )</f>
        <v>8</v>
      </c>
      <c r="AX28" s="287">
        <f t="shared" si="22"/>
        <v>33.799999999999997</v>
      </c>
      <c r="AY28" s="234">
        <f t="shared" si="23"/>
        <v>40</v>
      </c>
      <c r="AZ28" s="236"/>
      <c r="BA28" s="236"/>
      <c r="BC28" s="234">
        <f t="shared" ca="1" si="24"/>
        <v>22</v>
      </c>
      <c r="BD28" s="288">
        <f t="shared" ca="1" si="6"/>
        <v>24</v>
      </c>
      <c r="BF28" s="240" t="str">
        <f t="shared" ca="1" si="7"/>
        <v>Great Plains Energy Inc.</v>
      </c>
      <c r="BG28" s="240" t="str">
        <f t="shared" ca="1" si="7"/>
        <v>BBB+</v>
      </c>
      <c r="BH28" s="240">
        <f t="shared" ca="1" si="7"/>
        <v>19</v>
      </c>
      <c r="BI28" s="240" t="str">
        <f t="shared" ca="1" si="7"/>
        <v>GXP</v>
      </c>
    </row>
    <row r="29" spans="1:61" x14ac:dyDescent="0.2">
      <c r="A29" s="303" t="s">
        <v>12</v>
      </c>
      <c r="B29" s="304" t="s">
        <v>16</v>
      </c>
      <c r="C29" s="304">
        <v>19</v>
      </c>
      <c r="D29" s="304" t="s">
        <v>309</v>
      </c>
      <c r="E29" s="305" t="str">
        <f t="shared" ca="1" si="8"/>
        <v>D</v>
      </c>
      <c r="F29" s="306"/>
      <c r="G29" s="307">
        <f t="shared" ca="1" si="1"/>
        <v>30</v>
      </c>
      <c r="H29" s="250"/>
      <c r="I29" s="321"/>
      <c r="J29" s="262"/>
      <c r="K29" s="321"/>
      <c r="N29" s="321"/>
      <c r="Q29" s="321"/>
      <c r="T29" s="321"/>
      <c r="W29" s="321"/>
      <c r="AF29" s="236">
        <f t="shared" si="2"/>
        <v>1</v>
      </c>
      <c r="AG29" s="236" t="str">
        <f t="shared" ca="1" si="3"/>
        <v/>
      </c>
      <c r="AH29" s="236" t="str">
        <f t="shared" ca="1" si="18"/>
        <v/>
      </c>
      <c r="AJ29" s="236">
        <f t="shared" ca="1" si="19"/>
        <v>29</v>
      </c>
      <c r="AK29" s="236" t="str">
        <f t="shared" ca="1" si="20"/>
        <v>BBB+</v>
      </c>
      <c r="AL29" s="236">
        <f t="shared" ca="1" si="20"/>
        <v>19</v>
      </c>
      <c r="AM29" s="236" t="str">
        <f t="shared" ca="1" si="4"/>
        <v/>
      </c>
      <c r="AQ29" s="286" t="s">
        <v>51</v>
      </c>
      <c r="AR29" s="286" t="s">
        <v>49</v>
      </c>
      <c r="AS29" s="286">
        <v>17</v>
      </c>
      <c r="AT29" s="286" t="s">
        <v>299</v>
      </c>
      <c r="AV29" s="234">
        <f t="shared" si="21"/>
        <v>46</v>
      </c>
      <c r="AW29" s="234">
        <f>COUNTIF( AV$7:AV29, AV29 )</f>
        <v>1</v>
      </c>
      <c r="AX29" s="287">
        <f t="shared" si="22"/>
        <v>46.1</v>
      </c>
      <c r="AY29" s="234">
        <f t="shared" si="23"/>
        <v>46</v>
      </c>
      <c r="AZ29" s="236"/>
      <c r="BA29" s="236"/>
      <c r="BC29" s="234">
        <f t="shared" ca="1" si="24"/>
        <v>23</v>
      </c>
      <c r="BD29" s="288">
        <f t="shared" ca="1" si="6"/>
        <v>28</v>
      </c>
      <c r="BF29" s="240" t="str">
        <f t="shared" ca="1" si="7"/>
        <v>MDU Resources Group, Inc.</v>
      </c>
      <c r="BG29" s="240" t="str">
        <f t="shared" ca="1" si="7"/>
        <v>BBB+</v>
      </c>
      <c r="BH29" s="240">
        <f t="shared" ca="1" si="7"/>
        <v>19</v>
      </c>
      <c r="BI29" s="240" t="str">
        <f t="shared" ca="1" si="7"/>
        <v>MDU</v>
      </c>
    </row>
    <row r="30" spans="1:61" x14ac:dyDescent="0.2">
      <c r="A30" s="303" t="s">
        <v>40</v>
      </c>
      <c r="B30" s="304" t="s">
        <v>16</v>
      </c>
      <c r="C30" s="304">
        <v>19</v>
      </c>
      <c r="D30" s="304" t="s">
        <v>311</v>
      </c>
      <c r="E30" s="305" t="str">
        <f t="shared" ca="1" si="8"/>
        <v>MR</v>
      </c>
      <c r="F30" s="306"/>
      <c r="G30" s="307">
        <f t="shared" ca="1" si="1"/>
        <v>33</v>
      </c>
      <c r="H30" s="250"/>
      <c r="I30" s="321"/>
      <c r="J30" s="262"/>
      <c r="K30" s="321"/>
      <c r="N30" s="321"/>
      <c r="Q30" s="321"/>
      <c r="T30" s="321"/>
      <c r="W30" s="321"/>
      <c r="AF30" s="236">
        <f t="shared" si="2"/>
        <v>1</v>
      </c>
      <c r="AG30" s="236" t="str">
        <f t="shared" ca="1" si="3"/>
        <v/>
      </c>
      <c r="AH30" s="236" t="str">
        <f t="shared" ca="1" si="18"/>
        <v/>
      </c>
      <c r="AJ30" s="236">
        <f t="shared" ca="1" si="19"/>
        <v>30</v>
      </c>
      <c r="AK30" s="236" t="str">
        <f t="shared" ca="1" si="20"/>
        <v>BBB+</v>
      </c>
      <c r="AL30" s="236">
        <f t="shared" ca="1" si="20"/>
        <v>19</v>
      </c>
      <c r="AM30" s="236" t="str">
        <f t="shared" ca="1" si="4"/>
        <v/>
      </c>
      <c r="AQ30" s="286" t="s">
        <v>261</v>
      </c>
      <c r="AR30" s="286" t="s">
        <v>16</v>
      </c>
      <c r="AS30" s="286">
        <v>19</v>
      </c>
      <c r="AT30" s="286" t="s">
        <v>301</v>
      </c>
      <c r="AV30" s="234">
        <f t="shared" si="21"/>
        <v>15</v>
      </c>
      <c r="AW30" s="234">
        <f>COUNTIF( AV$7:AV30, AV30 )</f>
        <v>8</v>
      </c>
      <c r="AX30" s="287">
        <f t="shared" si="22"/>
        <v>15.8</v>
      </c>
      <c r="AY30" s="234">
        <f t="shared" si="23"/>
        <v>22</v>
      </c>
      <c r="AZ30" s="236"/>
      <c r="BA30" s="236"/>
      <c r="BC30" s="234">
        <f t="shared" ca="1" si="24"/>
        <v>24</v>
      </c>
      <c r="BD30" s="288">
        <f t="shared" ca="1" si="6"/>
        <v>30</v>
      </c>
      <c r="BF30" s="240" t="str">
        <f t="shared" ca="1" si="7"/>
        <v>NiSource Inc.</v>
      </c>
      <c r="BG30" s="240" t="str">
        <f t="shared" ca="1" si="7"/>
        <v>BBB+</v>
      </c>
      <c r="BH30" s="240">
        <f t="shared" ca="1" si="7"/>
        <v>19</v>
      </c>
      <c r="BI30" s="240" t="str">
        <f t="shared" ca="1" si="7"/>
        <v>NI</v>
      </c>
    </row>
    <row r="31" spans="1:61" x14ac:dyDescent="0.2">
      <c r="A31" s="303" t="s">
        <v>23</v>
      </c>
      <c r="B31" s="304" t="s">
        <v>16</v>
      </c>
      <c r="C31" s="304">
        <v>19</v>
      </c>
      <c r="D31" s="304" t="s">
        <v>323</v>
      </c>
      <c r="E31" s="305" t="str">
        <f t="shared" ca="1" si="8"/>
        <v>R</v>
      </c>
      <c r="F31" s="306"/>
      <c r="G31" s="307">
        <f t="shared" ca="1" si="1"/>
        <v>38</v>
      </c>
      <c r="H31" s="250"/>
      <c r="I31" s="321"/>
      <c r="J31" s="262"/>
      <c r="K31" s="321"/>
      <c r="N31" s="321"/>
      <c r="O31" s="253"/>
      <c r="Q31" s="321"/>
      <c r="T31" s="321"/>
      <c r="W31" s="321"/>
      <c r="AF31" s="236">
        <f t="shared" si="2"/>
        <v>1</v>
      </c>
      <c r="AG31" s="236" t="str">
        <f t="shared" ca="1" si="3"/>
        <v/>
      </c>
      <c r="AH31" s="236" t="str">
        <f t="shared" ca="1" si="18"/>
        <v/>
      </c>
      <c r="AJ31" s="236">
        <f t="shared" ca="1" si="19"/>
        <v>31</v>
      </c>
      <c r="AK31" s="236" t="str">
        <f t="shared" ca="1" si="20"/>
        <v>BBB+</v>
      </c>
      <c r="AL31" s="236">
        <f t="shared" ca="1" si="20"/>
        <v>19</v>
      </c>
      <c r="AM31" s="236" t="str">
        <f t="shared" ca="1" si="4"/>
        <v/>
      </c>
      <c r="AQ31" s="286" t="s">
        <v>39</v>
      </c>
      <c r="AR31" s="286" t="s">
        <v>49</v>
      </c>
      <c r="AS31" s="286">
        <v>17</v>
      </c>
      <c r="AT31" s="286" t="s">
        <v>302</v>
      </c>
      <c r="AV31" s="234">
        <f t="shared" si="21"/>
        <v>46</v>
      </c>
      <c r="AW31" s="234">
        <f>COUNTIF( AV$7:AV31, AV31 )</f>
        <v>2</v>
      </c>
      <c r="AX31" s="287">
        <f t="shared" si="22"/>
        <v>46.2</v>
      </c>
      <c r="AY31" s="234">
        <f t="shared" si="23"/>
        <v>47</v>
      </c>
      <c r="AZ31" s="236"/>
      <c r="BA31" s="236"/>
      <c r="BC31" s="234">
        <f t="shared" ca="1" si="24"/>
        <v>25</v>
      </c>
      <c r="BD31" s="288">
        <f t="shared" ca="1" si="6"/>
        <v>34</v>
      </c>
      <c r="BF31" s="240" t="str">
        <f t="shared" ca="1" si="7"/>
        <v>Pepco Holdings, Inc.</v>
      </c>
      <c r="BG31" s="240" t="str">
        <f t="shared" ca="1" si="7"/>
        <v>BBB+</v>
      </c>
      <c r="BH31" s="240">
        <f t="shared" ca="1" si="7"/>
        <v>19</v>
      </c>
      <c r="BI31" s="240" t="str">
        <f t="shared" ca="1" si="7"/>
        <v>POM</v>
      </c>
    </row>
    <row r="32" spans="1:61" x14ac:dyDescent="0.2">
      <c r="A32" s="303" t="s">
        <v>42</v>
      </c>
      <c r="B32" s="304" t="s">
        <v>16</v>
      </c>
      <c r="C32" s="304">
        <v>19</v>
      </c>
      <c r="D32" s="304" t="s">
        <v>321</v>
      </c>
      <c r="E32" s="305" t="str">
        <f t="shared" ca="1" si="8"/>
        <v>R</v>
      </c>
      <c r="F32" s="306"/>
      <c r="G32" s="307">
        <f t="shared" ca="1" si="1"/>
        <v>41</v>
      </c>
      <c r="H32" s="250"/>
      <c r="I32" s="321"/>
      <c r="J32" s="262"/>
      <c r="K32" s="321"/>
      <c r="N32" s="321"/>
      <c r="Q32" s="321"/>
      <c r="T32" s="321"/>
      <c r="W32" s="321"/>
      <c r="AF32" s="236">
        <f t="shared" si="2"/>
        <v>1</v>
      </c>
      <c r="AG32" s="236">
        <f t="shared" ca="1" si="3"/>
        <v>1</v>
      </c>
      <c r="AH32" s="236" t="str">
        <f t="shared" ca="1" si="18"/>
        <v/>
      </c>
      <c r="AJ32" s="236">
        <f t="shared" ca="1" si="19"/>
        <v>50</v>
      </c>
      <c r="AK32" s="236" t="str">
        <f t="shared" ca="1" si="20"/>
        <v>BBB</v>
      </c>
      <c r="AL32" s="236">
        <f t="shared" ca="1" si="20"/>
        <v>18</v>
      </c>
      <c r="AM32" s="236" t="str">
        <f t="shared" ca="1" si="4"/>
        <v>Change</v>
      </c>
      <c r="AQ32" s="286" t="s">
        <v>20</v>
      </c>
      <c r="AR32" s="286" t="s">
        <v>28</v>
      </c>
      <c r="AS32" s="286">
        <v>18</v>
      </c>
      <c r="AT32" s="286" t="s">
        <v>303</v>
      </c>
      <c r="AV32" s="234">
        <f t="shared" si="21"/>
        <v>33</v>
      </c>
      <c r="AW32" s="234">
        <f>COUNTIF( AV$7:AV32, AV32 )</f>
        <v>9</v>
      </c>
      <c r="AX32" s="287">
        <f t="shared" si="22"/>
        <v>33.9</v>
      </c>
      <c r="AY32" s="234">
        <f t="shared" si="23"/>
        <v>41</v>
      </c>
      <c r="AZ32" s="236"/>
      <c r="BA32" s="236"/>
      <c r="BC32" s="234">
        <f t="shared" ca="1" si="24"/>
        <v>26</v>
      </c>
      <c r="BD32" s="288">
        <f t="shared" ca="1" si="6"/>
        <v>37</v>
      </c>
      <c r="BF32" s="240" t="str">
        <f t="shared" ca="1" si="7"/>
        <v>PNM Resources, Inc.</v>
      </c>
      <c r="BG32" s="240" t="str">
        <f t="shared" ca="1" si="7"/>
        <v>BBB+</v>
      </c>
      <c r="BH32" s="240">
        <f t="shared" ca="1" si="7"/>
        <v>19</v>
      </c>
      <c r="BI32" s="240" t="str">
        <f t="shared" ca="1" si="7"/>
        <v>PNM</v>
      </c>
    </row>
    <row r="33" spans="1:61" x14ac:dyDescent="0.2">
      <c r="A33" s="303" t="s">
        <v>45</v>
      </c>
      <c r="B33" s="304" t="s">
        <v>16</v>
      </c>
      <c r="C33" s="304">
        <v>19</v>
      </c>
      <c r="D33" s="304" t="s">
        <v>319</v>
      </c>
      <c r="E33" s="305" t="str">
        <f t="shared" ca="1" si="8"/>
        <v>MR</v>
      </c>
      <c r="F33" s="306"/>
      <c r="G33" s="307">
        <f t="shared" ca="1" si="1"/>
        <v>44</v>
      </c>
      <c r="H33" s="250"/>
      <c r="I33" s="321"/>
      <c r="J33" s="262"/>
      <c r="K33" s="321"/>
      <c r="N33" s="321"/>
      <c r="Q33" s="321"/>
      <c r="T33" s="321"/>
      <c r="W33" s="321"/>
      <c r="AF33" s="236">
        <f t="shared" si="2"/>
        <v>1</v>
      </c>
      <c r="AG33" s="236" t="str">
        <f t="shared" ca="1" si="3"/>
        <v/>
      </c>
      <c r="AH33" s="236" t="str">
        <f t="shared" ca="1" si="18"/>
        <v/>
      </c>
      <c r="AJ33" s="236">
        <f t="shared" ca="1" si="19"/>
        <v>32</v>
      </c>
      <c r="AK33" s="236" t="str">
        <f t="shared" ca="1" si="20"/>
        <v>BBB+</v>
      </c>
      <c r="AL33" s="236">
        <f t="shared" ca="1" si="20"/>
        <v>19</v>
      </c>
      <c r="AM33" s="236" t="str">
        <f t="shared" ca="1" si="4"/>
        <v/>
      </c>
      <c r="AQ33" s="286" t="s">
        <v>58</v>
      </c>
      <c r="AR33" s="286" t="s">
        <v>56</v>
      </c>
      <c r="AS33" s="286">
        <v>16</v>
      </c>
      <c r="AT33" s="286" t="s">
        <v>446</v>
      </c>
      <c r="AV33" s="234">
        <f t="shared" si="21"/>
        <v>49</v>
      </c>
      <c r="AW33" s="234">
        <f>COUNTIF( AV$7:AV33, AV33 )</f>
        <v>1</v>
      </c>
      <c r="AX33" s="287">
        <f t="shared" si="22"/>
        <v>49.1</v>
      </c>
      <c r="AY33" s="234">
        <f t="shared" si="23"/>
        <v>49</v>
      </c>
      <c r="AZ33" s="236"/>
      <c r="BA33" s="236"/>
      <c r="BC33" s="234">
        <f t="shared" ca="1" si="24"/>
        <v>27</v>
      </c>
      <c r="BD33" s="288">
        <f t="shared" ca="1" si="6"/>
        <v>40</v>
      </c>
      <c r="BF33" s="240" t="str">
        <f t="shared" ca="1" si="7"/>
        <v>Public Service Enterprise Group Incorporated</v>
      </c>
      <c r="BG33" s="240" t="str">
        <f t="shared" ca="1" si="7"/>
        <v>BBB+</v>
      </c>
      <c r="BH33" s="240">
        <f t="shared" ca="1" si="7"/>
        <v>19</v>
      </c>
      <c r="BI33" s="240" t="str">
        <f t="shared" ca="1" si="7"/>
        <v>PEG</v>
      </c>
    </row>
    <row r="34" spans="1:61" x14ac:dyDescent="0.2">
      <c r="A34" s="303" t="s">
        <v>13</v>
      </c>
      <c r="B34" s="304" t="s">
        <v>16</v>
      </c>
      <c r="C34" s="304">
        <v>19</v>
      </c>
      <c r="D34" s="304" t="s">
        <v>327</v>
      </c>
      <c r="E34" s="305" t="str">
        <f t="shared" ca="1" si="8"/>
        <v>MR</v>
      </c>
      <c r="F34" s="306"/>
      <c r="G34" s="307">
        <f t="shared" ca="1" si="1"/>
        <v>45</v>
      </c>
      <c r="H34" s="250"/>
      <c r="I34" s="321"/>
      <c r="J34" s="262"/>
      <c r="K34" s="321"/>
      <c r="L34" s="235"/>
      <c r="M34" s="235"/>
      <c r="N34" s="321"/>
      <c r="Q34" s="321"/>
      <c r="T34" s="321"/>
      <c r="W34" s="321"/>
      <c r="AF34" s="236">
        <f t="shared" si="2"/>
        <v>1</v>
      </c>
      <c r="AG34" s="236" t="str">
        <f t="shared" ca="1" si="3"/>
        <v/>
      </c>
      <c r="AH34" s="236" t="str">
        <f t="shared" ca="1" si="18"/>
        <v/>
      </c>
      <c r="AJ34" s="236">
        <f t="shared" ca="1" si="19"/>
        <v>33</v>
      </c>
      <c r="AK34" s="236" t="str">
        <f t="shared" ca="1" si="20"/>
        <v>BBB+</v>
      </c>
      <c r="AL34" s="236">
        <f t="shared" ca="1" si="20"/>
        <v>19</v>
      </c>
      <c r="AM34" s="236" t="str">
        <f t="shared" ca="1" si="4"/>
        <v/>
      </c>
      <c r="AQ34" s="286" t="s">
        <v>12</v>
      </c>
      <c r="AR34" s="286" t="s">
        <v>16</v>
      </c>
      <c r="AS34" s="286">
        <v>19</v>
      </c>
      <c r="AT34" s="289" t="s">
        <v>309</v>
      </c>
      <c r="AV34" s="234">
        <f t="shared" si="21"/>
        <v>15</v>
      </c>
      <c r="AW34" s="234">
        <f>COUNTIF( AV$7:AV34, AV34 )</f>
        <v>9</v>
      </c>
      <c r="AX34" s="287">
        <f t="shared" si="22"/>
        <v>15.9</v>
      </c>
      <c r="AY34" s="234">
        <f t="shared" si="23"/>
        <v>23</v>
      </c>
      <c r="AZ34" s="236"/>
      <c r="BA34" s="236"/>
      <c r="BC34" s="234">
        <f t="shared" ca="1" si="24"/>
        <v>28</v>
      </c>
      <c r="BD34" s="288">
        <f t="shared" ca="1" si="6"/>
        <v>42</v>
      </c>
      <c r="BF34" s="240" t="str">
        <f t="shared" ca="1" si="7"/>
        <v>SCANA Corporation</v>
      </c>
      <c r="BG34" s="240" t="str">
        <f t="shared" ca="1" si="7"/>
        <v>BBB+</v>
      </c>
      <c r="BH34" s="240">
        <f t="shared" ca="1" si="7"/>
        <v>19</v>
      </c>
      <c r="BI34" s="240" t="str">
        <f t="shared" ca="1" si="7"/>
        <v>SCG</v>
      </c>
    </row>
    <row r="35" spans="1:61" x14ac:dyDescent="0.2">
      <c r="A35" s="303" t="s">
        <v>25</v>
      </c>
      <c r="B35" s="304" t="s">
        <v>16</v>
      </c>
      <c r="C35" s="304">
        <v>19</v>
      </c>
      <c r="D35" s="304" t="s">
        <v>329</v>
      </c>
      <c r="E35" s="305" t="str">
        <f t="shared" ca="1" si="8"/>
        <v>MR</v>
      </c>
      <c r="F35" s="306"/>
      <c r="G35" s="307">
        <f t="shared" ca="1" si="1"/>
        <v>46</v>
      </c>
      <c r="H35" s="250"/>
      <c r="I35" s="321"/>
      <c r="K35" s="321"/>
      <c r="L35" s="235"/>
      <c r="M35" s="235"/>
      <c r="N35" s="321"/>
      <c r="Q35" s="321"/>
      <c r="T35" s="321"/>
      <c r="W35" s="321"/>
      <c r="AF35" s="236">
        <f t="shared" si="2"/>
        <v>1</v>
      </c>
      <c r="AG35" s="236" t="str">
        <f t="shared" ca="1" si="3"/>
        <v/>
      </c>
      <c r="AH35" s="236" t="str">
        <f t="shared" ca="1" si="18"/>
        <v/>
      </c>
      <c r="AJ35" s="236">
        <f t="shared" ca="1" si="19"/>
        <v>34</v>
      </c>
      <c r="AK35" s="236" t="str">
        <f t="shared" ca="1" si="20"/>
        <v>BBB+</v>
      </c>
      <c r="AL35" s="236">
        <f t="shared" ca="1" si="20"/>
        <v>19</v>
      </c>
      <c r="AM35" s="236" t="str">
        <f t="shared" ca="1" si="4"/>
        <v/>
      </c>
      <c r="AQ35" s="286" t="s">
        <v>370</v>
      </c>
      <c r="AR35" s="286" t="s">
        <v>10</v>
      </c>
      <c r="AS35" s="286">
        <v>20</v>
      </c>
      <c r="AT35" s="286" t="s">
        <v>369</v>
      </c>
      <c r="AV35" s="234">
        <f t="shared" si="21"/>
        <v>2</v>
      </c>
      <c r="AW35" s="234">
        <f>COUNTIF( AV$7:AV35, AV35 )</f>
        <v>6</v>
      </c>
      <c r="AX35" s="287">
        <f t="shared" si="22"/>
        <v>2.6</v>
      </c>
      <c r="AY35" s="234">
        <f t="shared" si="23"/>
        <v>7</v>
      </c>
      <c r="AZ35" s="236"/>
      <c r="BA35" s="236"/>
      <c r="BC35" s="234">
        <f t="shared" ca="1" si="24"/>
        <v>29</v>
      </c>
      <c r="BD35" s="288">
        <f t="shared" ca="1" si="6"/>
        <v>43</v>
      </c>
      <c r="BF35" s="240" t="str">
        <f t="shared" ca="1" si="7"/>
        <v>Sempra Energy</v>
      </c>
      <c r="BG35" s="240" t="str">
        <f t="shared" ca="1" si="7"/>
        <v>BBB+</v>
      </c>
      <c r="BH35" s="240">
        <f t="shared" ca="1" si="7"/>
        <v>19</v>
      </c>
      <c r="BI35" s="240" t="str">
        <f t="shared" ca="1" si="7"/>
        <v>SRE</v>
      </c>
    </row>
    <row r="36" spans="1:61" x14ac:dyDescent="0.2">
      <c r="A36" s="303" t="s">
        <v>62</v>
      </c>
      <c r="B36" s="304" t="s">
        <v>16</v>
      </c>
      <c r="C36" s="304">
        <v>19</v>
      </c>
      <c r="D36" s="304" t="s">
        <v>330</v>
      </c>
      <c r="E36" s="305" t="str">
        <f t="shared" ca="1" si="8"/>
        <v>R</v>
      </c>
      <c r="F36" s="306"/>
      <c r="G36" s="307">
        <f t="shared" ca="1" si="1"/>
        <v>48</v>
      </c>
      <c r="H36" s="250"/>
      <c r="I36" s="321"/>
      <c r="J36" s="262"/>
      <c r="K36" s="321"/>
      <c r="L36" s="263"/>
      <c r="M36" s="263"/>
      <c r="N36" s="321"/>
      <c r="Q36" s="321"/>
      <c r="T36" s="321"/>
      <c r="W36" s="321"/>
      <c r="AF36" s="236">
        <f t="shared" si="2"/>
        <v>1</v>
      </c>
      <c r="AG36" s="236" t="str">
        <f t="shared" ca="1" si="3"/>
        <v/>
      </c>
      <c r="AH36" s="236" t="str">
        <f t="shared" ca="1" si="18"/>
        <v/>
      </c>
      <c r="AJ36" s="236">
        <f t="shared" ca="1" si="19"/>
        <v>35</v>
      </c>
      <c r="AK36" s="236" t="str">
        <f t="shared" ca="1" si="20"/>
        <v>BBB+</v>
      </c>
      <c r="AL36" s="236">
        <f t="shared" ca="1" si="20"/>
        <v>19</v>
      </c>
      <c r="AM36" s="236" t="str">
        <f t="shared" ca="1" si="4"/>
        <v/>
      </c>
      <c r="AQ36" s="286" t="s">
        <v>40</v>
      </c>
      <c r="AR36" s="286" t="s">
        <v>16</v>
      </c>
      <c r="AS36" s="286">
        <v>19</v>
      </c>
      <c r="AT36" s="286" t="s">
        <v>311</v>
      </c>
      <c r="AV36" s="234">
        <f t="shared" si="21"/>
        <v>15</v>
      </c>
      <c r="AW36" s="234">
        <f>COUNTIF( AV$7:AV36, AV36 )</f>
        <v>10</v>
      </c>
      <c r="AX36" s="287">
        <f t="shared" si="22"/>
        <v>16</v>
      </c>
      <c r="AY36" s="234">
        <f t="shared" si="23"/>
        <v>24</v>
      </c>
      <c r="AZ36" s="236"/>
      <c r="BA36" s="236"/>
      <c r="BC36" s="234">
        <f t="shared" ca="1" si="24"/>
        <v>30</v>
      </c>
      <c r="BD36" s="288">
        <f t="shared" ca="1" si="6"/>
        <v>45</v>
      </c>
      <c r="BF36" s="240" t="str">
        <f t="shared" ca="1" si="7"/>
        <v>TECO Energy, Inc.</v>
      </c>
      <c r="BG36" s="240" t="str">
        <f t="shared" ca="1" si="7"/>
        <v>BBB+</v>
      </c>
      <c r="BH36" s="240">
        <f t="shared" ca="1" si="7"/>
        <v>19</v>
      </c>
      <c r="BI36" s="240" t="str">
        <f t="shared" ca="1" si="7"/>
        <v>TE</v>
      </c>
    </row>
    <row r="37" spans="1:61" x14ac:dyDescent="0.2">
      <c r="A37" s="303" t="s">
        <v>76</v>
      </c>
      <c r="B37" s="304" t="s">
        <v>16</v>
      </c>
      <c r="C37" s="304">
        <v>19</v>
      </c>
      <c r="D37" s="304" t="s">
        <v>334</v>
      </c>
      <c r="E37" s="305" t="str">
        <f t="shared" ca="1" si="8"/>
        <v>R</v>
      </c>
      <c r="F37" s="306"/>
      <c r="G37" s="307">
        <f t="shared" ca="1" si="1"/>
        <v>50</v>
      </c>
      <c r="H37" s="250"/>
      <c r="I37" s="321"/>
      <c r="K37" s="321"/>
      <c r="L37" s="264"/>
      <c r="M37" s="235"/>
      <c r="N37" s="321"/>
      <c r="Q37" s="321"/>
      <c r="T37" s="321"/>
      <c r="W37" s="321"/>
      <c r="AF37" s="236">
        <f t="shared" si="2"/>
        <v>1</v>
      </c>
      <c r="AG37" s="236" t="str">
        <f t="shared" ca="1" si="3"/>
        <v/>
      </c>
      <c r="AH37" s="236" t="str">
        <f t="shared" ca="1" si="18"/>
        <v/>
      </c>
      <c r="AJ37" s="236">
        <f t="shared" ca="1" si="19"/>
        <v>36</v>
      </c>
      <c r="AK37" s="236" t="str">
        <f t="shared" ca="1" si="20"/>
        <v>BBB+</v>
      </c>
      <c r="AL37" s="236">
        <f t="shared" ca="1" si="20"/>
        <v>19</v>
      </c>
      <c r="AM37" s="236" t="str">
        <f t="shared" ca="1" si="4"/>
        <v/>
      </c>
      <c r="AQ37" s="286" t="s">
        <v>66</v>
      </c>
      <c r="AR37" s="286" t="s">
        <v>28</v>
      </c>
      <c r="AS37" s="286">
        <v>18</v>
      </c>
      <c r="AT37" s="286" t="s">
        <v>315</v>
      </c>
      <c r="AV37" s="234">
        <f t="shared" si="21"/>
        <v>33</v>
      </c>
      <c r="AW37" s="234">
        <f>COUNTIF( AV$7:AV37, AV37 )</f>
        <v>10</v>
      </c>
      <c r="AX37" s="287">
        <f t="shared" si="22"/>
        <v>34</v>
      </c>
      <c r="AY37" s="234">
        <f t="shared" si="23"/>
        <v>42</v>
      </c>
      <c r="AZ37" s="236"/>
      <c r="BA37" s="236"/>
      <c r="BC37" s="234">
        <f t="shared" ca="1" si="24"/>
        <v>31</v>
      </c>
      <c r="BD37" s="288">
        <f t="shared" ca="1" si="6"/>
        <v>46</v>
      </c>
      <c r="BF37" s="240" t="str">
        <f t="shared" ca="1" si="7"/>
        <v>Unitil Corporation</v>
      </c>
      <c r="BG37" s="240" t="str">
        <f t="shared" ca="1" si="7"/>
        <v>BBB+</v>
      </c>
      <c r="BH37" s="240">
        <f t="shared" ca="1" si="7"/>
        <v>19</v>
      </c>
      <c r="BI37" s="240" t="str">
        <f t="shared" ca="1" si="7"/>
        <v>*UTL</v>
      </c>
    </row>
    <row r="38" spans="1:61" x14ac:dyDescent="0.2">
      <c r="A38" s="303" t="s">
        <v>59</v>
      </c>
      <c r="B38" s="304" t="s">
        <v>16</v>
      </c>
      <c r="C38" s="304">
        <v>19</v>
      </c>
      <c r="D38" s="304" t="s">
        <v>337</v>
      </c>
      <c r="E38" s="305" t="str">
        <f t="shared" ca="1" si="8"/>
        <v>R</v>
      </c>
      <c r="F38" s="306"/>
      <c r="G38" s="307">
        <f t="shared" ca="1" si="1"/>
        <v>52</v>
      </c>
      <c r="H38" s="250"/>
      <c r="I38" s="321"/>
      <c r="J38" s="262"/>
      <c r="K38" s="321"/>
      <c r="L38" s="264"/>
      <c r="M38" s="235"/>
      <c r="N38" s="321"/>
      <c r="Q38" s="321"/>
      <c r="T38" s="321"/>
      <c r="W38" s="321"/>
      <c r="AF38" s="236">
        <f t="shared" si="2"/>
        <v>1</v>
      </c>
      <c r="AG38" s="236" t="str">
        <f t="shared" ca="1" si="3"/>
        <v/>
      </c>
      <c r="AH38" s="236" t="str">
        <f t="shared" ca="1" si="18"/>
        <v/>
      </c>
      <c r="AJ38" s="236">
        <f t="shared" ca="1" si="19"/>
        <v>37</v>
      </c>
      <c r="AK38" s="236" t="str">
        <f t="shared" ca="1" si="20"/>
        <v>BBB+</v>
      </c>
      <c r="AL38" s="236">
        <f t="shared" ca="1" si="20"/>
        <v>19</v>
      </c>
      <c r="AM38" s="236" t="str">
        <f t="shared" ca="1" si="4"/>
        <v/>
      </c>
      <c r="AQ38" s="286" t="s">
        <v>21</v>
      </c>
      <c r="AR38" s="286" t="s">
        <v>10</v>
      </c>
      <c r="AS38" s="286">
        <v>20</v>
      </c>
      <c r="AT38" s="286" t="s">
        <v>316</v>
      </c>
      <c r="AV38" s="234">
        <f t="shared" si="21"/>
        <v>2</v>
      </c>
      <c r="AW38" s="234">
        <f>COUNTIF( AV$7:AV38, AV38 )</f>
        <v>7</v>
      </c>
      <c r="AX38" s="287">
        <f t="shared" si="22"/>
        <v>2.7</v>
      </c>
      <c r="AY38" s="234">
        <f t="shared" si="23"/>
        <v>8</v>
      </c>
      <c r="AZ38" s="236"/>
      <c r="BA38" s="236"/>
      <c r="BC38" s="234">
        <f t="shared" ca="1" si="24"/>
        <v>32</v>
      </c>
      <c r="BD38" s="288">
        <f t="shared" ca="1" si="6"/>
        <v>48</v>
      </c>
      <c r="BF38" s="240" t="str">
        <f t="shared" ca="1" si="7"/>
        <v>Westar Energy, Inc.</v>
      </c>
      <c r="BG38" s="240" t="str">
        <f t="shared" ca="1" si="7"/>
        <v>BBB+</v>
      </c>
      <c r="BH38" s="240">
        <f t="shared" ca="1" si="7"/>
        <v>19</v>
      </c>
      <c r="BI38" s="240" t="str">
        <f t="shared" ca="1" si="7"/>
        <v>WR</v>
      </c>
    </row>
    <row r="39" spans="1:61" x14ac:dyDescent="0.2">
      <c r="A39" s="303" t="s">
        <v>259</v>
      </c>
      <c r="B39" s="304" t="s">
        <v>28</v>
      </c>
      <c r="C39" s="304">
        <v>18</v>
      </c>
      <c r="D39" s="304" t="s">
        <v>275</v>
      </c>
      <c r="E39" s="305" t="str">
        <f t="shared" ca="1" si="8"/>
        <v>R</v>
      </c>
      <c r="F39" s="306"/>
      <c r="G39" s="307">
        <f t="shared" ca="1" si="1"/>
        <v>10</v>
      </c>
      <c r="H39" s="250"/>
      <c r="I39" s="321"/>
      <c r="K39" s="321"/>
      <c r="L39" s="264"/>
      <c r="M39" s="235"/>
      <c r="N39" s="321"/>
      <c r="Q39" s="321"/>
      <c r="T39" s="321"/>
      <c r="W39" s="321"/>
      <c r="AF39" s="236">
        <f t="shared" si="2"/>
        <v>0</v>
      </c>
      <c r="AG39" s="236" t="str">
        <f t="shared" ca="1" si="3"/>
        <v/>
      </c>
      <c r="AH39" s="236" t="str">
        <f t="shared" ca="1" si="18"/>
        <v/>
      </c>
      <c r="AJ39" s="236">
        <f t="shared" ca="1" si="19"/>
        <v>38</v>
      </c>
      <c r="AK39" s="236" t="str">
        <f t="shared" ca="1" si="20"/>
        <v>BBB</v>
      </c>
      <c r="AL39" s="236">
        <f t="shared" ca="1" si="20"/>
        <v>18</v>
      </c>
      <c r="AM39" s="236" t="str">
        <f t="shared" ca="1" si="4"/>
        <v/>
      </c>
      <c r="AQ39" s="286" t="s">
        <v>22</v>
      </c>
      <c r="AR39" s="286" t="s">
        <v>28</v>
      </c>
      <c r="AS39" s="286">
        <v>18</v>
      </c>
      <c r="AT39" s="286" t="s">
        <v>317</v>
      </c>
      <c r="AV39" s="234">
        <f t="shared" si="21"/>
        <v>33</v>
      </c>
      <c r="AW39" s="234">
        <f>COUNTIF( AV$7:AV39, AV39 )</f>
        <v>11</v>
      </c>
      <c r="AX39" s="287">
        <f t="shared" si="22"/>
        <v>34.1</v>
      </c>
      <c r="AY39" s="234">
        <f t="shared" si="23"/>
        <v>43</v>
      </c>
      <c r="AZ39" s="236"/>
      <c r="BA39" s="236"/>
      <c r="BC39" s="234">
        <f t="shared" ca="1" si="24"/>
        <v>33</v>
      </c>
      <c r="BD39" s="288">
        <f t="shared" ca="1" si="6"/>
        <v>4</v>
      </c>
      <c r="BF39" s="240" t="str">
        <f t="shared" ref="BF39:BI63" ca="1" si="25">OFFSET( AQ$6, $BD39, 0 )</f>
        <v>American Electric Power Company, Inc.</v>
      </c>
      <c r="BG39" s="240" t="str">
        <f t="shared" ca="1" si="25"/>
        <v>BBB</v>
      </c>
      <c r="BH39" s="240">
        <f t="shared" ca="1" si="25"/>
        <v>18</v>
      </c>
      <c r="BI39" s="240" t="str">
        <f t="shared" ca="1" si="25"/>
        <v>AEP</v>
      </c>
    </row>
    <row r="40" spans="1:61" x14ac:dyDescent="0.2">
      <c r="A40" s="303" t="s">
        <v>531</v>
      </c>
      <c r="B40" s="304" t="s">
        <v>28</v>
      </c>
      <c r="C40" s="304">
        <v>18</v>
      </c>
      <c r="D40" s="304" t="s">
        <v>530</v>
      </c>
      <c r="E40" s="305" t="str">
        <f t="shared" ca="1" si="8"/>
        <v>R</v>
      </c>
      <c r="F40" s="306"/>
      <c r="G40" s="307">
        <f t="shared" ca="1" si="1"/>
        <v>56</v>
      </c>
      <c r="H40" s="250"/>
      <c r="I40" s="321"/>
      <c r="J40" s="262"/>
      <c r="K40" s="321"/>
      <c r="L40" s="264"/>
      <c r="M40" s="235"/>
      <c r="N40" s="321"/>
      <c r="Q40" s="321"/>
      <c r="T40" s="321"/>
      <c r="W40" s="321"/>
      <c r="AF40" s="236">
        <f t="shared" si="2"/>
        <v>0</v>
      </c>
      <c r="AG40" s="236" t="str">
        <f t="shared" ca="1" si="3"/>
        <v/>
      </c>
      <c r="AH40" s="236" t="str">
        <f t="shared" ca="1" si="18"/>
        <v/>
      </c>
      <c r="AJ40" s="236">
        <f t="shared" ca="1" si="19"/>
        <v>45</v>
      </c>
      <c r="AK40" s="236" t="str">
        <f t="shared" ca="1" si="20"/>
        <v>BBB</v>
      </c>
      <c r="AL40" s="236">
        <f t="shared" ca="1" si="20"/>
        <v>18</v>
      </c>
      <c r="AM40" s="236" t="str">
        <f t="shared" ca="1" si="4"/>
        <v/>
      </c>
      <c r="AQ40" s="286" t="s">
        <v>23</v>
      </c>
      <c r="AR40" s="286" t="s">
        <v>16</v>
      </c>
      <c r="AS40" s="286">
        <v>19</v>
      </c>
      <c r="AT40" s="286" t="s">
        <v>323</v>
      </c>
      <c r="AV40" s="234">
        <f t="shared" si="21"/>
        <v>15</v>
      </c>
      <c r="AW40" s="234">
        <f>COUNTIF( AV$7:AV40, AV40 )</f>
        <v>11</v>
      </c>
      <c r="AX40" s="287">
        <f t="shared" si="22"/>
        <v>16.100000000000001</v>
      </c>
      <c r="AY40" s="234">
        <f t="shared" si="23"/>
        <v>25</v>
      </c>
      <c r="AZ40" s="236"/>
      <c r="BA40" s="236"/>
      <c r="BC40" s="234">
        <f t="shared" ca="1" si="24"/>
        <v>34</v>
      </c>
      <c r="BD40" s="288">
        <f t="shared" ca="1" si="6"/>
        <v>5</v>
      </c>
      <c r="BF40" s="240" t="str">
        <f t="shared" ca="1" si="25"/>
        <v xml:space="preserve">AVANGRID, Inc. </v>
      </c>
      <c r="BG40" s="240" t="str">
        <f t="shared" ca="1" si="25"/>
        <v>BBB</v>
      </c>
      <c r="BH40" s="240">
        <f t="shared" ca="1" si="25"/>
        <v>18</v>
      </c>
      <c r="BI40" s="240" t="str">
        <f t="shared" ca="1" si="25"/>
        <v>AGR</v>
      </c>
    </row>
    <row r="41" spans="1:61" x14ac:dyDescent="0.2">
      <c r="A41" s="303" t="s">
        <v>55</v>
      </c>
      <c r="B41" s="304" t="s">
        <v>28</v>
      </c>
      <c r="C41" s="304">
        <v>18</v>
      </c>
      <c r="D41" s="304" t="s">
        <v>278</v>
      </c>
      <c r="E41" s="305" t="str">
        <f t="shared" ca="1" si="8"/>
        <v>R</v>
      </c>
      <c r="F41" s="306"/>
      <c r="G41" s="307">
        <f t="shared" ca="1" si="1"/>
        <v>11</v>
      </c>
      <c r="H41" s="250"/>
      <c r="I41" s="321"/>
      <c r="J41" s="262"/>
      <c r="K41" s="321"/>
      <c r="L41" s="264"/>
      <c r="M41" s="235"/>
      <c r="N41" s="321"/>
      <c r="Q41" s="321"/>
      <c r="T41" s="321"/>
      <c r="W41" s="321"/>
      <c r="AF41" s="236">
        <f t="shared" si="2"/>
        <v>0</v>
      </c>
      <c r="AG41" s="236" t="str">
        <f t="shared" ca="1" si="3"/>
        <v/>
      </c>
      <c r="AH41" s="236" t="str">
        <f t="shared" ca="1" si="18"/>
        <v/>
      </c>
      <c r="AJ41" s="236">
        <f t="shared" ca="1" si="19"/>
        <v>39</v>
      </c>
      <c r="AK41" s="236" t="str">
        <f t="shared" ca="1" si="20"/>
        <v>BBB</v>
      </c>
      <c r="AL41" s="236">
        <f t="shared" ca="1" si="20"/>
        <v>18</v>
      </c>
      <c r="AM41" s="236" t="str">
        <f t="shared" ca="1" si="4"/>
        <v/>
      </c>
      <c r="AQ41" s="286" t="s">
        <v>53</v>
      </c>
      <c r="AR41" s="286" t="s">
        <v>28</v>
      </c>
      <c r="AS41" s="286">
        <v>18</v>
      </c>
      <c r="AT41" s="286" t="s">
        <v>318</v>
      </c>
      <c r="AV41" s="234">
        <f t="shared" si="21"/>
        <v>33</v>
      </c>
      <c r="AW41" s="234">
        <f>COUNTIF( AV$7:AV41, AV41 )</f>
        <v>12</v>
      </c>
      <c r="AX41" s="287">
        <f t="shared" si="22"/>
        <v>34.200000000000003</v>
      </c>
      <c r="AY41" s="234">
        <f t="shared" si="23"/>
        <v>44</v>
      </c>
      <c r="AZ41" s="236"/>
      <c r="BA41" s="236"/>
      <c r="BC41" s="234">
        <f t="shared" ca="1" si="24"/>
        <v>35</v>
      </c>
      <c r="BD41" s="288">
        <f t="shared" ca="1" si="6"/>
        <v>6</v>
      </c>
      <c r="BF41" s="240" t="str">
        <f t="shared" ca="1" si="25"/>
        <v>Avista Corporation</v>
      </c>
      <c r="BG41" s="240" t="str">
        <f t="shared" ca="1" si="25"/>
        <v>BBB</v>
      </c>
      <c r="BH41" s="240">
        <f t="shared" ca="1" si="25"/>
        <v>18</v>
      </c>
      <c r="BI41" s="240" t="str">
        <f t="shared" ca="1" si="25"/>
        <v>AVA</v>
      </c>
    </row>
    <row r="42" spans="1:61" x14ac:dyDescent="0.2">
      <c r="A42" s="303" t="s">
        <v>48</v>
      </c>
      <c r="B42" s="304" t="s">
        <v>28</v>
      </c>
      <c r="C42" s="304">
        <v>18</v>
      </c>
      <c r="D42" s="304" t="s">
        <v>280</v>
      </c>
      <c r="E42" s="305" t="str">
        <f t="shared" ca="1" si="8"/>
        <v>R</v>
      </c>
      <c r="F42" s="306"/>
      <c r="G42" s="307">
        <f t="shared" ca="1" si="1"/>
        <v>12</v>
      </c>
      <c r="H42" s="250"/>
      <c r="I42" s="321"/>
      <c r="J42" s="262"/>
      <c r="K42" s="321"/>
      <c r="L42" s="264"/>
      <c r="M42" s="235"/>
      <c r="N42" s="321"/>
      <c r="Q42" s="321"/>
      <c r="T42" s="321"/>
      <c r="W42" s="321"/>
      <c r="AF42" s="236">
        <f t="shared" si="2"/>
        <v>0</v>
      </c>
      <c r="AG42" s="236" t="str">
        <f t="shared" ca="1" si="3"/>
        <v/>
      </c>
      <c r="AH42" s="236" t="str">
        <f t="shared" ca="1" si="18"/>
        <v/>
      </c>
      <c r="AJ42" s="236">
        <f t="shared" ca="1" si="19"/>
        <v>40</v>
      </c>
      <c r="AK42" s="236" t="str">
        <f t="shared" ca="1" si="20"/>
        <v>BBB</v>
      </c>
      <c r="AL42" s="236">
        <f t="shared" ca="1" si="20"/>
        <v>18</v>
      </c>
      <c r="AM42" s="236" t="str">
        <f t="shared" ca="1" si="4"/>
        <v/>
      </c>
      <c r="AQ42" s="286" t="s">
        <v>41</v>
      </c>
      <c r="AR42" s="286" t="s">
        <v>10</v>
      </c>
      <c r="AS42" s="286">
        <v>20</v>
      </c>
      <c r="AT42" s="289" t="s">
        <v>322</v>
      </c>
      <c r="AV42" s="234">
        <f t="shared" si="21"/>
        <v>2</v>
      </c>
      <c r="AW42" s="234">
        <f>COUNTIF( AV$7:AV42, AV42 )</f>
        <v>8</v>
      </c>
      <c r="AX42" s="287">
        <f t="shared" si="22"/>
        <v>2.8</v>
      </c>
      <c r="AY42" s="234">
        <f t="shared" si="23"/>
        <v>9</v>
      </c>
      <c r="AZ42" s="236"/>
      <c r="BA42" s="236"/>
      <c r="BC42" s="234">
        <f t="shared" ca="1" si="24"/>
        <v>36</v>
      </c>
      <c r="BD42" s="288">
        <f t="shared" ca="1" si="6"/>
        <v>8</v>
      </c>
      <c r="BF42" s="240" t="str">
        <f t="shared" ca="1" si="25"/>
        <v>Black Hills Corporation</v>
      </c>
      <c r="BG42" s="240" t="str">
        <f t="shared" ca="1" si="25"/>
        <v>BBB</v>
      </c>
      <c r="BH42" s="240">
        <f t="shared" ca="1" si="25"/>
        <v>18</v>
      </c>
      <c r="BI42" s="240" t="str">
        <f t="shared" ca="1" si="25"/>
        <v>BKH</v>
      </c>
    </row>
    <row r="43" spans="1:61" x14ac:dyDescent="0.2">
      <c r="A43" s="303" t="s">
        <v>34</v>
      </c>
      <c r="B43" s="304" t="s">
        <v>28</v>
      </c>
      <c r="C43" s="304">
        <v>18</v>
      </c>
      <c r="D43" s="304" t="s">
        <v>294</v>
      </c>
      <c r="E43" s="305" t="str">
        <f t="shared" ca="1" si="8"/>
        <v>R</v>
      </c>
      <c r="F43" s="306"/>
      <c r="G43" s="307">
        <f t="shared" ca="1" si="1"/>
        <v>21</v>
      </c>
      <c r="H43" s="250"/>
      <c r="I43" s="321"/>
      <c r="J43" s="262"/>
      <c r="K43" s="321"/>
      <c r="L43" s="235"/>
      <c r="M43" s="235"/>
      <c r="N43" s="321"/>
      <c r="Q43" s="321"/>
      <c r="T43" s="321"/>
      <c r="W43" s="321"/>
      <c r="AF43" s="236">
        <f t="shared" si="2"/>
        <v>0</v>
      </c>
      <c r="AG43" s="236" t="str">
        <f t="shared" ca="1" si="3"/>
        <v/>
      </c>
      <c r="AH43" s="236" t="str">
        <f t="shared" ca="1" si="18"/>
        <v/>
      </c>
      <c r="AJ43" s="236">
        <f t="shared" ca="1" si="19"/>
        <v>41</v>
      </c>
      <c r="AK43" s="236" t="str">
        <f t="shared" ca="1" si="20"/>
        <v>BBB</v>
      </c>
      <c r="AL43" s="236">
        <f t="shared" ca="1" si="20"/>
        <v>18</v>
      </c>
      <c r="AM43" s="236" t="str">
        <f t="shared" ca="1" si="4"/>
        <v/>
      </c>
      <c r="AQ43" s="286" t="s">
        <v>42</v>
      </c>
      <c r="AR43" s="286" t="s">
        <v>16</v>
      </c>
      <c r="AS43" s="286">
        <v>19</v>
      </c>
      <c r="AT43" s="286" t="s">
        <v>321</v>
      </c>
      <c r="AV43" s="234">
        <f t="shared" si="21"/>
        <v>15</v>
      </c>
      <c r="AW43" s="234">
        <f>COUNTIF( AV$7:AV43, AV43 )</f>
        <v>12</v>
      </c>
      <c r="AX43" s="287">
        <f t="shared" si="22"/>
        <v>16.2</v>
      </c>
      <c r="AY43" s="234">
        <f t="shared" si="23"/>
        <v>26</v>
      </c>
      <c r="AZ43" s="236"/>
      <c r="BA43" s="236"/>
      <c r="BC43" s="234">
        <f t="shared" ca="1" si="24"/>
        <v>37</v>
      </c>
      <c r="BD43" s="288">
        <f t="shared" ca="1" si="6"/>
        <v>18</v>
      </c>
      <c r="BF43" s="240" t="str">
        <f t="shared" ca="1" si="25"/>
        <v>El Paso Electric Company</v>
      </c>
      <c r="BG43" s="240" t="str">
        <f t="shared" ca="1" si="25"/>
        <v>BBB</v>
      </c>
      <c r="BH43" s="240">
        <f t="shared" ca="1" si="25"/>
        <v>18</v>
      </c>
      <c r="BI43" s="240" t="str">
        <f t="shared" ca="1" si="25"/>
        <v>EE</v>
      </c>
    </row>
    <row r="44" spans="1:61" x14ac:dyDescent="0.2">
      <c r="A44" s="303" t="s">
        <v>35</v>
      </c>
      <c r="B44" s="304" t="s">
        <v>28</v>
      </c>
      <c r="C44" s="304">
        <v>18</v>
      </c>
      <c r="D44" s="304" t="s">
        <v>293</v>
      </c>
      <c r="E44" s="305" t="str">
        <f t="shared" ca="1" si="8"/>
        <v>R</v>
      </c>
      <c r="F44" s="306"/>
      <c r="G44" s="307">
        <f t="shared" ca="1" si="1"/>
        <v>22</v>
      </c>
      <c r="H44" s="250"/>
      <c r="I44" s="321"/>
      <c r="J44" s="262"/>
      <c r="K44" s="321"/>
      <c r="L44" s="235"/>
      <c r="M44" s="235"/>
      <c r="N44" s="321"/>
      <c r="Q44" s="321"/>
      <c r="T44" s="321"/>
      <c r="W44" s="321"/>
      <c r="AF44" s="236">
        <f t="shared" si="2"/>
        <v>0</v>
      </c>
      <c r="AG44" s="236" t="str">
        <f t="shared" ca="1" si="3"/>
        <v/>
      </c>
      <c r="AH44" s="236" t="str">
        <f t="shared" ca="1" si="18"/>
        <v/>
      </c>
      <c r="AJ44" s="236">
        <f t="shared" ca="1" si="19"/>
        <v>42</v>
      </c>
      <c r="AK44" s="236" t="str">
        <f t="shared" ca="1" si="20"/>
        <v>BBB</v>
      </c>
      <c r="AL44" s="236">
        <f t="shared" ca="1" si="20"/>
        <v>18</v>
      </c>
      <c r="AM44" s="236" t="str">
        <f t="shared" ca="1" si="4"/>
        <v/>
      </c>
      <c r="AQ44" s="286" t="s">
        <v>24</v>
      </c>
      <c r="AR44" s="286" t="s">
        <v>28</v>
      </c>
      <c r="AS44" s="286">
        <v>18</v>
      </c>
      <c r="AT44" s="286" t="s">
        <v>324</v>
      </c>
      <c r="AV44" s="234">
        <f t="shared" si="21"/>
        <v>33</v>
      </c>
      <c r="AW44" s="234">
        <f>COUNTIF( AV$7:AV44, AV44 )</f>
        <v>13</v>
      </c>
      <c r="AX44" s="287">
        <f t="shared" si="22"/>
        <v>34.299999999999997</v>
      </c>
      <c r="AY44" s="234">
        <f t="shared" si="23"/>
        <v>45</v>
      </c>
      <c r="AZ44" s="236"/>
      <c r="BA44" s="236"/>
      <c r="BC44" s="234">
        <f t="shared" ca="1" si="24"/>
        <v>38</v>
      </c>
      <c r="BD44" s="288">
        <f t="shared" ca="1" si="6"/>
        <v>19</v>
      </c>
      <c r="BF44" s="240" t="str">
        <f t="shared" ca="1" si="25"/>
        <v>Empire District Electric Company</v>
      </c>
      <c r="BG44" s="240" t="str">
        <f t="shared" ca="1" si="25"/>
        <v>BBB</v>
      </c>
      <c r="BH44" s="240">
        <f t="shared" ca="1" si="25"/>
        <v>18</v>
      </c>
      <c r="BI44" s="240" t="str">
        <f t="shared" ca="1" si="25"/>
        <v>EDE</v>
      </c>
    </row>
    <row r="45" spans="1:61" x14ac:dyDescent="0.2">
      <c r="A45" s="303" t="s">
        <v>36</v>
      </c>
      <c r="B45" s="304" t="s">
        <v>28</v>
      </c>
      <c r="C45" s="304">
        <v>18</v>
      </c>
      <c r="D45" s="304" t="s">
        <v>297</v>
      </c>
      <c r="E45" s="305" t="str">
        <f t="shared" ca="1" si="8"/>
        <v>R</v>
      </c>
      <c r="F45" s="306"/>
      <c r="G45" s="307">
        <f t="shared" ca="1" si="1"/>
        <v>23</v>
      </c>
      <c r="H45" s="250"/>
      <c r="I45" s="321"/>
      <c r="J45" s="262"/>
      <c r="K45" s="321"/>
      <c r="L45" s="235"/>
      <c r="M45" s="235"/>
      <c r="N45" s="321"/>
      <c r="Q45" s="321"/>
      <c r="T45" s="321"/>
      <c r="W45" s="321"/>
      <c r="AF45" s="236">
        <f t="shared" si="2"/>
        <v>0</v>
      </c>
      <c r="AG45" s="236" t="str">
        <f t="shared" ca="1" si="3"/>
        <v/>
      </c>
      <c r="AH45" s="236" t="str">
        <f t="shared" ca="1" si="18"/>
        <v/>
      </c>
      <c r="AJ45" s="236">
        <f t="shared" ca="1" si="19"/>
        <v>43</v>
      </c>
      <c r="AK45" s="236" t="str">
        <f t="shared" ca="1" si="20"/>
        <v>BBB</v>
      </c>
      <c r="AL45" s="236">
        <f t="shared" ca="1" si="20"/>
        <v>18</v>
      </c>
      <c r="AM45" s="236" t="str">
        <f t="shared" ca="1" si="4"/>
        <v/>
      </c>
      <c r="AQ45" s="286" t="s">
        <v>43</v>
      </c>
      <c r="AR45" s="286" t="s">
        <v>10</v>
      </c>
      <c r="AS45" s="286">
        <v>20</v>
      </c>
      <c r="AT45" s="286" t="s">
        <v>325</v>
      </c>
      <c r="AV45" s="234">
        <f t="shared" si="21"/>
        <v>2</v>
      </c>
      <c r="AW45" s="234">
        <f>COUNTIF( AV$7:AV45, AV45 )</f>
        <v>9</v>
      </c>
      <c r="AX45" s="287">
        <f t="shared" si="22"/>
        <v>2.9</v>
      </c>
      <c r="AY45" s="234">
        <f t="shared" si="23"/>
        <v>10</v>
      </c>
      <c r="AZ45" s="236"/>
      <c r="BA45" s="236"/>
      <c r="BC45" s="234">
        <f t="shared" ca="1" si="24"/>
        <v>39</v>
      </c>
      <c r="BD45" s="288">
        <f t="shared" ca="1" si="6"/>
        <v>20</v>
      </c>
      <c r="BF45" s="240" t="str">
        <f t="shared" ca="1" si="25"/>
        <v>Entergy Corporation</v>
      </c>
      <c r="BG45" s="240" t="str">
        <f t="shared" ca="1" si="25"/>
        <v>BBB</v>
      </c>
      <c r="BH45" s="240">
        <f t="shared" ca="1" si="25"/>
        <v>18</v>
      </c>
      <c r="BI45" s="240" t="str">
        <f t="shared" ca="1" si="25"/>
        <v>ETR</v>
      </c>
    </row>
    <row r="46" spans="1:61" x14ac:dyDescent="0.2">
      <c r="A46" s="303" t="s">
        <v>11</v>
      </c>
      <c r="B46" s="304" t="s">
        <v>28</v>
      </c>
      <c r="C46" s="304">
        <v>18</v>
      </c>
      <c r="D46" s="304" t="s">
        <v>298</v>
      </c>
      <c r="E46" s="305" t="str">
        <f t="shared" ca="1" si="8"/>
        <v>MR</v>
      </c>
      <c r="F46" s="306"/>
      <c r="G46" s="307">
        <f t="shared" ca="1" si="1"/>
        <v>24</v>
      </c>
      <c r="H46" s="250"/>
      <c r="I46" s="262"/>
      <c r="K46" s="262"/>
      <c r="N46" s="257"/>
      <c r="W46" s="262"/>
      <c r="AF46" s="236">
        <f t="shared" si="2"/>
        <v>0</v>
      </c>
      <c r="AG46" s="236" t="str">
        <f t="shared" ca="1" si="3"/>
        <v/>
      </c>
      <c r="AH46" s="236" t="str">
        <f t="shared" ca="1" si="18"/>
        <v/>
      </c>
      <c r="AJ46" s="236">
        <f t="shared" ca="1" si="19"/>
        <v>44</v>
      </c>
      <c r="AK46" s="236" t="str">
        <f t="shared" ca="1" si="20"/>
        <v>BBB</v>
      </c>
      <c r="AL46" s="236">
        <f t="shared" ca="1" si="20"/>
        <v>18</v>
      </c>
      <c r="AM46" s="236" t="str">
        <f t="shared" ca="1" si="4"/>
        <v/>
      </c>
      <c r="AQ46" s="286" t="s">
        <v>45</v>
      </c>
      <c r="AR46" s="286" t="s">
        <v>16</v>
      </c>
      <c r="AS46" s="286">
        <v>19</v>
      </c>
      <c r="AT46" s="286" t="s">
        <v>319</v>
      </c>
      <c r="AV46" s="234">
        <f t="shared" si="21"/>
        <v>15</v>
      </c>
      <c r="AW46" s="234">
        <f>COUNTIF( AV$7:AV46, AV46 )</f>
        <v>13</v>
      </c>
      <c r="AX46" s="287">
        <f t="shared" si="22"/>
        <v>16.3</v>
      </c>
      <c r="AY46" s="234">
        <f t="shared" si="23"/>
        <v>27</v>
      </c>
      <c r="AZ46" s="236"/>
      <c r="BA46" s="236"/>
      <c r="BC46" s="234">
        <f t="shared" ca="1" si="24"/>
        <v>40</v>
      </c>
      <c r="BD46" s="288">
        <f t="shared" ca="1" si="6"/>
        <v>22</v>
      </c>
      <c r="BF46" s="240" t="str">
        <f t="shared" ca="1" si="25"/>
        <v>Exelon Corporation</v>
      </c>
      <c r="BG46" s="240" t="str">
        <f t="shared" ca="1" si="25"/>
        <v>BBB</v>
      </c>
      <c r="BH46" s="240">
        <f t="shared" ca="1" si="25"/>
        <v>18</v>
      </c>
      <c r="BI46" s="240" t="str">
        <f t="shared" ca="1" si="25"/>
        <v>EXC</v>
      </c>
    </row>
    <row r="47" spans="1:61" x14ac:dyDescent="0.2">
      <c r="A47" s="303" t="s">
        <v>20</v>
      </c>
      <c r="B47" s="304" t="s">
        <v>28</v>
      </c>
      <c r="C47" s="304">
        <v>18</v>
      </c>
      <c r="D47" s="304" t="s">
        <v>303</v>
      </c>
      <c r="E47" s="305" t="str">
        <f t="shared" ca="1" si="8"/>
        <v>R</v>
      </c>
      <c r="F47" s="306"/>
      <c r="G47" s="307">
        <f t="shared" ca="1" si="1"/>
        <v>28</v>
      </c>
      <c r="H47" s="250"/>
      <c r="I47" s="250"/>
      <c r="J47" s="258" t="s">
        <v>268</v>
      </c>
      <c r="K47" s="262"/>
      <c r="M47" s="253"/>
      <c r="N47" s="253"/>
      <c r="AF47" s="236">
        <f t="shared" si="2"/>
        <v>0</v>
      </c>
      <c r="AG47" s="236" t="str">
        <f t="shared" ca="1" si="3"/>
        <v/>
      </c>
      <c r="AH47" s="236" t="str">
        <f t="shared" ca="1" si="18"/>
        <v/>
      </c>
      <c r="AJ47" s="236">
        <f t="shared" ca="1" si="19"/>
        <v>46</v>
      </c>
      <c r="AK47" s="236" t="str">
        <f t="shared" ca="1" si="20"/>
        <v>BBB</v>
      </c>
      <c r="AL47" s="236">
        <f t="shared" ca="1" si="20"/>
        <v>18</v>
      </c>
      <c r="AM47" s="236" t="str">
        <f t="shared" ca="1" si="4"/>
        <v/>
      </c>
      <c r="AQ47" s="286" t="s">
        <v>54</v>
      </c>
      <c r="AR47" s="286" t="s">
        <v>49</v>
      </c>
      <c r="AS47" s="286">
        <v>17</v>
      </c>
      <c r="AT47" s="286" t="s">
        <v>449</v>
      </c>
      <c r="AV47" s="234">
        <f t="shared" si="21"/>
        <v>46</v>
      </c>
      <c r="AW47" s="234">
        <f>COUNTIF( AV$7:AV47, AV47 )</f>
        <v>3</v>
      </c>
      <c r="AX47" s="287">
        <f t="shared" si="22"/>
        <v>46.3</v>
      </c>
      <c r="AY47" s="234">
        <f t="shared" si="23"/>
        <v>48</v>
      </c>
      <c r="AZ47" s="236"/>
      <c r="BA47" s="236"/>
      <c r="BC47" s="234">
        <f t="shared" ca="1" si="24"/>
        <v>41</v>
      </c>
      <c r="BD47" s="288">
        <f t="shared" ca="1" si="6"/>
        <v>26</v>
      </c>
      <c r="BF47" s="240" t="str">
        <f t="shared" ca="1" si="25"/>
        <v>IDACORP, Inc.</v>
      </c>
      <c r="BG47" s="240" t="str">
        <f t="shared" ca="1" si="25"/>
        <v>BBB</v>
      </c>
      <c r="BH47" s="240">
        <f t="shared" ca="1" si="25"/>
        <v>18</v>
      </c>
      <c r="BI47" s="240" t="str">
        <f t="shared" ca="1" si="25"/>
        <v>IDA</v>
      </c>
    </row>
    <row r="48" spans="1:61" x14ac:dyDescent="0.2">
      <c r="A48" s="303" t="s">
        <v>66</v>
      </c>
      <c r="B48" s="304" t="s">
        <v>28</v>
      </c>
      <c r="C48" s="304">
        <v>18</v>
      </c>
      <c r="D48" s="304" t="s">
        <v>315</v>
      </c>
      <c r="E48" s="305" t="str">
        <f t="shared" ca="1" si="8"/>
        <v>R</v>
      </c>
      <c r="F48" s="306"/>
      <c r="G48" s="307">
        <f t="shared" ca="1" si="1"/>
        <v>35</v>
      </c>
      <c r="H48" s="250"/>
      <c r="I48" s="250"/>
      <c r="K48" s="262"/>
      <c r="M48" s="253"/>
      <c r="N48" s="253"/>
      <c r="AF48" s="236">
        <f t="shared" si="2"/>
        <v>0</v>
      </c>
      <c r="AG48" s="236" t="str">
        <f t="shared" ca="1" si="3"/>
        <v/>
      </c>
      <c r="AH48" s="236" t="str">
        <f t="shared" ca="1" si="18"/>
        <v/>
      </c>
      <c r="AJ48" s="236">
        <f t="shared" ca="1" si="19"/>
        <v>47</v>
      </c>
      <c r="AK48" s="236" t="str">
        <f t="shared" ca="1" si="20"/>
        <v>BBB</v>
      </c>
      <c r="AL48" s="236">
        <f t="shared" ca="1" si="20"/>
        <v>18</v>
      </c>
      <c r="AM48" s="236" t="str">
        <f t="shared" ca="1" si="4"/>
        <v/>
      </c>
      <c r="AQ48" s="286" t="s">
        <v>13</v>
      </c>
      <c r="AR48" s="286" t="s">
        <v>16</v>
      </c>
      <c r="AS48" s="286">
        <v>19</v>
      </c>
      <c r="AT48" s="286" t="s">
        <v>327</v>
      </c>
      <c r="AV48" s="234">
        <f t="shared" si="21"/>
        <v>15</v>
      </c>
      <c r="AW48" s="234">
        <f>COUNTIF( AV$7:AV48, AV48 )</f>
        <v>14</v>
      </c>
      <c r="AX48" s="287">
        <f t="shared" si="22"/>
        <v>16.399999999999999</v>
      </c>
      <c r="AY48" s="234">
        <f t="shared" si="23"/>
        <v>28</v>
      </c>
      <c r="AZ48" s="236"/>
      <c r="BA48" s="236"/>
      <c r="BC48" s="234">
        <f t="shared" ca="1" si="24"/>
        <v>42</v>
      </c>
      <c r="BD48" s="288">
        <f t="shared" ca="1" si="6"/>
        <v>31</v>
      </c>
      <c r="BF48" s="240" t="str">
        <f t="shared" ca="1" si="25"/>
        <v>NorthWestern Corporation</v>
      </c>
      <c r="BG48" s="240" t="str">
        <f t="shared" ca="1" si="25"/>
        <v>BBB</v>
      </c>
      <c r="BH48" s="240">
        <f t="shared" ca="1" si="25"/>
        <v>18</v>
      </c>
      <c r="BI48" s="240" t="str">
        <f t="shared" ca="1" si="25"/>
        <v>NWE</v>
      </c>
    </row>
    <row r="49" spans="1:61" x14ac:dyDescent="0.2">
      <c r="A49" s="303" t="s">
        <v>22</v>
      </c>
      <c r="B49" s="304" t="s">
        <v>28</v>
      </c>
      <c r="C49" s="304">
        <v>18</v>
      </c>
      <c r="D49" s="304" t="s">
        <v>317</v>
      </c>
      <c r="E49" s="305" t="str">
        <f t="shared" ca="1" si="8"/>
        <v>R</v>
      </c>
      <c r="F49" s="306"/>
      <c r="G49" s="307">
        <f t="shared" ca="1" si="1"/>
        <v>37</v>
      </c>
      <c r="H49" s="250"/>
      <c r="I49" s="250"/>
      <c r="J49" s="262"/>
      <c r="K49" s="262"/>
      <c r="M49" s="253"/>
      <c r="N49" s="253"/>
      <c r="AF49" s="236">
        <f t="shared" si="2"/>
        <v>0</v>
      </c>
      <c r="AG49" s="236" t="str">
        <f t="shared" ca="1" si="3"/>
        <v/>
      </c>
      <c r="AH49" s="236" t="str">
        <f t="shared" ca="1" si="18"/>
        <v/>
      </c>
      <c r="AJ49" s="236">
        <f t="shared" ca="1" si="19"/>
        <v>48</v>
      </c>
      <c r="AK49" s="236" t="str">
        <f t="shared" ca="1" si="20"/>
        <v>BBB</v>
      </c>
      <c r="AL49" s="236">
        <f t="shared" ca="1" si="20"/>
        <v>18</v>
      </c>
      <c r="AM49" s="236" t="str">
        <f t="shared" ca="1" si="4"/>
        <v/>
      </c>
      <c r="AQ49" s="286" t="s">
        <v>25</v>
      </c>
      <c r="AR49" s="286" t="s">
        <v>16</v>
      </c>
      <c r="AS49" s="286">
        <v>19</v>
      </c>
      <c r="AT49" s="286" t="s">
        <v>329</v>
      </c>
      <c r="AV49" s="234">
        <f t="shared" si="21"/>
        <v>15</v>
      </c>
      <c r="AW49" s="234">
        <f>COUNTIF( AV$7:AV49, AV49 )</f>
        <v>15</v>
      </c>
      <c r="AX49" s="287">
        <f t="shared" si="22"/>
        <v>16.5</v>
      </c>
      <c r="AY49" s="234">
        <f t="shared" si="23"/>
        <v>29</v>
      </c>
      <c r="AZ49" s="236"/>
      <c r="BA49" s="236"/>
      <c r="BC49" s="234">
        <f t="shared" ca="1" si="24"/>
        <v>43</v>
      </c>
      <c r="BD49" s="288">
        <f t="shared" ca="1" si="6"/>
        <v>33</v>
      </c>
      <c r="BF49" s="240" t="str">
        <f t="shared" ca="1" si="25"/>
        <v>Otter Tail Corporation</v>
      </c>
      <c r="BG49" s="240" t="str">
        <f t="shared" ca="1" si="25"/>
        <v>BBB</v>
      </c>
      <c r="BH49" s="240">
        <f t="shared" ca="1" si="25"/>
        <v>18</v>
      </c>
      <c r="BI49" s="240" t="str">
        <f t="shared" ca="1" si="25"/>
        <v>OTTR</v>
      </c>
    </row>
    <row r="50" spans="1:61" x14ac:dyDescent="0.2">
      <c r="A50" s="303" t="s">
        <v>53</v>
      </c>
      <c r="B50" s="304" t="s">
        <v>28</v>
      </c>
      <c r="C50" s="304">
        <v>18</v>
      </c>
      <c r="D50" s="304" t="s">
        <v>318</v>
      </c>
      <c r="E50" s="305" t="str">
        <f t="shared" ca="1" si="8"/>
        <v>R</v>
      </c>
      <c r="F50" s="306"/>
      <c r="G50" s="307">
        <f t="shared" ca="1" si="1"/>
        <v>39</v>
      </c>
      <c r="H50" s="250"/>
      <c r="I50" s="250"/>
      <c r="J50" s="262"/>
      <c r="K50" s="262"/>
      <c r="L50" s="235"/>
      <c r="M50" s="257"/>
      <c r="N50" s="257"/>
      <c r="AF50" s="236">
        <f t="shared" si="2"/>
        <v>0</v>
      </c>
      <c r="AG50" s="236" t="str">
        <f t="shared" ca="1" si="3"/>
        <v/>
      </c>
      <c r="AH50" s="236" t="str">
        <f t="shared" ca="1" si="18"/>
        <v/>
      </c>
      <c r="AJ50" s="236">
        <f t="shared" ca="1" si="19"/>
        <v>49</v>
      </c>
      <c r="AK50" s="236" t="str">
        <f t="shared" ca="1" si="20"/>
        <v>BBB</v>
      </c>
      <c r="AL50" s="236">
        <f t="shared" ca="1" si="20"/>
        <v>18</v>
      </c>
      <c r="AM50" s="236" t="str">
        <f t="shared" ca="1" si="4"/>
        <v/>
      </c>
      <c r="AQ50" s="286" t="s">
        <v>7</v>
      </c>
      <c r="AR50" s="286" t="s">
        <v>10</v>
      </c>
      <c r="AS50" s="286">
        <v>20</v>
      </c>
      <c r="AT50" s="286" t="s">
        <v>328</v>
      </c>
      <c r="AV50" s="234">
        <f t="shared" si="21"/>
        <v>2</v>
      </c>
      <c r="AW50" s="234">
        <f>COUNTIF( AV$7:AV50, AV50 )</f>
        <v>10</v>
      </c>
      <c r="AX50" s="287">
        <f t="shared" si="22"/>
        <v>3</v>
      </c>
      <c r="AY50" s="234">
        <f t="shared" si="23"/>
        <v>11</v>
      </c>
      <c r="AZ50" s="236"/>
      <c r="BA50" s="236"/>
      <c r="BC50" s="234">
        <f t="shared" ca="1" si="24"/>
        <v>44</v>
      </c>
      <c r="BD50" s="288">
        <f t="shared" ca="1" si="6"/>
        <v>35</v>
      </c>
      <c r="BF50" s="240" t="str">
        <f t="shared" ca="1" si="25"/>
        <v>PG&amp;E Corporation</v>
      </c>
      <c r="BG50" s="240" t="str">
        <f t="shared" ca="1" si="25"/>
        <v>BBB</v>
      </c>
      <c r="BH50" s="240">
        <f t="shared" ca="1" si="25"/>
        <v>18</v>
      </c>
      <c r="BI50" s="240" t="str">
        <f t="shared" ca="1" si="25"/>
        <v>PCG</v>
      </c>
    </row>
    <row r="51" spans="1:61" x14ac:dyDescent="0.2">
      <c r="A51" s="303" t="s">
        <v>24</v>
      </c>
      <c r="B51" s="304" t="s">
        <v>28</v>
      </c>
      <c r="C51" s="304">
        <v>18</v>
      </c>
      <c r="D51" s="304" t="s">
        <v>324</v>
      </c>
      <c r="E51" s="305" t="str">
        <f t="shared" ca="1" si="8"/>
        <v>R</v>
      </c>
      <c r="F51" s="306"/>
      <c r="G51" s="307">
        <f t="shared" ca="1" si="1"/>
        <v>42</v>
      </c>
      <c r="H51" s="250"/>
      <c r="I51" s="250"/>
      <c r="J51" s="262"/>
      <c r="K51" s="262"/>
      <c r="L51" s="235"/>
      <c r="M51" s="257"/>
      <c r="N51" s="257"/>
      <c r="AF51" s="236">
        <f t="shared" si="2"/>
        <v>0</v>
      </c>
      <c r="AG51" s="236" t="str">
        <f t="shared" ca="1" si="3"/>
        <v/>
      </c>
      <c r="AH51" s="236" t="str">
        <f t="shared" ca="1" si="18"/>
        <v/>
      </c>
      <c r="AJ51" s="236">
        <f t="shared" ca="1" si="19"/>
        <v>51</v>
      </c>
      <c r="AK51" s="236" t="str">
        <f t="shared" ca="1" si="20"/>
        <v>BBB</v>
      </c>
      <c r="AL51" s="236">
        <f t="shared" ca="1" si="20"/>
        <v>18</v>
      </c>
      <c r="AM51" s="236" t="str">
        <f t="shared" ca="1" si="4"/>
        <v/>
      </c>
      <c r="AQ51" s="286" t="s">
        <v>62</v>
      </c>
      <c r="AR51" s="286" t="s">
        <v>16</v>
      </c>
      <c r="AS51" s="286">
        <v>19</v>
      </c>
      <c r="AT51" s="286" t="s">
        <v>330</v>
      </c>
      <c r="AV51" s="234">
        <f t="shared" si="21"/>
        <v>15</v>
      </c>
      <c r="AW51" s="234">
        <f>COUNTIF( AV$7:AV51, AV51 )</f>
        <v>16</v>
      </c>
      <c r="AX51" s="287">
        <f t="shared" si="22"/>
        <v>16.600000000000001</v>
      </c>
      <c r="AY51" s="234">
        <f t="shared" si="23"/>
        <v>30</v>
      </c>
      <c r="AZ51" s="236"/>
      <c r="BA51" s="236"/>
      <c r="BC51" s="234">
        <f t="shared" ca="1" si="24"/>
        <v>45</v>
      </c>
      <c r="BD51" s="288">
        <f t="shared" ca="1" si="6"/>
        <v>38</v>
      </c>
      <c r="BF51" s="240" t="str">
        <f t="shared" ca="1" si="25"/>
        <v>Portland General Electric Company</v>
      </c>
      <c r="BG51" s="240" t="str">
        <f t="shared" ca="1" si="25"/>
        <v>BBB</v>
      </c>
      <c r="BH51" s="240">
        <f t="shared" ca="1" si="25"/>
        <v>18</v>
      </c>
      <c r="BI51" s="240" t="str">
        <f t="shared" ca="1" si="25"/>
        <v>POR</v>
      </c>
    </row>
    <row r="52" spans="1:61" x14ac:dyDescent="0.2">
      <c r="A52" s="303" t="s">
        <v>51</v>
      </c>
      <c r="B52" s="304" t="s">
        <v>49</v>
      </c>
      <c r="C52" s="304">
        <v>17</v>
      </c>
      <c r="D52" s="304" t="s">
        <v>299</v>
      </c>
      <c r="E52" s="305" t="str">
        <f t="shared" ca="1" si="8"/>
        <v>MR</v>
      </c>
      <c r="F52" s="306"/>
      <c r="G52" s="307">
        <f t="shared" ca="1" si="1"/>
        <v>25</v>
      </c>
      <c r="H52" s="250"/>
      <c r="I52" s="250"/>
      <c r="J52" s="262"/>
      <c r="K52" s="262"/>
      <c r="AF52" s="236">
        <f t="shared" si="2"/>
        <v>1</v>
      </c>
      <c r="AG52" s="236" t="str">
        <f t="shared" ca="1" si="3"/>
        <v/>
      </c>
      <c r="AH52" s="236" t="str">
        <f t="shared" ca="1" si="18"/>
        <v/>
      </c>
      <c r="AJ52" s="236">
        <f t="shared" ca="1" si="19"/>
        <v>53</v>
      </c>
      <c r="AK52" s="236" t="str">
        <f t="shared" ca="1" si="20"/>
        <v>BBB-</v>
      </c>
      <c r="AL52" s="236">
        <f t="shared" ca="1" si="20"/>
        <v>17</v>
      </c>
      <c r="AM52" s="236" t="str">
        <f t="shared" ca="1" si="4"/>
        <v/>
      </c>
      <c r="AQ52" s="286" t="s">
        <v>76</v>
      </c>
      <c r="AR52" s="286" t="s">
        <v>16</v>
      </c>
      <c r="AS52" s="286">
        <v>19</v>
      </c>
      <c r="AT52" s="286" t="s">
        <v>448</v>
      </c>
      <c r="AV52" s="234">
        <f t="shared" si="21"/>
        <v>15</v>
      </c>
      <c r="AW52" s="234">
        <f>COUNTIF( AV$7:AV52, AV52 )</f>
        <v>17</v>
      </c>
      <c r="AX52" s="287">
        <f t="shared" si="22"/>
        <v>16.7</v>
      </c>
      <c r="AY52" s="234">
        <f t="shared" si="23"/>
        <v>31</v>
      </c>
      <c r="AZ52" s="236"/>
      <c r="BA52" s="236"/>
      <c r="BC52" s="234">
        <f t="shared" ca="1" si="24"/>
        <v>46</v>
      </c>
      <c r="BD52" s="288">
        <f t="shared" ca="1" si="6"/>
        <v>23</v>
      </c>
      <c r="BF52" s="240" t="str">
        <f t="shared" ca="1" si="25"/>
        <v>FirstEnergy Corp.</v>
      </c>
      <c r="BG52" s="240" t="str">
        <f t="shared" ca="1" si="25"/>
        <v>BBB-</v>
      </c>
      <c r="BH52" s="240">
        <f t="shared" ca="1" si="25"/>
        <v>17</v>
      </c>
      <c r="BI52" s="240" t="str">
        <f t="shared" ca="1" si="25"/>
        <v>FE</v>
      </c>
    </row>
    <row r="53" spans="1:61" x14ac:dyDescent="0.2">
      <c r="A53" s="303" t="s">
        <v>39</v>
      </c>
      <c r="B53" s="304" t="s">
        <v>49</v>
      </c>
      <c r="C53" s="304">
        <v>17</v>
      </c>
      <c r="D53" s="304" t="s">
        <v>302</v>
      </c>
      <c r="E53" s="305" t="str">
        <f t="shared" ca="1" si="8"/>
        <v>D</v>
      </c>
      <c r="F53" s="306"/>
      <c r="G53" s="307">
        <f t="shared" ca="1" si="1"/>
        <v>27</v>
      </c>
      <c r="H53" s="250"/>
      <c r="I53" s="250"/>
      <c r="J53" s="262"/>
      <c r="K53" s="262"/>
      <c r="AF53" s="236">
        <f t="shared" si="2"/>
        <v>1</v>
      </c>
      <c r="AG53" s="236" t="str">
        <f t="shared" ca="1" si="3"/>
        <v/>
      </c>
      <c r="AH53" s="236" t="str">
        <f t="shared" ca="1" si="18"/>
        <v/>
      </c>
      <c r="AJ53" s="236">
        <f t="shared" ca="1" si="19"/>
        <v>54</v>
      </c>
      <c r="AK53" s="236" t="str">
        <f t="shared" ca="1" si="20"/>
        <v>BBB-</v>
      </c>
      <c r="AL53" s="236">
        <f t="shared" ca="1" si="20"/>
        <v>17</v>
      </c>
      <c r="AM53" s="236" t="str">
        <f t="shared" ca="1" si="4"/>
        <v/>
      </c>
      <c r="AQ53" s="286" t="s">
        <v>14</v>
      </c>
      <c r="AR53" s="286" t="s">
        <v>10</v>
      </c>
      <c r="AS53" s="286">
        <v>20</v>
      </c>
      <c r="AT53" s="286" t="s">
        <v>335</v>
      </c>
      <c r="AV53" s="234">
        <f t="shared" si="21"/>
        <v>2</v>
      </c>
      <c r="AW53" s="234">
        <f>COUNTIF( AV$7:AV53, AV53 )</f>
        <v>11</v>
      </c>
      <c r="AX53" s="287">
        <f t="shared" si="22"/>
        <v>3.1</v>
      </c>
      <c r="AY53" s="234">
        <f t="shared" si="23"/>
        <v>12</v>
      </c>
      <c r="AZ53" s="236"/>
      <c r="BA53" s="236"/>
      <c r="BC53" s="234">
        <f t="shared" ca="1" si="24"/>
        <v>47</v>
      </c>
      <c r="BD53" s="288">
        <f t="shared" ca="1" si="6"/>
        <v>25</v>
      </c>
      <c r="BF53" s="240" t="str">
        <f t="shared" ca="1" si="25"/>
        <v>Hawaiian Electric Industries, Inc.</v>
      </c>
      <c r="BG53" s="240" t="str">
        <f t="shared" ca="1" si="25"/>
        <v>BBB-</v>
      </c>
      <c r="BH53" s="240">
        <f t="shared" ca="1" si="25"/>
        <v>17</v>
      </c>
      <c r="BI53" s="240" t="str">
        <f t="shared" ca="1" si="25"/>
        <v>HE</v>
      </c>
    </row>
    <row r="54" spans="1:61" x14ac:dyDescent="0.2">
      <c r="A54" s="303" t="s">
        <v>54</v>
      </c>
      <c r="B54" s="304" t="s">
        <v>49</v>
      </c>
      <c r="C54" s="304">
        <v>17</v>
      </c>
      <c r="D54" s="304" t="s">
        <v>449</v>
      </c>
      <c r="E54" s="305" t="str">
        <f t="shared" ca="1" si="8"/>
        <v>R</v>
      </c>
      <c r="F54" s="306"/>
      <c r="G54" s="307">
        <f t="shared" ca="1" si="1"/>
        <v>61</v>
      </c>
      <c r="H54" s="250"/>
      <c r="I54" s="250"/>
      <c r="J54" s="262"/>
      <c r="K54" s="262"/>
      <c r="AF54" s="236">
        <f t="shared" si="2"/>
        <v>1</v>
      </c>
      <c r="AG54" s="236" t="str">
        <f t="shared" ca="1" si="3"/>
        <v/>
      </c>
      <c r="AH54" s="236" t="str">
        <f t="shared" ca="1" si="18"/>
        <v/>
      </c>
      <c r="AJ54" s="236">
        <f t="shared" ca="1" si="19"/>
        <v>55</v>
      </c>
      <c r="AK54" s="236" t="str">
        <f t="shared" ca="1" si="20"/>
        <v>BBB-</v>
      </c>
      <c r="AL54" s="236">
        <f t="shared" ca="1" si="20"/>
        <v>17</v>
      </c>
      <c r="AM54" s="236" t="str">
        <f t="shared" ca="1" si="4"/>
        <v/>
      </c>
      <c r="AQ54" s="286" t="s">
        <v>59</v>
      </c>
      <c r="AR54" s="286" t="s">
        <v>16</v>
      </c>
      <c r="AS54" s="286">
        <v>19</v>
      </c>
      <c r="AT54" s="286" t="s">
        <v>337</v>
      </c>
      <c r="AV54" s="234">
        <f t="shared" si="21"/>
        <v>15</v>
      </c>
      <c r="AW54" s="234">
        <f>COUNTIF( AV$7:AV54, AV54 )</f>
        <v>18</v>
      </c>
      <c r="AX54" s="287">
        <f t="shared" si="22"/>
        <v>16.8</v>
      </c>
      <c r="AY54" s="234">
        <f t="shared" si="23"/>
        <v>32</v>
      </c>
      <c r="AZ54" s="236"/>
      <c r="BA54" s="236"/>
      <c r="BC54" s="234">
        <f t="shared" ca="1" si="24"/>
        <v>48</v>
      </c>
      <c r="BD54" s="288">
        <f t="shared" ca="1" si="6"/>
        <v>41</v>
      </c>
      <c r="BF54" s="240" t="str">
        <f t="shared" ca="1" si="25"/>
        <v>Puget Energy, Inc.</v>
      </c>
      <c r="BG54" s="240" t="str">
        <f t="shared" ca="1" si="25"/>
        <v>BBB-</v>
      </c>
      <c r="BH54" s="240">
        <f t="shared" ca="1" si="25"/>
        <v>17</v>
      </c>
      <c r="BI54" s="240" t="str">
        <f t="shared" ca="1" si="25"/>
        <v>**PSD</v>
      </c>
    </row>
    <row r="55" spans="1:61" x14ac:dyDescent="0.2">
      <c r="A55" s="303" t="s">
        <v>58</v>
      </c>
      <c r="B55" s="304" t="s">
        <v>56</v>
      </c>
      <c r="C55" s="304">
        <v>16</v>
      </c>
      <c r="D55" s="304" t="s">
        <v>446</v>
      </c>
      <c r="E55" s="305" t="str">
        <f t="shared" ca="1" si="8"/>
        <v>R</v>
      </c>
      <c r="F55" s="306"/>
      <c r="G55" s="307">
        <f t="shared" ca="1" si="1"/>
        <v>59</v>
      </c>
      <c r="H55" s="250"/>
      <c r="I55" s="250"/>
      <c r="J55" s="262"/>
      <c r="K55" s="262"/>
      <c r="AF55" s="236">
        <f t="shared" si="2"/>
        <v>0</v>
      </c>
      <c r="AG55" s="236" t="str">
        <f t="shared" ca="1" si="3"/>
        <v/>
      </c>
      <c r="AH55" s="236" t="str">
        <f t="shared" ca="1" si="18"/>
        <v/>
      </c>
      <c r="AJ55" s="236">
        <f t="shared" ca="1" si="19"/>
        <v>56</v>
      </c>
      <c r="AK55" s="236" t="str">
        <f t="shared" ca="1" si="20"/>
        <v>BB+</v>
      </c>
      <c r="AL55" s="236">
        <f t="shared" ca="1" si="20"/>
        <v>16</v>
      </c>
      <c r="AM55" s="236" t="str">
        <f t="shared" ca="1" si="4"/>
        <v/>
      </c>
      <c r="AQ55" s="286" t="s">
        <v>26</v>
      </c>
      <c r="AR55" s="286" t="s">
        <v>10</v>
      </c>
      <c r="AS55" s="286">
        <v>20</v>
      </c>
      <c r="AT55" s="286" t="s">
        <v>336</v>
      </c>
      <c r="AV55" s="234">
        <f t="shared" si="21"/>
        <v>2</v>
      </c>
      <c r="AW55" s="234">
        <f>COUNTIF( AV$7:AV55, AV55 )</f>
        <v>12</v>
      </c>
      <c r="AX55" s="287">
        <f t="shared" si="22"/>
        <v>3.2</v>
      </c>
      <c r="AY55" s="234">
        <f t="shared" si="23"/>
        <v>13</v>
      </c>
      <c r="AZ55" s="236"/>
      <c r="BA55" s="236"/>
      <c r="BC55" s="234">
        <f t="shared" ca="1" si="24"/>
        <v>49</v>
      </c>
      <c r="BD55" s="288">
        <f t="shared" ca="1" si="6"/>
        <v>27</v>
      </c>
      <c r="BF55" s="240" t="str">
        <f t="shared" ca="1" si="25"/>
        <v>IPALCO Enterprises, Inc.</v>
      </c>
      <c r="BG55" s="240" t="str">
        <f t="shared" ca="1" si="25"/>
        <v>BB+</v>
      </c>
      <c r="BH55" s="240">
        <f t="shared" ca="1" si="25"/>
        <v>16</v>
      </c>
      <c r="BI55" s="240" t="str">
        <f t="shared" ca="1" si="25"/>
        <v>**IPALCO</v>
      </c>
    </row>
    <row r="56" spans="1:61" x14ac:dyDescent="0.2">
      <c r="A56" s="303" t="s">
        <v>64</v>
      </c>
      <c r="B56" s="304" t="s">
        <v>61</v>
      </c>
      <c r="C56" s="304">
        <v>15</v>
      </c>
      <c r="D56" s="304" t="s">
        <v>443</v>
      </c>
      <c r="E56" s="305" t="str">
        <f t="shared" ca="1" si="8"/>
        <v>R</v>
      </c>
      <c r="F56" s="306"/>
      <c r="G56" s="307">
        <f t="shared" ca="1" si="1"/>
        <v>57</v>
      </c>
      <c r="H56" s="250"/>
      <c r="I56" s="250"/>
      <c r="J56" s="262"/>
      <c r="K56" s="262"/>
      <c r="AF56" s="236">
        <f t="shared" si="2"/>
        <v>1</v>
      </c>
      <c r="AG56" s="236" t="str">
        <f t="shared" ca="1" si="3"/>
        <v/>
      </c>
      <c r="AH56" s="236" t="str">
        <f t="shared" ca="1" si="18"/>
        <v/>
      </c>
      <c r="AJ56" s="236">
        <f t="shared" ca="1" si="19"/>
        <v>57</v>
      </c>
      <c r="AK56" s="236" t="str">
        <f t="shared" ca="1" si="20"/>
        <v>BB</v>
      </c>
      <c r="AL56" s="236">
        <f t="shared" ca="1" si="20"/>
        <v>15</v>
      </c>
      <c r="AM56" s="236" t="str">
        <f t="shared" ca="1" si="4"/>
        <v/>
      </c>
      <c r="AQ56" s="286" t="s">
        <v>258</v>
      </c>
      <c r="AR56" s="286" t="s">
        <v>10</v>
      </c>
      <c r="AS56" s="286">
        <v>20</v>
      </c>
      <c r="AT56" s="286" t="s">
        <v>338</v>
      </c>
      <c r="AV56" s="234">
        <f t="shared" si="21"/>
        <v>2</v>
      </c>
      <c r="AW56" s="234">
        <f>COUNTIF( AV$7:AV56, AV56 )</f>
        <v>13</v>
      </c>
      <c r="AX56" s="287">
        <f t="shared" si="22"/>
        <v>3.3</v>
      </c>
      <c r="AY56" s="234">
        <f t="shared" si="23"/>
        <v>14</v>
      </c>
      <c r="AZ56" s="236"/>
      <c r="BA56" s="236"/>
      <c r="BC56" s="234">
        <f t="shared" ca="1" si="24"/>
        <v>50</v>
      </c>
      <c r="BD56" s="288">
        <f t="shared" ca="1" si="6"/>
        <v>14</v>
      </c>
      <c r="BF56" s="240" t="str">
        <f t="shared" ca="1" si="25"/>
        <v>DPL Inc.</v>
      </c>
      <c r="BG56" s="240" t="str">
        <f t="shared" ca="1" si="25"/>
        <v>BB</v>
      </c>
      <c r="BH56" s="240">
        <f t="shared" ca="1" si="25"/>
        <v>15</v>
      </c>
      <c r="BI56" s="240" t="str">
        <f t="shared" ca="1" si="25"/>
        <v>**DPL</v>
      </c>
    </row>
    <row r="57" spans="1:61" x14ac:dyDescent="0.2">
      <c r="A57" s="303"/>
      <c r="B57" s="304"/>
      <c r="C57" s="304"/>
      <c r="D57" s="304"/>
      <c r="E57" s="305"/>
      <c r="F57" s="306"/>
      <c r="G57" s="307" t="str">
        <f t="shared" ca="1" si="1"/>
        <v/>
      </c>
      <c r="H57" s="250"/>
      <c r="I57" s="250"/>
      <c r="J57" s="262"/>
      <c r="K57" s="262"/>
      <c r="AF57" s="236">
        <f t="shared" si="2"/>
        <v>0</v>
      </c>
      <c r="AG57" s="236" t="str">
        <f t="shared" si="3"/>
        <v/>
      </c>
      <c r="AH57" s="236" t="str">
        <f t="shared" si="18"/>
        <v/>
      </c>
      <c r="AJ57" s="236" t="e">
        <f t="shared" ca="1" si="19"/>
        <v>#N/A</v>
      </c>
      <c r="AK57" s="236" t="str">
        <f t="shared" ca="1" si="20"/>
        <v/>
      </c>
      <c r="AL57" s="236" t="str">
        <f t="shared" ca="1" si="20"/>
        <v/>
      </c>
      <c r="AM57" s="236" t="str">
        <f t="shared" ca="1" si="4"/>
        <v/>
      </c>
      <c r="AQ57" s="286"/>
      <c r="AR57" s="286"/>
      <c r="AS57" s="286"/>
      <c r="AT57" s="286"/>
      <c r="AV57" s="234">
        <f t="shared" si="21"/>
        <v>99</v>
      </c>
      <c r="AW57" s="234">
        <f>COUNTIF( AV$7:AV57, AV57 )</f>
        <v>1</v>
      </c>
      <c r="AX57" s="287">
        <f t="shared" si="22"/>
        <v>99.1</v>
      </c>
      <c r="AY57" s="234">
        <f t="shared" si="23"/>
        <v>51</v>
      </c>
      <c r="AZ57" s="236"/>
      <c r="BA57" s="236"/>
      <c r="BC57" s="234">
        <f t="shared" ca="1" si="24"/>
        <v>51</v>
      </c>
      <c r="BD57" s="288">
        <f t="shared" ca="1" si="6"/>
        <v>51</v>
      </c>
      <c r="BF57" s="240">
        <f t="shared" ca="1" si="25"/>
        <v>0</v>
      </c>
      <c r="BG57" s="240">
        <f t="shared" ca="1" si="25"/>
        <v>0</v>
      </c>
      <c r="BH57" s="240">
        <f t="shared" ca="1" si="25"/>
        <v>0</v>
      </c>
      <c r="BI57" s="240">
        <f t="shared" ca="1" si="25"/>
        <v>0</v>
      </c>
    </row>
    <row r="58" spans="1:61" x14ac:dyDescent="0.2">
      <c r="A58" s="303"/>
      <c r="B58" s="304"/>
      <c r="C58" s="304"/>
      <c r="D58" s="304"/>
      <c r="E58" s="305"/>
      <c r="F58" s="306"/>
      <c r="G58" s="307" t="str">
        <f t="shared" ca="1" si="1"/>
        <v/>
      </c>
      <c r="H58" s="250"/>
      <c r="I58" s="250"/>
      <c r="J58" s="262"/>
      <c r="K58" s="262"/>
      <c r="AF58" s="236">
        <f t="shared" si="2"/>
        <v>0</v>
      </c>
      <c r="AG58" s="236" t="str">
        <f t="shared" si="3"/>
        <v/>
      </c>
      <c r="AH58" s="236" t="str">
        <f t="shared" si="18"/>
        <v/>
      </c>
      <c r="AJ58" s="236" t="e">
        <f t="shared" ca="1" si="19"/>
        <v>#N/A</v>
      </c>
      <c r="AK58" s="236" t="str">
        <f t="shared" ca="1" si="20"/>
        <v/>
      </c>
      <c r="AL58" s="236" t="str">
        <f t="shared" ca="1" si="20"/>
        <v/>
      </c>
      <c r="AM58" s="236" t="str">
        <f t="shared" ca="1" si="4"/>
        <v/>
      </c>
      <c r="AQ58" s="286"/>
      <c r="AR58" s="286"/>
      <c r="AS58" s="286"/>
      <c r="AT58" s="286"/>
      <c r="AV58" s="234">
        <f t="shared" si="21"/>
        <v>99</v>
      </c>
      <c r="AW58" s="234">
        <f>COUNTIF( AV$7:AV58, AV58 )</f>
        <v>2</v>
      </c>
      <c r="AX58" s="287">
        <f t="shared" si="22"/>
        <v>99.2</v>
      </c>
      <c r="AY58" s="234">
        <f t="shared" si="23"/>
        <v>52</v>
      </c>
      <c r="AZ58" s="236"/>
      <c r="BA58" s="236"/>
      <c r="BC58" s="234">
        <f t="shared" ca="1" si="24"/>
        <v>52</v>
      </c>
      <c r="BD58" s="288">
        <f t="shared" ca="1" si="6"/>
        <v>52</v>
      </c>
      <c r="BF58" s="240">
        <f t="shared" ca="1" si="25"/>
        <v>0</v>
      </c>
      <c r="BG58" s="240">
        <f t="shared" ca="1" si="25"/>
        <v>0</v>
      </c>
      <c r="BH58" s="240">
        <f t="shared" ca="1" si="25"/>
        <v>0</v>
      </c>
      <c r="BI58" s="240">
        <f t="shared" ca="1" si="25"/>
        <v>0</v>
      </c>
    </row>
    <row r="59" spans="1:61" x14ac:dyDescent="0.2">
      <c r="A59" s="303"/>
      <c r="B59" s="304"/>
      <c r="C59" s="304"/>
      <c r="D59" s="304"/>
      <c r="E59" s="305" t="str">
        <f t="shared" ca="1" si="8"/>
        <v/>
      </c>
      <c r="F59" s="306"/>
      <c r="G59" s="307" t="str">
        <f t="shared" ca="1" si="1"/>
        <v/>
      </c>
      <c r="H59" s="250"/>
      <c r="I59" s="250"/>
      <c r="J59" s="262"/>
      <c r="K59" s="262"/>
      <c r="AF59" s="236">
        <f t="shared" si="2"/>
        <v>0</v>
      </c>
      <c r="AG59" s="236" t="str">
        <f t="shared" si="3"/>
        <v/>
      </c>
      <c r="AH59" s="236" t="str">
        <f t="shared" si="18"/>
        <v/>
      </c>
      <c r="AJ59" s="236" t="e">
        <f t="shared" ca="1" si="19"/>
        <v>#N/A</v>
      </c>
      <c r="AK59" s="236" t="str">
        <f t="shared" ca="1" si="20"/>
        <v/>
      </c>
      <c r="AL59" s="236" t="str">
        <f t="shared" ca="1" si="20"/>
        <v/>
      </c>
      <c r="AM59" s="236" t="str">
        <f t="shared" ca="1" si="4"/>
        <v/>
      </c>
      <c r="AQ59" s="286"/>
      <c r="AR59" s="286"/>
      <c r="AS59" s="286"/>
      <c r="AT59" s="286"/>
      <c r="AV59" s="234">
        <f t="shared" si="21"/>
        <v>99</v>
      </c>
      <c r="AW59" s="234">
        <f>COUNTIF( AV$7:AV59, AV59 )</f>
        <v>3</v>
      </c>
      <c r="AX59" s="287">
        <f t="shared" si="22"/>
        <v>99.3</v>
      </c>
      <c r="AY59" s="234">
        <f t="shared" si="23"/>
        <v>53</v>
      </c>
      <c r="AZ59" s="236"/>
      <c r="BA59" s="236"/>
      <c r="BC59" s="234">
        <f t="shared" ca="1" si="24"/>
        <v>53</v>
      </c>
      <c r="BD59" s="288">
        <f t="shared" ca="1" si="6"/>
        <v>53</v>
      </c>
      <c r="BF59" s="240">
        <f t="shared" ca="1" si="25"/>
        <v>0</v>
      </c>
      <c r="BG59" s="240">
        <f t="shared" ca="1" si="25"/>
        <v>0</v>
      </c>
      <c r="BH59" s="240">
        <f t="shared" ca="1" si="25"/>
        <v>0</v>
      </c>
      <c r="BI59" s="240">
        <f t="shared" ca="1" si="25"/>
        <v>0</v>
      </c>
    </row>
    <row r="60" spans="1:61" ht="13.5" thickBot="1" x14ac:dyDescent="0.25">
      <c r="A60" s="265"/>
      <c r="B60" s="266"/>
      <c r="C60" s="266"/>
      <c r="D60" s="266"/>
      <c r="E60" s="267" t="str">
        <f t="shared" ca="1" si="8"/>
        <v/>
      </c>
      <c r="F60" s="250"/>
      <c r="G60" s="251" t="str">
        <f t="shared" ca="1" si="1"/>
        <v/>
      </c>
      <c r="H60" s="250"/>
      <c r="I60" s="250"/>
      <c r="AF60" s="236">
        <f t="shared" si="2"/>
        <v>0</v>
      </c>
      <c r="AG60" s="236" t="str">
        <f t="shared" si="3"/>
        <v/>
      </c>
      <c r="AH60" s="236" t="str">
        <f t="shared" si="18"/>
        <v/>
      </c>
      <c r="AJ60" s="236" t="e">
        <f t="shared" ca="1" si="19"/>
        <v>#N/A</v>
      </c>
      <c r="AK60" s="236" t="str">
        <f t="shared" ca="1" si="20"/>
        <v/>
      </c>
      <c r="AL60" s="236" t="str">
        <f t="shared" ca="1" si="20"/>
        <v/>
      </c>
      <c r="AM60" s="236" t="str">
        <f t="shared" ca="1" si="4"/>
        <v/>
      </c>
      <c r="AQ60" s="286"/>
      <c r="AR60" s="286"/>
      <c r="AS60" s="286"/>
      <c r="AT60" s="286"/>
      <c r="AV60" s="234">
        <f t="shared" si="21"/>
        <v>99</v>
      </c>
      <c r="AW60" s="234">
        <f>COUNTIF( AV$7:AV60, AV60 )</f>
        <v>4</v>
      </c>
      <c r="AX60" s="287">
        <f t="shared" si="22"/>
        <v>99.4</v>
      </c>
      <c r="AY60" s="234">
        <f t="shared" si="23"/>
        <v>54</v>
      </c>
      <c r="AZ60" s="236"/>
      <c r="BA60" s="236"/>
      <c r="BC60" s="234">
        <f t="shared" ca="1" si="24"/>
        <v>54</v>
      </c>
      <c r="BD60" s="288">
        <f t="shared" ca="1" si="6"/>
        <v>54</v>
      </c>
      <c r="BF60" s="240">
        <f t="shared" ca="1" si="25"/>
        <v>0</v>
      </c>
      <c r="BG60" s="240">
        <f t="shared" ca="1" si="25"/>
        <v>0</v>
      </c>
      <c r="BH60" s="240">
        <f t="shared" ca="1" si="25"/>
        <v>0</v>
      </c>
      <c r="BI60" s="240">
        <f t="shared" ca="1" si="25"/>
        <v>0</v>
      </c>
    </row>
    <row r="61" spans="1:61" x14ac:dyDescent="0.2">
      <c r="A61" s="308" t="s">
        <v>474</v>
      </c>
      <c r="B61" s="309" t="s">
        <v>108</v>
      </c>
      <c r="C61" s="309">
        <v>23</v>
      </c>
      <c r="D61" s="309" t="s">
        <v>440</v>
      </c>
      <c r="E61" s="310" t="str">
        <f t="shared" ca="1" si="8"/>
        <v>MR</v>
      </c>
      <c r="F61" s="311"/>
      <c r="G61" s="312">
        <f t="shared" ca="1" si="1"/>
        <v>31</v>
      </c>
      <c r="H61" s="250"/>
      <c r="I61" s="250"/>
      <c r="AF61" s="236">
        <f t="shared" si="2"/>
        <v>1</v>
      </c>
      <c r="AG61" s="236" t="str">
        <f t="shared" ca="1" si="3"/>
        <v/>
      </c>
      <c r="AH61" s="236" t="str">
        <f t="shared" ca="1" si="18"/>
        <v/>
      </c>
      <c r="AJ61" s="236">
        <f t="shared" ca="1" si="19"/>
        <v>61</v>
      </c>
      <c r="AK61" s="236" t="str">
        <f t="shared" ca="1" si="20"/>
        <v>AA-</v>
      </c>
      <c r="AL61" s="236">
        <f t="shared" ca="1" si="20"/>
        <v>23</v>
      </c>
      <c r="AM61" s="236" t="str">
        <f t="shared" ca="1" si="4"/>
        <v/>
      </c>
      <c r="AQ61" s="286"/>
      <c r="AR61" s="286"/>
      <c r="AS61" s="286"/>
      <c r="AT61" s="286"/>
      <c r="AV61" s="234">
        <f t="shared" si="21"/>
        <v>99</v>
      </c>
      <c r="AW61" s="234">
        <f>COUNTIF( AV$7:AV61, AV61 )</f>
        <v>5</v>
      </c>
      <c r="AX61" s="287">
        <f t="shared" si="22"/>
        <v>99.5</v>
      </c>
      <c r="AY61" s="234">
        <f t="shared" si="23"/>
        <v>55</v>
      </c>
      <c r="AZ61" s="236"/>
      <c r="BA61" s="236"/>
      <c r="BC61" s="234">
        <f t="shared" ca="1" si="24"/>
        <v>55</v>
      </c>
      <c r="BD61" s="288">
        <f t="shared" ca="1" si="6"/>
        <v>55</v>
      </c>
      <c r="BF61" s="240">
        <f t="shared" ca="1" si="25"/>
        <v>0</v>
      </c>
      <c r="BG61" s="240">
        <f t="shared" ca="1" si="25"/>
        <v>0</v>
      </c>
      <c r="BH61" s="240">
        <f t="shared" ca="1" si="25"/>
        <v>0</v>
      </c>
      <c r="BI61" s="240">
        <f t="shared" ca="1" si="25"/>
        <v>0</v>
      </c>
    </row>
    <row r="62" spans="1:61" x14ac:dyDescent="0.2">
      <c r="A62" s="303" t="s">
        <v>249</v>
      </c>
      <c r="B62" s="304"/>
      <c r="C62" s="304"/>
      <c r="D62" s="304" t="s">
        <v>445</v>
      </c>
      <c r="E62" s="305" t="str">
        <f t="shared" ca="1" si="8"/>
        <v>D</v>
      </c>
      <c r="F62" s="306"/>
      <c r="G62" s="307">
        <f t="shared" ca="1" si="1"/>
        <v>58</v>
      </c>
      <c r="H62" s="250"/>
      <c r="I62" s="250"/>
      <c r="AF62" s="236">
        <f t="shared" si="2"/>
        <v>0</v>
      </c>
      <c r="AG62" s="236" t="str">
        <f t="shared" si="3"/>
        <v/>
      </c>
      <c r="AH62" s="236" t="str">
        <f t="shared" si="18"/>
        <v/>
      </c>
      <c r="AJ62" s="236">
        <f t="shared" ca="1" si="19"/>
        <v>62</v>
      </c>
      <c r="AK62" s="236">
        <f t="shared" ca="1" si="20"/>
        <v>0</v>
      </c>
      <c r="AL62" s="236">
        <f t="shared" ca="1" si="20"/>
        <v>0</v>
      </c>
      <c r="AM62" s="236" t="str">
        <f t="shared" ca="1" si="4"/>
        <v/>
      </c>
      <c r="AQ62" s="286"/>
      <c r="AR62" s="286"/>
      <c r="AS62" s="286"/>
      <c r="AT62" s="286"/>
      <c r="AV62" s="234">
        <f t="shared" si="21"/>
        <v>99</v>
      </c>
      <c r="AW62" s="234">
        <f>COUNTIF( AV$7:AV62, AV62 )</f>
        <v>6</v>
      </c>
      <c r="AX62" s="287">
        <f t="shared" si="22"/>
        <v>99.6</v>
      </c>
      <c r="AY62" s="234">
        <f t="shared" si="23"/>
        <v>56</v>
      </c>
      <c r="AZ62" s="236"/>
      <c r="BA62" s="236"/>
      <c r="BC62" s="234">
        <f t="shared" ca="1" si="24"/>
        <v>56</v>
      </c>
      <c r="BD62" s="288">
        <f t="shared" ca="1" si="6"/>
        <v>56</v>
      </c>
      <c r="BF62" s="240">
        <f t="shared" ca="1" si="25"/>
        <v>0</v>
      </c>
      <c r="BG62" s="240">
        <f t="shared" ca="1" si="25"/>
        <v>0</v>
      </c>
      <c r="BH62" s="240">
        <f t="shared" ca="1" si="25"/>
        <v>0</v>
      </c>
      <c r="BI62" s="240">
        <f t="shared" ca="1" si="25"/>
        <v>0</v>
      </c>
    </row>
    <row r="63" spans="1:61" x14ac:dyDescent="0.2">
      <c r="A63" s="303"/>
      <c r="B63" s="313"/>
      <c r="C63" s="304"/>
      <c r="D63" s="304"/>
      <c r="E63" s="305"/>
      <c r="F63" s="306"/>
      <c r="G63" s="307"/>
      <c r="H63" s="250"/>
      <c r="I63" s="250"/>
      <c r="AF63" s="236">
        <f t="shared" si="2"/>
        <v>0</v>
      </c>
      <c r="AG63" s="236" t="str">
        <f t="shared" si="3"/>
        <v/>
      </c>
      <c r="AH63" s="236" t="str">
        <f t="shared" si="18"/>
        <v/>
      </c>
      <c r="AJ63" s="236" t="e">
        <f t="shared" ca="1" si="19"/>
        <v>#N/A</v>
      </c>
      <c r="AK63" s="236" t="str">
        <f t="shared" ca="1" si="20"/>
        <v/>
      </c>
      <c r="AL63" s="236" t="str">
        <f t="shared" ca="1" si="20"/>
        <v/>
      </c>
      <c r="AM63" s="236" t="str">
        <f t="shared" ca="1" si="4"/>
        <v/>
      </c>
      <c r="AQ63" s="286"/>
      <c r="AR63" s="286"/>
      <c r="AS63" s="286"/>
      <c r="AT63" s="286"/>
      <c r="AU63" s="286"/>
      <c r="AV63" s="234">
        <f t="shared" si="21"/>
        <v>99</v>
      </c>
      <c r="AW63" s="234">
        <f>COUNTIF( AV$7:AV63, AV63 )</f>
        <v>7</v>
      </c>
      <c r="AX63" s="287">
        <f t="shared" si="22"/>
        <v>99.7</v>
      </c>
      <c r="AY63" s="234">
        <f t="shared" si="23"/>
        <v>57</v>
      </c>
      <c r="AZ63" s="236"/>
      <c r="BA63" s="236"/>
      <c r="BC63" s="234">
        <f t="shared" ca="1" si="24"/>
        <v>57</v>
      </c>
      <c r="BD63" s="288">
        <f ca="1">MATCH( BC63, $AY$7:$AY$63, 0 )</f>
        <v>57</v>
      </c>
      <c r="BF63" s="240">
        <f t="shared" ca="1" si="25"/>
        <v>0</v>
      </c>
      <c r="BG63" s="240">
        <f t="shared" ca="1" si="25"/>
        <v>0</v>
      </c>
      <c r="BH63" s="240">
        <f t="shared" ca="1" si="25"/>
        <v>0</v>
      </c>
      <c r="BI63" s="240">
        <f t="shared" ca="1" si="25"/>
        <v>0</v>
      </c>
    </row>
    <row r="64" spans="1:61" x14ac:dyDescent="0.2">
      <c r="A64" s="303"/>
      <c r="B64" s="313"/>
      <c r="C64" s="304"/>
      <c r="D64" s="304"/>
      <c r="E64" s="305"/>
      <c r="F64" s="306"/>
      <c r="G64" s="307"/>
      <c r="H64" s="250"/>
      <c r="I64" s="250"/>
      <c r="AF64" s="236">
        <f t="shared" si="2"/>
        <v>0</v>
      </c>
      <c r="AG64" s="236" t="str">
        <f t="shared" si="3"/>
        <v/>
      </c>
      <c r="AH64" s="236" t="str">
        <f t="shared" si="18"/>
        <v/>
      </c>
      <c r="AJ64" s="236" t="e">
        <f t="shared" ca="1" si="19"/>
        <v>#N/A</v>
      </c>
      <c r="AK64" s="236" t="str">
        <f t="shared" ca="1" si="20"/>
        <v/>
      </c>
      <c r="AL64" s="236" t="str">
        <f t="shared" ca="1" si="20"/>
        <v/>
      </c>
      <c r="AM64" s="236" t="str">
        <f t="shared" ca="1" si="4"/>
        <v/>
      </c>
      <c r="AQ64" s="286" t="s">
        <v>74</v>
      </c>
      <c r="AR64" s="286" t="s">
        <v>108</v>
      </c>
      <c r="AS64" s="286">
        <v>23</v>
      </c>
      <c r="AT64" s="289" t="s">
        <v>440</v>
      </c>
      <c r="AU64" s="286"/>
      <c r="AZ64" s="236"/>
      <c r="BA64" s="236"/>
      <c r="BF64" s="236"/>
    </row>
    <row r="65" spans="1:58" x14ac:dyDescent="0.2">
      <c r="A65" s="303"/>
      <c r="B65" s="313"/>
      <c r="C65" s="304"/>
      <c r="D65" s="304"/>
      <c r="E65" s="305"/>
      <c r="F65" s="306"/>
      <c r="G65" s="307"/>
      <c r="H65" s="250"/>
      <c r="I65" s="250"/>
      <c r="N65" s="234" t="s">
        <v>73</v>
      </c>
      <c r="AF65" s="236">
        <f t="shared" si="2"/>
        <v>0</v>
      </c>
      <c r="AG65" s="236" t="str">
        <f>IF( LEN( $C65 ) = 0, "", IF( $C65 &gt; $AL65, 1, "" ) )</f>
        <v/>
      </c>
      <c r="AH65" s="236" t="str">
        <f t="shared" si="18"/>
        <v/>
      </c>
      <c r="AJ65" s="236" t="e">
        <f t="shared" ca="1" si="19"/>
        <v>#N/A</v>
      </c>
      <c r="AK65" s="236" t="str">
        <f t="shared" ca="1" si="20"/>
        <v/>
      </c>
      <c r="AL65" s="236" t="str">
        <f t="shared" ca="1" si="20"/>
        <v/>
      </c>
      <c r="AM65" s="236" t="str">
        <f t="shared" ca="1" si="4"/>
        <v/>
      </c>
      <c r="AQ65" s="286" t="s">
        <v>249</v>
      </c>
      <c r="AR65" s="286"/>
      <c r="AS65" s="286"/>
      <c r="AT65" s="286" t="s">
        <v>445</v>
      </c>
      <c r="AU65" s="286"/>
      <c r="AZ65" s="236"/>
      <c r="BA65" s="236"/>
      <c r="BF65" s="236"/>
    </row>
    <row r="66" spans="1:58" x14ac:dyDescent="0.2">
      <c r="A66" s="268"/>
      <c r="B66" s="269"/>
      <c r="C66" s="270"/>
      <c r="D66" s="270"/>
      <c r="E66" s="249"/>
      <c r="F66" s="250"/>
      <c r="H66" s="250"/>
      <c r="I66" s="250"/>
      <c r="AF66" s="236">
        <f t="shared" si="2"/>
        <v>0</v>
      </c>
      <c r="AG66" s="236" t="str">
        <f t="shared" ref="AG66:AG67" si="26">IF( LEN( $C66 ) = 0, "", IF( $C66 &gt; $AL66, 1, "" ) )</f>
        <v/>
      </c>
      <c r="AH66" s="236" t="str">
        <f t="shared" si="18"/>
        <v/>
      </c>
      <c r="AJ66" s="236" t="e">
        <f t="shared" ca="1" si="19"/>
        <v>#N/A</v>
      </c>
      <c r="AK66" s="236" t="str">
        <f t="shared" ca="1" si="20"/>
        <v/>
      </c>
      <c r="AL66" s="236" t="str">
        <f t="shared" ca="1" si="20"/>
        <v/>
      </c>
      <c r="AM66" s="236" t="str">
        <f t="shared" ca="1" si="4"/>
        <v/>
      </c>
      <c r="AU66" s="286"/>
      <c r="AX66" s="287"/>
      <c r="AZ66" s="236"/>
      <c r="BA66" s="236"/>
      <c r="BD66" s="288"/>
      <c r="BF66" s="236"/>
    </row>
    <row r="67" spans="1:58" ht="13.5" thickBot="1" x14ac:dyDescent="0.25">
      <c r="A67" s="271"/>
      <c r="B67" s="272"/>
      <c r="C67" s="337"/>
      <c r="D67" s="272"/>
      <c r="E67" s="273"/>
      <c r="F67" s="250"/>
      <c r="H67" s="250"/>
      <c r="I67" s="250"/>
      <c r="AF67" s="236">
        <f t="shared" si="2"/>
        <v>0</v>
      </c>
      <c r="AG67" s="236" t="str">
        <f t="shared" si="26"/>
        <v/>
      </c>
      <c r="AH67" s="236" t="str">
        <f t="shared" si="18"/>
        <v/>
      </c>
      <c r="AJ67" s="236" t="e">
        <f t="shared" ca="1" si="19"/>
        <v>#N/A</v>
      </c>
      <c r="AK67" s="236" t="str">
        <f t="shared" ca="1" si="20"/>
        <v/>
      </c>
      <c r="AL67" s="236" t="str">
        <f t="shared" ca="1" si="20"/>
        <v/>
      </c>
      <c r="AM67" s="236" t="str">
        <f t="shared" ca="1" si="4"/>
        <v/>
      </c>
      <c r="AX67" s="287"/>
      <c r="AZ67" s="236"/>
      <c r="BA67" s="236"/>
      <c r="BD67" s="288"/>
      <c r="BF67" s="236"/>
    </row>
    <row r="68" spans="1:58" x14ac:dyDescent="0.2">
      <c r="A68" s="274" t="s">
        <v>135</v>
      </c>
      <c r="B68" s="275" t="str">
        <f ca="1">OFFSET( Scale!$H$5, ROUND( C68, 0 ) - 1, 1 )</f>
        <v>BBB+</v>
      </c>
      <c r="C68" s="276">
        <f>AVERAGE(C7:C65)</f>
        <v>18.862745098039216</v>
      </c>
      <c r="D68" s="276"/>
      <c r="E68" s="276"/>
      <c r="F68" s="250"/>
      <c r="H68" s="250"/>
      <c r="I68" s="250"/>
      <c r="J68" s="253"/>
      <c r="K68" s="253"/>
      <c r="AX68" s="287"/>
      <c r="AZ68" s="236"/>
      <c r="BA68" s="236"/>
      <c r="BD68" s="288"/>
      <c r="BF68" s="236"/>
    </row>
    <row r="69" spans="1:58" x14ac:dyDescent="0.2">
      <c r="A69" s="277"/>
      <c r="B69" s="278"/>
      <c r="F69" s="250"/>
      <c r="H69" s="250"/>
      <c r="I69" s="250"/>
      <c r="AX69" s="287"/>
      <c r="AZ69" s="236"/>
      <c r="BA69" s="236"/>
      <c r="BD69" s="288"/>
      <c r="BF69" s="236"/>
    </row>
    <row r="70" spans="1:58" x14ac:dyDescent="0.2">
      <c r="A70" s="277"/>
      <c r="B70" s="278"/>
      <c r="F70" s="240"/>
      <c r="H70" s="240"/>
      <c r="I70" s="240"/>
      <c r="J70" s="253"/>
      <c r="K70" s="253"/>
    </row>
    <row r="71" spans="1:58" x14ac:dyDescent="0.2">
      <c r="A71" s="279" t="s">
        <v>267</v>
      </c>
      <c r="F71" s="240"/>
      <c r="H71" s="240"/>
      <c r="I71" s="240"/>
    </row>
    <row r="72" spans="1:58" x14ac:dyDescent="0.2">
      <c r="A72" s="279" t="s">
        <v>366</v>
      </c>
      <c r="B72" s="240"/>
      <c r="D72" s="264"/>
      <c r="E72" s="264"/>
      <c r="F72" s="280"/>
      <c r="H72" s="280"/>
      <c r="I72" s="280"/>
    </row>
    <row r="73" spans="1:58" x14ac:dyDescent="0.2">
      <c r="A73" s="281" t="s">
        <v>357</v>
      </c>
      <c r="B73" s="240"/>
      <c r="D73" s="264"/>
      <c r="E73" s="264"/>
      <c r="F73" s="280"/>
      <c r="H73" s="280"/>
      <c r="I73" s="280"/>
    </row>
    <row r="74" spans="1:58" x14ac:dyDescent="0.2">
      <c r="A74" s="279" t="s">
        <v>359</v>
      </c>
      <c r="D74" s="280"/>
      <c r="E74" s="234"/>
      <c r="F74" s="282"/>
      <c r="H74" s="282"/>
      <c r="I74" s="282"/>
      <c r="AQ74" s="286"/>
      <c r="AR74" s="286"/>
      <c r="AS74" s="286"/>
    </row>
    <row r="75" spans="1:58" x14ac:dyDescent="0.2">
      <c r="A75" s="279" t="s">
        <v>507</v>
      </c>
      <c r="D75" s="280"/>
      <c r="E75" s="234"/>
      <c r="F75" s="282"/>
      <c r="H75" s="282"/>
      <c r="I75" s="282"/>
      <c r="AQ75" s="286"/>
      <c r="AR75" s="286"/>
      <c r="AS75" s="286"/>
    </row>
    <row r="76" spans="1:58" x14ac:dyDescent="0.2">
      <c r="A76" s="279"/>
      <c r="AQ76" s="286"/>
      <c r="AR76" s="286"/>
      <c r="AS76" s="286"/>
    </row>
    <row r="77" spans="1:58" x14ac:dyDescent="0.2">
      <c r="C77" s="339">
        <f>SUMPRODUCT( L8:L13, Y8:Y13 ) / L14</f>
        <v>18.843137254901961</v>
      </c>
      <c r="E77" s="283"/>
      <c r="G77" s="251"/>
      <c r="J77" s="240"/>
      <c r="K77" s="240"/>
      <c r="AQ77" s="286"/>
      <c r="AR77" s="286"/>
      <c r="AS77" s="286"/>
    </row>
    <row r="78" spans="1:58" s="240" customFormat="1" x14ac:dyDescent="0.2">
      <c r="A78" s="284"/>
      <c r="B78" s="285"/>
      <c r="C78" s="285"/>
      <c r="D78" s="285"/>
      <c r="E78" s="249"/>
      <c r="F78" s="234"/>
      <c r="G78" s="236"/>
      <c r="H78" s="234"/>
      <c r="I78" s="234"/>
      <c r="Q78" s="234"/>
      <c r="T78" s="236"/>
      <c r="U78" s="236"/>
      <c r="V78" s="236"/>
      <c r="AF78" s="236"/>
      <c r="AG78" s="236"/>
      <c r="AH78" s="236"/>
      <c r="AJ78" s="236"/>
      <c r="AK78" s="236"/>
      <c r="AL78" s="236"/>
      <c r="AM78" s="236"/>
      <c r="AN78" s="236"/>
      <c r="AQ78" s="286"/>
      <c r="AR78" s="286"/>
      <c r="AS78" s="286"/>
    </row>
  </sheetData>
  <sortState ref="AQ7:AT56">
    <sortCondition ref="AQ7:AQ56"/>
  </sortState>
  <mergeCells count="9">
    <mergeCell ref="L16:M16"/>
    <mergeCell ref="O16:P16"/>
    <mergeCell ref="R16:S16"/>
    <mergeCell ref="U16:V16"/>
    <mergeCell ref="J5:J6"/>
    <mergeCell ref="L5:M6"/>
    <mergeCell ref="O5:P6"/>
    <mergeCell ref="R5:S6"/>
    <mergeCell ref="U5:V6"/>
  </mergeCells>
  <conditionalFormatting sqref="A60:E61 E62:E65 E7:E59">
    <cfRule type="expression" dxfId="674" priority="28" stopIfTrue="1">
      <formula>IF( $AH7 = 1, TRUE, FALSE )</formula>
    </cfRule>
    <cfRule type="expression" dxfId="673" priority="29" stopIfTrue="1">
      <formula>IF( $AG7 = 1, TRUE, FALSE )</formula>
    </cfRule>
    <cfRule type="expression" dxfId="672" priority="30" stopIfTrue="1">
      <formula>IF( $AF7 = 1, TRUE, FALSE )</formula>
    </cfRule>
  </conditionalFormatting>
  <conditionalFormatting sqref="A67:E67">
    <cfRule type="expression" dxfId="671" priority="31" stopIfTrue="1">
      <formula>IF( $AH67 = 1, TRUE, FALSE )</formula>
    </cfRule>
    <cfRule type="expression" dxfId="670" priority="32" stopIfTrue="1">
      <formula>IF( $AG67 = 1, TRUE, FALSE )</formula>
    </cfRule>
    <cfRule type="expression" dxfId="669" priority="33" stopIfTrue="1">
      <formula>IF( $AF67 = 1, TRUE, FALSE )</formula>
    </cfRule>
  </conditionalFormatting>
  <conditionalFormatting sqref="A66:E66">
    <cfRule type="expression" dxfId="668" priority="25" stopIfTrue="1">
      <formula>IF( $AH66 = 1, TRUE, FALSE )</formula>
    </cfRule>
    <cfRule type="expression" dxfId="667" priority="26" stopIfTrue="1">
      <formula>IF( $AG66 = 1, TRUE, FALSE )</formula>
    </cfRule>
    <cfRule type="expression" dxfId="666" priority="27" stopIfTrue="1">
      <formula>IF( $AF66 = 1, TRUE, FALSE )</formula>
    </cfRule>
  </conditionalFormatting>
  <conditionalFormatting sqref="A8:D58 B7:D7">
    <cfRule type="expression" dxfId="665" priority="22" stopIfTrue="1">
      <formula>IF( $AH7 = 1, TRUE, FALSE )</formula>
    </cfRule>
    <cfRule type="expression" dxfId="664" priority="23" stopIfTrue="1">
      <formula>IF( $AG7 = 1, TRUE, FALSE )</formula>
    </cfRule>
    <cfRule type="expression" dxfId="663" priority="24" stopIfTrue="1">
      <formula>IF( $AF7 = 1, TRUE, FALSE )</formula>
    </cfRule>
  </conditionalFormatting>
  <conditionalFormatting sqref="A59:D59">
    <cfRule type="expression" dxfId="662" priority="19" stopIfTrue="1">
      <formula>IF( $AH59 = 1, TRUE, FALSE )</formula>
    </cfRule>
    <cfRule type="expression" dxfId="661" priority="20" stopIfTrue="1">
      <formula>IF( $AG59 = 1, TRUE, FALSE )</formula>
    </cfRule>
    <cfRule type="expression" dxfId="660" priority="21" stopIfTrue="1">
      <formula>IF( $AF59 = 1, TRUE, FALSE )</formula>
    </cfRule>
  </conditionalFormatting>
  <conditionalFormatting sqref="A61:D65">
    <cfRule type="expression" dxfId="659" priority="16" stopIfTrue="1">
      <formula>IF( $AH61 = 1, TRUE, FALSE )</formula>
    </cfRule>
    <cfRule type="expression" dxfId="658" priority="17" stopIfTrue="1">
      <formula>IF( $AG61 = 1, TRUE, FALSE )</formula>
    </cfRule>
    <cfRule type="expression" dxfId="657" priority="18" stopIfTrue="1">
      <formula>IF( $AF61 = 1, TRUE, FALSE )</formula>
    </cfRule>
  </conditionalFormatting>
  <conditionalFormatting sqref="U8:U12">
    <cfRule type="cellIs" dxfId="656" priority="15" operator="equal">
      <formula>0</formula>
    </cfRule>
  </conditionalFormatting>
  <conditionalFormatting sqref="O8:O12 Q8:Q12">
    <cfRule type="cellIs" dxfId="655" priority="14" operator="equal">
      <formula>0</formula>
    </cfRule>
  </conditionalFormatting>
  <conditionalFormatting sqref="V8:V12">
    <cfRule type="cellIs" dxfId="654" priority="13" operator="equal">
      <formula>0</formula>
    </cfRule>
  </conditionalFormatting>
  <conditionalFormatting sqref="S8:S12">
    <cfRule type="cellIs" dxfId="653" priority="11" operator="equal">
      <formula>0</formula>
    </cfRule>
  </conditionalFormatting>
  <conditionalFormatting sqref="R8:R12">
    <cfRule type="cellIs" dxfId="652" priority="12" operator="equal">
      <formula>0</formula>
    </cfRule>
  </conditionalFormatting>
  <conditionalFormatting sqref="P8:P12">
    <cfRule type="cellIs" dxfId="651" priority="10" operator="equal">
      <formula>0</formula>
    </cfRule>
  </conditionalFormatting>
  <conditionalFormatting sqref="M8:M12">
    <cfRule type="cellIs" dxfId="650" priority="9" operator="equal">
      <formula>0</formula>
    </cfRule>
  </conditionalFormatting>
  <conditionalFormatting sqref="T8:T12">
    <cfRule type="cellIs" dxfId="649" priority="8" operator="equal">
      <formula>0</formula>
    </cfRule>
  </conditionalFormatting>
  <conditionalFormatting sqref="N8:N12">
    <cfRule type="cellIs" dxfId="648" priority="7" operator="equal">
      <formula>0</formula>
    </cfRule>
  </conditionalFormatting>
  <conditionalFormatting sqref="K8:K12">
    <cfRule type="cellIs" dxfId="647" priority="6" operator="equal">
      <formula>0</formula>
    </cfRule>
  </conditionalFormatting>
  <conditionalFormatting sqref="I8:I12">
    <cfRule type="cellIs" dxfId="646" priority="5" operator="equal">
      <formula>0</formula>
    </cfRule>
  </conditionalFormatting>
  <conditionalFormatting sqref="W8:W12">
    <cfRule type="cellIs" dxfId="645" priority="4" operator="equal">
      <formula>0</formula>
    </cfRule>
  </conditionalFormatting>
  <conditionalFormatting sqref="A7">
    <cfRule type="expression" dxfId="644" priority="1" stopIfTrue="1">
      <formula>IF( $AH7 = 1, TRUE, FALSE )</formula>
    </cfRule>
    <cfRule type="expression" dxfId="643" priority="2" stopIfTrue="1">
      <formula>IF( $AG7 = 1, TRUE, FALSE )</formula>
    </cfRule>
    <cfRule type="expression" dxfId="642" priority="3" stopIfTrue="1">
      <formula>IF( $AF7 = 1, TRUE, FALSE )</formula>
    </cfRule>
  </conditionalFormatting>
  <pageMargins left="0.17" right="0.18" top="0.28000000000000003" bottom="0.17" header="0.3" footer="0.3"/>
  <pageSetup scale="19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  <pageSetUpPr fitToPage="1"/>
  </sheetPr>
  <dimension ref="A1:BJ78"/>
  <sheetViews>
    <sheetView showGridLines="0" zoomScale="85" zoomScaleNormal="85" workbookViewId="0">
      <pane ySplit="6" topLeftCell="A7" activePane="bottomLeft" state="frozen"/>
      <selection activeCell="A7" sqref="A7"/>
      <selection pane="bottomLeft" activeCell="A7" sqref="A7"/>
    </sheetView>
  </sheetViews>
  <sheetFormatPr defaultColWidth="9.140625" defaultRowHeight="12.75" outlineLevelRow="1" outlineLevelCol="2" x14ac:dyDescent="0.2"/>
  <cols>
    <col min="1" max="1" width="35.140625" style="234" customWidth="1"/>
    <col min="2" max="2" width="9.140625" style="234"/>
    <col min="3" max="3" width="9.42578125" style="263" customWidth="1"/>
    <col min="4" max="4" width="9.140625" style="235" customWidth="1" outlineLevel="1"/>
    <col min="5" max="5" width="12.5703125" style="235" customWidth="1" outlineLevel="1"/>
    <col min="6" max="6" width="3.42578125" style="234" customWidth="1" outlineLevel="1"/>
    <col min="7" max="7" width="17.7109375" style="236" hidden="1" customWidth="1" outlineLevel="2"/>
    <col min="8" max="8" width="3.42578125" style="234" hidden="1" customWidth="1" outlineLevel="2" collapsed="1"/>
    <col min="9" max="9" width="3.28515625" style="234" customWidth="1" outlineLevel="1" collapsed="1"/>
    <col min="10" max="10" width="22" style="234" customWidth="1"/>
    <col min="11" max="11" width="2" style="234" customWidth="1"/>
    <col min="12" max="13" width="10.42578125" style="234" customWidth="1"/>
    <col min="14" max="14" width="2" style="234" customWidth="1"/>
    <col min="15" max="16" width="10.42578125" style="234" customWidth="1"/>
    <col min="17" max="17" width="2" style="234" customWidth="1"/>
    <col min="18" max="19" width="10.42578125" style="234" customWidth="1"/>
    <col min="20" max="20" width="2" style="236" customWidth="1"/>
    <col min="21" max="22" width="10.42578125" style="236" customWidth="1"/>
    <col min="23" max="23" width="2" style="234" customWidth="1"/>
    <col min="24" max="24" width="4.140625" style="234" customWidth="1"/>
    <col min="25" max="25" width="5.5703125" style="234" customWidth="1"/>
    <col min="26" max="26" width="2.42578125" style="234" customWidth="1"/>
    <col min="27" max="27" width="4.28515625" style="234" customWidth="1"/>
    <col min="28" max="30" width="2.42578125" style="234" hidden="1" customWidth="1" outlineLevel="1"/>
    <col min="31" max="31" width="4.42578125" style="234" hidden="1" customWidth="1" outlineLevel="1"/>
    <col min="32" max="32" width="6.5703125" style="236" hidden="1" customWidth="1" outlineLevel="1" collapsed="1"/>
    <col min="33" max="34" width="6.5703125" style="236" hidden="1" customWidth="1" outlineLevel="1"/>
    <col min="35" max="35" width="3.140625" style="234" hidden="1" customWidth="1" outlineLevel="1"/>
    <col min="36" max="36" width="15.85546875" style="236" hidden="1" customWidth="1" outlineLevel="1" collapsed="1"/>
    <col min="37" max="38" width="15.85546875" style="236" hidden="1" customWidth="1" outlineLevel="1"/>
    <col min="39" max="39" width="8.42578125" style="236" hidden="1" customWidth="1" outlineLevel="1"/>
    <col min="40" max="40" width="11.85546875" style="236" hidden="1" customWidth="1" outlineLevel="1"/>
    <col min="41" max="41" width="3.42578125" style="234" customWidth="1" collapsed="1"/>
    <col min="42" max="42" width="3.42578125" style="234" customWidth="1"/>
    <col min="43" max="43" width="29.7109375" style="234" hidden="1" customWidth="1" outlineLevel="1"/>
    <col min="44" max="44" width="6.42578125" style="234" hidden="1" customWidth="1" outlineLevel="1"/>
    <col min="45" max="45" width="6.7109375" style="234" hidden="1" customWidth="1" outlineLevel="1"/>
    <col min="46" max="46" width="8.7109375" style="234" hidden="1" customWidth="1" outlineLevel="1"/>
    <col min="47" max="47" width="3.140625" style="234" hidden="1" customWidth="1" outlineLevel="1"/>
    <col min="48" max="56" width="9.140625" style="234" hidden="1" customWidth="1" outlineLevel="2"/>
    <col min="57" max="57" width="5.42578125" style="234" hidden="1" customWidth="1" outlineLevel="1" collapsed="1"/>
    <col min="58" max="58" width="36.85546875" style="234" hidden="1" customWidth="1" outlineLevel="1"/>
    <col min="59" max="59" width="6.42578125" style="234" hidden="1" customWidth="1" outlineLevel="1"/>
    <col min="60" max="60" width="3.42578125" style="234" hidden="1" customWidth="1" outlineLevel="1"/>
    <col min="61" max="61" width="9.140625" style="234" hidden="1" customWidth="1" outlineLevel="1"/>
    <col min="62" max="62" width="9.140625" collapsed="1"/>
    <col min="63" max="16384" width="9.140625" style="234"/>
  </cols>
  <sheetData>
    <row r="1" spans="1:61" ht="18.75" x14ac:dyDescent="0.2">
      <c r="A1" s="323" t="str">
        <f>"I.  S&amp;P Utility Credit Ratings Distribution -- " &amp; B6</f>
        <v>I.  S&amp;P Utility Credit Ratings Distribution -- 2015 Q3</v>
      </c>
      <c r="G1" s="242" t="s">
        <v>506</v>
      </c>
      <c r="AF1" s="237" t="s">
        <v>420</v>
      </c>
      <c r="AG1" s="237" t="s">
        <v>421</v>
      </c>
      <c r="AH1" s="237" t="s">
        <v>422</v>
      </c>
      <c r="AJ1" s="237" t="s">
        <v>424</v>
      </c>
      <c r="AK1" s="237" t="s">
        <v>426</v>
      </c>
      <c r="AL1" s="237" t="s">
        <v>426</v>
      </c>
      <c r="AM1" s="237" t="s">
        <v>424</v>
      </c>
      <c r="AN1" s="237"/>
      <c r="AQ1" s="237" t="s">
        <v>497</v>
      </c>
    </row>
    <row r="2" spans="1:61" ht="18.75" hidden="1" outlineLevel="1" x14ac:dyDescent="0.2">
      <c r="A2" s="233"/>
      <c r="E2" s="238" t="str">
        <f>G2</f>
        <v>Reg_Percent_2014</v>
      </c>
      <c r="G2" s="239" t="s">
        <v>526</v>
      </c>
      <c r="AJ2" s="240" t="str">
        <f>AJ4 &amp; AJ3</f>
        <v>'Credit_2015Q2'!d:d</v>
      </c>
      <c r="AK2" s="240" t="str">
        <f>AK4 &amp; AK3</f>
        <v>'Credit_2015Q2'!b1</v>
      </c>
      <c r="AL2" s="240" t="str">
        <f>AL4 &amp; AL3</f>
        <v>'Credit_2015Q2'!c1</v>
      </c>
      <c r="AQ2" s="236"/>
    </row>
    <row r="3" spans="1:61" ht="18.75" hidden="1" outlineLevel="1" x14ac:dyDescent="0.2">
      <c r="A3" s="233"/>
      <c r="E3" s="241" t="str">
        <f>"'" &amp; E2 &amp; "'!"</f>
        <v>'Reg_Percent_2014'!</v>
      </c>
      <c r="G3" s="234" t="str">
        <f>"'" &amp; G2 &amp; "'!"</f>
        <v>'Reg_Percent_2014'!</v>
      </c>
      <c r="O3" s="242" t="s">
        <v>371</v>
      </c>
      <c r="P3" s="242"/>
      <c r="Q3" s="242"/>
      <c r="R3" s="242" t="s">
        <v>372</v>
      </c>
      <c r="T3" s="234"/>
      <c r="U3" s="242" t="s">
        <v>86</v>
      </c>
      <c r="V3" s="234"/>
      <c r="X3" s="242"/>
      <c r="Y3" s="242"/>
      <c r="Z3" s="242"/>
      <c r="AA3" s="242"/>
      <c r="AJ3" s="210" t="s">
        <v>438</v>
      </c>
      <c r="AK3" s="210" t="s">
        <v>427</v>
      </c>
      <c r="AL3" s="210" t="s">
        <v>453</v>
      </c>
      <c r="AQ3" s="236"/>
    </row>
    <row r="4" spans="1:61" ht="18.75" hidden="1" outlineLevel="1" x14ac:dyDescent="0.2">
      <c r="A4" s="233"/>
      <c r="E4" s="242" t="s">
        <v>439</v>
      </c>
      <c r="G4" s="242" t="s">
        <v>438</v>
      </c>
      <c r="O4" s="236"/>
      <c r="P4" s="236"/>
      <c r="Q4" s="236"/>
      <c r="T4" s="234"/>
      <c r="U4" s="234"/>
      <c r="V4" s="234"/>
      <c r="AJ4" s="236" t="str">
        <f>$AQ$5</f>
        <v>'Credit_2015Q2'!</v>
      </c>
      <c r="AK4" s="236" t="str">
        <f t="shared" ref="AK4:AL4" si="0">$AQ$5</f>
        <v>'Credit_2015Q2'!</v>
      </c>
      <c r="AL4" s="236" t="str">
        <f t="shared" si="0"/>
        <v>'Credit_2015Q2'!</v>
      </c>
      <c r="AQ4" s="236"/>
    </row>
    <row r="5" spans="1:61" collapsed="1" x14ac:dyDescent="0.2">
      <c r="E5" s="243" t="s">
        <v>436</v>
      </c>
      <c r="G5" s="237" t="s">
        <v>424</v>
      </c>
      <c r="I5" s="314"/>
      <c r="J5" s="466" t="s">
        <v>77</v>
      </c>
      <c r="K5" s="314"/>
      <c r="L5" s="468" t="str">
        <f>"All Companies" &amp; CHAR( 10 ) &amp; "("&amp; L14 &amp; ")"</f>
        <v>All Companies
(52)</v>
      </c>
      <c r="M5" s="468"/>
      <c r="N5" s="314"/>
      <c r="O5" s="466" t="str">
        <f ca="1">"Regulated" &amp; CHAR( 10 ) &amp; "(" &amp; O14 &amp; ")"</f>
        <v>Regulated
(37)</v>
      </c>
      <c r="P5" s="470"/>
      <c r="Q5" s="314"/>
      <c r="R5" s="466" t="str">
        <f ca="1">"Mostly Regulated" &amp; CHAR( 10 ) &amp; "(" &amp; R14 &amp; ")"</f>
        <v>Mostly Regulated
(13)</v>
      </c>
      <c r="S5" s="470"/>
      <c r="T5" s="314"/>
      <c r="U5" s="466" t="str">
        <f ca="1">"Diversified" &amp; CHAR( 10 ) &amp; "(" &amp; U14 &amp; ")"</f>
        <v>Diversified
(2)</v>
      </c>
      <c r="V5" s="470"/>
      <c r="W5" s="314"/>
      <c r="AE5" s="244"/>
      <c r="AF5" s="234"/>
      <c r="AG5" s="234"/>
      <c r="AH5" s="234"/>
      <c r="AJ5" s="234"/>
      <c r="AK5" s="234"/>
      <c r="AL5" s="234"/>
      <c r="AM5" s="234"/>
      <c r="AN5" s="234"/>
      <c r="AQ5" s="432" t="s">
        <v>520</v>
      </c>
    </row>
    <row r="6" spans="1:61" ht="28.5" customHeight="1" x14ac:dyDescent="0.2">
      <c r="A6" s="299" t="s">
        <v>0</v>
      </c>
      <c r="B6" s="300" t="s">
        <v>518</v>
      </c>
      <c r="C6" s="338" t="s">
        <v>471</v>
      </c>
      <c r="D6" s="301"/>
      <c r="E6" s="302">
        <f ca="1">INDIRECT( E3 &amp; G1 )</f>
        <v>42004</v>
      </c>
      <c r="I6" s="315"/>
      <c r="J6" s="467"/>
      <c r="K6" s="315"/>
      <c r="L6" s="469"/>
      <c r="M6" s="469"/>
      <c r="N6" s="315"/>
      <c r="O6" s="467"/>
      <c r="P6" s="467"/>
      <c r="Q6" s="315"/>
      <c r="R6" s="467" t="s">
        <v>137</v>
      </c>
      <c r="S6" s="467"/>
      <c r="T6" s="315"/>
      <c r="U6" s="467"/>
      <c r="V6" s="467"/>
      <c r="W6" s="315"/>
      <c r="AE6" s="245"/>
      <c r="AJ6" s="246"/>
    </row>
    <row r="7" spans="1:61" x14ac:dyDescent="0.2">
      <c r="A7" s="303" t="s">
        <v>516</v>
      </c>
      <c r="B7" s="304" t="s">
        <v>2</v>
      </c>
      <c r="C7" s="304">
        <v>21</v>
      </c>
      <c r="D7" s="304" t="s">
        <v>512</v>
      </c>
      <c r="E7" s="305" t="str">
        <f ca="1">IF( LEN( $G7 ) = 0, "", OFFSET( INDIRECT( E$3 &amp; E$4 ), $G7 - 1, 0 ) )</f>
        <v>R</v>
      </c>
      <c r="F7" s="306"/>
      <c r="G7" s="307">
        <f t="shared" ref="G7:G62" ca="1" si="1">IF( LEN( $D7 ) = 0, "", MATCH( $D7, INDIRECT( G$3 &amp; G$4 ), 0 ) )</f>
        <v>34</v>
      </c>
      <c r="H7" s="250"/>
      <c r="I7" s="316"/>
      <c r="J7" s="252"/>
      <c r="K7" s="316"/>
      <c r="L7" s="252" t="s">
        <v>81</v>
      </c>
      <c r="M7" s="252" t="s">
        <v>82</v>
      </c>
      <c r="N7" s="316"/>
      <c r="O7" s="252" t="s">
        <v>81</v>
      </c>
      <c r="P7" s="252" t="s">
        <v>82</v>
      </c>
      <c r="Q7" s="316"/>
      <c r="R7" s="252" t="s">
        <v>81</v>
      </c>
      <c r="S7" s="252" t="s">
        <v>82</v>
      </c>
      <c r="T7" s="316"/>
      <c r="U7" s="252" t="s">
        <v>81</v>
      </c>
      <c r="V7" s="252" t="s">
        <v>82</v>
      </c>
      <c r="W7" s="316"/>
      <c r="AE7" s="254"/>
      <c r="AF7" s="236">
        <f t="shared" ref="AF7:AF67" si="2">IF( LEN( C7 ) = 0, 0, IF( C7 = C6, AF6, IF( AF6 = 1, 0, 1 ) ) )</f>
        <v>1</v>
      </c>
      <c r="AG7" s="236" t="str">
        <f t="shared" ref="AG7:AG64" ca="1" si="3">IF( LEN( $C7 ) = 0, "", IF( $C7 &gt; $AL7, 1, "" ) )</f>
        <v/>
      </c>
      <c r="AH7" s="236" t="str">
        <f ca="1">IF( LEN( $C7 ) = 0, "", IF( $C7 &lt; $AL7, 1, "" ) )</f>
        <v/>
      </c>
      <c r="AJ7" s="236">
        <f ca="1">MATCH( $D7, INDIRECT( AJ$2 ), 0 )</f>
        <v>7</v>
      </c>
      <c r="AK7" s="236" t="str">
        <f ca="1">IF( ISNA( $AJ7 ), "", OFFSET( INDIRECT( AK$2 ), $AJ7-1, 0 ) )</f>
        <v>A</v>
      </c>
      <c r="AL7" s="236">
        <f ca="1">IF( ISNA( $AJ7 ), "", OFFSET( INDIRECT( AL$2 ), $AJ7-1, 0 ) )</f>
        <v>21</v>
      </c>
      <c r="AM7" s="236" t="str">
        <f t="shared" ref="AM7:AM67" ca="1" si="4">IF( B7 = AK7, "", "Change" )</f>
        <v/>
      </c>
      <c r="AQ7" s="286" t="s">
        <v>15</v>
      </c>
      <c r="AR7" s="286" t="s">
        <v>16</v>
      </c>
      <c r="AS7" s="286">
        <v>19</v>
      </c>
      <c r="AT7" s="286" t="s">
        <v>277</v>
      </c>
      <c r="AV7" s="234">
        <f>IF( LEN( AS7 ) = 0, 99, RANK( AS7, $AS$7:$AS$63 ) )</f>
        <v>15</v>
      </c>
      <c r="AW7" s="234">
        <f>COUNTIF( AV7:AV$7, AV7 )</f>
        <v>1</v>
      </c>
      <c r="AX7" s="287">
        <f>AV7 + AW7 / 10</f>
        <v>15.1</v>
      </c>
      <c r="AY7" s="234">
        <f>RANK( AX7, $AX$7:$AX$63, 1 )</f>
        <v>15</v>
      </c>
      <c r="AZ7" s="236"/>
      <c r="BA7" s="236"/>
      <c r="BC7" s="234">
        <f t="shared" ref="BC7" ca="1" si="5">OFFSET( BC7, -1, 0 ) + 1</f>
        <v>1</v>
      </c>
      <c r="BD7" s="288">
        <f t="shared" ref="BD7:BD62" ca="1" si="6">MATCH( BC7, $AY$7:$AY$63, 0 )</f>
        <v>20</v>
      </c>
      <c r="BF7" s="240" t="str">
        <f t="shared" ref="BF7:BI38" ca="1" si="7">OFFSET( AQ$6, $BD7, 0 )</f>
        <v>Eversource Energy</v>
      </c>
      <c r="BG7" s="240" t="str">
        <f t="shared" ca="1" si="7"/>
        <v>A</v>
      </c>
      <c r="BH7" s="240">
        <f t="shared" ca="1" si="7"/>
        <v>21</v>
      </c>
      <c r="BI7" s="240" t="str">
        <f t="shared" ca="1" si="7"/>
        <v>ES</v>
      </c>
    </row>
    <row r="8" spans="1:61" x14ac:dyDescent="0.2">
      <c r="A8" s="303" t="s">
        <v>17</v>
      </c>
      <c r="B8" s="304" t="s">
        <v>10</v>
      </c>
      <c r="C8" s="304">
        <v>20</v>
      </c>
      <c r="D8" s="304" t="s">
        <v>307</v>
      </c>
      <c r="E8" s="305" t="str">
        <f t="shared" ref="E8:E62" ca="1" si="8">IF( LEN( $G8 ) = 0, "", OFFSET( INDIRECT( E$3 &amp; E$4 ), $G8 - 1, 0 ) )</f>
        <v>R</v>
      </c>
      <c r="F8" s="306"/>
      <c r="G8" s="307">
        <f t="shared" ca="1" si="1"/>
        <v>8</v>
      </c>
      <c r="H8" s="250"/>
      <c r="I8" s="317"/>
      <c r="J8" s="293" t="s">
        <v>138</v>
      </c>
      <c r="K8" s="317"/>
      <c r="L8" s="293">
        <f t="shared" ref="L8:L13" si="9">COUNTIF($C$7:$C$67,$X8)</f>
        <v>2</v>
      </c>
      <c r="M8" s="294">
        <f t="shared" ref="M8:M13" si="10">IF( L8 = 0, "", L8/L$14 )</f>
        <v>3.8461538461538464E-2</v>
      </c>
      <c r="N8" s="317"/>
      <c r="O8" s="293">
        <f t="shared" ref="O8:O13" ca="1" si="11">COUNTIFS( $E$7:$E$66, O$3, $C$7:$C$66, $X8 )</f>
        <v>1</v>
      </c>
      <c r="P8" s="294">
        <f t="shared" ref="P8:P13" ca="1" si="12">IF( O8 = 0, "", O8/O$14 )</f>
        <v>2.7027027027027029E-2</v>
      </c>
      <c r="Q8" s="317"/>
      <c r="R8" s="293">
        <f t="shared" ref="R8:R13" ca="1" si="13">COUNTIFS( $E$7:$E$66, R$3, $C$7:$C$66, $X8 )</f>
        <v>1</v>
      </c>
      <c r="S8" s="294">
        <f t="shared" ref="S8:S13" ca="1" si="14">IF( R8 = 0, "", R8/R$14 )</f>
        <v>7.6923076923076927E-2</v>
      </c>
      <c r="T8" s="317"/>
      <c r="U8" s="293">
        <f t="shared" ref="U8:U13" ca="1" si="15">COUNTIFS( $E$7:$E$66, U$3, $C$7:$C$66, $X8 )</f>
        <v>0</v>
      </c>
      <c r="V8" s="294" t="str">
        <f t="shared" ref="V8:V13" ca="1" si="16">IF( U8 = 0, "", U8/U$14 )</f>
        <v/>
      </c>
      <c r="W8" s="317"/>
      <c r="X8" s="256" t="s">
        <v>464</v>
      </c>
      <c r="Y8" s="256">
        <v>21</v>
      </c>
      <c r="Z8" s="256">
        <v>1</v>
      </c>
      <c r="AA8" s="255">
        <f t="shared" ref="AA8:AA13" ca="1" si="17">SUM(O8, R8, U8)</f>
        <v>2</v>
      </c>
      <c r="AC8" s="257"/>
      <c r="AE8" s="254"/>
      <c r="AF8" s="236">
        <f t="shared" si="2"/>
        <v>0</v>
      </c>
      <c r="AG8" s="236" t="str">
        <f t="shared" ca="1" si="3"/>
        <v/>
      </c>
      <c r="AH8" s="236" t="str">
        <f t="shared" ref="AH8:AH67" ca="1" si="18">IF( LEN( $C8 ) = 0, "", IF( $C8 &lt; $AL8, 1, "" ) )</f>
        <v/>
      </c>
      <c r="AJ8" s="236">
        <f t="shared" ref="AJ8:AJ67" ca="1" si="19">MATCH( $D8, INDIRECT( AJ$2 ), 0 )</f>
        <v>9</v>
      </c>
      <c r="AK8" s="236" t="str">
        <f t="shared" ref="AK8:AL67" ca="1" si="20">IF( ISNA( $AJ8 ), "", OFFSET( INDIRECT( AK$2 ), $AJ8-1, 0 ) )</f>
        <v>A-</v>
      </c>
      <c r="AL8" s="236">
        <f t="shared" ca="1" si="20"/>
        <v>20</v>
      </c>
      <c r="AM8" s="236" t="str">
        <f t="shared" ca="1" si="4"/>
        <v/>
      </c>
      <c r="AQ8" s="286" t="s">
        <v>17</v>
      </c>
      <c r="AR8" s="286" t="s">
        <v>10</v>
      </c>
      <c r="AS8" s="286">
        <v>20</v>
      </c>
      <c r="AT8" s="286" t="s">
        <v>307</v>
      </c>
      <c r="AV8" s="234">
        <f t="shared" ref="AV8:AV63" si="21">IF( LEN( AS8 ) = 0, 99, RANK( AS8, $AS$7:$AS$63 ) )</f>
        <v>2</v>
      </c>
      <c r="AW8" s="234">
        <f>COUNTIF( AV$7:AV8, AV8 )</f>
        <v>1</v>
      </c>
      <c r="AX8" s="287">
        <f t="shared" ref="AX8:AX63" si="22">AV8 + AW8 / 10</f>
        <v>2.1</v>
      </c>
      <c r="AY8" s="234">
        <f t="shared" ref="AY8:AY63" si="23">RANK( AX8, $AX$7:$AX$63, 1 )</f>
        <v>2</v>
      </c>
      <c r="AZ8" s="236"/>
      <c r="BA8" s="236"/>
      <c r="BC8" s="234">
        <f ca="1">OFFSET( BC8, -1, 0 ) + 1</f>
        <v>2</v>
      </c>
      <c r="BD8" s="288">
        <f t="shared" ca="1" si="6"/>
        <v>2</v>
      </c>
      <c r="BF8" s="240" t="str">
        <f t="shared" ca="1" si="7"/>
        <v>Alliant Energy Corporation</v>
      </c>
      <c r="BG8" s="240" t="str">
        <f t="shared" ca="1" si="7"/>
        <v>A-</v>
      </c>
      <c r="BH8" s="240">
        <f t="shared" ca="1" si="7"/>
        <v>20</v>
      </c>
      <c r="BI8" s="240" t="str">
        <f t="shared" ca="1" si="7"/>
        <v>LNT</v>
      </c>
    </row>
    <row r="9" spans="1:61" x14ac:dyDescent="0.2">
      <c r="A9" s="303" t="s">
        <v>29</v>
      </c>
      <c r="B9" s="304" t="s">
        <v>10</v>
      </c>
      <c r="C9" s="304">
        <v>20</v>
      </c>
      <c r="D9" s="304" t="s">
        <v>286</v>
      </c>
      <c r="E9" s="305" t="str">
        <f t="shared" ca="1" si="8"/>
        <v>MR</v>
      </c>
      <c r="F9" s="306"/>
      <c r="G9" s="307">
        <f t="shared" ca="1" si="1"/>
        <v>13</v>
      </c>
      <c r="H9" s="250"/>
      <c r="I9" s="318"/>
      <c r="J9" s="295" t="s">
        <v>10</v>
      </c>
      <c r="K9" s="318"/>
      <c r="L9" s="295">
        <f t="shared" si="9"/>
        <v>13</v>
      </c>
      <c r="M9" s="296">
        <f t="shared" si="10"/>
        <v>0.25</v>
      </c>
      <c r="N9" s="318"/>
      <c r="O9" s="295">
        <f t="shared" ca="1" si="11"/>
        <v>8</v>
      </c>
      <c r="P9" s="296">
        <f t="shared" ca="1" si="12"/>
        <v>0.21621621621621623</v>
      </c>
      <c r="Q9" s="318"/>
      <c r="R9" s="295">
        <f t="shared" ca="1" si="13"/>
        <v>5</v>
      </c>
      <c r="S9" s="296">
        <f t="shared" ca="1" si="14"/>
        <v>0.38461538461538464</v>
      </c>
      <c r="T9" s="318"/>
      <c r="U9" s="295">
        <f t="shared" ca="1" si="15"/>
        <v>0</v>
      </c>
      <c r="V9" s="296" t="str">
        <f t="shared" ca="1" si="16"/>
        <v/>
      </c>
      <c r="W9" s="318"/>
      <c r="X9" s="256" t="s">
        <v>465</v>
      </c>
      <c r="Y9" s="256">
        <v>20</v>
      </c>
      <c r="Z9" s="256">
        <v>1</v>
      </c>
      <c r="AA9" s="255">
        <f t="shared" ca="1" si="17"/>
        <v>13</v>
      </c>
      <c r="AC9" s="253"/>
      <c r="AE9" s="254"/>
      <c r="AF9" s="236">
        <f t="shared" si="2"/>
        <v>0</v>
      </c>
      <c r="AG9" s="236" t="str">
        <f t="shared" ca="1" si="3"/>
        <v/>
      </c>
      <c r="AH9" s="236" t="str">
        <f t="shared" ca="1" si="18"/>
        <v/>
      </c>
      <c r="AJ9" s="236">
        <f t="shared" ca="1" si="19"/>
        <v>10</v>
      </c>
      <c r="AK9" s="236" t="str">
        <f t="shared" ca="1" si="20"/>
        <v>A-</v>
      </c>
      <c r="AL9" s="236">
        <f t="shared" ca="1" si="20"/>
        <v>20</v>
      </c>
      <c r="AM9" s="236" t="str">
        <f t="shared" ca="1" si="4"/>
        <v/>
      </c>
      <c r="AQ9" s="286" t="s">
        <v>9</v>
      </c>
      <c r="AR9" s="286" t="s">
        <v>16</v>
      </c>
      <c r="AS9" s="286">
        <v>19</v>
      </c>
      <c r="AT9" s="286" t="s">
        <v>274</v>
      </c>
      <c r="AV9" s="234">
        <f t="shared" si="21"/>
        <v>15</v>
      </c>
      <c r="AW9" s="234">
        <f>COUNTIF( AV$7:AV9, AV9 )</f>
        <v>2</v>
      </c>
      <c r="AX9" s="287">
        <f t="shared" si="22"/>
        <v>15.2</v>
      </c>
      <c r="AY9" s="234">
        <f t="shared" si="23"/>
        <v>16</v>
      </c>
      <c r="AZ9" s="236"/>
      <c r="BA9" s="236"/>
      <c r="BC9" s="234">
        <f t="shared" ref="BC9:BC63" ca="1" si="24">OFFSET( BC9, -1, 0 ) + 1</f>
        <v>3</v>
      </c>
      <c r="BD9" s="288">
        <f t="shared" ca="1" si="6"/>
        <v>8</v>
      </c>
      <c r="BF9" s="240" t="str">
        <f t="shared" ca="1" si="7"/>
        <v>CenterPoint Energy, Inc.</v>
      </c>
      <c r="BG9" s="240" t="str">
        <f t="shared" ca="1" si="7"/>
        <v>A-</v>
      </c>
      <c r="BH9" s="240">
        <f t="shared" ca="1" si="7"/>
        <v>20</v>
      </c>
      <c r="BI9" s="240" t="str">
        <f t="shared" ca="1" si="7"/>
        <v>CNP</v>
      </c>
    </row>
    <row r="10" spans="1:61" x14ac:dyDescent="0.2">
      <c r="A10" s="303" t="s">
        <v>3</v>
      </c>
      <c r="B10" s="304" t="s">
        <v>10</v>
      </c>
      <c r="C10" s="304">
        <v>20</v>
      </c>
      <c r="D10" s="304" t="s">
        <v>292</v>
      </c>
      <c r="E10" s="305" t="str">
        <f t="shared" ca="1" si="8"/>
        <v>R</v>
      </c>
      <c r="F10" s="306"/>
      <c r="G10" s="307">
        <f t="shared" ca="1" si="1"/>
        <v>16</v>
      </c>
      <c r="H10" s="250"/>
      <c r="I10" s="318"/>
      <c r="J10" s="295" t="s">
        <v>16</v>
      </c>
      <c r="K10" s="318"/>
      <c r="L10" s="295">
        <f t="shared" si="9"/>
        <v>17</v>
      </c>
      <c r="M10" s="296">
        <f t="shared" si="10"/>
        <v>0.32692307692307693</v>
      </c>
      <c r="N10" s="318"/>
      <c r="O10" s="295">
        <f t="shared" ca="1" si="11"/>
        <v>11</v>
      </c>
      <c r="P10" s="296">
        <f t="shared" ca="1" si="12"/>
        <v>0.29729729729729731</v>
      </c>
      <c r="Q10" s="318"/>
      <c r="R10" s="295">
        <f t="shared" ca="1" si="13"/>
        <v>5</v>
      </c>
      <c r="S10" s="296">
        <f t="shared" ca="1" si="14"/>
        <v>0.38461538461538464</v>
      </c>
      <c r="T10" s="318"/>
      <c r="U10" s="295">
        <f t="shared" ca="1" si="15"/>
        <v>1</v>
      </c>
      <c r="V10" s="296">
        <f t="shared" ca="1" si="16"/>
        <v>0.5</v>
      </c>
      <c r="W10" s="318"/>
      <c r="X10" s="256" t="s">
        <v>466</v>
      </c>
      <c r="Y10" s="256">
        <v>19</v>
      </c>
      <c r="Z10" s="256">
        <v>1</v>
      </c>
      <c r="AA10" s="255">
        <f t="shared" ca="1" si="17"/>
        <v>17</v>
      </c>
      <c r="AE10" s="254"/>
      <c r="AF10" s="236">
        <f t="shared" si="2"/>
        <v>0</v>
      </c>
      <c r="AG10" s="236" t="str">
        <f t="shared" ca="1" si="3"/>
        <v/>
      </c>
      <c r="AH10" s="236" t="str">
        <f t="shared" ca="1" si="18"/>
        <v/>
      </c>
      <c r="AJ10" s="236">
        <f t="shared" ca="1" si="19"/>
        <v>11</v>
      </c>
      <c r="AK10" s="236" t="str">
        <f t="shared" ca="1" si="20"/>
        <v>A-</v>
      </c>
      <c r="AL10" s="236">
        <f t="shared" ca="1" si="20"/>
        <v>20</v>
      </c>
      <c r="AM10" s="236" t="str">
        <f t="shared" ca="1" si="4"/>
        <v/>
      </c>
      <c r="AQ10" s="286" t="s">
        <v>259</v>
      </c>
      <c r="AR10" s="286" t="s">
        <v>28</v>
      </c>
      <c r="AS10" s="286">
        <v>18</v>
      </c>
      <c r="AT10" s="286" t="s">
        <v>275</v>
      </c>
      <c r="AV10" s="234">
        <f t="shared" si="21"/>
        <v>32</v>
      </c>
      <c r="AW10" s="234">
        <f>COUNTIF( AV$7:AV10, AV10 )</f>
        <v>1</v>
      </c>
      <c r="AX10" s="287">
        <f t="shared" si="22"/>
        <v>32.1</v>
      </c>
      <c r="AY10" s="234">
        <f t="shared" si="23"/>
        <v>32</v>
      </c>
      <c r="AZ10" s="236"/>
      <c r="BA10" s="236"/>
      <c r="BC10" s="234">
        <f t="shared" ca="1" si="24"/>
        <v>4</v>
      </c>
      <c r="BD10" s="288">
        <f t="shared" ca="1" si="6"/>
        <v>11</v>
      </c>
      <c r="BF10" s="240" t="str">
        <f t="shared" ca="1" si="7"/>
        <v>Consolidated Edison, Inc.</v>
      </c>
      <c r="BG10" s="240" t="str">
        <f t="shared" ca="1" si="7"/>
        <v>A-</v>
      </c>
      <c r="BH10" s="240">
        <f t="shared" ca="1" si="7"/>
        <v>20</v>
      </c>
      <c r="BI10" s="240" t="str">
        <f t="shared" ca="1" si="7"/>
        <v>ED</v>
      </c>
    </row>
    <row r="11" spans="1:61" x14ac:dyDescent="0.2">
      <c r="A11" s="303" t="s">
        <v>18</v>
      </c>
      <c r="B11" s="304" t="s">
        <v>10</v>
      </c>
      <c r="C11" s="304">
        <v>20</v>
      </c>
      <c r="D11" s="304" t="s">
        <v>86</v>
      </c>
      <c r="E11" s="305" t="str">
        <f t="shared" ca="1" si="8"/>
        <v>MR</v>
      </c>
      <c r="F11" s="306"/>
      <c r="G11" s="307">
        <f t="shared" ca="1" si="1"/>
        <v>17</v>
      </c>
      <c r="H11" s="250"/>
      <c r="I11" s="318"/>
      <c r="J11" s="295" t="s">
        <v>28</v>
      </c>
      <c r="K11" s="318"/>
      <c r="L11" s="295">
        <f t="shared" si="9"/>
        <v>15</v>
      </c>
      <c r="M11" s="296">
        <f t="shared" si="10"/>
        <v>0.28846153846153844</v>
      </c>
      <c r="N11" s="318"/>
      <c r="O11" s="295">
        <f t="shared" ca="1" si="11"/>
        <v>14</v>
      </c>
      <c r="P11" s="296">
        <f t="shared" ca="1" si="12"/>
        <v>0.3783783783783784</v>
      </c>
      <c r="Q11" s="318"/>
      <c r="R11" s="295">
        <f t="shared" ca="1" si="13"/>
        <v>1</v>
      </c>
      <c r="S11" s="296">
        <f t="shared" ca="1" si="14"/>
        <v>7.6923076923076927E-2</v>
      </c>
      <c r="T11" s="318"/>
      <c r="U11" s="295">
        <f t="shared" ca="1" si="15"/>
        <v>0</v>
      </c>
      <c r="V11" s="296" t="str">
        <f t="shared" ca="1" si="16"/>
        <v/>
      </c>
      <c r="W11" s="318"/>
      <c r="X11" s="256" t="s">
        <v>467</v>
      </c>
      <c r="Y11" s="256">
        <v>18</v>
      </c>
      <c r="Z11" s="256">
        <v>1</v>
      </c>
      <c r="AA11" s="255">
        <f t="shared" ca="1" si="17"/>
        <v>15</v>
      </c>
      <c r="AE11" s="254"/>
      <c r="AF11" s="236">
        <f t="shared" si="2"/>
        <v>0</v>
      </c>
      <c r="AG11" s="236" t="str">
        <f t="shared" ca="1" si="3"/>
        <v/>
      </c>
      <c r="AH11" s="236" t="str">
        <f t="shared" ca="1" si="18"/>
        <v/>
      </c>
      <c r="AJ11" s="236">
        <f t="shared" ca="1" si="19"/>
        <v>12</v>
      </c>
      <c r="AK11" s="236" t="str">
        <f t="shared" ca="1" si="20"/>
        <v>A-</v>
      </c>
      <c r="AL11" s="236">
        <f t="shared" ca="1" si="20"/>
        <v>20</v>
      </c>
      <c r="AM11" s="236" t="str">
        <f t="shared" ca="1" si="4"/>
        <v/>
      </c>
      <c r="AQ11" s="286" t="s">
        <v>55</v>
      </c>
      <c r="AR11" s="286" t="s">
        <v>28</v>
      </c>
      <c r="AS11" s="286">
        <v>18</v>
      </c>
      <c r="AT11" s="286" t="s">
        <v>278</v>
      </c>
      <c r="AV11" s="234">
        <f t="shared" si="21"/>
        <v>32</v>
      </c>
      <c r="AW11" s="234">
        <f>COUNTIF( AV$7:AV11, AV11 )</f>
        <v>2</v>
      </c>
      <c r="AX11" s="287">
        <f t="shared" si="22"/>
        <v>32.200000000000003</v>
      </c>
      <c r="AY11" s="234">
        <f t="shared" si="23"/>
        <v>33</v>
      </c>
      <c r="AZ11" s="236"/>
      <c r="BA11" s="236"/>
      <c r="BC11" s="234">
        <f t="shared" ca="1" si="24"/>
        <v>5</v>
      </c>
      <c r="BD11" s="288">
        <f t="shared" ca="1" si="6"/>
        <v>12</v>
      </c>
      <c r="BF11" s="240" t="str">
        <f t="shared" ca="1" si="7"/>
        <v>Dominion Resources, Inc.</v>
      </c>
      <c r="BG11" s="240" t="str">
        <f t="shared" ca="1" si="7"/>
        <v>A-</v>
      </c>
      <c r="BH11" s="240">
        <f t="shared" ca="1" si="7"/>
        <v>20</v>
      </c>
      <c r="BI11" s="240" t="str">
        <f t="shared" ca="1" si="7"/>
        <v>D</v>
      </c>
    </row>
    <row r="12" spans="1:61" x14ac:dyDescent="0.2">
      <c r="A12" s="303" t="s">
        <v>32</v>
      </c>
      <c r="B12" s="304" t="s">
        <v>10</v>
      </c>
      <c r="C12" s="304">
        <v>20</v>
      </c>
      <c r="D12" s="304" t="s">
        <v>290</v>
      </c>
      <c r="E12" s="305" t="str">
        <f t="shared" ca="1" si="8"/>
        <v>R</v>
      </c>
      <c r="F12" s="306"/>
      <c r="G12" s="307">
        <f t="shared" ca="1" si="1"/>
        <v>19</v>
      </c>
      <c r="H12" s="250"/>
      <c r="I12" s="318"/>
      <c r="J12" s="295" t="s">
        <v>49</v>
      </c>
      <c r="K12" s="318"/>
      <c r="L12" s="295">
        <f t="shared" si="9"/>
        <v>3</v>
      </c>
      <c r="M12" s="296">
        <f t="shared" si="10"/>
        <v>5.7692307692307696E-2</v>
      </c>
      <c r="N12" s="318"/>
      <c r="O12" s="295">
        <f t="shared" ca="1" si="11"/>
        <v>1</v>
      </c>
      <c r="P12" s="296">
        <f t="shared" ca="1" si="12"/>
        <v>2.7027027027027029E-2</v>
      </c>
      <c r="Q12" s="318"/>
      <c r="R12" s="295">
        <f t="shared" ca="1" si="13"/>
        <v>1</v>
      </c>
      <c r="S12" s="296">
        <f t="shared" ca="1" si="14"/>
        <v>7.6923076923076927E-2</v>
      </c>
      <c r="T12" s="318"/>
      <c r="U12" s="295">
        <f t="shared" ca="1" si="15"/>
        <v>1</v>
      </c>
      <c r="V12" s="296">
        <f t="shared" ca="1" si="16"/>
        <v>0.5</v>
      </c>
      <c r="W12" s="318"/>
      <c r="X12" s="256" t="s">
        <v>468</v>
      </c>
      <c r="Y12" s="256">
        <v>17</v>
      </c>
      <c r="Z12" s="256">
        <v>1</v>
      </c>
      <c r="AA12" s="255">
        <f t="shared" ca="1" si="17"/>
        <v>3</v>
      </c>
      <c r="AE12" s="254"/>
      <c r="AF12" s="236">
        <f t="shared" si="2"/>
        <v>0</v>
      </c>
      <c r="AG12" s="236" t="str">
        <f t="shared" ca="1" si="3"/>
        <v/>
      </c>
      <c r="AH12" s="236" t="str">
        <f t="shared" ca="1" si="18"/>
        <v/>
      </c>
      <c r="AJ12" s="236">
        <f t="shared" ca="1" si="19"/>
        <v>13</v>
      </c>
      <c r="AK12" s="236" t="str">
        <f t="shared" ca="1" si="20"/>
        <v>A-</v>
      </c>
      <c r="AL12" s="236">
        <f t="shared" ca="1" si="20"/>
        <v>20</v>
      </c>
      <c r="AM12" s="236" t="str">
        <f t="shared" ca="1" si="4"/>
        <v/>
      </c>
      <c r="AQ12" s="286" t="s">
        <v>501</v>
      </c>
      <c r="AR12" s="286" t="s">
        <v>16</v>
      </c>
      <c r="AS12" s="286">
        <v>19</v>
      </c>
      <c r="AT12" s="286" t="s">
        <v>447</v>
      </c>
      <c r="AV12" s="234">
        <f t="shared" si="21"/>
        <v>15</v>
      </c>
      <c r="AW12" s="234">
        <f>COUNTIF( AV$7:AV12, AV12 )</f>
        <v>3</v>
      </c>
      <c r="AX12" s="287">
        <f t="shared" si="22"/>
        <v>15.3</v>
      </c>
      <c r="AY12" s="234">
        <f t="shared" si="23"/>
        <v>17</v>
      </c>
      <c r="AZ12" s="236"/>
      <c r="BA12" s="236"/>
      <c r="BC12" s="234">
        <f t="shared" ca="1" si="24"/>
        <v>6</v>
      </c>
      <c r="BD12" s="288">
        <f t="shared" ca="1" si="6"/>
        <v>15</v>
      </c>
      <c r="BF12" s="240" t="str">
        <f t="shared" ca="1" si="7"/>
        <v>Duke Energy Corporation</v>
      </c>
      <c r="BG12" s="240" t="str">
        <f t="shared" ca="1" si="7"/>
        <v>A-</v>
      </c>
      <c r="BH12" s="240">
        <f t="shared" ca="1" si="7"/>
        <v>20</v>
      </c>
      <c r="BI12" s="240" t="str">
        <f t="shared" ca="1" si="7"/>
        <v>DUK</v>
      </c>
    </row>
    <row r="13" spans="1:61" x14ac:dyDescent="0.2">
      <c r="A13" s="303" t="s">
        <v>370</v>
      </c>
      <c r="B13" s="304" t="s">
        <v>10</v>
      </c>
      <c r="C13" s="304">
        <v>20</v>
      </c>
      <c r="D13" s="304" t="s">
        <v>369</v>
      </c>
      <c r="E13" s="305" t="str">
        <f t="shared" ca="1" si="8"/>
        <v>MR</v>
      </c>
      <c r="F13" s="306"/>
      <c r="G13" s="307">
        <f t="shared" ca="1" si="1"/>
        <v>32</v>
      </c>
      <c r="H13" s="250"/>
      <c r="I13" s="319"/>
      <c r="J13" s="297" t="s">
        <v>79</v>
      </c>
      <c r="K13" s="319"/>
      <c r="L13" s="297">
        <f t="shared" si="9"/>
        <v>2</v>
      </c>
      <c r="M13" s="298">
        <f t="shared" si="10"/>
        <v>3.8461538461538464E-2</v>
      </c>
      <c r="N13" s="319"/>
      <c r="O13" s="297">
        <f t="shared" ca="1" si="11"/>
        <v>2</v>
      </c>
      <c r="P13" s="298">
        <f t="shared" ca="1" si="12"/>
        <v>5.4054054054054057E-2</v>
      </c>
      <c r="Q13" s="319"/>
      <c r="R13" s="297">
        <f t="shared" ca="1" si="13"/>
        <v>0</v>
      </c>
      <c r="S13" s="298" t="str">
        <f t="shared" ca="1" si="14"/>
        <v/>
      </c>
      <c r="T13" s="319"/>
      <c r="U13" s="297">
        <f t="shared" ca="1" si="15"/>
        <v>0</v>
      </c>
      <c r="V13" s="298" t="str">
        <f t="shared" ca="1" si="16"/>
        <v/>
      </c>
      <c r="W13" s="319"/>
      <c r="X13" s="256" t="s">
        <v>469</v>
      </c>
      <c r="Y13" s="256">
        <v>16</v>
      </c>
      <c r="Z13" s="256">
        <v>1</v>
      </c>
      <c r="AA13" s="259">
        <f t="shared" ca="1" si="17"/>
        <v>2</v>
      </c>
      <c r="AE13" s="254"/>
      <c r="AF13" s="236">
        <f t="shared" si="2"/>
        <v>0</v>
      </c>
      <c r="AG13" s="236" t="str">
        <f t="shared" ca="1" si="3"/>
        <v/>
      </c>
      <c r="AH13" s="236" t="str">
        <f t="shared" ca="1" si="18"/>
        <v/>
      </c>
      <c r="AJ13" s="236">
        <f t="shared" ca="1" si="19"/>
        <v>14</v>
      </c>
      <c r="AK13" s="236" t="str">
        <f t="shared" ca="1" si="20"/>
        <v>A-</v>
      </c>
      <c r="AL13" s="236">
        <f t="shared" ca="1" si="20"/>
        <v>20</v>
      </c>
      <c r="AM13" s="236" t="str">
        <f t="shared" ca="1" si="4"/>
        <v/>
      </c>
      <c r="AQ13" s="286" t="s">
        <v>48</v>
      </c>
      <c r="AR13" s="286" t="s">
        <v>28</v>
      </c>
      <c r="AS13" s="286">
        <v>18</v>
      </c>
      <c r="AT13" s="286" t="s">
        <v>280</v>
      </c>
      <c r="AV13" s="234">
        <f t="shared" si="21"/>
        <v>32</v>
      </c>
      <c r="AW13" s="234">
        <f>COUNTIF( AV$7:AV13, AV13 )</f>
        <v>3</v>
      </c>
      <c r="AX13" s="287">
        <f t="shared" si="22"/>
        <v>32.299999999999997</v>
      </c>
      <c r="AY13" s="234">
        <f t="shared" si="23"/>
        <v>34</v>
      </c>
      <c r="AZ13" s="236"/>
      <c r="BA13" s="236"/>
      <c r="BC13" s="234">
        <f t="shared" ca="1" si="24"/>
        <v>7</v>
      </c>
      <c r="BD13" s="288">
        <f t="shared" ca="1" si="6"/>
        <v>29</v>
      </c>
      <c r="BF13" s="240" t="str">
        <f t="shared" ca="1" si="7"/>
        <v>NextEra Energy, Inc.</v>
      </c>
      <c r="BG13" s="240" t="str">
        <f t="shared" ca="1" si="7"/>
        <v>A-</v>
      </c>
      <c r="BH13" s="240">
        <f t="shared" ca="1" si="7"/>
        <v>20</v>
      </c>
      <c r="BI13" s="240" t="str">
        <f t="shared" ca="1" si="7"/>
        <v>NEE</v>
      </c>
    </row>
    <row r="14" spans="1:61" x14ac:dyDescent="0.2">
      <c r="A14" s="303" t="s">
        <v>21</v>
      </c>
      <c r="B14" s="304" t="s">
        <v>10</v>
      </c>
      <c r="C14" s="304">
        <v>20</v>
      </c>
      <c r="D14" s="304" t="s">
        <v>316</v>
      </c>
      <c r="E14" s="305" t="str">
        <f t="shared" ca="1" si="8"/>
        <v>R</v>
      </c>
      <c r="F14" s="306"/>
      <c r="G14" s="307">
        <f t="shared" ca="1" si="1"/>
        <v>36</v>
      </c>
      <c r="H14" s="250"/>
      <c r="I14" s="320"/>
      <c r="J14" s="291" t="s">
        <v>80</v>
      </c>
      <c r="K14" s="320"/>
      <c r="L14" s="291">
        <f>SUM(L8:L13)</f>
        <v>52</v>
      </c>
      <c r="M14" s="292">
        <f>L14/L$14</f>
        <v>1</v>
      </c>
      <c r="N14" s="320"/>
      <c r="O14" s="291">
        <f ca="1">SUM(O8:O13)</f>
        <v>37</v>
      </c>
      <c r="P14" s="292">
        <f ca="1">O14/O$14</f>
        <v>1</v>
      </c>
      <c r="Q14" s="320"/>
      <c r="R14" s="291">
        <f ca="1">SUM(R8:R13)</f>
        <v>13</v>
      </c>
      <c r="S14" s="292">
        <f ca="1">R14/R$14</f>
        <v>1</v>
      </c>
      <c r="T14" s="320"/>
      <c r="U14" s="291">
        <f ca="1">SUM(U8:U13)</f>
        <v>2</v>
      </c>
      <c r="V14" s="292">
        <f ca="1">U14/U$14</f>
        <v>1</v>
      </c>
      <c r="W14" s="320"/>
      <c r="Y14" s="261">
        <f>SUMPRODUCT( L8:L13, Y8:Y13 ) / L14</f>
        <v>18.807692307692307</v>
      </c>
      <c r="Z14" s="261"/>
      <c r="AA14" s="441">
        <f ca="1">SUM(AA8:AA13)</f>
        <v>52</v>
      </c>
      <c r="AE14" s="254"/>
      <c r="AF14" s="236">
        <f t="shared" si="2"/>
        <v>0</v>
      </c>
      <c r="AG14" s="236" t="str">
        <f t="shared" ca="1" si="3"/>
        <v/>
      </c>
      <c r="AH14" s="236" t="str">
        <f t="shared" ca="1" si="18"/>
        <v/>
      </c>
      <c r="AJ14" s="236">
        <f t="shared" ca="1" si="19"/>
        <v>15</v>
      </c>
      <c r="AK14" s="236" t="str">
        <f t="shared" ca="1" si="20"/>
        <v>A-</v>
      </c>
      <c r="AL14" s="236">
        <f t="shared" ca="1" si="20"/>
        <v>20</v>
      </c>
      <c r="AM14" s="236" t="str">
        <f t="shared" ca="1" si="4"/>
        <v/>
      </c>
      <c r="AQ14" s="286" t="s">
        <v>29</v>
      </c>
      <c r="AR14" s="286" t="s">
        <v>10</v>
      </c>
      <c r="AS14" s="286">
        <v>20</v>
      </c>
      <c r="AT14" s="286" t="s">
        <v>286</v>
      </c>
      <c r="AV14" s="234">
        <f>IF( LEN( AS14 ) = 0, 99, RANK( AS14, $AS$7:$AS$63 ) )</f>
        <v>2</v>
      </c>
      <c r="AW14" s="234">
        <f>COUNTIF( AV$7:AV14, AV14 )</f>
        <v>2</v>
      </c>
      <c r="AX14" s="287">
        <f t="shared" si="22"/>
        <v>2.2000000000000002</v>
      </c>
      <c r="AY14" s="234">
        <f t="shared" si="23"/>
        <v>3</v>
      </c>
      <c r="AZ14" s="236"/>
      <c r="BA14" s="236"/>
      <c r="BC14" s="234">
        <f t="shared" ca="1" si="24"/>
        <v>8</v>
      </c>
      <c r="BD14" s="288">
        <f t="shared" ca="1" si="6"/>
        <v>32</v>
      </c>
      <c r="BF14" s="240" t="str">
        <f t="shared" ca="1" si="7"/>
        <v>OGE Energy Corp.</v>
      </c>
      <c r="BG14" s="240" t="str">
        <f t="shared" ca="1" si="7"/>
        <v>A-</v>
      </c>
      <c r="BH14" s="240">
        <f t="shared" ca="1" si="7"/>
        <v>20</v>
      </c>
      <c r="BI14" s="240" t="str">
        <f t="shared" ca="1" si="7"/>
        <v>OGE</v>
      </c>
    </row>
    <row r="15" spans="1:61" x14ac:dyDescent="0.2">
      <c r="A15" s="303" t="s">
        <v>41</v>
      </c>
      <c r="B15" s="304" t="s">
        <v>10</v>
      </c>
      <c r="C15" s="304">
        <v>20</v>
      </c>
      <c r="D15" s="304" t="s">
        <v>322</v>
      </c>
      <c r="E15" s="305" t="str">
        <f t="shared" ca="1" si="8"/>
        <v>R</v>
      </c>
      <c r="F15" s="306"/>
      <c r="G15" s="307">
        <f t="shared" ca="1" si="1"/>
        <v>40</v>
      </c>
      <c r="H15" s="250"/>
      <c r="I15" s="321"/>
      <c r="K15" s="321"/>
      <c r="N15" s="321"/>
      <c r="Q15" s="321"/>
      <c r="T15" s="321"/>
      <c r="W15" s="321"/>
      <c r="X15" s="240"/>
      <c r="AA15" s="240"/>
      <c r="AE15" s="254"/>
      <c r="AF15" s="236">
        <f t="shared" si="2"/>
        <v>0</v>
      </c>
      <c r="AG15" s="236" t="str">
        <f t="shared" ca="1" si="3"/>
        <v/>
      </c>
      <c r="AH15" s="236" t="str">
        <f t="shared" ca="1" si="18"/>
        <v/>
      </c>
      <c r="AJ15" s="236">
        <f t="shared" ca="1" si="19"/>
        <v>16</v>
      </c>
      <c r="AK15" s="236" t="str">
        <f t="shared" ca="1" si="20"/>
        <v>A-</v>
      </c>
      <c r="AL15" s="236">
        <f t="shared" ca="1" si="20"/>
        <v>20</v>
      </c>
      <c r="AM15" s="236" t="str">
        <f t="shared" ca="1" si="4"/>
        <v/>
      </c>
      <c r="AQ15" s="286" t="s">
        <v>30</v>
      </c>
      <c r="AR15" s="286" t="s">
        <v>16</v>
      </c>
      <c r="AS15" s="286">
        <v>19</v>
      </c>
      <c r="AT15" s="286" t="s">
        <v>285</v>
      </c>
      <c r="AV15" s="234">
        <f t="shared" si="21"/>
        <v>15</v>
      </c>
      <c r="AW15" s="234">
        <f>COUNTIF( AV$7:AV15, AV15 )</f>
        <v>4</v>
      </c>
      <c r="AX15" s="287">
        <f t="shared" si="22"/>
        <v>15.4</v>
      </c>
      <c r="AY15" s="234">
        <f t="shared" si="23"/>
        <v>18</v>
      </c>
      <c r="AZ15" s="236"/>
      <c r="BA15" s="236"/>
      <c r="BC15" s="234">
        <f t="shared" ca="1" si="24"/>
        <v>9</v>
      </c>
      <c r="BD15" s="288">
        <f t="shared" ca="1" si="6"/>
        <v>36</v>
      </c>
      <c r="BF15" s="240" t="str">
        <f t="shared" ca="1" si="7"/>
        <v>Pinnacle West Capital Corporation</v>
      </c>
      <c r="BG15" s="240" t="str">
        <f t="shared" ca="1" si="7"/>
        <v>A-</v>
      </c>
      <c r="BH15" s="240">
        <f t="shared" ca="1" si="7"/>
        <v>20</v>
      </c>
      <c r="BI15" s="240" t="str">
        <f t="shared" ca="1" si="7"/>
        <v>PNW</v>
      </c>
    </row>
    <row r="16" spans="1:61" x14ac:dyDescent="0.2">
      <c r="A16" s="303" t="s">
        <v>43</v>
      </c>
      <c r="B16" s="304" t="s">
        <v>10</v>
      </c>
      <c r="C16" s="304">
        <v>20</v>
      </c>
      <c r="D16" s="304" t="s">
        <v>325</v>
      </c>
      <c r="E16" s="305" t="str">
        <f t="shared" ca="1" si="8"/>
        <v>MR</v>
      </c>
      <c r="F16" s="306"/>
      <c r="G16" s="307">
        <f t="shared" ca="1" si="1"/>
        <v>43</v>
      </c>
      <c r="H16" s="250"/>
      <c r="I16" s="316"/>
      <c r="J16" s="290" t="s">
        <v>450</v>
      </c>
      <c r="K16" s="316"/>
      <c r="L16" s="463">
        <f t="array" ref="L16">SUM( IF( LEN( $C$7:$C$65 ) = 0, 0, $C$7:$C$65 ) ) / SUM( IF( LEN( $C$7:$C$65 ) = 0, 0, 1  ) )</f>
        <v>18.826923076923077</v>
      </c>
      <c r="M16" s="464"/>
      <c r="N16" s="316"/>
      <c r="O16" s="463">
        <f t="array" aca="1" ref="O16" ca="1">SUM( IF( LEN( $C$7:$C$65 ) = 0, 0, IF( $E$7:$E$65 = O3, $C$7:$C$65, 0 ) ) ) / SUM( IF( LEN( $C$7:$C$65 ) = 0, 0, IF( $E$7:$E$65 = O3, 1, 0 ) ) )</f>
        <v>18.648648648648649</v>
      </c>
      <c r="P16" s="464"/>
      <c r="Q16" s="316"/>
      <c r="R16" s="463">
        <f t="array" aca="1" ref="R16" ca="1">SUM( IF( LEN( $C$7:$C$65 ) = 0, 0, IF( $E$7:$E$65 = R3, $C$7:$C$65, 0 ) ) ) / SUM( IF( LEN( $C$7:$C$65 ) = 0, 0, IF( $E$7:$E$65 = R3, 1, 0 ) ) )</f>
        <v>19.46153846153846</v>
      </c>
      <c r="S16" s="464"/>
      <c r="T16" s="316"/>
      <c r="U16" s="463">
        <f t="array" aca="1" ref="U16" ca="1">SUM( IF( LEN( $C$7:$C$65 ) = 0, 0, IF( $E$7:$E$65 = U3, $C$7:$C$65, 0 ) ) ) / SUM( IF( LEN( $C$7:$C$65 ) = 0, 0, IF( $E$7:$E$65 = U3, 1, 0 ) ) )</f>
        <v>18</v>
      </c>
      <c r="V16" s="465"/>
      <c r="W16" s="316"/>
      <c r="AE16" s="254"/>
      <c r="AF16" s="236">
        <f t="shared" si="2"/>
        <v>0</v>
      </c>
      <c r="AG16" s="236" t="str">
        <f t="shared" ca="1" si="3"/>
        <v/>
      </c>
      <c r="AH16" s="236" t="str">
        <f t="shared" ca="1" si="18"/>
        <v/>
      </c>
      <c r="AJ16" s="236">
        <f t="shared" ca="1" si="19"/>
        <v>17</v>
      </c>
      <c r="AK16" s="236" t="str">
        <f t="shared" ca="1" si="20"/>
        <v>A-</v>
      </c>
      <c r="AL16" s="236">
        <f t="shared" ca="1" si="20"/>
        <v>20</v>
      </c>
      <c r="AM16" s="236" t="str">
        <f t="shared" ca="1" si="4"/>
        <v/>
      </c>
      <c r="AQ16" s="286" t="s">
        <v>60</v>
      </c>
      <c r="AR16" s="286" t="s">
        <v>16</v>
      </c>
      <c r="AS16" s="286">
        <v>19</v>
      </c>
      <c r="AT16" s="286" t="s">
        <v>284</v>
      </c>
      <c r="AV16" s="234">
        <f t="shared" si="21"/>
        <v>15</v>
      </c>
      <c r="AW16" s="234">
        <f>COUNTIF( AV$7:AV16, AV16 )</f>
        <v>5</v>
      </c>
      <c r="AX16" s="287">
        <f t="shared" si="22"/>
        <v>15.5</v>
      </c>
      <c r="AY16" s="234">
        <f t="shared" si="23"/>
        <v>19</v>
      </c>
      <c r="AZ16" s="236"/>
      <c r="BA16" s="236"/>
      <c r="BC16" s="234">
        <f t="shared" ca="1" si="24"/>
        <v>10</v>
      </c>
      <c r="BD16" s="288">
        <f t="shared" ca="1" si="6"/>
        <v>39</v>
      </c>
      <c r="BF16" s="240" t="str">
        <f t="shared" ca="1" si="7"/>
        <v>PPL Corporation</v>
      </c>
      <c r="BG16" s="240" t="str">
        <f t="shared" ca="1" si="7"/>
        <v>A-</v>
      </c>
      <c r="BH16" s="240">
        <f t="shared" ca="1" si="7"/>
        <v>20</v>
      </c>
      <c r="BI16" s="240" t="str">
        <f t="shared" ca="1" si="7"/>
        <v>PPL</v>
      </c>
    </row>
    <row r="17" spans="1:61" x14ac:dyDescent="0.2">
      <c r="A17" s="303" t="s">
        <v>7</v>
      </c>
      <c r="B17" s="304" t="s">
        <v>10</v>
      </c>
      <c r="C17" s="304">
        <v>20</v>
      </c>
      <c r="D17" s="304" t="s">
        <v>328</v>
      </c>
      <c r="E17" s="305" t="str">
        <f t="shared" ca="1" si="8"/>
        <v>R</v>
      </c>
      <c r="F17" s="306"/>
      <c r="G17" s="307">
        <f t="shared" ca="1" si="1"/>
        <v>47</v>
      </c>
      <c r="H17" s="250"/>
      <c r="I17" s="321"/>
      <c r="K17" s="321"/>
      <c r="N17" s="321"/>
      <c r="O17" s="240"/>
      <c r="Q17" s="321"/>
      <c r="T17" s="321"/>
      <c r="W17" s="321"/>
      <c r="AE17" s="245"/>
      <c r="AF17" s="236">
        <f t="shared" si="2"/>
        <v>0</v>
      </c>
      <c r="AG17" s="236" t="str">
        <f t="shared" ca="1" si="3"/>
        <v/>
      </c>
      <c r="AH17" s="236">
        <f t="shared" ca="1" si="18"/>
        <v>1</v>
      </c>
      <c r="AJ17" s="236">
        <f t="shared" ca="1" si="19"/>
        <v>8</v>
      </c>
      <c r="AK17" s="236" t="str">
        <f t="shared" ca="1" si="20"/>
        <v>A</v>
      </c>
      <c r="AL17" s="236">
        <f t="shared" ca="1" si="20"/>
        <v>21</v>
      </c>
      <c r="AM17" s="236" t="str">
        <f t="shared" ca="1" si="4"/>
        <v>Change</v>
      </c>
      <c r="AQ17" s="286" t="s">
        <v>3</v>
      </c>
      <c r="AR17" s="286" t="s">
        <v>10</v>
      </c>
      <c r="AS17" s="286">
        <v>20</v>
      </c>
      <c r="AT17" s="286" t="s">
        <v>292</v>
      </c>
      <c r="AV17" s="234">
        <f t="shared" si="21"/>
        <v>2</v>
      </c>
      <c r="AW17" s="234">
        <f>COUNTIF( AV$7:AV17, AV17 )</f>
        <v>3</v>
      </c>
      <c r="AX17" s="287">
        <f t="shared" si="22"/>
        <v>2.2999999999999998</v>
      </c>
      <c r="AY17" s="234">
        <f t="shared" si="23"/>
        <v>4</v>
      </c>
      <c r="AZ17" s="236"/>
      <c r="BA17" s="236"/>
      <c r="BC17" s="234">
        <f t="shared" ca="1" si="24"/>
        <v>11</v>
      </c>
      <c r="BD17" s="288">
        <f t="shared" ca="1" si="6"/>
        <v>44</v>
      </c>
      <c r="BF17" s="240" t="str">
        <f t="shared" ca="1" si="7"/>
        <v>Southern Company</v>
      </c>
      <c r="BG17" s="240" t="str">
        <f t="shared" ca="1" si="7"/>
        <v>A-</v>
      </c>
      <c r="BH17" s="240">
        <f t="shared" ca="1" si="7"/>
        <v>20</v>
      </c>
      <c r="BI17" s="240" t="str">
        <f t="shared" ca="1" si="7"/>
        <v>SO</v>
      </c>
    </row>
    <row r="18" spans="1:61" x14ac:dyDescent="0.2">
      <c r="A18" s="303" t="s">
        <v>14</v>
      </c>
      <c r="B18" s="304" t="s">
        <v>10</v>
      </c>
      <c r="C18" s="304">
        <v>20</v>
      </c>
      <c r="D18" s="304" t="s">
        <v>335</v>
      </c>
      <c r="E18" s="305" t="str">
        <f t="shared" ca="1" si="8"/>
        <v>MR</v>
      </c>
      <c r="F18" s="306"/>
      <c r="G18" s="307">
        <f t="shared" ca="1" si="1"/>
        <v>51</v>
      </c>
      <c r="H18" s="250"/>
      <c r="I18" s="321"/>
      <c r="K18" s="321"/>
      <c r="N18" s="321"/>
      <c r="O18" s="240"/>
      <c r="Q18" s="321"/>
      <c r="T18" s="321"/>
      <c r="W18" s="321"/>
      <c r="AE18" s="254"/>
      <c r="AF18" s="236">
        <f t="shared" si="2"/>
        <v>0</v>
      </c>
      <c r="AG18" s="236" t="str">
        <f t="shared" ca="1" si="3"/>
        <v/>
      </c>
      <c r="AH18" s="236" t="str">
        <f t="shared" ca="1" si="18"/>
        <v/>
      </c>
      <c r="AJ18" s="236">
        <f t="shared" ca="1" si="19"/>
        <v>18</v>
      </c>
      <c r="AK18" s="236" t="str">
        <f t="shared" ca="1" si="20"/>
        <v>A-</v>
      </c>
      <c r="AL18" s="236">
        <f t="shared" ca="1" si="20"/>
        <v>20</v>
      </c>
      <c r="AM18" s="236" t="str">
        <f t="shared" ca="1" si="4"/>
        <v/>
      </c>
      <c r="AQ18" s="286" t="s">
        <v>18</v>
      </c>
      <c r="AR18" s="286" t="s">
        <v>10</v>
      </c>
      <c r="AS18" s="286">
        <v>20</v>
      </c>
      <c r="AT18" s="286" t="s">
        <v>86</v>
      </c>
      <c r="AV18" s="234">
        <f t="shared" si="21"/>
        <v>2</v>
      </c>
      <c r="AW18" s="234">
        <f>COUNTIF( AV$7:AV18, AV18 )</f>
        <v>4</v>
      </c>
      <c r="AX18" s="287">
        <f t="shared" si="22"/>
        <v>2.4</v>
      </c>
      <c r="AY18" s="234">
        <f t="shared" si="23"/>
        <v>5</v>
      </c>
      <c r="AZ18" s="236"/>
      <c r="BA18" s="236"/>
      <c r="BC18" s="234">
        <f t="shared" ca="1" si="24"/>
        <v>12</v>
      </c>
      <c r="BD18" s="288">
        <f t="shared" ca="1" si="6"/>
        <v>48</v>
      </c>
      <c r="BF18" s="240" t="str">
        <f t="shared" ca="1" si="7"/>
        <v>Vectren Corporation</v>
      </c>
      <c r="BG18" s="240" t="str">
        <f t="shared" ca="1" si="7"/>
        <v>A-</v>
      </c>
      <c r="BH18" s="240">
        <f t="shared" ca="1" si="7"/>
        <v>20</v>
      </c>
      <c r="BI18" s="240" t="str">
        <f t="shared" ca="1" si="7"/>
        <v>VVC</v>
      </c>
    </row>
    <row r="19" spans="1:61" x14ac:dyDescent="0.2">
      <c r="A19" s="303" t="s">
        <v>527</v>
      </c>
      <c r="B19" s="304" t="s">
        <v>10</v>
      </c>
      <c r="C19" s="304">
        <v>20</v>
      </c>
      <c r="D19" s="304" t="s">
        <v>336</v>
      </c>
      <c r="E19" s="305" t="str">
        <f t="shared" ca="1" si="8"/>
        <v>R</v>
      </c>
      <c r="F19" s="306"/>
      <c r="G19" s="307">
        <f t="shared" ca="1" si="1"/>
        <v>53</v>
      </c>
      <c r="H19" s="250"/>
      <c r="I19" s="321"/>
      <c r="K19" s="321"/>
      <c r="N19" s="321"/>
      <c r="O19" s="240"/>
      <c r="Q19" s="321"/>
      <c r="T19" s="321"/>
      <c r="W19" s="321"/>
      <c r="AE19" s="254"/>
      <c r="AF19" s="236">
        <f t="shared" si="2"/>
        <v>0</v>
      </c>
      <c r="AG19" s="236" t="str">
        <f t="shared" ca="1" si="3"/>
        <v/>
      </c>
      <c r="AH19" s="236" t="str">
        <f t="shared" ca="1" si="18"/>
        <v/>
      </c>
      <c r="AJ19" s="236">
        <f t="shared" ca="1" si="19"/>
        <v>19</v>
      </c>
      <c r="AK19" s="236" t="str">
        <f t="shared" ca="1" si="20"/>
        <v>A-</v>
      </c>
      <c r="AL19" s="236">
        <f t="shared" ca="1" si="20"/>
        <v>20</v>
      </c>
      <c r="AM19" s="236" t="str">
        <f t="shared" ca="1" si="4"/>
        <v/>
      </c>
      <c r="AQ19" s="286" t="s">
        <v>64</v>
      </c>
      <c r="AR19" s="286" t="s">
        <v>61</v>
      </c>
      <c r="AS19" s="286">
        <v>15</v>
      </c>
      <c r="AT19" s="286" t="s">
        <v>443</v>
      </c>
      <c r="AV19" s="234">
        <f t="shared" si="21"/>
        <v>51</v>
      </c>
      <c r="AW19" s="234">
        <f>COUNTIF( AV$7:AV19, AV19 )</f>
        <v>1</v>
      </c>
      <c r="AX19" s="287">
        <f t="shared" si="22"/>
        <v>51.1</v>
      </c>
      <c r="AY19" s="234">
        <f t="shared" si="23"/>
        <v>51</v>
      </c>
      <c r="AZ19" s="236"/>
      <c r="BA19" s="236"/>
      <c r="BC19" s="234">
        <f t="shared" ca="1" si="24"/>
        <v>13</v>
      </c>
      <c r="BD19" s="288">
        <f t="shared" ca="1" si="6"/>
        <v>50</v>
      </c>
      <c r="BF19" s="240" t="str">
        <f t="shared" ca="1" si="7"/>
        <v>WEC Energy Group, Inc.</v>
      </c>
      <c r="BG19" s="240" t="str">
        <f t="shared" ca="1" si="7"/>
        <v>A-</v>
      </c>
      <c r="BH19" s="240">
        <f t="shared" ca="1" si="7"/>
        <v>20</v>
      </c>
      <c r="BI19" s="240" t="str">
        <f t="shared" ca="1" si="7"/>
        <v>WEC</v>
      </c>
    </row>
    <row r="20" spans="1:61" x14ac:dyDescent="0.2">
      <c r="A20" s="303" t="s">
        <v>258</v>
      </c>
      <c r="B20" s="304" t="s">
        <v>10</v>
      </c>
      <c r="C20" s="304">
        <v>20</v>
      </c>
      <c r="D20" s="304" t="s">
        <v>338</v>
      </c>
      <c r="E20" s="305" t="str">
        <f t="shared" ca="1" si="8"/>
        <v>R</v>
      </c>
      <c r="F20" s="306"/>
      <c r="G20" s="307">
        <f t="shared" ca="1" si="1"/>
        <v>54</v>
      </c>
      <c r="H20" s="250"/>
      <c r="I20" s="322"/>
      <c r="K20" s="322"/>
      <c r="N20" s="322"/>
      <c r="O20" s="240"/>
      <c r="Q20" s="322"/>
      <c r="T20" s="322"/>
      <c r="W20" s="322"/>
      <c r="AE20" s="254"/>
      <c r="AF20" s="236">
        <f t="shared" si="2"/>
        <v>0</v>
      </c>
      <c r="AG20" s="236" t="str">
        <f t="shared" ca="1" si="3"/>
        <v/>
      </c>
      <c r="AH20" s="236" t="str">
        <f t="shared" ca="1" si="18"/>
        <v/>
      </c>
      <c r="AJ20" s="236">
        <f t="shared" ca="1" si="19"/>
        <v>20</v>
      </c>
      <c r="AK20" s="236" t="str">
        <f t="shared" ca="1" si="20"/>
        <v>A-</v>
      </c>
      <c r="AL20" s="236">
        <f t="shared" ca="1" si="20"/>
        <v>20</v>
      </c>
      <c r="AM20" s="236" t="str">
        <f t="shared" ca="1" si="4"/>
        <v/>
      </c>
      <c r="AQ20" s="286" t="s">
        <v>31</v>
      </c>
      <c r="AR20" s="286" t="s">
        <v>16</v>
      </c>
      <c r="AS20" s="286">
        <v>19</v>
      </c>
      <c r="AT20" s="286" t="s">
        <v>289</v>
      </c>
      <c r="AV20" s="234">
        <f t="shared" si="21"/>
        <v>15</v>
      </c>
      <c r="AW20" s="234">
        <f>COUNTIF( AV$7:AV20, AV20 )</f>
        <v>6</v>
      </c>
      <c r="AX20" s="287">
        <f t="shared" si="22"/>
        <v>15.6</v>
      </c>
      <c r="AY20" s="234">
        <f t="shared" si="23"/>
        <v>20</v>
      </c>
      <c r="AZ20" s="236"/>
      <c r="BA20" s="236"/>
      <c r="BC20" s="234">
        <f t="shared" ca="1" si="24"/>
        <v>14</v>
      </c>
      <c r="BD20" s="288">
        <f t="shared" ca="1" si="6"/>
        <v>51</v>
      </c>
      <c r="BF20" s="240" t="str">
        <f t="shared" ca="1" si="7"/>
        <v>Xcel Energy Inc.</v>
      </c>
      <c r="BG20" s="240" t="str">
        <f t="shared" ca="1" si="7"/>
        <v>A-</v>
      </c>
      <c r="BH20" s="240">
        <f t="shared" ca="1" si="7"/>
        <v>20</v>
      </c>
      <c r="BI20" s="240" t="str">
        <f t="shared" ca="1" si="7"/>
        <v>XEL</v>
      </c>
    </row>
    <row r="21" spans="1:61" x14ac:dyDescent="0.2">
      <c r="A21" s="303" t="s">
        <v>15</v>
      </c>
      <c r="B21" s="304" t="s">
        <v>16</v>
      </c>
      <c r="C21" s="304">
        <v>19</v>
      </c>
      <c r="D21" s="304" t="s">
        <v>277</v>
      </c>
      <c r="E21" s="305" t="str">
        <f t="shared" ca="1" si="8"/>
        <v>R</v>
      </c>
      <c r="F21" s="306"/>
      <c r="G21" s="307">
        <f t="shared" ca="1" si="1"/>
        <v>7</v>
      </c>
      <c r="H21" s="250"/>
      <c r="I21" s="321"/>
      <c r="K21" s="321"/>
      <c r="N21" s="321"/>
      <c r="Q21" s="321"/>
      <c r="T21" s="321"/>
      <c r="W21" s="321"/>
      <c r="AE21" s="254"/>
      <c r="AF21" s="236">
        <f t="shared" si="2"/>
        <v>1</v>
      </c>
      <c r="AG21" s="236" t="str">
        <f t="shared" ca="1" si="3"/>
        <v/>
      </c>
      <c r="AH21" s="236" t="str">
        <f t="shared" ca="1" si="18"/>
        <v/>
      </c>
      <c r="AJ21" s="236">
        <f t="shared" ca="1" si="19"/>
        <v>21</v>
      </c>
      <c r="AK21" s="236" t="str">
        <f t="shared" ca="1" si="20"/>
        <v>BBB+</v>
      </c>
      <c r="AL21" s="236">
        <f t="shared" ca="1" si="20"/>
        <v>19</v>
      </c>
      <c r="AM21" s="236" t="str">
        <f t="shared" ca="1" si="4"/>
        <v/>
      </c>
      <c r="AQ21" s="286" t="s">
        <v>32</v>
      </c>
      <c r="AR21" s="286" t="s">
        <v>10</v>
      </c>
      <c r="AS21" s="286">
        <v>20</v>
      </c>
      <c r="AT21" s="286" t="s">
        <v>290</v>
      </c>
      <c r="AV21" s="234">
        <f t="shared" si="21"/>
        <v>2</v>
      </c>
      <c r="AW21" s="234">
        <f>COUNTIF( AV$7:AV21, AV21 )</f>
        <v>5</v>
      </c>
      <c r="AX21" s="287">
        <f t="shared" si="22"/>
        <v>2.5</v>
      </c>
      <c r="AY21" s="234">
        <f t="shared" si="23"/>
        <v>6</v>
      </c>
      <c r="AZ21" s="236"/>
      <c r="BA21" s="236"/>
      <c r="BC21" s="234">
        <f t="shared" ca="1" si="24"/>
        <v>15</v>
      </c>
      <c r="BD21" s="288">
        <f t="shared" ca="1" si="6"/>
        <v>1</v>
      </c>
      <c r="BF21" s="240" t="str">
        <f t="shared" ca="1" si="7"/>
        <v>ALLETE, Inc.</v>
      </c>
      <c r="BG21" s="240" t="str">
        <f t="shared" ca="1" si="7"/>
        <v>BBB+</v>
      </c>
      <c r="BH21" s="240">
        <f t="shared" ca="1" si="7"/>
        <v>19</v>
      </c>
      <c r="BI21" s="240" t="str">
        <f t="shared" ca="1" si="7"/>
        <v>ALE</v>
      </c>
    </row>
    <row r="22" spans="1:61" x14ac:dyDescent="0.2">
      <c r="A22" s="303" t="s">
        <v>9</v>
      </c>
      <c r="B22" s="304" t="s">
        <v>16</v>
      </c>
      <c r="C22" s="304">
        <v>19</v>
      </c>
      <c r="D22" s="304" t="s">
        <v>274</v>
      </c>
      <c r="E22" s="305" t="str">
        <f t="shared" ca="1" si="8"/>
        <v>R</v>
      </c>
      <c r="F22" s="306"/>
      <c r="G22" s="307">
        <f t="shared" ca="1" si="1"/>
        <v>9</v>
      </c>
      <c r="H22" s="250"/>
      <c r="I22" s="321"/>
      <c r="K22" s="321"/>
      <c r="N22" s="321"/>
      <c r="Q22" s="321"/>
      <c r="T22" s="321"/>
      <c r="W22" s="321"/>
      <c r="AE22" s="254"/>
      <c r="AF22" s="236">
        <f t="shared" si="2"/>
        <v>1</v>
      </c>
      <c r="AG22" s="236" t="str">
        <f t="shared" ca="1" si="3"/>
        <v/>
      </c>
      <c r="AH22" s="236" t="str">
        <f t="shared" ca="1" si="18"/>
        <v/>
      </c>
      <c r="AJ22" s="236">
        <f t="shared" ca="1" si="19"/>
        <v>22</v>
      </c>
      <c r="AK22" s="236" t="str">
        <f t="shared" ca="1" si="20"/>
        <v>BBB+</v>
      </c>
      <c r="AL22" s="236">
        <f t="shared" ca="1" si="20"/>
        <v>19</v>
      </c>
      <c r="AM22" s="236" t="str">
        <f t="shared" ca="1" si="4"/>
        <v/>
      </c>
      <c r="AQ22" s="286" t="s">
        <v>57</v>
      </c>
      <c r="AR22" s="286" t="s">
        <v>16</v>
      </c>
      <c r="AS22" s="286">
        <v>19</v>
      </c>
      <c r="AT22" s="286" t="s">
        <v>296</v>
      </c>
      <c r="AV22" s="234">
        <f t="shared" si="21"/>
        <v>15</v>
      </c>
      <c r="AW22" s="234">
        <f>COUNTIF( AV$7:AV22, AV22 )</f>
        <v>7</v>
      </c>
      <c r="AX22" s="287">
        <f t="shared" si="22"/>
        <v>15.7</v>
      </c>
      <c r="AY22" s="234">
        <f t="shared" si="23"/>
        <v>21</v>
      </c>
      <c r="AZ22" s="236"/>
      <c r="BA22" s="236"/>
      <c r="BC22" s="234">
        <f t="shared" ca="1" si="24"/>
        <v>16</v>
      </c>
      <c r="BD22" s="288">
        <f t="shared" ca="1" si="6"/>
        <v>3</v>
      </c>
      <c r="BF22" s="240" t="str">
        <f t="shared" ca="1" si="7"/>
        <v>Ameren Corporation</v>
      </c>
      <c r="BG22" s="240" t="str">
        <f t="shared" ca="1" si="7"/>
        <v>BBB+</v>
      </c>
      <c r="BH22" s="240">
        <f t="shared" ca="1" si="7"/>
        <v>19</v>
      </c>
      <c r="BI22" s="240" t="str">
        <f t="shared" ca="1" si="7"/>
        <v>AEE</v>
      </c>
    </row>
    <row r="23" spans="1:61" x14ac:dyDescent="0.2">
      <c r="A23" s="303" t="s">
        <v>501</v>
      </c>
      <c r="B23" s="304" t="s">
        <v>16</v>
      </c>
      <c r="C23" s="304">
        <v>19</v>
      </c>
      <c r="D23" s="304" t="s">
        <v>447</v>
      </c>
      <c r="E23" s="305" t="str">
        <f t="shared" ca="1" si="8"/>
        <v>MR</v>
      </c>
      <c r="F23" s="306"/>
      <c r="G23" s="307">
        <f t="shared" ca="1" si="1"/>
        <v>60</v>
      </c>
      <c r="H23" s="250"/>
      <c r="I23" s="321"/>
      <c r="K23" s="321"/>
      <c r="N23" s="321"/>
      <c r="Q23" s="321"/>
      <c r="T23" s="321"/>
      <c r="W23" s="321"/>
      <c r="AE23" s="254"/>
      <c r="AF23" s="236">
        <f t="shared" si="2"/>
        <v>1</v>
      </c>
      <c r="AG23" s="236" t="str">
        <f t="shared" ca="1" si="3"/>
        <v/>
      </c>
      <c r="AH23" s="236" t="str">
        <f t="shared" ca="1" si="18"/>
        <v/>
      </c>
      <c r="AJ23" s="236">
        <f t="shared" ca="1" si="19"/>
        <v>23</v>
      </c>
      <c r="AK23" s="236" t="str">
        <f t="shared" ca="1" si="20"/>
        <v>BBB+</v>
      </c>
      <c r="AL23" s="236">
        <f t="shared" ca="1" si="20"/>
        <v>19</v>
      </c>
      <c r="AM23" s="236" t="str">
        <f t="shared" ca="1" si="4"/>
        <v/>
      </c>
      <c r="AQ23" s="286" t="s">
        <v>34</v>
      </c>
      <c r="AR23" s="286" t="s">
        <v>28</v>
      </c>
      <c r="AS23" s="286">
        <v>18</v>
      </c>
      <c r="AT23" s="286" t="s">
        <v>294</v>
      </c>
      <c r="AV23" s="234">
        <f t="shared" si="21"/>
        <v>32</v>
      </c>
      <c r="AW23" s="234">
        <f>COUNTIF( AV$7:AV23, AV23 )</f>
        <v>4</v>
      </c>
      <c r="AX23" s="287">
        <f t="shared" si="22"/>
        <v>32.4</v>
      </c>
      <c r="AY23" s="234">
        <f t="shared" si="23"/>
        <v>35</v>
      </c>
      <c r="AZ23" s="236"/>
      <c r="BA23" s="236"/>
      <c r="BC23" s="234">
        <f t="shared" ca="1" si="24"/>
        <v>17</v>
      </c>
      <c r="BD23" s="288">
        <f t="shared" ca="1" si="6"/>
        <v>6</v>
      </c>
      <c r="BF23" s="240" t="str">
        <f t="shared" ca="1" si="7"/>
        <v>Berkshire Energy Holdings Company</v>
      </c>
      <c r="BG23" s="240" t="str">
        <f t="shared" ca="1" si="7"/>
        <v>BBB+</v>
      </c>
      <c r="BH23" s="240">
        <f t="shared" ca="1" si="7"/>
        <v>19</v>
      </c>
      <c r="BI23" s="240" t="str">
        <f t="shared" ca="1" si="7"/>
        <v>**BRK</v>
      </c>
    </row>
    <row r="24" spans="1:61" x14ac:dyDescent="0.2">
      <c r="A24" s="303" t="s">
        <v>30</v>
      </c>
      <c r="B24" s="304" t="s">
        <v>16</v>
      </c>
      <c r="C24" s="304">
        <v>19</v>
      </c>
      <c r="D24" s="304" t="s">
        <v>285</v>
      </c>
      <c r="E24" s="305" t="str">
        <f t="shared" ca="1" si="8"/>
        <v>R</v>
      </c>
      <c r="F24" s="306"/>
      <c r="G24" s="307">
        <f t="shared" ca="1" si="1"/>
        <v>14</v>
      </c>
      <c r="H24" s="250"/>
      <c r="I24" s="321"/>
      <c r="J24" s="262"/>
      <c r="K24" s="321"/>
      <c r="N24" s="321"/>
      <c r="Q24" s="321"/>
      <c r="T24" s="321"/>
      <c r="W24" s="321"/>
      <c r="AE24" s="254"/>
      <c r="AF24" s="236">
        <f t="shared" si="2"/>
        <v>1</v>
      </c>
      <c r="AG24" s="236" t="str">
        <f t="shared" ca="1" si="3"/>
        <v/>
      </c>
      <c r="AH24" s="236" t="str">
        <f t="shared" ca="1" si="18"/>
        <v/>
      </c>
      <c r="AJ24" s="236">
        <f t="shared" ca="1" si="19"/>
        <v>24</v>
      </c>
      <c r="AK24" s="236" t="str">
        <f t="shared" ca="1" si="20"/>
        <v>BBB+</v>
      </c>
      <c r="AL24" s="236">
        <f t="shared" ca="1" si="20"/>
        <v>19</v>
      </c>
      <c r="AM24" s="236" t="str">
        <f t="shared" ca="1" si="4"/>
        <v/>
      </c>
      <c r="AQ24" s="286" t="s">
        <v>35</v>
      </c>
      <c r="AR24" s="286" t="s">
        <v>28</v>
      </c>
      <c r="AS24" s="286">
        <v>18</v>
      </c>
      <c r="AT24" s="286" t="s">
        <v>293</v>
      </c>
      <c r="AV24" s="234">
        <f t="shared" si="21"/>
        <v>32</v>
      </c>
      <c r="AW24" s="234">
        <f>COUNTIF( AV$7:AV24, AV24 )</f>
        <v>5</v>
      </c>
      <c r="AX24" s="287">
        <f t="shared" si="22"/>
        <v>32.5</v>
      </c>
      <c r="AY24" s="234">
        <f t="shared" si="23"/>
        <v>36</v>
      </c>
      <c r="AZ24" s="236"/>
      <c r="BA24" s="236"/>
      <c r="BC24" s="234">
        <f t="shared" ca="1" si="24"/>
        <v>18</v>
      </c>
      <c r="BD24" s="288">
        <f t="shared" ca="1" si="6"/>
        <v>9</v>
      </c>
      <c r="BF24" s="240" t="str">
        <f t="shared" ca="1" si="7"/>
        <v>Cleco Corporation</v>
      </c>
      <c r="BG24" s="240" t="str">
        <f t="shared" ca="1" si="7"/>
        <v>BBB+</v>
      </c>
      <c r="BH24" s="240">
        <f t="shared" ca="1" si="7"/>
        <v>19</v>
      </c>
      <c r="BI24" s="240" t="str">
        <f t="shared" ca="1" si="7"/>
        <v>CNL</v>
      </c>
    </row>
    <row r="25" spans="1:61" x14ac:dyDescent="0.2">
      <c r="A25" s="303" t="s">
        <v>60</v>
      </c>
      <c r="B25" s="304" t="s">
        <v>16</v>
      </c>
      <c r="C25" s="304">
        <v>19</v>
      </c>
      <c r="D25" s="304" t="s">
        <v>284</v>
      </c>
      <c r="E25" s="305" t="str">
        <f t="shared" ca="1" si="8"/>
        <v>R</v>
      </c>
      <c r="F25" s="306"/>
      <c r="G25" s="307">
        <f t="shared" ca="1" si="1"/>
        <v>15</v>
      </c>
      <c r="H25" s="250"/>
      <c r="I25" s="321"/>
      <c r="J25" s="262"/>
      <c r="K25" s="321"/>
      <c r="N25" s="321"/>
      <c r="Q25" s="321"/>
      <c r="T25" s="321"/>
      <c r="W25" s="321"/>
      <c r="AE25" s="254"/>
      <c r="AF25" s="236">
        <f t="shared" si="2"/>
        <v>1</v>
      </c>
      <c r="AG25" s="236" t="str">
        <f t="shared" ca="1" si="3"/>
        <v/>
      </c>
      <c r="AH25" s="236" t="str">
        <f t="shared" ca="1" si="18"/>
        <v/>
      </c>
      <c r="AJ25" s="236">
        <f t="shared" ca="1" si="19"/>
        <v>25</v>
      </c>
      <c r="AK25" s="236" t="str">
        <f t="shared" ca="1" si="20"/>
        <v>BBB+</v>
      </c>
      <c r="AL25" s="236">
        <f t="shared" ca="1" si="20"/>
        <v>19</v>
      </c>
      <c r="AM25" s="236" t="str">
        <f t="shared" ca="1" si="4"/>
        <v/>
      </c>
      <c r="AQ25" s="286" t="s">
        <v>36</v>
      </c>
      <c r="AR25" s="286" t="s">
        <v>28</v>
      </c>
      <c r="AS25" s="286">
        <v>18</v>
      </c>
      <c r="AT25" s="286" t="s">
        <v>297</v>
      </c>
      <c r="AV25" s="234">
        <f t="shared" si="21"/>
        <v>32</v>
      </c>
      <c r="AW25" s="234">
        <f>COUNTIF( AV$7:AV25, AV25 )</f>
        <v>6</v>
      </c>
      <c r="AX25" s="287">
        <f t="shared" si="22"/>
        <v>32.6</v>
      </c>
      <c r="AY25" s="234">
        <f t="shared" si="23"/>
        <v>37</v>
      </c>
      <c r="AZ25" s="236"/>
      <c r="BA25" s="236"/>
      <c r="BC25" s="234">
        <f t="shared" ca="1" si="24"/>
        <v>19</v>
      </c>
      <c r="BD25" s="288">
        <f t="shared" ca="1" si="6"/>
        <v>10</v>
      </c>
      <c r="BF25" s="240" t="str">
        <f t="shared" ca="1" si="7"/>
        <v>CMS Energy Corporation</v>
      </c>
      <c r="BG25" s="240" t="str">
        <f t="shared" ca="1" si="7"/>
        <v>BBB+</v>
      </c>
      <c r="BH25" s="240">
        <f t="shared" ca="1" si="7"/>
        <v>19</v>
      </c>
      <c r="BI25" s="240" t="str">
        <f t="shared" ca="1" si="7"/>
        <v>CMS</v>
      </c>
    </row>
    <row r="26" spans="1:61" x14ac:dyDescent="0.2">
      <c r="A26" s="303" t="s">
        <v>31</v>
      </c>
      <c r="B26" s="304" t="s">
        <v>16</v>
      </c>
      <c r="C26" s="304">
        <v>19</v>
      </c>
      <c r="D26" s="304" t="s">
        <v>289</v>
      </c>
      <c r="E26" s="305" t="str">
        <f t="shared" ca="1" si="8"/>
        <v>R</v>
      </c>
      <c r="F26" s="306"/>
      <c r="G26" s="307">
        <f t="shared" ca="1" si="1"/>
        <v>18</v>
      </c>
      <c r="H26" s="250"/>
      <c r="I26" s="321"/>
      <c r="J26" s="262"/>
      <c r="K26" s="321"/>
      <c r="N26" s="321"/>
      <c r="Q26" s="321"/>
      <c r="T26" s="321"/>
      <c r="W26" s="321"/>
      <c r="AE26" s="254"/>
      <c r="AF26" s="236">
        <f t="shared" si="2"/>
        <v>1</v>
      </c>
      <c r="AG26" s="236" t="str">
        <f t="shared" ca="1" si="3"/>
        <v/>
      </c>
      <c r="AH26" s="236" t="str">
        <f t="shared" ca="1" si="18"/>
        <v/>
      </c>
      <c r="AJ26" s="236">
        <f t="shared" ca="1" si="19"/>
        <v>26</v>
      </c>
      <c r="AK26" s="236" t="str">
        <f t="shared" ca="1" si="20"/>
        <v>BBB+</v>
      </c>
      <c r="AL26" s="236">
        <f t="shared" ca="1" si="20"/>
        <v>19</v>
      </c>
      <c r="AM26" s="236" t="str">
        <f t="shared" ca="1" si="4"/>
        <v/>
      </c>
      <c r="AQ26" s="286" t="s">
        <v>516</v>
      </c>
      <c r="AR26" s="286" t="s">
        <v>2</v>
      </c>
      <c r="AS26" s="286">
        <v>21</v>
      </c>
      <c r="AT26" s="286" t="s">
        <v>512</v>
      </c>
      <c r="AV26" s="234">
        <f t="shared" si="21"/>
        <v>1</v>
      </c>
      <c r="AW26" s="234">
        <f>COUNTIF( AV$7:AV26, AV26 )</f>
        <v>1</v>
      </c>
      <c r="AX26" s="287">
        <f t="shared" si="22"/>
        <v>1.1000000000000001</v>
      </c>
      <c r="AY26" s="234">
        <f t="shared" si="23"/>
        <v>1</v>
      </c>
      <c r="AZ26" s="236"/>
      <c r="BA26" s="236"/>
      <c r="BC26" s="234">
        <f t="shared" ca="1" si="24"/>
        <v>20</v>
      </c>
      <c r="BD26" s="288">
        <f t="shared" ca="1" si="6"/>
        <v>14</v>
      </c>
      <c r="BF26" s="240" t="str">
        <f t="shared" ca="1" si="7"/>
        <v>DTE Energy Company</v>
      </c>
      <c r="BG26" s="240" t="str">
        <f t="shared" ca="1" si="7"/>
        <v>BBB+</v>
      </c>
      <c r="BH26" s="240">
        <f t="shared" ca="1" si="7"/>
        <v>19</v>
      </c>
      <c r="BI26" s="240" t="str">
        <f t="shared" ca="1" si="7"/>
        <v>DTE</v>
      </c>
    </row>
    <row r="27" spans="1:61" x14ac:dyDescent="0.2">
      <c r="A27" s="303" t="s">
        <v>57</v>
      </c>
      <c r="B27" s="304" t="s">
        <v>16</v>
      </c>
      <c r="C27" s="304">
        <v>19</v>
      </c>
      <c r="D27" s="304" t="s">
        <v>296</v>
      </c>
      <c r="E27" s="305" t="str">
        <f t="shared" ca="1" si="8"/>
        <v>R</v>
      </c>
      <c r="F27" s="306"/>
      <c r="G27" s="307">
        <f t="shared" ca="1" si="1"/>
        <v>20</v>
      </c>
      <c r="H27" s="250"/>
      <c r="I27" s="321"/>
      <c r="J27" s="262"/>
      <c r="K27" s="321"/>
      <c r="N27" s="321"/>
      <c r="Q27" s="321"/>
      <c r="T27" s="321"/>
      <c r="W27" s="321"/>
      <c r="AE27" s="254"/>
      <c r="AF27" s="236">
        <f t="shared" si="2"/>
        <v>1</v>
      </c>
      <c r="AG27" s="236" t="str">
        <f t="shared" ca="1" si="3"/>
        <v/>
      </c>
      <c r="AH27" s="236" t="str">
        <f t="shared" ca="1" si="18"/>
        <v/>
      </c>
      <c r="AJ27" s="236">
        <f t="shared" ca="1" si="19"/>
        <v>27</v>
      </c>
      <c r="AK27" s="236" t="str">
        <f t="shared" ca="1" si="20"/>
        <v>BBB+</v>
      </c>
      <c r="AL27" s="236">
        <f t="shared" ca="1" si="20"/>
        <v>19</v>
      </c>
      <c r="AM27" s="236" t="str">
        <f t="shared" ca="1" si="4"/>
        <v/>
      </c>
      <c r="AQ27" s="286" t="s">
        <v>11</v>
      </c>
      <c r="AR27" s="286" t="s">
        <v>28</v>
      </c>
      <c r="AS27" s="286">
        <v>18</v>
      </c>
      <c r="AT27" s="286" t="s">
        <v>298</v>
      </c>
      <c r="AV27" s="234">
        <f t="shared" si="21"/>
        <v>32</v>
      </c>
      <c r="AW27" s="234">
        <f>COUNTIF( AV$7:AV27, AV27 )</f>
        <v>7</v>
      </c>
      <c r="AX27" s="287">
        <f t="shared" si="22"/>
        <v>32.700000000000003</v>
      </c>
      <c r="AY27" s="234">
        <f t="shared" si="23"/>
        <v>38</v>
      </c>
      <c r="AZ27" s="236"/>
      <c r="BA27" s="236"/>
      <c r="BC27" s="234">
        <f t="shared" ca="1" si="24"/>
        <v>21</v>
      </c>
      <c r="BD27" s="288">
        <f t="shared" ca="1" si="6"/>
        <v>16</v>
      </c>
      <c r="BF27" s="240" t="str">
        <f t="shared" ca="1" si="7"/>
        <v>Edison International</v>
      </c>
      <c r="BG27" s="240" t="str">
        <f t="shared" ca="1" si="7"/>
        <v>BBB+</v>
      </c>
      <c r="BH27" s="240">
        <f t="shared" ca="1" si="7"/>
        <v>19</v>
      </c>
      <c r="BI27" s="240" t="str">
        <f t="shared" ca="1" si="7"/>
        <v>EIX</v>
      </c>
    </row>
    <row r="28" spans="1:61" x14ac:dyDescent="0.2">
      <c r="A28" s="303" t="s">
        <v>261</v>
      </c>
      <c r="B28" s="304" t="s">
        <v>16</v>
      </c>
      <c r="C28" s="304">
        <v>19</v>
      </c>
      <c r="D28" s="304" t="s">
        <v>301</v>
      </c>
      <c r="E28" s="305" t="str">
        <f t="shared" ca="1" si="8"/>
        <v>R</v>
      </c>
      <c r="F28" s="306"/>
      <c r="G28" s="307">
        <f t="shared" ca="1" si="1"/>
        <v>26</v>
      </c>
      <c r="H28" s="250"/>
      <c r="I28" s="321"/>
      <c r="J28" s="262"/>
      <c r="K28" s="321"/>
      <c r="N28" s="321"/>
      <c r="Q28" s="321"/>
      <c r="T28" s="321"/>
      <c r="W28" s="321"/>
      <c r="AE28" s="245"/>
      <c r="AF28" s="236">
        <f t="shared" si="2"/>
        <v>1</v>
      </c>
      <c r="AG28" s="236" t="str">
        <f t="shared" ca="1" si="3"/>
        <v/>
      </c>
      <c r="AH28" s="236" t="str">
        <f t="shared" ca="1" si="18"/>
        <v/>
      </c>
      <c r="AJ28" s="236">
        <f t="shared" ca="1" si="19"/>
        <v>28</v>
      </c>
      <c r="AK28" s="236" t="str">
        <f t="shared" ca="1" si="20"/>
        <v>BBB+</v>
      </c>
      <c r="AL28" s="236">
        <f t="shared" ca="1" si="20"/>
        <v>19</v>
      </c>
      <c r="AM28" s="236" t="str">
        <f t="shared" ca="1" si="4"/>
        <v/>
      </c>
      <c r="AQ28" s="286" t="s">
        <v>51</v>
      </c>
      <c r="AR28" s="286" t="s">
        <v>49</v>
      </c>
      <c r="AS28" s="286">
        <v>17</v>
      </c>
      <c r="AT28" s="286" t="s">
        <v>299</v>
      </c>
      <c r="AV28" s="234">
        <f t="shared" si="21"/>
        <v>47</v>
      </c>
      <c r="AW28" s="234">
        <f>COUNTIF( AV$7:AV28, AV28 )</f>
        <v>1</v>
      </c>
      <c r="AX28" s="287">
        <f t="shared" si="22"/>
        <v>47.1</v>
      </c>
      <c r="AY28" s="234">
        <f t="shared" si="23"/>
        <v>47</v>
      </c>
      <c r="AZ28" s="236"/>
      <c r="BA28" s="236"/>
      <c r="BC28" s="234">
        <f t="shared" ca="1" si="24"/>
        <v>22</v>
      </c>
      <c r="BD28" s="288">
        <f t="shared" ca="1" si="6"/>
        <v>23</v>
      </c>
      <c r="BF28" s="240" t="str">
        <f t="shared" ca="1" si="7"/>
        <v>Great Plains Energy Inc.</v>
      </c>
      <c r="BG28" s="240" t="str">
        <f t="shared" ca="1" si="7"/>
        <v>BBB+</v>
      </c>
      <c r="BH28" s="240">
        <f t="shared" ca="1" si="7"/>
        <v>19</v>
      </c>
      <c r="BI28" s="240" t="str">
        <f t="shared" ca="1" si="7"/>
        <v>GXP</v>
      </c>
    </row>
    <row r="29" spans="1:61" x14ac:dyDescent="0.2">
      <c r="A29" s="303" t="s">
        <v>12</v>
      </c>
      <c r="B29" s="304" t="s">
        <v>16</v>
      </c>
      <c r="C29" s="304">
        <v>19</v>
      </c>
      <c r="D29" s="304" t="s">
        <v>309</v>
      </c>
      <c r="E29" s="305" t="str">
        <f t="shared" ca="1" si="8"/>
        <v>D</v>
      </c>
      <c r="F29" s="306"/>
      <c r="G29" s="307">
        <f t="shared" ca="1" si="1"/>
        <v>30</v>
      </c>
      <c r="H29" s="250"/>
      <c r="I29" s="321"/>
      <c r="J29" s="262"/>
      <c r="K29" s="321"/>
      <c r="N29" s="321"/>
      <c r="Q29" s="321"/>
      <c r="T29" s="321"/>
      <c r="W29" s="321"/>
      <c r="AF29" s="236">
        <f t="shared" si="2"/>
        <v>1</v>
      </c>
      <c r="AG29" s="236" t="str">
        <f t="shared" ca="1" si="3"/>
        <v/>
      </c>
      <c r="AH29" s="236" t="str">
        <f t="shared" ca="1" si="18"/>
        <v/>
      </c>
      <c r="AJ29" s="236">
        <f t="shared" ca="1" si="19"/>
        <v>29</v>
      </c>
      <c r="AK29" s="236" t="str">
        <f t="shared" ca="1" si="20"/>
        <v>BBB+</v>
      </c>
      <c r="AL29" s="236">
        <f t="shared" ca="1" si="20"/>
        <v>19</v>
      </c>
      <c r="AM29" s="236" t="str">
        <f t="shared" ca="1" si="4"/>
        <v/>
      </c>
      <c r="AQ29" s="286" t="s">
        <v>261</v>
      </c>
      <c r="AR29" s="286" t="s">
        <v>16</v>
      </c>
      <c r="AS29" s="286">
        <v>19</v>
      </c>
      <c r="AT29" s="289" t="s">
        <v>301</v>
      </c>
      <c r="AV29" s="234">
        <f t="shared" si="21"/>
        <v>15</v>
      </c>
      <c r="AW29" s="234">
        <f>COUNTIF( AV$7:AV29, AV29 )</f>
        <v>8</v>
      </c>
      <c r="AX29" s="287">
        <f t="shared" si="22"/>
        <v>15.8</v>
      </c>
      <c r="AY29" s="234">
        <f t="shared" si="23"/>
        <v>22</v>
      </c>
      <c r="AZ29" s="236"/>
      <c r="BA29" s="236"/>
      <c r="BC29" s="234">
        <f t="shared" ca="1" si="24"/>
        <v>23</v>
      </c>
      <c r="BD29" s="288">
        <f t="shared" ca="1" si="6"/>
        <v>28</v>
      </c>
      <c r="BF29" s="240" t="str">
        <f t="shared" ca="1" si="7"/>
        <v>MDU Resources Group, Inc.</v>
      </c>
      <c r="BG29" s="240" t="str">
        <f t="shared" ca="1" si="7"/>
        <v>BBB+</v>
      </c>
      <c r="BH29" s="240">
        <f t="shared" ca="1" si="7"/>
        <v>19</v>
      </c>
      <c r="BI29" s="240" t="str">
        <f t="shared" ca="1" si="7"/>
        <v>MDU</v>
      </c>
    </row>
    <row r="30" spans="1:61" x14ac:dyDescent="0.2">
      <c r="A30" s="303" t="s">
        <v>40</v>
      </c>
      <c r="B30" s="304" t="s">
        <v>16</v>
      </c>
      <c r="C30" s="304">
        <v>19</v>
      </c>
      <c r="D30" s="304" t="s">
        <v>311</v>
      </c>
      <c r="E30" s="305" t="str">
        <f t="shared" ca="1" si="8"/>
        <v>MR</v>
      </c>
      <c r="F30" s="306"/>
      <c r="G30" s="307">
        <f t="shared" ca="1" si="1"/>
        <v>33</v>
      </c>
      <c r="H30" s="250"/>
      <c r="I30" s="321"/>
      <c r="J30" s="262"/>
      <c r="K30" s="321"/>
      <c r="N30" s="321"/>
      <c r="Q30" s="321"/>
      <c r="T30" s="321"/>
      <c r="W30" s="321"/>
      <c r="AF30" s="236">
        <f t="shared" si="2"/>
        <v>1</v>
      </c>
      <c r="AG30" s="236" t="str">
        <f t="shared" ca="1" si="3"/>
        <v/>
      </c>
      <c r="AH30" s="236" t="str">
        <f t="shared" ca="1" si="18"/>
        <v/>
      </c>
      <c r="AJ30" s="236">
        <f t="shared" ca="1" si="19"/>
        <v>30</v>
      </c>
      <c r="AK30" s="236" t="str">
        <f t="shared" ca="1" si="20"/>
        <v>BBB+</v>
      </c>
      <c r="AL30" s="236">
        <f t="shared" ca="1" si="20"/>
        <v>19</v>
      </c>
      <c r="AM30" s="236" t="str">
        <f t="shared" ca="1" si="4"/>
        <v/>
      </c>
      <c r="AQ30" s="286" t="s">
        <v>39</v>
      </c>
      <c r="AR30" s="286" t="s">
        <v>49</v>
      </c>
      <c r="AS30" s="286">
        <v>17</v>
      </c>
      <c r="AT30" s="289" t="s">
        <v>302</v>
      </c>
      <c r="AV30" s="234">
        <f t="shared" si="21"/>
        <v>47</v>
      </c>
      <c r="AW30" s="234">
        <f>COUNTIF( AV$7:AV30, AV30 )</f>
        <v>2</v>
      </c>
      <c r="AX30" s="287">
        <f t="shared" si="22"/>
        <v>47.2</v>
      </c>
      <c r="AY30" s="234">
        <f t="shared" si="23"/>
        <v>48</v>
      </c>
      <c r="AZ30" s="236"/>
      <c r="BA30" s="236"/>
      <c r="BC30" s="234">
        <f t="shared" ca="1" si="24"/>
        <v>24</v>
      </c>
      <c r="BD30" s="288">
        <f t="shared" ca="1" si="6"/>
        <v>30</v>
      </c>
      <c r="BF30" s="240" t="str">
        <f t="shared" ca="1" si="7"/>
        <v>NiSource Inc.</v>
      </c>
      <c r="BG30" s="240" t="str">
        <f t="shared" ca="1" si="7"/>
        <v>BBB+</v>
      </c>
      <c r="BH30" s="240">
        <f t="shared" ca="1" si="7"/>
        <v>19</v>
      </c>
      <c r="BI30" s="240" t="str">
        <f t="shared" ca="1" si="7"/>
        <v>NI</v>
      </c>
    </row>
    <row r="31" spans="1:61" x14ac:dyDescent="0.2">
      <c r="A31" s="303" t="s">
        <v>23</v>
      </c>
      <c r="B31" s="304" t="s">
        <v>16</v>
      </c>
      <c r="C31" s="304">
        <v>19</v>
      </c>
      <c r="D31" s="304" t="s">
        <v>323</v>
      </c>
      <c r="E31" s="305" t="str">
        <f t="shared" ca="1" si="8"/>
        <v>R</v>
      </c>
      <c r="F31" s="306"/>
      <c r="G31" s="307">
        <f t="shared" ca="1" si="1"/>
        <v>38</v>
      </c>
      <c r="H31" s="250"/>
      <c r="I31" s="321"/>
      <c r="J31" s="262"/>
      <c r="K31" s="321"/>
      <c r="N31" s="321"/>
      <c r="O31" s="253"/>
      <c r="Q31" s="321"/>
      <c r="T31" s="321"/>
      <c r="W31" s="321"/>
      <c r="AF31" s="236">
        <f t="shared" si="2"/>
        <v>1</v>
      </c>
      <c r="AG31" s="236" t="str">
        <f t="shared" ca="1" si="3"/>
        <v/>
      </c>
      <c r="AH31" s="236" t="str">
        <f t="shared" ca="1" si="18"/>
        <v/>
      </c>
      <c r="AJ31" s="236">
        <f t="shared" ca="1" si="19"/>
        <v>31</v>
      </c>
      <c r="AK31" s="236" t="str">
        <f t="shared" ca="1" si="20"/>
        <v>BBB+</v>
      </c>
      <c r="AL31" s="236">
        <f t="shared" ca="1" si="20"/>
        <v>19</v>
      </c>
      <c r="AM31" s="236" t="str">
        <f t="shared" ca="1" si="4"/>
        <v/>
      </c>
      <c r="AQ31" s="286" t="s">
        <v>452</v>
      </c>
      <c r="AR31" s="286" t="s">
        <v>28</v>
      </c>
      <c r="AS31" s="286">
        <v>18</v>
      </c>
      <c r="AT31" s="286" t="s">
        <v>444</v>
      </c>
      <c r="AV31" s="234">
        <f t="shared" si="21"/>
        <v>32</v>
      </c>
      <c r="AW31" s="234">
        <f>COUNTIF( AV$7:AV31, AV31 )</f>
        <v>8</v>
      </c>
      <c r="AX31" s="287">
        <f t="shared" si="22"/>
        <v>32.799999999999997</v>
      </c>
      <c r="AY31" s="234">
        <f t="shared" si="23"/>
        <v>39</v>
      </c>
      <c r="AZ31" s="236"/>
      <c r="BA31" s="236"/>
      <c r="BC31" s="234">
        <f t="shared" ca="1" si="24"/>
        <v>25</v>
      </c>
      <c r="BD31" s="288">
        <f t="shared" ca="1" si="6"/>
        <v>34</v>
      </c>
      <c r="BF31" s="240" t="str">
        <f t="shared" ca="1" si="7"/>
        <v>Pepco Holdings, Inc.</v>
      </c>
      <c r="BG31" s="240" t="str">
        <f t="shared" ca="1" si="7"/>
        <v>BBB+</v>
      </c>
      <c r="BH31" s="240">
        <f t="shared" ca="1" si="7"/>
        <v>19</v>
      </c>
      <c r="BI31" s="240" t="str">
        <f t="shared" ca="1" si="7"/>
        <v>POM</v>
      </c>
    </row>
    <row r="32" spans="1:61" x14ac:dyDescent="0.2">
      <c r="A32" s="303" t="s">
        <v>45</v>
      </c>
      <c r="B32" s="304" t="s">
        <v>16</v>
      </c>
      <c r="C32" s="304">
        <v>19</v>
      </c>
      <c r="D32" s="304" t="s">
        <v>319</v>
      </c>
      <c r="E32" s="305" t="str">
        <f t="shared" ca="1" si="8"/>
        <v>MR</v>
      </c>
      <c r="F32" s="306"/>
      <c r="G32" s="307">
        <f t="shared" ca="1" si="1"/>
        <v>44</v>
      </c>
      <c r="H32" s="250"/>
      <c r="I32" s="321"/>
      <c r="J32" s="262"/>
      <c r="K32" s="321"/>
      <c r="N32" s="321"/>
      <c r="Q32" s="321"/>
      <c r="T32" s="321"/>
      <c r="W32" s="321"/>
      <c r="AF32" s="236">
        <f t="shared" si="2"/>
        <v>1</v>
      </c>
      <c r="AG32" s="236" t="str">
        <f t="shared" ca="1" si="3"/>
        <v/>
      </c>
      <c r="AH32" s="236" t="str">
        <f t="shared" ca="1" si="18"/>
        <v/>
      </c>
      <c r="AJ32" s="236">
        <f t="shared" ca="1" si="19"/>
        <v>32</v>
      </c>
      <c r="AK32" s="236" t="str">
        <f t="shared" ca="1" si="20"/>
        <v>BBB+</v>
      </c>
      <c r="AL32" s="236">
        <f t="shared" ca="1" si="20"/>
        <v>19</v>
      </c>
      <c r="AM32" s="236" t="str">
        <f t="shared" ca="1" si="4"/>
        <v/>
      </c>
      <c r="AQ32" s="286" t="s">
        <v>20</v>
      </c>
      <c r="AR32" s="286" t="s">
        <v>28</v>
      </c>
      <c r="AS32" s="286">
        <v>18</v>
      </c>
      <c r="AT32" s="286" t="s">
        <v>303</v>
      </c>
      <c r="AV32" s="234">
        <f t="shared" si="21"/>
        <v>32</v>
      </c>
      <c r="AW32" s="234">
        <f>COUNTIF( AV$7:AV32, AV32 )</f>
        <v>9</v>
      </c>
      <c r="AX32" s="287">
        <f t="shared" si="22"/>
        <v>32.9</v>
      </c>
      <c r="AY32" s="234">
        <f t="shared" si="23"/>
        <v>40</v>
      </c>
      <c r="AZ32" s="236"/>
      <c r="BA32" s="236"/>
      <c r="BC32" s="234">
        <f t="shared" ca="1" si="24"/>
        <v>26</v>
      </c>
      <c r="BD32" s="288">
        <f t="shared" ca="1" si="6"/>
        <v>40</v>
      </c>
      <c r="BF32" s="240" t="str">
        <f t="shared" ca="1" si="7"/>
        <v>Public Service Enterprise Group Incorporated</v>
      </c>
      <c r="BG32" s="240" t="str">
        <f t="shared" ca="1" si="7"/>
        <v>BBB+</v>
      </c>
      <c r="BH32" s="240">
        <f t="shared" ca="1" si="7"/>
        <v>19</v>
      </c>
      <c r="BI32" s="240" t="str">
        <f t="shared" ca="1" si="7"/>
        <v>PEG</v>
      </c>
    </row>
    <row r="33" spans="1:61" x14ac:dyDescent="0.2">
      <c r="A33" s="303" t="s">
        <v>13</v>
      </c>
      <c r="B33" s="304" t="s">
        <v>16</v>
      </c>
      <c r="C33" s="304">
        <v>19</v>
      </c>
      <c r="D33" s="304" t="s">
        <v>327</v>
      </c>
      <c r="E33" s="305" t="str">
        <f t="shared" ca="1" si="8"/>
        <v>MR</v>
      </c>
      <c r="F33" s="306"/>
      <c r="G33" s="307">
        <f t="shared" ca="1" si="1"/>
        <v>45</v>
      </c>
      <c r="H33" s="250"/>
      <c r="I33" s="321"/>
      <c r="J33" s="262"/>
      <c r="K33" s="321"/>
      <c r="N33" s="321"/>
      <c r="Q33" s="321"/>
      <c r="T33" s="321"/>
      <c r="W33" s="321"/>
      <c r="AF33" s="236">
        <f t="shared" si="2"/>
        <v>1</v>
      </c>
      <c r="AG33" s="236" t="str">
        <f t="shared" ca="1" si="3"/>
        <v/>
      </c>
      <c r="AH33" s="236" t="str">
        <f t="shared" ca="1" si="18"/>
        <v/>
      </c>
      <c r="AJ33" s="236">
        <f t="shared" ca="1" si="19"/>
        <v>33</v>
      </c>
      <c r="AK33" s="236" t="str">
        <f t="shared" ca="1" si="20"/>
        <v>BBB+</v>
      </c>
      <c r="AL33" s="236">
        <f t="shared" ca="1" si="20"/>
        <v>19</v>
      </c>
      <c r="AM33" s="236" t="str">
        <f t="shared" ca="1" si="4"/>
        <v/>
      </c>
      <c r="AQ33" s="286" t="s">
        <v>58</v>
      </c>
      <c r="AR33" s="286" t="s">
        <v>56</v>
      </c>
      <c r="AS33" s="286">
        <v>16</v>
      </c>
      <c r="AT33" s="286" t="s">
        <v>446</v>
      </c>
      <c r="AV33" s="234">
        <f t="shared" si="21"/>
        <v>50</v>
      </c>
      <c r="AW33" s="234">
        <f>COUNTIF( AV$7:AV33, AV33 )</f>
        <v>1</v>
      </c>
      <c r="AX33" s="287">
        <f t="shared" si="22"/>
        <v>50.1</v>
      </c>
      <c r="AY33" s="234">
        <f t="shared" si="23"/>
        <v>50</v>
      </c>
      <c r="AZ33" s="236"/>
      <c r="BA33" s="236"/>
      <c r="BC33" s="234">
        <f t="shared" ca="1" si="24"/>
        <v>27</v>
      </c>
      <c r="BD33" s="288">
        <f t="shared" ca="1" si="6"/>
        <v>42</v>
      </c>
      <c r="BF33" s="240" t="str">
        <f t="shared" ca="1" si="7"/>
        <v>SCANA Corporation</v>
      </c>
      <c r="BG33" s="240" t="str">
        <f t="shared" ca="1" si="7"/>
        <v>BBB+</v>
      </c>
      <c r="BH33" s="240">
        <f t="shared" ca="1" si="7"/>
        <v>19</v>
      </c>
      <c r="BI33" s="240" t="str">
        <f t="shared" ca="1" si="7"/>
        <v>SCG</v>
      </c>
    </row>
    <row r="34" spans="1:61" x14ac:dyDescent="0.2">
      <c r="A34" s="303" t="s">
        <v>25</v>
      </c>
      <c r="B34" s="304" t="s">
        <v>16</v>
      </c>
      <c r="C34" s="304">
        <v>19</v>
      </c>
      <c r="D34" s="304" t="s">
        <v>329</v>
      </c>
      <c r="E34" s="305" t="str">
        <f t="shared" ca="1" si="8"/>
        <v>MR</v>
      </c>
      <c r="F34" s="306"/>
      <c r="G34" s="307">
        <f t="shared" ca="1" si="1"/>
        <v>46</v>
      </c>
      <c r="H34" s="250"/>
      <c r="I34" s="321"/>
      <c r="J34" s="262"/>
      <c r="K34" s="321"/>
      <c r="L34" s="235"/>
      <c r="M34" s="235"/>
      <c r="N34" s="321"/>
      <c r="Q34" s="321"/>
      <c r="T34" s="321"/>
      <c r="W34" s="321"/>
      <c r="AF34" s="236">
        <f t="shared" si="2"/>
        <v>1</v>
      </c>
      <c r="AG34" s="236" t="str">
        <f t="shared" ca="1" si="3"/>
        <v/>
      </c>
      <c r="AH34" s="236" t="str">
        <f t="shared" ca="1" si="18"/>
        <v/>
      </c>
      <c r="AJ34" s="236">
        <f t="shared" ca="1" si="19"/>
        <v>34</v>
      </c>
      <c r="AK34" s="236" t="str">
        <f t="shared" ca="1" si="20"/>
        <v>BBB+</v>
      </c>
      <c r="AL34" s="236">
        <f t="shared" ca="1" si="20"/>
        <v>19</v>
      </c>
      <c r="AM34" s="236" t="str">
        <f t="shared" ca="1" si="4"/>
        <v/>
      </c>
      <c r="AQ34" s="286" t="s">
        <v>12</v>
      </c>
      <c r="AR34" s="286" t="s">
        <v>16</v>
      </c>
      <c r="AS34" s="286">
        <v>19</v>
      </c>
      <c r="AT34" s="286" t="s">
        <v>309</v>
      </c>
      <c r="AV34" s="234">
        <f t="shared" si="21"/>
        <v>15</v>
      </c>
      <c r="AW34" s="234">
        <f>COUNTIF( AV$7:AV34, AV34 )</f>
        <v>9</v>
      </c>
      <c r="AX34" s="287">
        <f t="shared" si="22"/>
        <v>15.9</v>
      </c>
      <c r="AY34" s="234">
        <f t="shared" si="23"/>
        <v>23</v>
      </c>
      <c r="AZ34" s="236"/>
      <c r="BA34" s="236"/>
      <c r="BC34" s="234">
        <f t="shared" ca="1" si="24"/>
        <v>28</v>
      </c>
      <c r="BD34" s="288">
        <f t="shared" ca="1" si="6"/>
        <v>43</v>
      </c>
      <c r="BF34" s="240" t="str">
        <f t="shared" ca="1" si="7"/>
        <v>Sempra Energy</v>
      </c>
      <c r="BG34" s="240" t="str">
        <f t="shared" ca="1" si="7"/>
        <v>BBB+</v>
      </c>
      <c r="BH34" s="240">
        <f t="shared" ca="1" si="7"/>
        <v>19</v>
      </c>
      <c r="BI34" s="240" t="str">
        <f t="shared" ca="1" si="7"/>
        <v>SRE</v>
      </c>
    </row>
    <row r="35" spans="1:61" x14ac:dyDescent="0.2">
      <c r="A35" s="303" t="s">
        <v>62</v>
      </c>
      <c r="B35" s="304" t="s">
        <v>16</v>
      </c>
      <c r="C35" s="304">
        <v>19</v>
      </c>
      <c r="D35" s="304" t="s">
        <v>330</v>
      </c>
      <c r="E35" s="305" t="str">
        <f t="shared" ca="1" si="8"/>
        <v>R</v>
      </c>
      <c r="F35" s="306"/>
      <c r="G35" s="307">
        <f t="shared" ca="1" si="1"/>
        <v>48</v>
      </c>
      <c r="H35" s="250"/>
      <c r="I35" s="321"/>
      <c r="K35" s="321"/>
      <c r="L35" s="235"/>
      <c r="M35" s="235"/>
      <c r="N35" s="321"/>
      <c r="Q35" s="321"/>
      <c r="T35" s="321"/>
      <c r="W35" s="321"/>
      <c r="AF35" s="236">
        <f t="shared" si="2"/>
        <v>1</v>
      </c>
      <c r="AG35" s="236" t="str">
        <f t="shared" ca="1" si="3"/>
        <v/>
      </c>
      <c r="AH35" s="236" t="str">
        <f t="shared" ca="1" si="18"/>
        <v/>
      </c>
      <c r="AJ35" s="236">
        <f t="shared" ca="1" si="19"/>
        <v>35</v>
      </c>
      <c r="AK35" s="236" t="str">
        <f t="shared" ca="1" si="20"/>
        <v>BBB+</v>
      </c>
      <c r="AL35" s="236">
        <f t="shared" ca="1" si="20"/>
        <v>19</v>
      </c>
      <c r="AM35" s="236" t="str">
        <f t="shared" ca="1" si="4"/>
        <v/>
      </c>
      <c r="AQ35" s="286" t="s">
        <v>370</v>
      </c>
      <c r="AR35" s="286" t="s">
        <v>10</v>
      </c>
      <c r="AS35" s="286">
        <v>20</v>
      </c>
      <c r="AT35" s="286" t="s">
        <v>369</v>
      </c>
      <c r="AV35" s="234">
        <f t="shared" si="21"/>
        <v>2</v>
      </c>
      <c r="AW35" s="234">
        <f>COUNTIF( AV$7:AV35, AV35 )</f>
        <v>6</v>
      </c>
      <c r="AX35" s="287">
        <f t="shared" si="22"/>
        <v>2.6</v>
      </c>
      <c r="AY35" s="234">
        <f t="shared" si="23"/>
        <v>7</v>
      </c>
      <c r="AZ35" s="236"/>
      <c r="BA35" s="236"/>
      <c r="BC35" s="234">
        <f t="shared" ca="1" si="24"/>
        <v>29</v>
      </c>
      <c r="BD35" s="288">
        <f t="shared" ca="1" si="6"/>
        <v>45</v>
      </c>
      <c r="BF35" s="240" t="str">
        <f t="shared" ca="1" si="7"/>
        <v>TECO Energy, Inc.</v>
      </c>
      <c r="BG35" s="240" t="str">
        <f t="shared" ca="1" si="7"/>
        <v>BBB+</v>
      </c>
      <c r="BH35" s="240">
        <f t="shared" ca="1" si="7"/>
        <v>19</v>
      </c>
      <c r="BI35" s="240" t="str">
        <f t="shared" ca="1" si="7"/>
        <v>TE</v>
      </c>
    </row>
    <row r="36" spans="1:61" x14ac:dyDescent="0.2">
      <c r="A36" s="303" t="s">
        <v>76</v>
      </c>
      <c r="B36" s="304" t="s">
        <v>16</v>
      </c>
      <c r="C36" s="304">
        <v>19</v>
      </c>
      <c r="D36" s="304" t="s">
        <v>334</v>
      </c>
      <c r="E36" s="305" t="str">
        <f t="shared" ca="1" si="8"/>
        <v>R</v>
      </c>
      <c r="F36" s="306"/>
      <c r="G36" s="307">
        <f t="shared" ca="1" si="1"/>
        <v>50</v>
      </c>
      <c r="H36" s="250"/>
      <c r="I36" s="321"/>
      <c r="J36" s="262"/>
      <c r="K36" s="321"/>
      <c r="L36" s="263"/>
      <c r="M36" s="263"/>
      <c r="N36" s="321"/>
      <c r="Q36" s="321"/>
      <c r="T36" s="321"/>
      <c r="W36" s="321"/>
      <c r="AF36" s="236">
        <f t="shared" si="2"/>
        <v>1</v>
      </c>
      <c r="AG36" s="236" t="str">
        <f t="shared" ca="1" si="3"/>
        <v/>
      </c>
      <c r="AH36" s="236" t="str">
        <f t="shared" ca="1" si="18"/>
        <v/>
      </c>
      <c r="AJ36" s="236">
        <f t="shared" ca="1" si="19"/>
        <v>36</v>
      </c>
      <c r="AK36" s="236" t="str">
        <f t="shared" ca="1" si="20"/>
        <v>BBB+</v>
      </c>
      <c r="AL36" s="236">
        <f t="shared" ca="1" si="20"/>
        <v>19</v>
      </c>
      <c r="AM36" s="236" t="str">
        <f t="shared" ca="1" si="4"/>
        <v/>
      </c>
      <c r="AQ36" s="286" t="s">
        <v>40</v>
      </c>
      <c r="AR36" s="286" t="s">
        <v>16</v>
      </c>
      <c r="AS36" s="286">
        <v>19</v>
      </c>
      <c r="AT36" s="286" t="s">
        <v>311</v>
      </c>
      <c r="AV36" s="234">
        <f t="shared" si="21"/>
        <v>15</v>
      </c>
      <c r="AW36" s="234">
        <f>COUNTIF( AV$7:AV36, AV36 )</f>
        <v>10</v>
      </c>
      <c r="AX36" s="287">
        <f t="shared" si="22"/>
        <v>16</v>
      </c>
      <c r="AY36" s="234">
        <f t="shared" si="23"/>
        <v>24</v>
      </c>
      <c r="AZ36" s="236"/>
      <c r="BA36" s="236"/>
      <c r="BC36" s="234">
        <f t="shared" ca="1" si="24"/>
        <v>30</v>
      </c>
      <c r="BD36" s="288">
        <f t="shared" ca="1" si="6"/>
        <v>47</v>
      </c>
      <c r="BF36" s="240" t="str">
        <f t="shared" ca="1" si="7"/>
        <v>Unitil Corporation</v>
      </c>
      <c r="BG36" s="240" t="str">
        <f t="shared" ca="1" si="7"/>
        <v>BBB+</v>
      </c>
      <c r="BH36" s="240">
        <f t="shared" ca="1" si="7"/>
        <v>19</v>
      </c>
      <c r="BI36" s="240" t="str">
        <f t="shared" ca="1" si="7"/>
        <v>*UTL</v>
      </c>
    </row>
    <row r="37" spans="1:61" x14ac:dyDescent="0.2">
      <c r="A37" s="303" t="s">
        <v>59</v>
      </c>
      <c r="B37" s="304" t="s">
        <v>16</v>
      </c>
      <c r="C37" s="304">
        <v>19</v>
      </c>
      <c r="D37" s="304" t="s">
        <v>337</v>
      </c>
      <c r="E37" s="305" t="str">
        <f t="shared" ca="1" si="8"/>
        <v>R</v>
      </c>
      <c r="F37" s="306"/>
      <c r="G37" s="307">
        <f t="shared" ca="1" si="1"/>
        <v>52</v>
      </c>
      <c r="H37" s="250"/>
      <c r="I37" s="321"/>
      <c r="K37" s="321"/>
      <c r="L37" s="264"/>
      <c r="M37" s="235"/>
      <c r="N37" s="321"/>
      <c r="Q37" s="321"/>
      <c r="T37" s="321"/>
      <c r="W37" s="321"/>
      <c r="AF37" s="236">
        <f t="shared" si="2"/>
        <v>1</v>
      </c>
      <c r="AG37" s="236" t="str">
        <f t="shared" ca="1" si="3"/>
        <v/>
      </c>
      <c r="AH37" s="236" t="str">
        <f t="shared" ca="1" si="18"/>
        <v/>
      </c>
      <c r="AJ37" s="236">
        <f t="shared" ca="1" si="19"/>
        <v>37</v>
      </c>
      <c r="AK37" s="236" t="str">
        <f t="shared" ca="1" si="20"/>
        <v>BBB+</v>
      </c>
      <c r="AL37" s="236">
        <f t="shared" ca="1" si="20"/>
        <v>19</v>
      </c>
      <c r="AM37" s="236" t="str">
        <f t="shared" ca="1" si="4"/>
        <v/>
      </c>
      <c r="AQ37" s="286" t="s">
        <v>66</v>
      </c>
      <c r="AR37" s="286" t="s">
        <v>28</v>
      </c>
      <c r="AS37" s="286">
        <v>18</v>
      </c>
      <c r="AT37" s="286" t="s">
        <v>315</v>
      </c>
      <c r="AV37" s="234">
        <f t="shared" si="21"/>
        <v>32</v>
      </c>
      <c r="AW37" s="234">
        <f>COUNTIF( AV$7:AV37, AV37 )</f>
        <v>10</v>
      </c>
      <c r="AX37" s="287">
        <f t="shared" si="22"/>
        <v>33</v>
      </c>
      <c r="AY37" s="234">
        <f t="shared" si="23"/>
        <v>41</v>
      </c>
      <c r="AZ37" s="236"/>
      <c r="BA37" s="236"/>
      <c r="BC37" s="234">
        <f t="shared" ca="1" si="24"/>
        <v>31</v>
      </c>
      <c r="BD37" s="288">
        <f t="shared" ca="1" si="6"/>
        <v>49</v>
      </c>
      <c r="BF37" s="240" t="str">
        <f t="shared" ca="1" si="7"/>
        <v>Westar Energy, Inc.</v>
      </c>
      <c r="BG37" s="240" t="str">
        <f t="shared" ca="1" si="7"/>
        <v>BBB+</v>
      </c>
      <c r="BH37" s="240">
        <f t="shared" ca="1" si="7"/>
        <v>19</v>
      </c>
      <c r="BI37" s="240" t="str">
        <f t="shared" ca="1" si="7"/>
        <v>WR</v>
      </c>
    </row>
    <row r="38" spans="1:61" x14ac:dyDescent="0.2">
      <c r="A38" s="303" t="s">
        <v>259</v>
      </c>
      <c r="B38" s="304" t="s">
        <v>28</v>
      </c>
      <c r="C38" s="304">
        <v>18</v>
      </c>
      <c r="D38" s="304" t="s">
        <v>275</v>
      </c>
      <c r="E38" s="305" t="str">
        <f t="shared" ca="1" si="8"/>
        <v>R</v>
      </c>
      <c r="F38" s="306"/>
      <c r="G38" s="307">
        <f t="shared" ca="1" si="1"/>
        <v>10</v>
      </c>
      <c r="H38" s="250"/>
      <c r="I38" s="321"/>
      <c r="J38" s="262"/>
      <c r="K38" s="321"/>
      <c r="L38" s="264"/>
      <c r="M38" s="235"/>
      <c r="N38" s="321"/>
      <c r="Q38" s="321"/>
      <c r="T38" s="321"/>
      <c r="W38" s="321"/>
      <c r="AF38" s="236">
        <f t="shared" si="2"/>
        <v>0</v>
      </c>
      <c r="AG38" s="236" t="str">
        <f t="shared" ca="1" si="3"/>
        <v/>
      </c>
      <c r="AH38" s="236" t="str">
        <f t="shared" ca="1" si="18"/>
        <v/>
      </c>
      <c r="AJ38" s="236">
        <f t="shared" ca="1" si="19"/>
        <v>38</v>
      </c>
      <c r="AK38" s="236" t="str">
        <f t="shared" ca="1" si="20"/>
        <v>BBB</v>
      </c>
      <c r="AL38" s="236">
        <f t="shared" ca="1" si="20"/>
        <v>18</v>
      </c>
      <c r="AM38" s="236" t="str">
        <f t="shared" ca="1" si="4"/>
        <v/>
      </c>
      <c r="AQ38" s="286" t="s">
        <v>21</v>
      </c>
      <c r="AR38" s="286" t="s">
        <v>10</v>
      </c>
      <c r="AS38" s="286">
        <v>20</v>
      </c>
      <c r="AT38" s="286" t="s">
        <v>316</v>
      </c>
      <c r="AV38" s="234">
        <f t="shared" si="21"/>
        <v>2</v>
      </c>
      <c r="AW38" s="234">
        <f>COUNTIF( AV$7:AV38, AV38 )</f>
        <v>7</v>
      </c>
      <c r="AX38" s="287">
        <f t="shared" si="22"/>
        <v>2.7</v>
      </c>
      <c r="AY38" s="234">
        <f t="shared" si="23"/>
        <v>8</v>
      </c>
      <c r="AZ38" s="236"/>
      <c r="BA38" s="236"/>
      <c r="BC38" s="234">
        <f t="shared" ca="1" si="24"/>
        <v>32</v>
      </c>
      <c r="BD38" s="288">
        <f t="shared" ca="1" si="6"/>
        <v>4</v>
      </c>
      <c r="BF38" s="240" t="str">
        <f t="shared" ca="1" si="7"/>
        <v>American Electric Power Company, Inc.</v>
      </c>
      <c r="BG38" s="240" t="str">
        <f t="shared" ca="1" si="7"/>
        <v>BBB</v>
      </c>
      <c r="BH38" s="240">
        <f t="shared" ca="1" si="7"/>
        <v>18</v>
      </c>
      <c r="BI38" s="240" t="str">
        <f t="shared" ca="1" si="7"/>
        <v>AEP</v>
      </c>
    </row>
    <row r="39" spans="1:61" x14ac:dyDescent="0.2">
      <c r="A39" s="303" t="s">
        <v>55</v>
      </c>
      <c r="B39" s="304" t="s">
        <v>28</v>
      </c>
      <c r="C39" s="304">
        <v>18</v>
      </c>
      <c r="D39" s="304" t="s">
        <v>278</v>
      </c>
      <c r="E39" s="305" t="str">
        <f t="shared" ca="1" si="8"/>
        <v>R</v>
      </c>
      <c r="F39" s="306"/>
      <c r="G39" s="307">
        <f t="shared" ca="1" si="1"/>
        <v>11</v>
      </c>
      <c r="H39" s="250"/>
      <c r="I39" s="321"/>
      <c r="K39" s="321"/>
      <c r="L39" s="264"/>
      <c r="M39" s="235"/>
      <c r="N39" s="321"/>
      <c r="Q39" s="321"/>
      <c r="T39" s="321"/>
      <c r="W39" s="321"/>
      <c r="AF39" s="236">
        <f t="shared" si="2"/>
        <v>0</v>
      </c>
      <c r="AG39" s="236" t="str">
        <f t="shared" ca="1" si="3"/>
        <v/>
      </c>
      <c r="AH39" s="236" t="str">
        <f t="shared" ca="1" si="18"/>
        <v/>
      </c>
      <c r="AJ39" s="236">
        <f t="shared" ca="1" si="19"/>
        <v>39</v>
      </c>
      <c r="AK39" s="236" t="str">
        <f t="shared" ca="1" si="20"/>
        <v>BBB</v>
      </c>
      <c r="AL39" s="236">
        <f t="shared" ca="1" si="20"/>
        <v>18</v>
      </c>
      <c r="AM39" s="236" t="str">
        <f t="shared" ca="1" si="4"/>
        <v/>
      </c>
      <c r="AQ39" s="286" t="s">
        <v>22</v>
      </c>
      <c r="AR39" s="286" t="s">
        <v>28</v>
      </c>
      <c r="AS39" s="286">
        <v>18</v>
      </c>
      <c r="AT39" s="289" t="s">
        <v>317</v>
      </c>
      <c r="AV39" s="234">
        <f t="shared" si="21"/>
        <v>32</v>
      </c>
      <c r="AW39" s="234">
        <f>COUNTIF( AV$7:AV39, AV39 )</f>
        <v>11</v>
      </c>
      <c r="AX39" s="287">
        <f t="shared" si="22"/>
        <v>33.1</v>
      </c>
      <c r="AY39" s="234">
        <f t="shared" si="23"/>
        <v>42</v>
      </c>
      <c r="AZ39" s="236"/>
      <c r="BA39" s="236"/>
      <c r="BC39" s="234">
        <f t="shared" ca="1" si="24"/>
        <v>33</v>
      </c>
      <c r="BD39" s="288">
        <f t="shared" ca="1" si="6"/>
        <v>5</v>
      </c>
      <c r="BF39" s="240" t="str">
        <f t="shared" ref="BF39:BI63" ca="1" si="25">OFFSET( AQ$6, $BD39, 0 )</f>
        <v>Avista Corporation</v>
      </c>
      <c r="BG39" s="240" t="str">
        <f t="shared" ca="1" si="25"/>
        <v>BBB</v>
      </c>
      <c r="BH39" s="240">
        <f t="shared" ca="1" si="25"/>
        <v>18</v>
      </c>
      <c r="BI39" s="240" t="str">
        <f t="shared" ca="1" si="25"/>
        <v>AVA</v>
      </c>
    </row>
    <row r="40" spans="1:61" x14ac:dyDescent="0.2">
      <c r="A40" s="303" t="s">
        <v>48</v>
      </c>
      <c r="B40" s="304" t="s">
        <v>28</v>
      </c>
      <c r="C40" s="304">
        <v>18</v>
      </c>
      <c r="D40" s="304" t="s">
        <v>280</v>
      </c>
      <c r="E40" s="305" t="str">
        <f t="shared" ca="1" si="8"/>
        <v>R</v>
      </c>
      <c r="F40" s="306"/>
      <c r="G40" s="307">
        <f t="shared" ca="1" si="1"/>
        <v>12</v>
      </c>
      <c r="H40" s="250"/>
      <c r="I40" s="321"/>
      <c r="J40" s="262"/>
      <c r="K40" s="321"/>
      <c r="L40" s="264"/>
      <c r="M40" s="235"/>
      <c r="N40" s="321"/>
      <c r="Q40" s="321"/>
      <c r="T40" s="321"/>
      <c r="W40" s="321"/>
      <c r="AF40" s="236">
        <f t="shared" si="2"/>
        <v>0</v>
      </c>
      <c r="AG40" s="236" t="str">
        <f t="shared" ca="1" si="3"/>
        <v/>
      </c>
      <c r="AH40" s="236" t="str">
        <f t="shared" ca="1" si="18"/>
        <v/>
      </c>
      <c r="AJ40" s="236">
        <f t="shared" ca="1" si="19"/>
        <v>40</v>
      </c>
      <c r="AK40" s="236" t="str">
        <f t="shared" ca="1" si="20"/>
        <v>BBB</v>
      </c>
      <c r="AL40" s="236">
        <f t="shared" ca="1" si="20"/>
        <v>18</v>
      </c>
      <c r="AM40" s="236" t="str">
        <f t="shared" ca="1" si="4"/>
        <v/>
      </c>
      <c r="AQ40" s="286" t="s">
        <v>23</v>
      </c>
      <c r="AR40" s="286" t="s">
        <v>16</v>
      </c>
      <c r="AS40" s="286">
        <v>19</v>
      </c>
      <c r="AT40" s="286" t="s">
        <v>323</v>
      </c>
      <c r="AV40" s="234">
        <f t="shared" si="21"/>
        <v>15</v>
      </c>
      <c r="AW40" s="234">
        <f>COUNTIF( AV$7:AV40, AV40 )</f>
        <v>11</v>
      </c>
      <c r="AX40" s="287">
        <f t="shared" si="22"/>
        <v>16.100000000000001</v>
      </c>
      <c r="AY40" s="234">
        <f t="shared" si="23"/>
        <v>25</v>
      </c>
      <c r="AZ40" s="236"/>
      <c r="BA40" s="236"/>
      <c r="BC40" s="234">
        <f t="shared" ca="1" si="24"/>
        <v>34</v>
      </c>
      <c r="BD40" s="288">
        <f t="shared" ca="1" si="6"/>
        <v>7</v>
      </c>
      <c r="BF40" s="240" t="str">
        <f t="shared" ca="1" si="25"/>
        <v>Black Hills Corporation</v>
      </c>
      <c r="BG40" s="240" t="str">
        <f t="shared" ca="1" si="25"/>
        <v>BBB</v>
      </c>
      <c r="BH40" s="240">
        <f t="shared" ca="1" si="25"/>
        <v>18</v>
      </c>
      <c r="BI40" s="240" t="str">
        <f t="shared" ca="1" si="25"/>
        <v>BKH</v>
      </c>
    </row>
    <row r="41" spans="1:61" x14ac:dyDescent="0.2">
      <c r="A41" s="303" t="s">
        <v>34</v>
      </c>
      <c r="B41" s="304" t="s">
        <v>28</v>
      </c>
      <c r="C41" s="304">
        <v>18</v>
      </c>
      <c r="D41" s="304" t="s">
        <v>294</v>
      </c>
      <c r="E41" s="305" t="str">
        <f t="shared" ca="1" si="8"/>
        <v>R</v>
      </c>
      <c r="F41" s="306"/>
      <c r="G41" s="307">
        <f t="shared" ca="1" si="1"/>
        <v>21</v>
      </c>
      <c r="H41" s="250"/>
      <c r="I41" s="321"/>
      <c r="J41" s="262"/>
      <c r="K41" s="321"/>
      <c r="L41" s="264"/>
      <c r="M41" s="235"/>
      <c r="N41" s="321"/>
      <c r="Q41" s="321"/>
      <c r="T41" s="321"/>
      <c r="W41" s="321"/>
      <c r="AF41" s="236">
        <f t="shared" si="2"/>
        <v>0</v>
      </c>
      <c r="AG41" s="236" t="str">
        <f t="shared" ca="1" si="3"/>
        <v/>
      </c>
      <c r="AH41" s="236" t="str">
        <f t="shared" ca="1" si="18"/>
        <v/>
      </c>
      <c r="AJ41" s="236">
        <f t="shared" ca="1" si="19"/>
        <v>41</v>
      </c>
      <c r="AK41" s="236" t="str">
        <f t="shared" ca="1" si="20"/>
        <v>BBB</v>
      </c>
      <c r="AL41" s="236">
        <f t="shared" ca="1" si="20"/>
        <v>18</v>
      </c>
      <c r="AM41" s="236" t="str">
        <f t="shared" ca="1" si="4"/>
        <v/>
      </c>
      <c r="AQ41" s="286" t="s">
        <v>53</v>
      </c>
      <c r="AR41" s="286" t="s">
        <v>28</v>
      </c>
      <c r="AS41" s="286">
        <v>18</v>
      </c>
      <c r="AT41" s="286" t="s">
        <v>318</v>
      </c>
      <c r="AV41" s="234">
        <f t="shared" si="21"/>
        <v>32</v>
      </c>
      <c r="AW41" s="234">
        <f>COUNTIF( AV$7:AV41, AV41 )</f>
        <v>12</v>
      </c>
      <c r="AX41" s="287">
        <f t="shared" si="22"/>
        <v>33.200000000000003</v>
      </c>
      <c r="AY41" s="234">
        <f t="shared" si="23"/>
        <v>43</v>
      </c>
      <c r="AZ41" s="236"/>
      <c r="BA41" s="236"/>
      <c r="BC41" s="234">
        <f t="shared" ca="1" si="24"/>
        <v>35</v>
      </c>
      <c r="BD41" s="288">
        <f t="shared" ca="1" si="6"/>
        <v>17</v>
      </c>
      <c r="BF41" s="240" t="str">
        <f t="shared" ca="1" si="25"/>
        <v>El Paso Electric Company</v>
      </c>
      <c r="BG41" s="240" t="str">
        <f t="shared" ca="1" si="25"/>
        <v>BBB</v>
      </c>
      <c r="BH41" s="240">
        <f t="shared" ca="1" si="25"/>
        <v>18</v>
      </c>
      <c r="BI41" s="240" t="str">
        <f t="shared" ca="1" si="25"/>
        <v>EE</v>
      </c>
    </row>
    <row r="42" spans="1:61" x14ac:dyDescent="0.2">
      <c r="A42" s="303" t="s">
        <v>35</v>
      </c>
      <c r="B42" s="304" t="s">
        <v>28</v>
      </c>
      <c r="C42" s="304">
        <v>18</v>
      </c>
      <c r="D42" s="304" t="s">
        <v>293</v>
      </c>
      <c r="E42" s="305" t="str">
        <f t="shared" ca="1" si="8"/>
        <v>R</v>
      </c>
      <c r="F42" s="306"/>
      <c r="G42" s="307">
        <f t="shared" ca="1" si="1"/>
        <v>22</v>
      </c>
      <c r="H42" s="250"/>
      <c r="I42" s="321"/>
      <c r="J42" s="262"/>
      <c r="K42" s="321"/>
      <c r="L42" s="264"/>
      <c r="M42" s="235"/>
      <c r="N42" s="321"/>
      <c r="Q42" s="321"/>
      <c r="T42" s="321"/>
      <c r="W42" s="321"/>
      <c r="AF42" s="236">
        <f t="shared" si="2"/>
        <v>0</v>
      </c>
      <c r="AG42" s="236" t="str">
        <f t="shared" ca="1" si="3"/>
        <v/>
      </c>
      <c r="AH42" s="236" t="str">
        <f t="shared" ca="1" si="18"/>
        <v/>
      </c>
      <c r="AJ42" s="236">
        <f t="shared" ca="1" si="19"/>
        <v>42</v>
      </c>
      <c r="AK42" s="236" t="str">
        <f t="shared" ca="1" si="20"/>
        <v>BBB</v>
      </c>
      <c r="AL42" s="236">
        <f t="shared" ca="1" si="20"/>
        <v>18</v>
      </c>
      <c r="AM42" s="236" t="str">
        <f t="shared" ca="1" si="4"/>
        <v/>
      </c>
      <c r="AQ42" s="286" t="s">
        <v>41</v>
      </c>
      <c r="AR42" s="286" t="s">
        <v>10</v>
      </c>
      <c r="AS42" s="286">
        <v>20</v>
      </c>
      <c r="AT42" s="286" t="s">
        <v>322</v>
      </c>
      <c r="AV42" s="234">
        <f t="shared" si="21"/>
        <v>2</v>
      </c>
      <c r="AW42" s="234">
        <f>COUNTIF( AV$7:AV42, AV42 )</f>
        <v>8</v>
      </c>
      <c r="AX42" s="287">
        <f t="shared" si="22"/>
        <v>2.8</v>
      </c>
      <c r="AY42" s="234">
        <f t="shared" si="23"/>
        <v>9</v>
      </c>
      <c r="AZ42" s="236"/>
      <c r="BA42" s="236"/>
      <c r="BC42" s="234">
        <f t="shared" ca="1" si="24"/>
        <v>36</v>
      </c>
      <c r="BD42" s="288">
        <f t="shared" ca="1" si="6"/>
        <v>18</v>
      </c>
      <c r="BF42" s="240" t="str">
        <f t="shared" ca="1" si="25"/>
        <v>Empire District Electric Company</v>
      </c>
      <c r="BG42" s="240" t="str">
        <f t="shared" ca="1" si="25"/>
        <v>BBB</v>
      </c>
      <c r="BH42" s="240">
        <f t="shared" ca="1" si="25"/>
        <v>18</v>
      </c>
      <c r="BI42" s="240" t="str">
        <f t="shared" ca="1" si="25"/>
        <v>EDE</v>
      </c>
    </row>
    <row r="43" spans="1:61" x14ac:dyDescent="0.2">
      <c r="A43" s="303" t="s">
        <v>36</v>
      </c>
      <c r="B43" s="304" t="s">
        <v>28</v>
      </c>
      <c r="C43" s="304">
        <v>18</v>
      </c>
      <c r="D43" s="304" t="s">
        <v>297</v>
      </c>
      <c r="E43" s="305" t="str">
        <f t="shared" ca="1" si="8"/>
        <v>R</v>
      </c>
      <c r="F43" s="306"/>
      <c r="G43" s="307">
        <f t="shared" ca="1" si="1"/>
        <v>23</v>
      </c>
      <c r="H43" s="250"/>
      <c r="I43" s="321"/>
      <c r="J43" s="262"/>
      <c r="K43" s="321"/>
      <c r="L43" s="235"/>
      <c r="M43" s="235"/>
      <c r="N43" s="321"/>
      <c r="Q43" s="321"/>
      <c r="T43" s="321"/>
      <c r="W43" s="321"/>
      <c r="AF43" s="236">
        <f t="shared" si="2"/>
        <v>0</v>
      </c>
      <c r="AG43" s="236" t="str">
        <f t="shared" ca="1" si="3"/>
        <v/>
      </c>
      <c r="AH43" s="236" t="str">
        <f t="shared" ca="1" si="18"/>
        <v/>
      </c>
      <c r="AJ43" s="236">
        <f t="shared" ca="1" si="19"/>
        <v>43</v>
      </c>
      <c r="AK43" s="236" t="str">
        <f t="shared" ca="1" si="20"/>
        <v>BBB</v>
      </c>
      <c r="AL43" s="236">
        <f t="shared" ca="1" si="20"/>
        <v>18</v>
      </c>
      <c r="AM43" s="236" t="str">
        <f t="shared" ca="1" si="4"/>
        <v/>
      </c>
      <c r="AQ43" s="286" t="s">
        <v>42</v>
      </c>
      <c r="AR43" s="286" t="s">
        <v>28</v>
      </c>
      <c r="AS43" s="286">
        <v>18</v>
      </c>
      <c r="AT43" s="286" t="s">
        <v>321</v>
      </c>
      <c r="AV43" s="234">
        <f t="shared" si="21"/>
        <v>32</v>
      </c>
      <c r="AW43" s="234">
        <f>COUNTIF( AV$7:AV43, AV43 )</f>
        <v>13</v>
      </c>
      <c r="AX43" s="287">
        <f t="shared" si="22"/>
        <v>33.299999999999997</v>
      </c>
      <c r="AY43" s="234">
        <f t="shared" si="23"/>
        <v>44</v>
      </c>
      <c r="AZ43" s="236"/>
      <c r="BA43" s="236"/>
      <c r="BC43" s="234">
        <f t="shared" ca="1" si="24"/>
        <v>37</v>
      </c>
      <c r="BD43" s="288">
        <f t="shared" ca="1" si="6"/>
        <v>19</v>
      </c>
      <c r="BF43" s="240" t="str">
        <f t="shared" ca="1" si="25"/>
        <v>Entergy Corporation</v>
      </c>
      <c r="BG43" s="240" t="str">
        <f t="shared" ca="1" si="25"/>
        <v>BBB</v>
      </c>
      <c r="BH43" s="240">
        <f t="shared" ca="1" si="25"/>
        <v>18</v>
      </c>
      <c r="BI43" s="240" t="str">
        <f t="shared" ca="1" si="25"/>
        <v>ETR</v>
      </c>
    </row>
    <row r="44" spans="1:61" x14ac:dyDescent="0.2">
      <c r="A44" s="303" t="s">
        <v>11</v>
      </c>
      <c r="B44" s="304" t="s">
        <v>28</v>
      </c>
      <c r="C44" s="304">
        <v>18</v>
      </c>
      <c r="D44" s="304" t="s">
        <v>298</v>
      </c>
      <c r="E44" s="305" t="str">
        <f t="shared" ca="1" si="8"/>
        <v>MR</v>
      </c>
      <c r="F44" s="306"/>
      <c r="G44" s="307">
        <f t="shared" ca="1" si="1"/>
        <v>24</v>
      </c>
      <c r="H44" s="250"/>
      <c r="I44" s="321"/>
      <c r="J44" s="262"/>
      <c r="K44" s="321"/>
      <c r="L44" s="235"/>
      <c r="M44" s="235"/>
      <c r="N44" s="321"/>
      <c r="Q44" s="321"/>
      <c r="T44" s="321"/>
      <c r="W44" s="321"/>
      <c r="AF44" s="236">
        <f t="shared" si="2"/>
        <v>0</v>
      </c>
      <c r="AG44" s="236" t="str">
        <f t="shared" ca="1" si="3"/>
        <v/>
      </c>
      <c r="AH44" s="236" t="str">
        <f t="shared" ca="1" si="18"/>
        <v/>
      </c>
      <c r="AJ44" s="236">
        <f t="shared" ca="1" si="19"/>
        <v>44</v>
      </c>
      <c r="AK44" s="236" t="str">
        <f t="shared" ca="1" si="20"/>
        <v>BBB</v>
      </c>
      <c r="AL44" s="236">
        <f t="shared" ca="1" si="20"/>
        <v>18</v>
      </c>
      <c r="AM44" s="236" t="str">
        <f t="shared" ca="1" si="4"/>
        <v/>
      </c>
      <c r="AQ44" s="286" t="s">
        <v>24</v>
      </c>
      <c r="AR44" s="286" t="s">
        <v>28</v>
      </c>
      <c r="AS44" s="286">
        <v>18</v>
      </c>
      <c r="AT44" s="286" t="s">
        <v>324</v>
      </c>
      <c r="AV44" s="234">
        <f t="shared" si="21"/>
        <v>32</v>
      </c>
      <c r="AW44" s="234">
        <f>COUNTIF( AV$7:AV44, AV44 )</f>
        <v>14</v>
      </c>
      <c r="AX44" s="287">
        <f t="shared" si="22"/>
        <v>33.4</v>
      </c>
      <c r="AY44" s="234">
        <f t="shared" si="23"/>
        <v>45</v>
      </c>
      <c r="AZ44" s="236"/>
      <c r="BA44" s="236"/>
      <c r="BC44" s="234">
        <f t="shared" ca="1" si="24"/>
        <v>38</v>
      </c>
      <c r="BD44" s="288">
        <f t="shared" ca="1" si="6"/>
        <v>21</v>
      </c>
      <c r="BF44" s="240" t="str">
        <f t="shared" ca="1" si="25"/>
        <v>Exelon Corporation</v>
      </c>
      <c r="BG44" s="240" t="str">
        <f t="shared" ca="1" si="25"/>
        <v>BBB</v>
      </c>
      <c r="BH44" s="240">
        <f t="shared" ca="1" si="25"/>
        <v>18</v>
      </c>
      <c r="BI44" s="240" t="str">
        <f t="shared" ca="1" si="25"/>
        <v>EXC</v>
      </c>
    </row>
    <row r="45" spans="1:61" x14ac:dyDescent="0.2">
      <c r="A45" s="303" t="s">
        <v>452</v>
      </c>
      <c r="B45" s="304" t="s">
        <v>28</v>
      </c>
      <c r="C45" s="304">
        <v>18</v>
      </c>
      <c r="D45" s="443" t="s">
        <v>530</v>
      </c>
      <c r="E45" s="305" t="str">
        <f t="shared" ca="1" si="8"/>
        <v>R</v>
      </c>
      <c r="F45" s="306"/>
      <c r="G45" s="307">
        <f t="shared" ca="1" si="1"/>
        <v>56</v>
      </c>
      <c r="H45" s="250"/>
      <c r="I45" s="321"/>
      <c r="J45" s="262"/>
      <c r="K45" s="321"/>
      <c r="L45" s="235"/>
      <c r="M45" s="235"/>
      <c r="N45" s="321"/>
      <c r="Q45" s="321"/>
      <c r="T45" s="321"/>
      <c r="W45" s="321"/>
      <c r="AF45" s="236">
        <f t="shared" si="2"/>
        <v>0</v>
      </c>
      <c r="AG45" s="236" t="str">
        <f t="shared" ca="1" si="3"/>
        <v/>
      </c>
      <c r="AH45" s="236">
        <f t="shared" ca="1" si="18"/>
        <v>1</v>
      </c>
      <c r="AJ45" s="236" t="e">
        <f t="shared" ca="1" si="19"/>
        <v>#N/A</v>
      </c>
      <c r="AK45" s="236" t="str">
        <f t="shared" ca="1" si="20"/>
        <v/>
      </c>
      <c r="AL45" s="236" t="str">
        <f t="shared" ca="1" si="20"/>
        <v/>
      </c>
      <c r="AM45" s="236" t="str">
        <f t="shared" ca="1" si="4"/>
        <v>Change</v>
      </c>
      <c r="AQ45" s="286" t="s">
        <v>43</v>
      </c>
      <c r="AR45" s="286" t="s">
        <v>10</v>
      </c>
      <c r="AS45" s="286">
        <v>20</v>
      </c>
      <c r="AT45" s="286" t="s">
        <v>325</v>
      </c>
      <c r="AV45" s="234">
        <f t="shared" si="21"/>
        <v>2</v>
      </c>
      <c r="AW45" s="234">
        <f>COUNTIF( AV$7:AV45, AV45 )</f>
        <v>9</v>
      </c>
      <c r="AX45" s="287">
        <f t="shared" si="22"/>
        <v>2.9</v>
      </c>
      <c r="AY45" s="234">
        <f t="shared" si="23"/>
        <v>10</v>
      </c>
      <c r="AZ45" s="236"/>
      <c r="BA45" s="236"/>
      <c r="BC45" s="234">
        <f t="shared" ca="1" si="24"/>
        <v>39</v>
      </c>
      <c r="BD45" s="288">
        <f t="shared" ca="1" si="6"/>
        <v>25</v>
      </c>
      <c r="BF45" s="240" t="str">
        <f t="shared" ca="1" si="25"/>
        <v>Iberdrola USA</v>
      </c>
      <c r="BG45" s="240" t="str">
        <f t="shared" ca="1" si="25"/>
        <v>BBB</v>
      </c>
      <c r="BH45" s="240">
        <f t="shared" ca="1" si="25"/>
        <v>18</v>
      </c>
      <c r="BI45" s="240" t="str">
        <f t="shared" ca="1" si="25"/>
        <v>**EAST</v>
      </c>
    </row>
    <row r="46" spans="1:61" x14ac:dyDescent="0.2">
      <c r="A46" s="303" t="s">
        <v>20</v>
      </c>
      <c r="B46" s="304" t="s">
        <v>28</v>
      </c>
      <c r="C46" s="304">
        <v>18</v>
      </c>
      <c r="D46" s="304" t="s">
        <v>303</v>
      </c>
      <c r="E46" s="305" t="str">
        <f t="shared" ca="1" si="8"/>
        <v>R</v>
      </c>
      <c r="F46" s="306"/>
      <c r="G46" s="307">
        <f t="shared" ca="1" si="1"/>
        <v>28</v>
      </c>
      <c r="H46" s="250"/>
      <c r="I46" s="262"/>
      <c r="K46" s="262"/>
      <c r="N46" s="257"/>
      <c r="W46" s="262"/>
      <c r="AF46" s="236">
        <f t="shared" si="2"/>
        <v>0</v>
      </c>
      <c r="AG46" s="236" t="str">
        <f t="shared" ca="1" si="3"/>
        <v/>
      </c>
      <c r="AH46" s="236" t="str">
        <f t="shared" ca="1" si="18"/>
        <v/>
      </c>
      <c r="AJ46" s="236">
        <f t="shared" ca="1" si="19"/>
        <v>46</v>
      </c>
      <c r="AK46" s="236" t="str">
        <f t="shared" ca="1" si="20"/>
        <v>BBB</v>
      </c>
      <c r="AL46" s="236">
        <f t="shared" ca="1" si="20"/>
        <v>18</v>
      </c>
      <c r="AM46" s="236" t="str">
        <f t="shared" ca="1" si="4"/>
        <v/>
      </c>
      <c r="AQ46" s="286" t="s">
        <v>45</v>
      </c>
      <c r="AR46" s="286" t="s">
        <v>16</v>
      </c>
      <c r="AS46" s="286">
        <v>19</v>
      </c>
      <c r="AT46" s="286" t="s">
        <v>319</v>
      </c>
      <c r="AV46" s="234">
        <f t="shared" si="21"/>
        <v>15</v>
      </c>
      <c r="AW46" s="234">
        <f>COUNTIF( AV$7:AV46, AV46 )</f>
        <v>12</v>
      </c>
      <c r="AX46" s="287">
        <f t="shared" si="22"/>
        <v>16.2</v>
      </c>
      <c r="AY46" s="234">
        <f t="shared" si="23"/>
        <v>26</v>
      </c>
      <c r="AZ46" s="236"/>
      <c r="BA46" s="236"/>
      <c r="BC46" s="234">
        <f t="shared" ca="1" si="24"/>
        <v>40</v>
      </c>
      <c r="BD46" s="288">
        <f t="shared" ca="1" si="6"/>
        <v>26</v>
      </c>
      <c r="BF46" s="240" t="str">
        <f t="shared" ca="1" si="25"/>
        <v>IDACORP, Inc.</v>
      </c>
      <c r="BG46" s="240" t="str">
        <f t="shared" ca="1" si="25"/>
        <v>BBB</v>
      </c>
      <c r="BH46" s="240">
        <f t="shared" ca="1" si="25"/>
        <v>18</v>
      </c>
      <c r="BI46" s="240" t="str">
        <f t="shared" ca="1" si="25"/>
        <v>IDA</v>
      </c>
    </row>
    <row r="47" spans="1:61" x14ac:dyDescent="0.2">
      <c r="A47" s="303" t="s">
        <v>66</v>
      </c>
      <c r="B47" s="304" t="s">
        <v>28</v>
      </c>
      <c r="C47" s="304">
        <v>18</v>
      </c>
      <c r="D47" s="304" t="s">
        <v>315</v>
      </c>
      <c r="E47" s="305" t="str">
        <f t="shared" ca="1" si="8"/>
        <v>R</v>
      </c>
      <c r="F47" s="306"/>
      <c r="G47" s="307">
        <f t="shared" ca="1" si="1"/>
        <v>35</v>
      </c>
      <c r="H47" s="250"/>
      <c r="I47" s="250"/>
      <c r="J47" s="258" t="s">
        <v>268</v>
      </c>
      <c r="K47" s="262"/>
      <c r="M47" s="253"/>
      <c r="N47" s="253"/>
      <c r="AF47" s="236">
        <f t="shared" si="2"/>
        <v>0</v>
      </c>
      <c r="AG47" s="236" t="str">
        <f t="shared" ca="1" si="3"/>
        <v/>
      </c>
      <c r="AH47" s="236" t="str">
        <f t="shared" ca="1" si="18"/>
        <v/>
      </c>
      <c r="AJ47" s="236">
        <f t="shared" ca="1" si="19"/>
        <v>47</v>
      </c>
      <c r="AK47" s="236" t="str">
        <f t="shared" ca="1" si="20"/>
        <v>BBB</v>
      </c>
      <c r="AL47" s="236">
        <f t="shared" ca="1" si="20"/>
        <v>18</v>
      </c>
      <c r="AM47" s="236" t="str">
        <f t="shared" ca="1" si="4"/>
        <v/>
      </c>
      <c r="AQ47" s="286" t="s">
        <v>54</v>
      </c>
      <c r="AR47" s="286" t="s">
        <v>49</v>
      </c>
      <c r="AS47" s="286">
        <v>17</v>
      </c>
      <c r="AT47" s="286" t="s">
        <v>449</v>
      </c>
      <c r="AV47" s="234">
        <f t="shared" si="21"/>
        <v>47</v>
      </c>
      <c r="AW47" s="234">
        <f>COUNTIF( AV$7:AV47, AV47 )</f>
        <v>3</v>
      </c>
      <c r="AX47" s="287">
        <f t="shared" si="22"/>
        <v>47.3</v>
      </c>
      <c r="AY47" s="234">
        <f t="shared" si="23"/>
        <v>49</v>
      </c>
      <c r="AZ47" s="236"/>
      <c r="BA47" s="236"/>
      <c r="BC47" s="234">
        <f t="shared" ca="1" si="24"/>
        <v>41</v>
      </c>
      <c r="BD47" s="288">
        <f t="shared" ca="1" si="6"/>
        <v>31</v>
      </c>
      <c r="BF47" s="240" t="str">
        <f t="shared" ca="1" si="25"/>
        <v>NorthWestern Corporation</v>
      </c>
      <c r="BG47" s="240" t="str">
        <f t="shared" ca="1" si="25"/>
        <v>BBB</v>
      </c>
      <c r="BH47" s="240">
        <f t="shared" ca="1" si="25"/>
        <v>18</v>
      </c>
      <c r="BI47" s="240" t="str">
        <f t="shared" ca="1" si="25"/>
        <v>NWE</v>
      </c>
    </row>
    <row r="48" spans="1:61" x14ac:dyDescent="0.2">
      <c r="A48" s="303" t="s">
        <v>22</v>
      </c>
      <c r="B48" s="304" t="s">
        <v>28</v>
      </c>
      <c r="C48" s="304">
        <v>18</v>
      </c>
      <c r="D48" s="304" t="s">
        <v>317</v>
      </c>
      <c r="E48" s="305" t="str">
        <f t="shared" ca="1" si="8"/>
        <v>R</v>
      </c>
      <c r="F48" s="306"/>
      <c r="G48" s="307">
        <f t="shared" ca="1" si="1"/>
        <v>37</v>
      </c>
      <c r="H48" s="250"/>
      <c r="I48" s="250"/>
      <c r="K48" s="262"/>
      <c r="M48" s="253"/>
      <c r="N48" s="253"/>
      <c r="AF48" s="236">
        <f t="shared" si="2"/>
        <v>0</v>
      </c>
      <c r="AG48" s="236" t="str">
        <f t="shared" ca="1" si="3"/>
        <v/>
      </c>
      <c r="AH48" s="236" t="str">
        <f t="shared" ca="1" si="18"/>
        <v/>
      </c>
      <c r="AJ48" s="236">
        <f t="shared" ca="1" si="19"/>
        <v>48</v>
      </c>
      <c r="AK48" s="236" t="str">
        <f t="shared" ca="1" si="20"/>
        <v>BBB</v>
      </c>
      <c r="AL48" s="236">
        <f t="shared" ca="1" si="20"/>
        <v>18</v>
      </c>
      <c r="AM48" s="236" t="str">
        <f t="shared" ca="1" si="4"/>
        <v/>
      </c>
      <c r="AQ48" s="286" t="s">
        <v>13</v>
      </c>
      <c r="AR48" s="286" t="s">
        <v>16</v>
      </c>
      <c r="AS48" s="286">
        <v>19</v>
      </c>
      <c r="AT48" s="286" t="s">
        <v>327</v>
      </c>
      <c r="AV48" s="234">
        <f t="shared" si="21"/>
        <v>15</v>
      </c>
      <c r="AW48" s="234">
        <f>COUNTIF( AV$7:AV48, AV48 )</f>
        <v>13</v>
      </c>
      <c r="AX48" s="287">
        <f t="shared" si="22"/>
        <v>16.3</v>
      </c>
      <c r="AY48" s="234">
        <f t="shared" si="23"/>
        <v>27</v>
      </c>
      <c r="AZ48" s="236"/>
      <c r="BA48" s="236"/>
      <c r="BC48" s="234">
        <f t="shared" ca="1" si="24"/>
        <v>42</v>
      </c>
      <c r="BD48" s="288">
        <f t="shared" ca="1" si="6"/>
        <v>33</v>
      </c>
      <c r="BF48" s="240" t="str">
        <f t="shared" ca="1" si="25"/>
        <v>Otter Tail Corporation</v>
      </c>
      <c r="BG48" s="240" t="str">
        <f t="shared" ca="1" si="25"/>
        <v>BBB</v>
      </c>
      <c r="BH48" s="240">
        <f t="shared" ca="1" si="25"/>
        <v>18</v>
      </c>
      <c r="BI48" s="240" t="str">
        <f t="shared" ca="1" si="25"/>
        <v>OTTR</v>
      </c>
    </row>
    <row r="49" spans="1:61" x14ac:dyDescent="0.2">
      <c r="A49" s="303" t="s">
        <v>53</v>
      </c>
      <c r="B49" s="304" t="s">
        <v>28</v>
      </c>
      <c r="C49" s="304">
        <v>18</v>
      </c>
      <c r="D49" s="304" t="s">
        <v>318</v>
      </c>
      <c r="E49" s="305" t="str">
        <f t="shared" ca="1" si="8"/>
        <v>R</v>
      </c>
      <c r="F49" s="306"/>
      <c r="G49" s="307">
        <f t="shared" ca="1" si="1"/>
        <v>39</v>
      </c>
      <c r="H49" s="250"/>
      <c r="I49" s="250"/>
      <c r="J49" s="262"/>
      <c r="K49" s="262"/>
      <c r="M49" s="253"/>
      <c r="N49" s="253"/>
      <c r="AF49" s="236">
        <f t="shared" si="2"/>
        <v>0</v>
      </c>
      <c r="AG49" s="236" t="str">
        <f t="shared" ca="1" si="3"/>
        <v/>
      </c>
      <c r="AH49" s="236" t="str">
        <f t="shared" ca="1" si="18"/>
        <v/>
      </c>
      <c r="AJ49" s="236">
        <f t="shared" ca="1" si="19"/>
        <v>49</v>
      </c>
      <c r="AK49" s="236" t="str">
        <f t="shared" ca="1" si="20"/>
        <v>BBB</v>
      </c>
      <c r="AL49" s="236">
        <f t="shared" ca="1" si="20"/>
        <v>18</v>
      </c>
      <c r="AM49" s="236" t="str">
        <f t="shared" ca="1" si="4"/>
        <v/>
      </c>
      <c r="AQ49" s="286" t="s">
        <v>25</v>
      </c>
      <c r="AR49" s="286" t="s">
        <v>16</v>
      </c>
      <c r="AS49" s="286">
        <v>19</v>
      </c>
      <c r="AT49" s="286" t="s">
        <v>329</v>
      </c>
      <c r="AV49" s="234">
        <f t="shared" si="21"/>
        <v>15</v>
      </c>
      <c r="AW49" s="234">
        <f>COUNTIF( AV$7:AV49, AV49 )</f>
        <v>14</v>
      </c>
      <c r="AX49" s="287">
        <f t="shared" si="22"/>
        <v>16.399999999999999</v>
      </c>
      <c r="AY49" s="234">
        <f t="shared" si="23"/>
        <v>28</v>
      </c>
      <c r="AZ49" s="236"/>
      <c r="BA49" s="236"/>
      <c r="BC49" s="234">
        <f t="shared" ca="1" si="24"/>
        <v>43</v>
      </c>
      <c r="BD49" s="288">
        <f t="shared" ca="1" si="6"/>
        <v>35</v>
      </c>
      <c r="BF49" s="240" t="str">
        <f t="shared" ca="1" si="25"/>
        <v>PG&amp;E Corporation</v>
      </c>
      <c r="BG49" s="240" t="str">
        <f t="shared" ca="1" si="25"/>
        <v>BBB</v>
      </c>
      <c r="BH49" s="240">
        <f t="shared" ca="1" si="25"/>
        <v>18</v>
      </c>
      <c r="BI49" s="240" t="str">
        <f t="shared" ca="1" si="25"/>
        <v>PCG</v>
      </c>
    </row>
    <row r="50" spans="1:61" x14ac:dyDescent="0.2">
      <c r="A50" s="303" t="s">
        <v>42</v>
      </c>
      <c r="B50" s="304" t="s">
        <v>28</v>
      </c>
      <c r="C50" s="304">
        <v>18</v>
      </c>
      <c r="D50" s="304" t="s">
        <v>321</v>
      </c>
      <c r="E50" s="305" t="str">
        <f t="shared" ca="1" si="8"/>
        <v>R</v>
      </c>
      <c r="F50" s="306"/>
      <c r="G50" s="307">
        <f t="shared" ca="1" si="1"/>
        <v>41</v>
      </c>
      <c r="H50" s="250"/>
      <c r="I50" s="250"/>
      <c r="J50" s="262"/>
      <c r="K50" s="262"/>
      <c r="L50" s="235"/>
      <c r="M50" s="257"/>
      <c r="N50" s="257"/>
      <c r="AF50" s="236">
        <f t="shared" si="2"/>
        <v>0</v>
      </c>
      <c r="AG50" s="236" t="str">
        <f t="shared" ca="1" si="3"/>
        <v/>
      </c>
      <c r="AH50" s="236" t="str">
        <f t="shared" ca="1" si="18"/>
        <v/>
      </c>
      <c r="AJ50" s="236">
        <f t="shared" ca="1" si="19"/>
        <v>50</v>
      </c>
      <c r="AK50" s="236" t="str">
        <f t="shared" ca="1" si="20"/>
        <v>BBB</v>
      </c>
      <c r="AL50" s="236">
        <f t="shared" ca="1" si="20"/>
        <v>18</v>
      </c>
      <c r="AM50" s="236" t="str">
        <f t="shared" ca="1" si="4"/>
        <v/>
      </c>
      <c r="AQ50" s="286" t="s">
        <v>7</v>
      </c>
      <c r="AR50" s="286" t="s">
        <v>10</v>
      </c>
      <c r="AS50" s="286">
        <v>20</v>
      </c>
      <c r="AT50" s="286" t="s">
        <v>328</v>
      </c>
      <c r="AV50" s="234">
        <f t="shared" si="21"/>
        <v>2</v>
      </c>
      <c r="AW50" s="234">
        <f>COUNTIF( AV$7:AV50, AV50 )</f>
        <v>10</v>
      </c>
      <c r="AX50" s="287">
        <f t="shared" si="22"/>
        <v>3</v>
      </c>
      <c r="AY50" s="234">
        <f t="shared" si="23"/>
        <v>11</v>
      </c>
      <c r="AZ50" s="236"/>
      <c r="BA50" s="236"/>
      <c r="BC50" s="234">
        <f t="shared" ca="1" si="24"/>
        <v>44</v>
      </c>
      <c r="BD50" s="288">
        <f t="shared" ca="1" si="6"/>
        <v>37</v>
      </c>
      <c r="BF50" s="240" t="str">
        <f t="shared" ca="1" si="25"/>
        <v>PNM Resources, Inc.</v>
      </c>
      <c r="BG50" s="240" t="str">
        <f t="shared" ca="1" si="25"/>
        <v>BBB</v>
      </c>
      <c r="BH50" s="240">
        <f t="shared" ca="1" si="25"/>
        <v>18</v>
      </c>
      <c r="BI50" s="240" t="str">
        <f t="shared" ca="1" si="25"/>
        <v>PNM</v>
      </c>
    </row>
    <row r="51" spans="1:61" x14ac:dyDescent="0.2">
      <c r="A51" s="303" t="s">
        <v>24</v>
      </c>
      <c r="B51" s="304" t="s">
        <v>28</v>
      </c>
      <c r="C51" s="304">
        <v>18</v>
      </c>
      <c r="D51" s="304" t="s">
        <v>324</v>
      </c>
      <c r="E51" s="305" t="str">
        <f t="shared" ca="1" si="8"/>
        <v>R</v>
      </c>
      <c r="F51" s="306"/>
      <c r="G51" s="307">
        <f t="shared" ca="1" si="1"/>
        <v>42</v>
      </c>
      <c r="H51" s="250"/>
      <c r="I51" s="250"/>
      <c r="J51" s="262"/>
      <c r="K51" s="262"/>
      <c r="L51" s="235"/>
      <c r="M51" s="257"/>
      <c r="N51" s="257"/>
      <c r="AF51" s="236">
        <f t="shared" si="2"/>
        <v>0</v>
      </c>
      <c r="AG51" s="236" t="str">
        <f t="shared" ca="1" si="3"/>
        <v/>
      </c>
      <c r="AH51" s="236" t="str">
        <f t="shared" ca="1" si="18"/>
        <v/>
      </c>
      <c r="AJ51" s="236">
        <f t="shared" ca="1" si="19"/>
        <v>51</v>
      </c>
      <c r="AK51" s="236" t="str">
        <f t="shared" ca="1" si="20"/>
        <v>BBB</v>
      </c>
      <c r="AL51" s="236">
        <f t="shared" ca="1" si="20"/>
        <v>18</v>
      </c>
      <c r="AM51" s="236" t="str">
        <f t="shared" ca="1" si="4"/>
        <v/>
      </c>
      <c r="AQ51" s="286" t="s">
        <v>62</v>
      </c>
      <c r="AR51" s="286" t="s">
        <v>16</v>
      </c>
      <c r="AS51" s="286">
        <v>19</v>
      </c>
      <c r="AT51" s="286" t="s">
        <v>330</v>
      </c>
      <c r="AV51" s="234">
        <f t="shared" si="21"/>
        <v>15</v>
      </c>
      <c r="AW51" s="234">
        <f>COUNTIF( AV$7:AV51, AV51 )</f>
        <v>15</v>
      </c>
      <c r="AX51" s="287">
        <f t="shared" si="22"/>
        <v>16.5</v>
      </c>
      <c r="AY51" s="234">
        <f t="shared" si="23"/>
        <v>29</v>
      </c>
      <c r="AZ51" s="236"/>
      <c r="BA51" s="236"/>
      <c r="BC51" s="234">
        <f t="shared" ca="1" si="24"/>
        <v>45</v>
      </c>
      <c r="BD51" s="288">
        <f t="shared" ca="1" si="6"/>
        <v>38</v>
      </c>
      <c r="BF51" s="240" t="str">
        <f t="shared" ca="1" si="25"/>
        <v>Portland General Electric Company</v>
      </c>
      <c r="BG51" s="240" t="str">
        <f t="shared" ca="1" si="25"/>
        <v>BBB</v>
      </c>
      <c r="BH51" s="240">
        <f t="shared" ca="1" si="25"/>
        <v>18</v>
      </c>
      <c r="BI51" s="240" t="str">
        <f t="shared" ca="1" si="25"/>
        <v>POR</v>
      </c>
    </row>
    <row r="52" spans="1:61" x14ac:dyDescent="0.2">
      <c r="A52" s="303" t="s">
        <v>75</v>
      </c>
      <c r="B52" s="304" t="s">
        <v>28</v>
      </c>
      <c r="C52" s="304">
        <v>18</v>
      </c>
      <c r="D52" s="304" t="s">
        <v>332</v>
      </c>
      <c r="E52" s="305" t="str">
        <f t="shared" ca="1" si="8"/>
        <v>R</v>
      </c>
      <c r="F52" s="306"/>
      <c r="G52" s="307">
        <f t="shared" ca="1" si="1"/>
        <v>49</v>
      </c>
      <c r="H52" s="250"/>
      <c r="I52" s="250"/>
      <c r="J52" s="262"/>
      <c r="K52" s="262"/>
      <c r="AF52" s="236">
        <f t="shared" si="2"/>
        <v>0</v>
      </c>
      <c r="AG52" s="236" t="str">
        <f t="shared" ca="1" si="3"/>
        <v/>
      </c>
      <c r="AH52" s="236" t="str">
        <f t="shared" ca="1" si="18"/>
        <v/>
      </c>
      <c r="AJ52" s="236">
        <f t="shared" ca="1" si="19"/>
        <v>52</v>
      </c>
      <c r="AK52" s="236" t="str">
        <f t="shared" ca="1" si="20"/>
        <v>BBB</v>
      </c>
      <c r="AL52" s="236">
        <f t="shared" ca="1" si="20"/>
        <v>18</v>
      </c>
      <c r="AM52" s="236" t="str">
        <f t="shared" ca="1" si="4"/>
        <v/>
      </c>
      <c r="AQ52" s="286" t="s">
        <v>75</v>
      </c>
      <c r="AR52" s="286" t="s">
        <v>28</v>
      </c>
      <c r="AS52" s="286">
        <v>18</v>
      </c>
      <c r="AT52" s="286" t="s">
        <v>332</v>
      </c>
      <c r="AV52" s="234">
        <f t="shared" si="21"/>
        <v>32</v>
      </c>
      <c r="AW52" s="234">
        <f>COUNTIF( AV$7:AV52, AV52 )</f>
        <v>15</v>
      </c>
      <c r="AX52" s="287">
        <f t="shared" si="22"/>
        <v>33.5</v>
      </c>
      <c r="AY52" s="234">
        <f t="shared" si="23"/>
        <v>46</v>
      </c>
      <c r="AZ52" s="236"/>
      <c r="BA52" s="236"/>
      <c r="BC52" s="234">
        <f t="shared" ca="1" si="24"/>
        <v>46</v>
      </c>
      <c r="BD52" s="288">
        <f t="shared" ca="1" si="6"/>
        <v>46</v>
      </c>
      <c r="BF52" s="240" t="str">
        <f t="shared" ca="1" si="25"/>
        <v>UIL Holdings Corporation</v>
      </c>
      <c r="BG52" s="240" t="str">
        <f t="shared" ca="1" si="25"/>
        <v>BBB</v>
      </c>
      <c r="BH52" s="240">
        <f t="shared" ca="1" si="25"/>
        <v>18</v>
      </c>
      <c r="BI52" s="240" t="str">
        <f t="shared" ca="1" si="25"/>
        <v>UIL</v>
      </c>
    </row>
    <row r="53" spans="1:61" x14ac:dyDescent="0.2">
      <c r="A53" s="303" t="s">
        <v>51</v>
      </c>
      <c r="B53" s="304" t="s">
        <v>49</v>
      </c>
      <c r="C53" s="304">
        <v>17</v>
      </c>
      <c r="D53" s="304" t="s">
        <v>299</v>
      </c>
      <c r="E53" s="305" t="str">
        <f t="shared" ca="1" si="8"/>
        <v>MR</v>
      </c>
      <c r="F53" s="306"/>
      <c r="G53" s="307">
        <f t="shared" ca="1" si="1"/>
        <v>25</v>
      </c>
      <c r="H53" s="250"/>
      <c r="I53" s="250"/>
      <c r="J53" s="262"/>
      <c r="K53" s="262"/>
      <c r="AF53" s="236">
        <f t="shared" si="2"/>
        <v>1</v>
      </c>
      <c r="AG53" s="236" t="str">
        <f t="shared" ca="1" si="3"/>
        <v/>
      </c>
      <c r="AH53" s="236" t="str">
        <f t="shared" ca="1" si="18"/>
        <v/>
      </c>
      <c r="AJ53" s="236">
        <f t="shared" ca="1" si="19"/>
        <v>53</v>
      </c>
      <c r="AK53" s="236" t="str">
        <f t="shared" ca="1" si="20"/>
        <v>BBB-</v>
      </c>
      <c r="AL53" s="236">
        <f t="shared" ca="1" si="20"/>
        <v>17</v>
      </c>
      <c r="AM53" s="236" t="str">
        <f t="shared" ca="1" si="4"/>
        <v/>
      </c>
      <c r="AQ53" s="286" t="s">
        <v>76</v>
      </c>
      <c r="AR53" s="286" t="s">
        <v>16</v>
      </c>
      <c r="AS53" s="286">
        <v>19</v>
      </c>
      <c r="AT53" s="286" t="s">
        <v>448</v>
      </c>
      <c r="AV53" s="234">
        <f t="shared" si="21"/>
        <v>15</v>
      </c>
      <c r="AW53" s="234">
        <f>COUNTIF( AV$7:AV53, AV53 )</f>
        <v>16</v>
      </c>
      <c r="AX53" s="287">
        <f t="shared" si="22"/>
        <v>16.600000000000001</v>
      </c>
      <c r="AY53" s="234">
        <f t="shared" si="23"/>
        <v>30</v>
      </c>
      <c r="AZ53" s="236"/>
      <c r="BA53" s="236"/>
      <c r="BC53" s="234">
        <f t="shared" ca="1" si="24"/>
        <v>47</v>
      </c>
      <c r="BD53" s="288">
        <f t="shared" ca="1" si="6"/>
        <v>22</v>
      </c>
      <c r="BF53" s="240" t="str">
        <f t="shared" ca="1" si="25"/>
        <v>FirstEnergy Corp.</v>
      </c>
      <c r="BG53" s="240" t="str">
        <f t="shared" ca="1" si="25"/>
        <v>BBB-</v>
      </c>
      <c r="BH53" s="240">
        <f t="shared" ca="1" si="25"/>
        <v>17</v>
      </c>
      <c r="BI53" s="240" t="str">
        <f t="shared" ca="1" si="25"/>
        <v>FE</v>
      </c>
    </row>
    <row r="54" spans="1:61" x14ac:dyDescent="0.2">
      <c r="A54" s="303" t="s">
        <v>39</v>
      </c>
      <c r="B54" s="304" t="s">
        <v>49</v>
      </c>
      <c r="C54" s="304">
        <v>17</v>
      </c>
      <c r="D54" s="304" t="s">
        <v>302</v>
      </c>
      <c r="E54" s="305" t="str">
        <f t="shared" ca="1" si="8"/>
        <v>D</v>
      </c>
      <c r="F54" s="306"/>
      <c r="G54" s="307">
        <f t="shared" ca="1" si="1"/>
        <v>27</v>
      </c>
      <c r="H54" s="250"/>
      <c r="I54" s="250"/>
      <c r="J54" s="262"/>
      <c r="K54" s="262"/>
      <c r="AF54" s="236">
        <f t="shared" si="2"/>
        <v>1</v>
      </c>
      <c r="AG54" s="236" t="str">
        <f t="shared" ca="1" si="3"/>
        <v/>
      </c>
      <c r="AH54" s="236" t="str">
        <f t="shared" ca="1" si="18"/>
        <v/>
      </c>
      <c r="AJ54" s="236">
        <f t="shared" ca="1" si="19"/>
        <v>54</v>
      </c>
      <c r="AK54" s="236" t="str">
        <f t="shared" ca="1" si="20"/>
        <v>BBB-</v>
      </c>
      <c r="AL54" s="236">
        <f t="shared" ca="1" si="20"/>
        <v>17</v>
      </c>
      <c r="AM54" s="236" t="str">
        <f t="shared" ca="1" si="4"/>
        <v/>
      </c>
      <c r="AQ54" s="286" t="s">
        <v>14</v>
      </c>
      <c r="AR54" s="286" t="s">
        <v>10</v>
      </c>
      <c r="AS54" s="286">
        <v>20</v>
      </c>
      <c r="AT54" s="286" t="s">
        <v>335</v>
      </c>
      <c r="AV54" s="234">
        <f t="shared" si="21"/>
        <v>2</v>
      </c>
      <c r="AW54" s="234">
        <f>COUNTIF( AV$7:AV54, AV54 )</f>
        <v>11</v>
      </c>
      <c r="AX54" s="287">
        <f t="shared" si="22"/>
        <v>3.1</v>
      </c>
      <c r="AY54" s="234">
        <f t="shared" si="23"/>
        <v>12</v>
      </c>
      <c r="AZ54" s="236"/>
      <c r="BA54" s="236"/>
      <c r="BC54" s="234">
        <f t="shared" ca="1" si="24"/>
        <v>48</v>
      </c>
      <c r="BD54" s="288">
        <f t="shared" ca="1" si="6"/>
        <v>24</v>
      </c>
      <c r="BF54" s="240" t="str">
        <f t="shared" ca="1" si="25"/>
        <v>Hawaiian Electric Industries, Inc.</v>
      </c>
      <c r="BG54" s="240" t="str">
        <f t="shared" ca="1" si="25"/>
        <v>BBB-</v>
      </c>
      <c r="BH54" s="240">
        <f t="shared" ca="1" si="25"/>
        <v>17</v>
      </c>
      <c r="BI54" s="240" t="str">
        <f t="shared" ca="1" si="25"/>
        <v>HE</v>
      </c>
    </row>
    <row r="55" spans="1:61" x14ac:dyDescent="0.2">
      <c r="A55" s="303" t="s">
        <v>54</v>
      </c>
      <c r="B55" s="304" t="s">
        <v>49</v>
      </c>
      <c r="C55" s="304">
        <v>17</v>
      </c>
      <c r="D55" s="304" t="s">
        <v>449</v>
      </c>
      <c r="E55" s="305" t="str">
        <f t="shared" ca="1" si="8"/>
        <v>R</v>
      </c>
      <c r="F55" s="306"/>
      <c r="G55" s="307">
        <f t="shared" ca="1" si="1"/>
        <v>61</v>
      </c>
      <c r="H55" s="250"/>
      <c r="I55" s="250"/>
      <c r="J55" s="262"/>
      <c r="K55" s="262"/>
      <c r="AF55" s="236">
        <f t="shared" si="2"/>
        <v>1</v>
      </c>
      <c r="AG55" s="236" t="str">
        <f t="shared" ca="1" si="3"/>
        <v/>
      </c>
      <c r="AH55" s="236" t="str">
        <f t="shared" ca="1" si="18"/>
        <v/>
      </c>
      <c r="AJ55" s="236">
        <f t="shared" ca="1" si="19"/>
        <v>55</v>
      </c>
      <c r="AK55" s="236" t="str">
        <f t="shared" ca="1" si="20"/>
        <v>BBB-</v>
      </c>
      <c r="AL55" s="236">
        <f t="shared" ca="1" si="20"/>
        <v>17</v>
      </c>
      <c r="AM55" s="236" t="str">
        <f t="shared" ca="1" si="4"/>
        <v/>
      </c>
      <c r="AQ55" s="286" t="s">
        <v>59</v>
      </c>
      <c r="AR55" s="286" t="s">
        <v>16</v>
      </c>
      <c r="AS55" s="286">
        <v>19</v>
      </c>
      <c r="AT55" s="286" t="s">
        <v>337</v>
      </c>
      <c r="AV55" s="234">
        <f t="shared" si="21"/>
        <v>15</v>
      </c>
      <c r="AW55" s="234">
        <f>COUNTIF( AV$7:AV55, AV55 )</f>
        <v>17</v>
      </c>
      <c r="AX55" s="287">
        <f t="shared" si="22"/>
        <v>16.7</v>
      </c>
      <c r="AY55" s="234">
        <f t="shared" si="23"/>
        <v>31</v>
      </c>
      <c r="AZ55" s="236"/>
      <c r="BA55" s="236"/>
      <c r="BC55" s="234">
        <f t="shared" ca="1" si="24"/>
        <v>49</v>
      </c>
      <c r="BD55" s="288">
        <f t="shared" ca="1" si="6"/>
        <v>41</v>
      </c>
      <c r="BF55" s="240" t="str">
        <f t="shared" ca="1" si="25"/>
        <v>Puget Energy, Inc.</v>
      </c>
      <c r="BG55" s="240" t="str">
        <f t="shared" ca="1" si="25"/>
        <v>BBB-</v>
      </c>
      <c r="BH55" s="240">
        <f t="shared" ca="1" si="25"/>
        <v>17</v>
      </c>
      <c r="BI55" s="240" t="str">
        <f t="shared" ca="1" si="25"/>
        <v>**PSD</v>
      </c>
    </row>
    <row r="56" spans="1:61" x14ac:dyDescent="0.2">
      <c r="A56" s="303" t="s">
        <v>58</v>
      </c>
      <c r="B56" s="304" t="s">
        <v>56</v>
      </c>
      <c r="C56" s="304">
        <v>16</v>
      </c>
      <c r="D56" s="304" t="s">
        <v>446</v>
      </c>
      <c r="E56" s="305" t="str">
        <f t="shared" ca="1" si="8"/>
        <v>R</v>
      </c>
      <c r="F56" s="306"/>
      <c r="G56" s="307">
        <f t="shared" ca="1" si="1"/>
        <v>59</v>
      </c>
      <c r="H56" s="250"/>
      <c r="I56" s="250"/>
      <c r="J56" s="262"/>
      <c r="K56" s="262"/>
      <c r="AF56" s="236">
        <f t="shared" si="2"/>
        <v>0</v>
      </c>
      <c r="AG56" s="236" t="str">
        <f t="shared" ca="1" si="3"/>
        <v/>
      </c>
      <c r="AH56" s="236" t="str">
        <f t="shared" ca="1" si="18"/>
        <v/>
      </c>
      <c r="AJ56" s="236">
        <f t="shared" ca="1" si="19"/>
        <v>56</v>
      </c>
      <c r="AK56" s="236" t="str">
        <f t="shared" ca="1" si="20"/>
        <v>BB+</v>
      </c>
      <c r="AL56" s="236">
        <f t="shared" ca="1" si="20"/>
        <v>16</v>
      </c>
      <c r="AM56" s="236" t="str">
        <f t="shared" ca="1" si="4"/>
        <v/>
      </c>
      <c r="AQ56" s="286" t="s">
        <v>527</v>
      </c>
      <c r="AR56" s="286" t="s">
        <v>10</v>
      </c>
      <c r="AS56" s="286">
        <v>20</v>
      </c>
      <c r="AT56" s="286" t="s">
        <v>336</v>
      </c>
      <c r="AV56" s="234">
        <f t="shared" si="21"/>
        <v>2</v>
      </c>
      <c r="AW56" s="234">
        <f>COUNTIF( AV$7:AV56, AV56 )</f>
        <v>12</v>
      </c>
      <c r="AX56" s="287">
        <f t="shared" si="22"/>
        <v>3.2</v>
      </c>
      <c r="AY56" s="234">
        <f t="shared" si="23"/>
        <v>13</v>
      </c>
      <c r="AZ56" s="236"/>
      <c r="BA56" s="236"/>
      <c r="BC56" s="234">
        <f t="shared" ca="1" si="24"/>
        <v>50</v>
      </c>
      <c r="BD56" s="288">
        <f t="shared" ca="1" si="6"/>
        <v>27</v>
      </c>
      <c r="BF56" s="240" t="str">
        <f t="shared" ca="1" si="25"/>
        <v>IPALCO Enterprises, Inc.</v>
      </c>
      <c r="BG56" s="240" t="str">
        <f t="shared" ca="1" si="25"/>
        <v>BB+</v>
      </c>
      <c r="BH56" s="240">
        <f t="shared" ca="1" si="25"/>
        <v>16</v>
      </c>
      <c r="BI56" s="240" t="str">
        <f t="shared" ca="1" si="25"/>
        <v>**IPALCO</v>
      </c>
    </row>
    <row r="57" spans="1:61" x14ac:dyDescent="0.2">
      <c r="A57" s="303" t="s">
        <v>64</v>
      </c>
      <c r="B57" s="304" t="s">
        <v>61</v>
      </c>
      <c r="C57" s="304">
        <v>15</v>
      </c>
      <c r="D57" s="304" t="s">
        <v>443</v>
      </c>
      <c r="E57" s="305" t="str">
        <f t="shared" ca="1" si="8"/>
        <v>R</v>
      </c>
      <c r="F57" s="306"/>
      <c r="G57" s="307">
        <f t="shared" ca="1" si="1"/>
        <v>57</v>
      </c>
      <c r="H57" s="250"/>
      <c r="I57" s="250"/>
      <c r="J57" s="262"/>
      <c r="K57" s="262"/>
      <c r="AF57" s="236">
        <f t="shared" si="2"/>
        <v>1</v>
      </c>
      <c r="AG57" s="236" t="str">
        <f t="shared" ca="1" si="3"/>
        <v/>
      </c>
      <c r="AH57" s="236" t="str">
        <f t="shared" ca="1" si="18"/>
        <v/>
      </c>
      <c r="AJ57" s="236">
        <f t="shared" ca="1" si="19"/>
        <v>57</v>
      </c>
      <c r="AK57" s="236" t="str">
        <f t="shared" ca="1" si="20"/>
        <v>BB</v>
      </c>
      <c r="AL57" s="236">
        <f t="shared" ca="1" si="20"/>
        <v>15</v>
      </c>
      <c r="AM57" s="236" t="str">
        <f t="shared" ca="1" si="4"/>
        <v/>
      </c>
      <c r="AQ57" s="286" t="s">
        <v>258</v>
      </c>
      <c r="AR57" s="286" t="s">
        <v>10</v>
      </c>
      <c r="AS57" s="286">
        <v>20</v>
      </c>
      <c r="AT57" s="286" t="s">
        <v>338</v>
      </c>
      <c r="AV57" s="234">
        <f t="shared" si="21"/>
        <v>2</v>
      </c>
      <c r="AW57" s="234">
        <f>COUNTIF( AV$7:AV57, AV57 )</f>
        <v>13</v>
      </c>
      <c r="AX57" s="287">
        <f t="shared" si="22"/>
        <v>3.3</v>
      </c>
      <c r="AY57" s="234">
        <f t="shared" si="23"/>
        <v>14</v>
      </c>
      <c r="AZ57" s="236"/>
      <c r="BA57" s="236"/>
      <c r="BC57" s="234">
        <f t="shared" ca="1" si="24"/>
        <v>51</v>
      </c>
      <c r="BD57" s="288">
        <f t="shared" ca="1" si="6"/>
        <v>13</v>
      </c>
      <c r="BF57" s="240" t="str">
        <f t="shared" ca="1" si="25"/>
        <v>DPL Inc.</v>
      </c>
      <c r="BG57" s="240" t="str">
        <f t="shared" ca="1" si="25"/>
        <v>BB</v>
      </c>
      <c r="BH57" s="240">
        <f t="shared" ca="1" si="25"/>
        <v>15</v>
      </c>
      <c r="BI57" s="240" t="str">
        <f t="shared" ca="1" si="25"/>
        <v>**DPL</v>
      </c>
    </row>
    <row r="58" spans="1:61" x14ac:dyDescent="0.2">
      <c r="A58" s="303"/>
      <c r="B58" s="304"/>
      <c r="C58" s="304"/>
      <c r="D58" s="304"/>
      <c r="E58" s="305" t="str">
        <f t="shared" ca="1" si="8"/>
        <v/>
      </c>
      <c r="F58" s="306"/>
      <c r="G58" s="307" t="str">
        <f t="shared" ca="1" si="1"/>
        <v/>
      </c>
      <c r="H58" s="250"/>
      <c r="I58" s="250"/>
      <c r="J58" s="262"/>
      <c r="K58" s="262"/>
      <c r="AF58" s="236">
        <f t="shared" si="2"/>
        <v>0</v>
      </c>
      <c r="AG58" s="236" t="str">
        <f t="shared" si="3"/>
        <v/>
      </c>
      <c r="AH58" s="236" t="str">
        <f t="shared" si="18"/>
        <v/>
      </c>
      <c r="AJ58" s="236" t="e">
        <f t="shared" ca="1" si="19"/>
        <v>#N/A</v>
      </c>
      <c r="AK58" s="236" t="str">
        <f t="shared" ca="1" si="20"/>
        <v/>
      </c>
      <c r="AL58" s="236" t="str">
        <f t="shared" ca="1" si="20"/>
        <v/>
      </c>
      <c r="AM58" s="236" t="str">
        <f t="shared" ca="1" si="4"/>
        <v/>
      </c>
      <c r="AQ58" s="286"/>
      <c r="AR58" s="286"/>
      <c r="AS58" s="286"/>
      <c r="AT58" s="286"/>
      <c r="AV58" s="234">
        <f t="shared" si="21"/>
        <v>99</v>
      </c>
      <c r="AW58" s="234">
        <f>COUNTIF( AV$7:AV58, AV58 )</f>
        <v>1</v>
      </c>
      <c r="AX58" s="287">
        <f t="shared" si="22"/>
        <v>99.1</v>
      </c>
      <c r="AY58" s="234">
        <f t="shared" si="23"/>
        <v>52</v>
      </c>
      <c r="AZ58" s="236"/>
      <c r="BA58" s="236"/>
      <c r="BC58" s="234">
        <f t="shared" ca="1" si="24"/>
        <v>52</v>
      </c>
      <c r="BD58" s="288">
        <f t="shared" ca="1" si="6"/>
        <v>52</v>
      </c>
      <c r="BF58" s="240">
        <f t="shared" ca="1" si="25"/>
        <v>0</v>
      </c>
      <c r="BG58" s="240">
        <f t="shared" ca="1" si="25"/>
        <v>0</v>
      </c>
      <c r="BH58" s="240">
        <f t="shared" ca="1" si="25"/>
        <v>0</v>
      </c>
      <c r="BI58" s="240">
        <f t="shared" ca="1" si="25"/>
        <v>0</v>
      </c>
    </row>
    <row r="59" spans="1:61" x14ac:dyDescent="0.2">
      <c r="A59" s="303"/>
      <c r="B59" s="304"/>
      <c r="C59" s="304"/>
      <c r="D59" s="304"/>
      <c r="E59" s="305" t="str">
        <f t="shared" ca="1" si="8"/>
        <v/>
      </c>
      <c r="F59" s="306"/>
      <c r="G59" s="307" t="str">
        <f t="shared" ca="1" si="1"/>
        <v/>
      </c>
      <c r="H59" s="250"/>
      <c r="I59" s="250"/>
      <c r="J59" s="262"/>
      <c r="K59" s="262"/>
      <c r="AF59" s="236">
        <f t="shared" si="2"/>
        <v>0</v>
      </c>
      <c r="AG59" s="236" t="str">
        <f t="shared" si="3"/>
        <v/>
      </c>
      <c r="AH59" s="236" t="str">
        <f t="shared" si="18"/>
        <v/>
      </c>
      <c r="AJ59" s="236" t="e">
        <f t="shared" ca="1" si="19"/>
        <v>#N/A</v>
      </c>
      <c r="AK59" s="236" t="str">
        <f t="shared" ca="1" si="20"/>
        <v/>
      </c>
      <c r="AL59" s="236" t="str">
        <f t="shared" ca="1" si="20"/>
        <v/>
      </c>
      <c r="AM59" s="236" t="str">
        <f t="shared" ca="1" si="4"/>
        <v/>
      </c>
      <c r="AQ59" s="286"/>
      <c r="AR59" s="286"/>
      <c r="AS59" s="286"/>
      <c r="AT59" s="286"/>
      <c r="AV59" s="234">
        <f t="shared" si="21"/>
        <v>99</v>
      </c>
      <c r="AW59" s="234">
        <f>COUNTIF( AV$7:AV59, AV59 )</f>
        <v>2</v>
      </c>
      <c r="AX59" s="287">
        <f t="shared" si="22"/>
        <v>99.2</v>
      </c>
      <c r="AY59" s="234">
        <f t="shared" si="23"/>
        <v>53</v>
      </c>
      <c r="AZ59" s="236"/>
      <c r="BA59" s="236"/>
      <c r="BC59" s="234">
        <f t="shared" ca="1" si="24"/>
        <v>53</v>
      </c>
      <c r="BD59" s="288">
        <f t="shared" ca="1" si="6"/>
        <v>53</v>
      </c>
      <c r="BF59" s="240">
        <f t="shared" ca="1" si="25"/>
        <v>0</v>
      </c>
      <c r="BG59" s="240">
        <f t="shared" ca="1" si="25"/>
        <v>0</v>
      </c>
      <c r="BH59" s="240">
        <f t="shared" ca="1" si="25"/>
        <v>0</v>
      </c>
      <c r="BI59" s="240">
        <f t="shared" ca="1" si="25"/>
        <v>0</v>
      </c>
    </row>
    <row r="60" spans="1:61" ht="13.5" thickBot="1" x14ac:dyDescent="0.25">
      <c r="A60" s="265"/>
      <c r="B60" s="266"/>
      <c r="C60" s="266"/>
      <c r="D60" s="266"/>
      <c r="E60" s="267" t="str">
        <f t="shared" ca="1" si="8"/>
        <v/>
      </c>
      <c r="F60" s="250"/>
      <c r="G60" s="251" t="str">
        <f t="shared" ca="1" si="1"/>
        <v/>
      </c>
      <c r="H60" s="250"/>
      <c r="I60" s="250"/>
      <c r="AF60" s="236">
        <f t="shared" si="2"/>
        <v>0</v>
      </c>
      <c r="AG60" s="236" t="str">
        <f t="shared" si="3"/>
        <v/>
      </c>
      <c r="AH60" s="236" t="str">
        <f t="shared" si="18"/>
        <v/>
      </c>
      <c r="AJ60" s="236" t="e">
        <f t="shared" ca="1" si="19"/>
        <v>#N/A</v>
      </c>
      <c r="AK60" s="236" t="str">
        <f t="shared" ca="1" si="20"/>
        <v/>
      </c>
      <c r="AL60" s="236" t="str">
        <f t="shared" ca="1" si="20"/>
        <v/>
      </c>
      <c r="AM60" s="236" t="str">
        <f t="shared" ca="1" si="4"/>
        <v/>
      </c>
      <c r="AQ60" s="286"/>
      <c r="AR60" s="286"/>
      <c r="AS60" s="286"/>
      <c r="AT60" s="286"/>
      <c r="AV60" s="234">
        <f t="shared" si="21"/>
        <v>99</v>
      </c>
      <c r="AW60" s="234">
        <f>COUNTIF( AV$7:AV60, AV60 )</f>
        <v>3</v>
      </c>
      <c r="AX60" s="287">
        <f t="shared" si="22"/>
        <v>99.3</v>
      </c>
      <c r="AY60" s="234">
        <f t="shared" si="23"/>
        <v>54</v>
      </c>
      <c r="AZ60" s="236"/>
      <c r="BA60" s="236"/>
      <c r="BC60" s="234">
        <f t="shared" ca="1" si="24"/>
        <v>54</v>
      </c>
      <c r="BD60" s="288">
        <f t="shared" ca="1" si="6"/>
        <v>54</v>
      </c>
      <c r="BF60" s="240">
        <f t="shared" ca="1" si="25"/>
        <v>0</v>
      </c>
      <c r="BG60" s="240">
        <f t="shared" ca="1" si="25"/>
        <v>0</v>
      </c>
      <c r="BH60" s="240">
        <f t="shared" ca="1" si="25"/>
        <v>0</v>
      </c>
      <c r="BI60" s="240">
        <f t="shared" ca="1" si="25"/>
        <v>0</v>
      </c>
    </row>
    <row r="61" spans="1:61" x14ac:dyDescent="0.2">
      <c r="A61" s="308" t="s">
        <v>474</v>
      </c>
      <c r="B61" s="309" t="s">
        <v>108</v>
      </c>
      <c r="C61" s="309">
        <v>23</v>
      </c>
      <c r="D61" s="309" t="s">
        <v>440</v>
      </c>
      <c r="E61" s="310" t="str">
        <f t="shared" ca="1" si="8"/>
        <v>MR</v>
      </c>
      <c r="F61" s="311"/>
      <c r="G61" s="312">
        <f t="shared" ca="1" si="1"/>
        <v>31</v>
      </c>
      <c r="H61" s="250"/>
      <c r="I61" s="250"/>
      <c r="AF61" s="236">
        <f t="shared" si="2"/>
        <v>1</v>
      </c>
      <c r="AG61" s="236" t="str">
        <f t="shared" ca="1" si="3"/>
        <v/>
      </c>
      <c r="AH61" s="236" t="str">
        <f t="shared" ca="1" si="18"/>
        <v/>
      </c>
      <c r="AJ61" s="236">
        <f t="shared" ca="1" si="19"/>
        <v>61</v>
      </c>
      <c r="AK61" s="236" t="str">
        <f t="shared" ca="1" si="20"/>
        <v>AA-</v>
      </c>
      <c r="AL61" s="236">
        <f t="shared" ca="1" si="20"/>
        <v>23</v>
      </c>
      <c r="AM61" s="236" t="str">
        <f t="shared" ca="1" si="4"/>
        <v/>
      </c>
      <c r="AQ61" s="286"/>
      <c r="AR61" s="286"/>
      <c r="AS61" s="286"/>
      <c r="AT61" s="286"/>
      <c r="AV61" s="234">
        <f t="shared" si="21"/>
        <v>99</v>
      </c>
      <c r="AW61" s="234">
        <f>COUNTIF( AV$7:AV61, AV61 )</f>
        <v>4</v>
      </c>
      <c r="AX61" s="287">
        <f t="shared" si="22"/>
        <v>99.4</v>
      </c>
      <c r="AY61" s="234">
        <f t="shared" si="23"/>
        <v>55</v>
      </c>
      <c r="AZ61" s="236"/>
      <c r="BA61" s="236"/>
      <c r="BC61" s="234">
        <f t="shared" ca="1" si="24"/>
        <v>55</v>
      </c>
      <c r="BD61" s="288">
        <f t="shared" ca="1" si="6"/>
        <v>55</v>
      </c>
      <c r="BF61" s="240">
        <f t="shared" ca="1" si="25"/>
        <v>0</v>
      </c>
      <c r="BG61" s="240">
        <f t="shared" ca="1" si="25"/>
        <v>0</v>
      </c>
      <c r="BH61" s="240">
        <f t="shared" ca="1" si="25"/>
        <v>0</v>
      </c>
      <c r="BI61" s="240">
        <f t="shared" ca="1" si="25"/>
        <v>0</v>
      </c>
    </row>
    <row r="62" spans="1:61" x14ac:dyDescent="0.2">
      <c r="A62" s="303" t="s">
        <v>249</v>
      </c>
      <c r="B62" s="304"/>
      <c r="C62" s="304"/>
      <c r="D62" s="304" t="s">
        <v>445</v>
      </c>
      <c r="E62" s="305" t="str">
        <f t="shared" ca="1" si="8"/>
        <v>D</v>
      </c>
      <c r="F62" s="306"/>
      <c r="G62" s="307">
        <f t="shared" ca="1" si="1"/>
        <v>58</v>
      </c>
      <c r="H62" s="250"/>
      <c r="I62" s="250"/>
      <c r="AF62" s="236">
        <f t="shared" si="2"/>
        <v>0</v>
      </c>
      <c r="AG62" s="236" t="str">
        <f t="shared" si="3"/>
        <v/>
      </c>
      <c r="AH62" s="236" t="str">
        <f t="shared" si="18"/>
        <v/>
      </c>
      <c r="AJ62" s="236">
        <f t="shared" ca="1" si="19"/>
        <v>62</v>
      </c>
      <c r="AK62" s="236">
        <f t="shared" ca="1" si="20"/>
        <v>0</v>
      </c>
      <c r="AL62" s="236">
        <f t="shared" ca="1" si="20"/>
        <v>0</v>
      </c>
      <c r="AM62" s="236" t="str">
        <f t="shared" ca="1" si="4"/>
        <v/>
      </c>
      <c r="AQ62" s="286"/>
      <c r="AR62" s="286"/>
      <c r="AS62" s="286"/>
      <c r="AT62" s="286"/>
      <c r="AV62" s="234">
        <f t="shared" si="21"/>
        <v>99</v>
      </c>
      <c r="AW62" s="234">
        <f>COUNTIF( AV$7:AV62, AV62 )</f>
        <v>5</v>
      </c>
      <c r="AX62" s="287">
        <f t="shared" si="22"/>
        <v>99.5</v>
      </c>
      <c r="AY62" s="234">
        <f t="shared" si="23"/>
        <v>56</v>
      </c>
      <c r="AZ62" s="236"/>
      <c r="BA62" s="236"/>
      <c r="BC62" s="234">
        <f t="shared" ca="1" si="24"/>
        <v>56</v>
      </c>
      <c r="BD62" s="288">
        <f t="shared" ca="1" si="6"/>
        <v>56</v>
      </c>
      <c r="BF62" s="240">
        <f t="shared" ca="1" si="25"/>
        <v>0</v>
      </c>
      <c r="BG62" s="240">
        <f t="shared" ca="1" si="25"/>
        <v>0</v>
      </c>
      <c r="BH62" s="240">
        <f t="shared" ca="1" si="25"/>
        <v>0</v>
      </c>
      <c r="BI62" s="240">
        <f t="shared" ca="1" si="25"/>
        <v>0</v>
      </c>
    </row>
    <row r="63" spans="1:61" x14ac:dyDescent="0.2">
      <c r="A63" s="303"/>
      <c r="B63" s="313"/>
      <c r="C63" s="304"/>
      <c r="D63" s="304"/>
      <c r="E63" s="305"/>
      <c r="F63" s="306"/>
      <c r="G63" s="307"/>
      <c r="H63" s="250"/>
      <c r="I63" s="250"/>
      <c r="AF63" s="236">
        <f t="shared" si="2"/>
        <v>0</v>
      </c>
      <c r="AG63" s="236" t="str">
        <f t="shared" si="3"/>
        <v/>
      </c>
      <c r="AH63" s="236" t="str">
        <f t="shared" si="18"/>
        <v/>
      </c>
      <c r="AJ63" s="236" t="e">
        <f t="shared" ca="1" si="19"/>
        <v>#N/A</v>
      </c>
      <c r="AK63" s="236" t="str">
        <f t="shared" ca="1" si="20"/>
        <v/>
      </c>
      <c r="AL63" s="236" t="str">
        <f t="shared" ca="1" si="20"/>
        <v/>
      </c>
      <c r="AM63" s="236" t="str">
        <f t="shared" ca="1" si="4"/>
        <v/>
      </c>
      <c r="AQ63" s="286"/>
      <c r="AR63" s="286"/>
      <c r="AS63" s="286"/>
      <c r="AT63" s="286"/>
      <c r="AU63" s="286"/>
      <c r="AV63" s="234">
        <f t="shared" si="21"/>
        <v>99</v>
      </c>
      <c r="AW63" s="234">
        <f>COUNTIF( AV$7:AV63, AV63 )</f>
        <v>6</v>
      </c>
      <c r="AX63" s="287">
        <f t="shared" si="22"/>
        <v>99.6</v>
      </c>
      <c r="AY63" s="234">
        <f t="shared" si="23"/>
        <v>57</v>
      </c>
      <c r="AZ63" s="236"/>
      <c r="BA63" s="236"/>
      <c r="BC63" s="234">
        <f t="shared" ca="1" si="24"/>
        <v>57</v>
      </c>
      <c r="BD63" s="288">
        <f ca="1">MATCH( BC63, $AY$7:$AY$63, 0 )</f>
        <v>57</v>
      </c>
      <c r="BF63" s="240">
        <f t="shared" ca="1" si="25"/>
        <v>0</v>
      </c>
      <c r="BG63" s="240">
        <f t="shared" ca="1" si="25"/>
        <v>0</v>
      </c>
      <c r="BH63" s="240">
        <f t="shared" ca="1" si="25"/>
        <v>0</v>
      </c>
      <c r="BI63" s="240">
        <f t="shared" ca="1" si="25"/>
        <v>0</v>
      </c>
    </row>
    <row r="64" spans="1:61" x14ac:dyDescent="0.2">
      <c r="A64" s="303"/>
      <c r="B64" s="313"/>
      <c r="C64" s="304"/>
      <c r="D64" s="304"/>
      <c r="E64" s="305"/>
      <c r="F64" s="306"/>
      <c r="G64" s="307"/>
      <c r="H64" s="250"/>
      <c r="I64" s="250"/>
      <c r="AF64" s="236">
        <f t="shared" si="2"/>
        <v>0</v>
      </c>
      <c r="AG64" s="236" t="str">
        <f t="shared" si="3"/>
        <v/>
      </c>
      <c r="AH64" s="236" t="str">
        <f t="shared" si="18"/>
        <v/>
      </c>
      <c r="AJ64" s="236" t="e">
        <f t="shared" ca="1" si="19"/>
        <v>#N/A</v>
      </c>
      <c r="AK64" s="236" t="str">
        <f t="shared" ca="1" si="20"/>
        <v/>
      </c>
      <c r="AL64" s="236" t="str">
        <f t="shared" ca="1" si="20"/>
        <v/>
      </c>
      <c r="AM64" s="236" t="str">
        <f t="shared" ca="1" si="4"/>
        <v/>
      </c>
      <c r="AQ64" s="286" t="s">
        <v>74</v>
      </c>
      <c r="AR64" s="286" t="s">
        <v>108</v>
      </c>
      <c r="AS64" s="286">
        <v>23</v>
      </c>
      <c r="AT64" s="286" t="s">
        <v>440</v>
      </c>
      <c r="AU64" s="286"/>
      <c r="AZ64" s="236"/>
      <c r="BA64" s="236"/>
      <c r="BF64" s="236"/>
    </row>
    <row r="65" spans="1:58" x14ac:dyDescent="0.2">
      <c r="A65" s="303"/>
      <c r="B65" s="313"/>
      <c r="C65" s="304"/>
      <c r="D65" s="304"/>
      <c r="E65" s="305"/>
      <c r="F65" s="306"/>
      <c r="G65" s="307"/>
      <c r="H65" s="250"/>
      <c r="I65" s="250"/>
      <c r="N65" s="234" t="s">
        <v>73</v>
      </c>
      <c r="AF65" s="236">
        <f t="shared" si="2"/>
        <v>0</v>
      </c>
      <c r="AG65" s="236" t="str">
        <f>IF( LEN( $C65 ) = 0, "", IF( $C65 &gt; $AL65, 1, "" ) )</f>
        <v/>
      </c>
      <c r="AH65" s="236" t="str">
        <f t="shared" si="18"/>
        <v/>
      </c>
      <c r="AJ65" s="236" t="e">
        <f t="shared" ca="1" si="19"/>
        <v>#N/A</v>
      </c>
      <c r="AK65" s="236" t="str">
        <f t="shared" ca="1" si="20"/>
        <v/>
      </c>
      <c r="AL65" s="236" t="str">
        <f t="shared" ca="1" si="20"/>
        <v/>
      </c>
      <c r="AM65" s="236" t="str">
        <f t="shared" ca="1" si="4"/>
        <v/>
      </c>
      <c r="AQ65" s="286" t="s">
        <v>249</v>
      </c>
      <c r="AR65" s="286"/>
      <c r="AS65" s="286"/>
      <c r="AT65" s="286" t="s">
        <v>445</v>
      </c>
      <c r="AU65" s="286"/>
      <c r="AZ65" s="236"/>
      <c r="BA65" s="236"/>
      <c r="BF65" s="236"/>
    </row>
    <row r="66" spans="1:58" x14ac:dyDescent="0.2">
      <c r="A66" s="268"/>
      <c r="B66" s="269"/>
      <c r="C66" s="270"/>
      <c r="D66" s="270"/>
      <c r="E66" s="249"/>
      <c r="F66" s="250"/>
      <c r="H66" s="250"/>
      <c r="I66" s="250"/>
      <c r="AF66" s="236">
        <f t="shared" si="2"/>
        <v>0</v>
      </c>
      <c r="AG66" s="236" t="str">
        <f t="shared" ref="AG66:AG67" si="26">IF( LEN( $C66 ) = 0, "", IF( $C66 &gt; $AL66, 1, "" ) )</f>
        <v/>
      </c>
      <c r="AH66" s="236" t="str">
        <f t="shared" si="18"/>
        <v/>
      </c>
      <c r="AJ66" s="236" t="e">
        <f t="shared" ca="1" si="19"/>
        <v>#N/A</v>
      </c>
      <c r="AK66" s="236" t="str">
        <f t="shared" ca="1" si="20"/>
        <v/>
      </c>
      <c r="AL66" s="236" t="str">
        <f t="shared" ca="1" si="20"/>
        <v/>
      </c>
      <c r="AM66" s="236" t="str">
        <f t="shared" ca="1" si="4"/>
        <v/>
      </c>
      <c r="AU66" s="286"/>
      <c r="AX66" s="287"/>
      <c r="AZ66" s="236"/>
      <c r="BA66" s="236"/>
      <c r="BD66" s="288"/>
      <c r="BF66" s="236"/>
    </row>
    <row r="67" spans="1:58" ht="13.5" thickBot="1" x14ac:dyDescent="0.25">
      <c r="A67" s="271"/>
      <c r="B67" s="272"/>
      <c r="C67" s="337"/>
      <c r="D67" s="272"/>
      <c r="E67" s="273"/>
      <c r="F67" s="250"/>
      <c r="H67" s="250"/>
      <c r="I67" s="250"/>
      <c r="AF67" s="236">
        <f t="shared" si="2"/>
        <v>0</v>
      </c>
      <c r="AG67" s="236" t="str">
        <f t="shared" si="26"/>
        <v/>
      </c>
      <c r="AH67" s="236" t="str">
        <f t="shared" si="18"/>
        <v/>
      </c>
      <c r="AJ67" s="236" t="e">
        <f t="shared" ca="1" si="19"/>
        <v>#N/A</v>
      </c>
      <c r="AK67" s="236" t="str">
        <f t="shared" ca="1" si="20"/>
        <v/>
      </c>
      <c r="AL67" s="236" t="str">
        <f t="shared" ca="1" si="20"/>
        <v/>
      </c>
      <c r="AM67" s="236" t="str">
        <f t="shared" ca="1" si="4"/>
        <v/>
      </c>
      <c r="AX67" s="287"/>
      <c r="AZ67" s="236"/>
      <c r="BA67" s="236"/>
      <c r="BD67" s="288"/>
      <c r="BF67" s="236"/>
    </row>
    <row r="68" spans="1:58" x14ac:dyDescent="0.2">
      <c r="A68" s="274" t="s">
        <v>135</v>
      </c>
      <c r="B68" s="275" t="str">
        <f ca="1">OFFSET( Scale!$H$5, ROUND( C68, 0 ) - 1, 1 )</f>
        <v>BBB+</v>
      </c>
      <c r="C68" s="276">
        <f>AVERAGE(C7:C65)</f>
        <v>18.826923076923077</v>
      </c>
      <c r="D68" s="276"/>
      <c r="E68" s="276"/>
      <c r="F68" s="250"/>
      <c r="H68" s="250"/>
      <c r="I68" s="250"/>
      <c r="J68" s="253"/>
      <c r="K68" s="253"/>
      <c r="AX68" s="287"/>
      <c r="AZ68" s="236"/>
      <c r="BA68" s="236"/>
      <c r="BD68" s="288"/>
      <c r="BF68" s="236"/>
    </row>
    <row r="69" spans="1:58" x14ac:dyDescent="0.2">
      <c r="A69" s="277"/>
      <c r="B69" s="278"/>
      <c r="F69" s="250"/>
      <c r="H69" s="250"/>
      <c r="I69" s="250"/>
      <c r="AX69" s="287"/>
      <c r="AZ69" s="236"/>
      <c r="BA69" s="236"/>
      <c r="BD69" s="288"/>
      <c r="BF69" s="236"/>
    </row>
    <row r="70" spans="1:58" x14ac:dyDescent="0.2">
      <c r="A70" s="277"/>
      <c r="B70" s="278"/>
      <c r="F70" s="240"/>
      <c r="H70" s="240"/>
      <c r="I70" s="240"/>
      <c r="J70" s="253"/>
      <c r="K70" s="253"/>
    </row>
    <row r="71" spans="1:58" x14ac:dyDescent="0.2">
      <c r="A71" s="279" t="s">
        <v>267</v>
      </c>
      <c r="F71" s="240"/>
      <c r="H71" s="240"/>
      <c r="I71" s="240"/>
    </row>
    <row r="72" spans="1:58" x14ac:dyDescent="0.2">
      <c r="A72" s="279" t="s">
        <v>366</v>
      </c>
      <c r="B72" s="240"/>
      <c r="D72" s="264"/>
      <c r="E72" s="264"/>
      <c r="F72" s="280"/>
      <c r="H72" s="280"/>
      <c r="I72" s="280"/>
    </row>
    <row r="73" spans="1:58" x14ac:dyDescent="0.2">
      <c r="A73" s="281" t="s">
        <v>357</v>
      </c>
      <c r="B73" s="240"/>
      <c r="D73" s="264"/>
      <c r="E73" s="264"/>
      <c r="F73" s="280"/>
      <c r="H73" s="280"/>
      <c r="I73" s="280"/>
    </row>
    <row r="74" spans="1:58" x14ac:dyDescent="0.2">
      <c r="A74" s="279" t="s">
        <v>359</v>
      </c>
      <c r="D74" s="280"/>
      <c r="E74" s="234"/>
      <c r="F74" s="282"/>
      <c r="H74" s="282"/>
      <c r="I74" s="282"/>
      <c r="AQ74" s="286"/>
      <c r="AR74" s="286"/>
      <c r="AS74" s="286"/>
    </row>
    <row r="75" spans="1:58" x14ac:dyDescent="0.2">
      <c r="A75" s="279" t="s">
        <v>507</v>
      </c>
      <c r="D75" s="280"/>
      <c r="E75" s="234"/>
      <c r="F75" s="282"/>
      <c r="H75" s="282"/>
      <c r="I75" s="282"/>
      <c r="AQ75" s="286"/>
      <c r="AR75" s="286"/>
      <c r="AS75" s="286"/>
    </row>
    <row r="76" spans="1:58" x14ac:dyDescent="0.2">
      <c r="A76" s="279"/>
      <c r="AQ76" s="286"/>
      <c r="AR76" s="286"/>
      <c r="AS76" s="286"/>
    </row>
    <row r="77" spans="1:58" x14ac:dyDescent="0.2">
      <c r="C77" s="339">
        <f>SUMPRODUCT( L8:L13, Y8:Y13 ) / L14</f>
        <v>18.807692307692307</v>
      </c>
      <c r="E77" s="283"/>
      <c r="G77" s="251"/>
      <c r="J77" s="240"/>
      <c r="K77" s="240"/>
      <c r="AQ77" s="286"/>
      <c r="AR77" s="286"/>
      <c r="AS77" s="286"/>
    </row>
    <row r="78" spans="1:58" s="240" customFormat="1" x14ac:dyDescent="0.2">
      <c r="A78" s="284"/>
      <c r="B78" s="285"/>
      <c r="C78" s="285"/>
      <c r="D78" s="285"/>
      <c r="E78" s="249"/>
      <c r="F78" s="234"/>
      <c r="G78" s="236"/>
      <c r="H78" s="234"/>
      <c r="I78" s="234"/>
      <c r="Q78" s="234"/>
      <c r="T78" s="236"/>
      <c r="U78" s="236"/>
      <c r="V78" s="236"/>
      <c r="AF78" s="236"/>
      <c r="AG78" s="236"/>
      <c r="AH78" s="236"/>
      <c r="AJ78" s="236"/>
      <c r="AK78" s="236"/>
      <c r="AL78" s="236"/>
      <c r="AM78" s="236"/>
      <c r="AN78" s="236"/>
      <c r="AQ78" s="286"/>
      <c r="AR78" s="286"/>
      <c r="AS78" s="286"/>
    </row>
  </sheetData>
  <sortState ref="AQ7:AT57">
    <sortCondition ref="AQ7"/>
  </sortState>
  <mergeCells count="9">
    <mergeCell ref="L16:M16"/>
    <mergeCell ref="O16:P16"/>
    <mergeCell ref="R16:S16"/>
    <mergeCell ref="U16:V16"/>
    <mergeCell ref="J5:J6"/>
    <mergeCell ref="L5:M6"/>
    <mergeCell ref="O5:P6"/>
    <mergeCell ref="R5:S6"/>
    <mergeCell ref="U5:V6"/>
  </mergeCells>
  <conditionalFormatting sqref="A60:E61 E62:E65 E7:E59">
    <cfRule type="expression" dxfId="641" priority="28" stopIfTrue="1">
      <formula>IF( $AH7 = 1, TRUE, FALSE )</formula>
    </cfRule>
    <cfRule type="expression" dxfId="640" priority="29" stopIfTrue="1">
      <formula>IF( $AG7 = 1, TRUE, FALSE )</formula>
    </cfRule>
    <cfRule type="expression" dxfId="639" priority="30" stopIfTrue="1">
      <formula>IF( $AF7 = 1, TRUE, FALSE )</formula>
    </cfRule>
  </conditionalFormatting>
  <conditionalFormatting sqref="A67:E67">
    <cfRule type="expression" dxfId="638" priority="31" stopIfTrue="1">
      <formula>IF( $AH67 = 1, TRUE, FALSE )</formula>
    </cfRule>
    <cfRule type="expression" dxfId="637" priority="32" stopIfTrue="1">
      <formula>IF( $AG67 = 1, TRUE, FALSE )</formula>
    </cfRule>
    <cfRule type="expression" dxfId="636" priority="33" stopIfTrue="1">
      <formula>IF( $AF67 = 1, TRUE, FALSE )</formula>
    </cfRule>
  </conditionalFormatting>
  <conditionalFormatting sqref="A66:E66">
    <cfRule type="expression" dxfId="635" priority="25" stopIfTrue="1">
      <formula>IF( $AH66 = 1, TRUE, FALSE )</formula>
    </cfRule>
    <cfRule type="expression" dxfId="634" priority="26" stopIfTrue="1">
      <formula>IF( $AG66 = 1, TRUE, FALSE )</formula>
    </cfRule>
    <cfRule type="expression" dxfId="633" priority="27" stopIfTrue="1">
      <formula>IF( $AF66 = 1, TRUE, FALSE )</formula>
    </cfRule>
  </conditionalFormatting>
  <conditionalFormatting sqref="A8:D58 B7:D7">
    <cfRule type="expression" dxfId="632" priority="22" stopIfTrue="1">
      <formula>IF( $AH7 = 1, TRUE, FALSE )</formula>
    </cfRule>
    <cfRule type="expression" dxfId="631" priority="23" stopIfTrue="1">
      <formula>IF( $AG7 = 1, TRUE, FALSE )</formula>
    </cfRule>
    <cfRule type="expression" dxfId="630" priority="24" stopIfTrue="1">
      <formula>IF( $AF7 = 1, TRUE, FALSE )</formula>
    </cfRule>
  </conditionalFormatting>
  <conditionalFormatting sqref="A59:D59">
    <cfRule type="expression" dxfId="629" priority="19" stopIfTrue="1">
      <formula>IF( $AH59 = 1, TRUE, FALSE )</formula>
    </cfRule>
    <cfRule type="expression" dxfId="628" priority="20" stopIfTrue="1">
      <formula>IF( $AG59 = 1, TRUE, FALSE )</formula>
    </cfRule>
    <cfRule type="expression" dxfId="627" priority="21" stopIfTrue="1">
      <formula>IF( $AF59 = 1, TRUE, FALSE )</formula>
    </cfRule>
  </conditionalFormatting>
  <conditionalFormatting sqref="A61:D65">
    <cfRule type="expression" dxfId="626" priority="16" stopIfTrue="1">
      <formula>IF( $AH61 = 1, TRUE, FALSE )</formula>
    </cfRule>
    <cfRule type="expression" dxfId="625" priority="17" stopIfTrue="1">
      <formula>IF( $AG61 = 1, TRUE, FALSE )</formula>
    </cfRule>
    <cfRule type="expression" dxfId="624" priority="18" stopIfTrue="1">
      <formula>IF( $AF61 = 1, TRUE, FALSE )</formula>
    </cfRule>
  </conditionalFormatting>
  <conditionalFormatting sqref="U8:U12">
    <cfRule type="cellIs" dxfId="623" priority="15" operator="equal">
      <formula>0</formula>
    </cfRule>
  </conditionalFormatting>
  <conditionalFormatting sqref="O8:O12 Q8:Q12">
    <cfRule type="cellIs" dxfId="622" priority="14" operator="equal">
      <formula>0</formula>
    </cfRule>
  </conditionalFormatting>
  <conditionalFormatting sqref="V8:V12">
    <cfRule type="cellIs" dxfId="621" priority="13" operator="equal">
      <formula>0</formula>
    </cfRule>
  </conditionalFormatting>
  <conditionalFormatting sqref="S8:S12">
    <cfRule type="cellIs" dxfId="620" priority="11" operator="equal">
      <formula>0</formula>
    </cfRule>
  </conditionalFormatting>
  <conditionalFormatting sqref="R8:R12">
    <cfRule type="cellIs" dxfId="619" priority="12" operator="equal">
      <formula>0</formula>
    </cfRule>
  </conditionalFormatting>
  <conditionalFormatting sqref="P8:P12">
    <cfRule type="cellIs" dxfId="618" priority="10" operator="equal">
      <formula>0</formula>
    </cfRule>
  </conditionalFormatting>
  <conditionalFormatting sqref="M8:M12">
    <cfRule type="cellIs" dxfId="617" priority="9" operator="equal">
      <formula>0</formula>
    </cfRule>
  </conditionalFormatting>
  <conditionalFormatting sqref="T8:T12">
    <cfRule type="cellIs" dxfId="616" priority="8" operator="equal">
      <formula>0</formula>
    </cfRule>
  </conditionalFormatting>
  <conditionalFormatting sqref="N8:N12">
    <cfRule type="cellIs" dxfId="615" priority="7" operator="equal">
      <formula>0</formula>
    </cfRule>
  </conditionalFormatting>
  <conditionalFormatting sqref="K8:K12">
    <cfRule type="cellIs" dxfId="614" priority="6" operator="equal">
      <formula>0</formula>
    </cfRule>
  </conditionalFormatting>
  <conditionalFormatting sqref="I8:I12">
    <cfRule type="cellIs" dxfId="613" priority="5" operator="equal">
      <formula>0</formula>
    </cfRule>
  </conditionalFormatting>
  <conditionalFormatting sqref="W8:W12">
    <cfRule type="cellIs" dxfId="612" priority="4" operator="equal">
      <formula>0</formula>
    </cfRule>
  </conditionalFormatting>
  <conditionalFormatting sqref="A7">
    <cfRule type="expression" dxfId="611" priority="1" stopIfTrue="1">
      <formula>IF( $AH7 = 1, TRUE, FALSE )</formula>
    </cfRule>
    <cfRule type="expression" dxfId="610" priority="2" stopIfTrue="1">
      <formula>IF( $AG7 = 1, TRUE, FALSE )</formula>
    </cfRule>
    <cfRule type="expression" dxfId="609" priority="3" stopIfTrue="1">
      <formula>IF( $AF7 = 1, TRUE, FALSE )</formula>
    </cfRule>
  </conditionalFormatting>
  <pageMargins left="0.17" right="0.18" top="0.28000000000000003" bottom="0.17" header="0.3" footer="0.3"/>
  <pageSetup scale="19" orientation="portrait" horizontalDpi="1200" verticalDpi="1200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BJ78"/>
  <sheetViews>
    <sheetView showGridLines="0" zoomScale="85" zoomScaleNormal="85" workbookViewId="0">
      <pane ySplit="6" topLeftCell="A7" activePane="bottomLeft" state="frozen"/>
      <selection activeCell="A7" sqref="A7"/>
      <selection pane="bottomLeft" activeCell="A7" sqref="A7"/>
    </sheetView>
  </sheetViews>
  <sheetFormatPr defaultColWidth="9.140625" defaultRowHeight="12.75" outlineLevelRow="1" outlineLevelCol="2" x14ac:dyDescent="0.2"/>
  <cols>
    <col min="1" max="1" width="35.140625" style="234" customWidth="1"/>
    <col min="2" max="2" width="9.140625" style="234"/>
    <col min="3" max="3" width="9.42578125" style="263" customWidth="1"/>
    <col min="4" max="4" width="9.140625" style="235" customWidth="1" outlineLevel="1"/>
    <col min="5" max="5" width="12.5703125" style="235" customWidth="1" outlineLevel="1"/>
    <col min="6" max="6" width="3.42578125" style="234" customWidth="1" outlineLevel="1"/>
    <col min="7" max="7" width="17.7109375" style="236" hidden="1" customWidth="1" outlineLevel="2"/>
    <col min="8" max="8" width="3.42578125" style="234" hidden="1" customWidth="1" outlineLevel="2" collapsed="1"/>
    <col min="9" max="9" width="3.28515625" style="234" customWidth="1" outlineLevel="1" collapsed="1"/>
    <col min="10" max="10" width="22" style="234" customWidth="1"/>
    <col min="11" max="11" width="2" style="234" customWidth="1"/>
    <col min="12" max="13" width="10.42578125" style="234" customWidth="1"/>
    <col min="14" max="14" width="2" style="234" customWidth="1"/>
    <col min="15" max="16" width="10.42578125" style="234" customWidth="1"/>
    <col min="17" max="17" width="2" style="234" customWidth="1"/>
    <col min="18" max="19" width="10.42578125" style="234" customWidth="1"/>
    <col min="20" max="20" width="2" style="236" customWidth="1"/>
    <col min="21" max="22" width="10.42578125" style="236" customWidth="1"/>
    <col min="23" max="23" width="2" style="234" customWidth="1"/>
    <col min="24" max="24" width="4.140625" style="234" customWidth="1"/>
    <col min="25" max="25" width="5.5703125" style="234" customWidth="1"/>
    <col min="26" max="26" width="2.42578125" style="234" customWidth="1"/>
    <col min="27" max="27" width="4.28515625" style="234" customWidth="1"/>
    <col min="28" max="30" width="2.42578125" style="234" hidden="1" customWidth="1" outlineLevel="1"/>
    <col min="31" max="31" width="4.42578125" style="234" hidden="1" customWidth="1" outlineLevel="1"/>
    <col min="32" max="32" width="6.5703125" style="236" hidden="1" customWidth="1" outlineLevel="1" collapsed="1"/>
    <col min="33" max="34" width="6.5703125" style="236" hidden="1" customWidth="1" outlineLevel="1"/>
    <col min="35" max="35" width="3.140625" style="234" hidden="1" customWidth="1" outlineLevel="1"/>
    <col min="36" max="36" width="15.85546875" style="236" hidden="1" customWidth="1" outlineLevel="1" collapsed="1"/>
    <col min="37" max="38" width="15.85546875" style="236" hidden="1" customWidth="1" outlineLevel="1"/>
    <col min="39" max="39" width="8.42578125" style="236" hidden="1" customWidth="1" outlineLevel="1"/>
    <col min="40" max="40" width="11.85546875" style="236" hidden="1" customWidth="1" outlineLevel="1"/>
    <col min="41" max="41" width="3.42578125" style="234" customWidth="1" collapsed="1"/>
    <col min="42" max="42" width="3.42578125" style="234" customWidth="1"/>
    <col min="43" max="43" width="29.7109375" style="234" hidden="1" customWidth="1" outlineLevel="1"/>
    <col min="44" max="44" width="6.42578125" style="234" hidden="1" customWidth="1" outlineLevel="1"/>
    <col min="45" max="45" width="6.7109375" style="234" hidden="1" customWidth="1" outlineLevel="1"/>
    <col min="46" max="46" width="8.7109375" style="234" hidden="1" customWidth="1" outlineLevel="1"/>
    <col min="47" max="47" width="3.140625" style="234" hidden="1" customWidth="1" outlineLevel="1"/>
    <col min="48" max="56" width="9.140625" style="234" hidden="1" customWidth="1" outlineLevel="2"/>
    <col min="57" max="57" width="5.42578125" style="234" hidden="1" customWidth="1" outlineLevel="1" collapsed="1"/>
    <col min="58" max="58" width="36.85546875" style="234" hidden="1" customWidth="1" outlineLevel="1"/>
    <col min="59" max="59" width="6.42578125" style="234" hidden="1" customWidth="1" outlineLevel="1"/>
    <col min="60" max="60" width="3.42578125" style="234" hidden="1" customWidth="1" outlineLevel="1"/>
    <col min="61" max="61" width="9.140625" style="234" hidden="1" customWidth="1" outlineLevel="1"/>
    <col min="62" max="62" width="9.140625" collapsed="1"/>
    <col min="63" max="16384" width="9.140625" style="234"/>
  </cols>
  <sheetData>
    <row r="1" spans="1:61" ht="18.75" x14ac:dyDescent="0.2">
      <c r="A1" s="323" t="str">
        <f>"I.  S&amp;P Utility Credit Ratings Distribution -- " &amp; B6</f>
        <v>I.  S&amp;P Utility Credit Ratings Distribution -- 2015 Q2</v>
      </c>
      <c r="G1" s="242" t="s">
        <v>506</v>
      </c>
      <c r="AF1" s="237" t="s">
        <v>420</v>
      </c>
      <c r="AG1" s="237" t="s">
        <v>421</v>
      </c>
      <c r="AH1" s="237" t="s">
        <v>422</v>
      </c>
      <c r="AJ1" s="237" t="s">
        <v>424</v>
      </c>
      <c r="AK1" s="237" t="s">
        <v>426</v>
      </c>
      <c r="AL1" s="237" t="s">
        <v>426</v>
      </c>
      <c r="AM1" s="237" t="s">
        <v>424</v>
      </c>
      <c r="AN1" s="237"/>
      <c r="AQ1" s="237" t="s">
        <v>497</v>
      </c>
    </row>
    <row r="2" spans="1:61" ht="18.75" hidden="1" outlineLevel="1" x14ac:dyDescent="0.2">
      <c r="A2" s="233"/>
      <c r="E2" s="238" t="str">
        <f>G2</f>
        <v>Reg_Percent_2013</v>
      </c>
      <c r="G2" s="239" t="s">
        <v>505</v>
      </c>
      <c r="AJ2" s="240" t="str">
        <f>AJ4 &amp; AJ3</f>
        <v>'Credit_2015Q1'!d:d</v>
      </c>
      <c r="AK2" s="240" t="str">
        <f>AK4 &amp; AK3</f>
        <v>'Credit_2015Q1'!b1</v>
      </c>
      <c r="AL2" s="240" t="str">
        <f>AL4 &amp; AL3</f>
        <v>'Credit_2015Q1'!c1</v>
      </c>
      <c r="AQ2" s="236"/>
    </row>
    <row r="3" spans="1:61" ht="18.75" hidden="1" outlineLevel="1" x14ac:dyDescent="0.2">
      <c r="A3" s="233"/>
      <c r="E3" s="241" t="str">
        <f>"'" &amp; E2 &amp; "'!"</f>
        <v>'Reg_Percent_2013'!</v>
      </c>
      <c r="G3" s="234" t="str">
        <f>"'" &amp; G2 &amp; "'!"</f>
        <v>'Reg_Percent_2013'!</v>
      </c>
      <c r="O3" s="242" t="s">
        <v>371</v>
      </c>
      <c r="P3" s="242"/>
      <c r="Q3" s="242"/>
      <c r="R3" s="242" t="s">
        <v>372</v>
      </c>
      <c r="T3" s="234"/>
      <c r="U3" s="242" t="s">
        <v>86</v>
      </c>
      <c r="V3" s="234"/>
      <c r="X3" s="242"/>
      <c r="Y3" s="242"/>
      <c r="Z3" s="242"/>
      <c r="AA3" s="242"/>
      <c r="AJ3" s="210" t="s">
        <v>438</v>
      </c>
      <c r="AK3" s="210" t="s">
        <v>427</v>
      </c>
      <c r="AL3" s="210" t="s">
        <v>453</v>
      </c>
      <c r="AQ3" s="236"/>
    </row>
    <row r="4" spans="1:61" ht="18.75" hidden="1" outlineLevel="1" x14ac:dyDescent="0.2">
      <c r="A4" s="233"/>
      <c r="E4" s="242" t="s">
        <v>439</v>
      </c>
      <c r="G4" s="242" t="s">
        <v>438</v>
      </c>
      <c r="O4" s="236"/>
      <c r="P4" s="236"/>
      <c r="Q4" s="236"/>
      <c r="T4" s="234"/>
      <c r="U4" s="234"/>
      <c r="V4" s="234"/>
      <c r="AJ4" s="236" t="str">
        <f>$AQ$5</f>
        <v>'Credit_2015Q1'!</v>
      </c>
      <c r="AK4" s="236" t="str">
        <f t="shared" ref="AK4:AL4" si="0">$AQ$5</f>
        <v>'Credit_2015Q1'!</v>
      </c>
      <c r="AL4" s="236" t="str">
        <f t="shared" si="0"/>
        <v>'Credit_2015Q1'!</v>
      </c>
      <c r="AQ4" s="236"/>
    </row>
    <row r="5" spans="1:61" collapsed="1" x14ac:dyDescent="0.2">
      <c r="E5" s="243" t="s">
        <v>436</v>
      </c>
      <c r="G5" s="237" t="s">
        <v>424</v>
      </c>
      <c r="I5" s="314"/>
      <c r="J5" s="466" t="s">
        <v>77</v>
      </c>
      <c r="K5" s="314"/>
      <c r="L5" s="468" t="str">
        <f>"All Companies" &amp; CHAR( 10 ) &amp; "("&amp; L14 &amp; ")"</f>
        <v>All Companies
(52)</v>
      </c>
      <c r="M5" s="468"/>
      <c r="N5" s="314"/>
      <c r="O5" s="466" t="str">
        <f ca="1">"Regulated" &amp; CHAR( 10 ) &amp; "(" &amp; O14 &amp; ")"</f>
        <v>Regulated
(37)</v>
      </c>
      <c r="P5" s="470"/>
      <c r="Q5" s="314"/>
      <c r="R5" s="466" t="str">
        <f ca="1">"Mostly Regulated" &amp; CHAR( 10 ) &amp; "(" &amp; R14 &amp; ")"</f>
        <v>Mostly Regulated
(13)</v>
      </c>
      <c r="S5" s="470"/>
      <c r="T5" s="314"/>
      <c r="U5" s="466" t="str">
        <f ca="1">"Diversified" &amp; CHAR( 10 ) &amp; "(" &amp; U14 &amp; ")"</f>
        <v>Diversified
(2)</v>
      </c>
      <c r="V5" s="470"/>
      <c r="W5" s="314"/>
      <c r="AE5" s="244"/>
      <c r="AF5" s="234"/>
      <c r="AG5" s="234"/>
      <c r="AH5" s="234"/>
      <c r="AJ5" s="234"/>
      <c r="AK5" s="234"/>
      <c r="AL5" s="234"/>
      <c r="AM5" s="234"/>
      <c r="AN5" s="234"/>
      <c r="AQ5" s="432" t="s">
        <v>517</v>
      </c>
    </row>
    <row r="6" spans="1:61" ht="28.5" customHeight="1" x14ac:dyDescent="0.2">
      <c r="A6" s="299" t="s">
        <v>0</v>
      </c>
      <c r="B6" s="300" t="s">
        <v>515</v>
      </c>
      <c r="C6" s="338" t="s">
        <v>471</v>
      </c>
      <c r="D6" s="301"/>
      <c r="E6" s="302">
        <f ca="1">INDIRECT( E3 &amp; G1 )</f>
        <v>41639</v>
      </c>
      <c r="I6" s="315"/>
      <c r="J6" s="467"/>
      <c r="K6" s="315"/>
      <c r="L6" s="469"/>
      <c r="M6" s="469"/>
      <c r="N6" s="315"/>
      <c r="O6" s="467"/>
      <c r="P6" s="467"/>
      <c r="Q6" s="315"/>
      <c r="R6" s="467" t="s">
        <v>137</v>
      </c>
      <c r="S6" s="467"/>
      <c r="T6" s="315"/>
      <c r="U6" s="467"/>
      <c r="V6" s="467"/>
      <c r="W6" s="315"/>
      <c r="AE6" s="245"/>
      <c r="AJ6" s="246"/>
    </row>
    <row r="7" spans="1:61" x14ac:dyDescent="0.2">
      <c r="A7" s="303" t="s">
        <v>516</v>
      </c>
      <c r="B7" s="304" t="s">
        <v>2</v>
      </c>
      <c r="C7" s="304">
        <v>21</v>
      </c>
      <c r="D7" s="304" t="s">
        <v>512</v>
      </c>
      <c r="E7" s="305" t="str">
        <f ca="1">IF( LEN( $G7 ) = 0, "", OFFSET( INDIRECT( E$3 &amp; E$4 ), $G7 - 1, 0 ) )</f>
        <v>R</v>
      </c>
      <c r="F7" s="306"/>
      <c r="G7" s="307">
        <f t="shared" ref="G7:G62" ca="1" si="1">IF( LEN( $D7 ) = 0, "", MATCH( $D7, INDIRECT( G$3 &amp; G$4 ), 0 ) )</f>
        <v>34</v>
      </c>
      <c r="H7" s="250"/>
      <c r="I7" s="316"/>
      <c r="J7" s="252"/>
      <c r="K7" s="316"/>
      <c r="L7" s="252" t="s">
        <v>81</v>
      </c>
      <c r="M7" s="252" t="s">
        <v>82</v>
      </c>
      <c r="N7" s="316"/>
      <c r="O7" s="252" t="s">
        <v>81</v>
      </c>
      <c r="P7" s="252" t="s">
        <v>82</v>
      </c>
      <c r="Q7" s="316"/>
      <c r="R7" s="252" t="s">
        <v>81</v>
      </c>
      <c r="S7" s="252" t="s">
        <v>82</v>
      </c>
      <c r="T7" s="316"/>
      <c r="U7" s="252" t="s">
        <v>81</v>
      </c>
      <c r="V7" s="252" t="s">
        <v>82</v>
      </c>
      <c r="W7" s="316"/>
      <c r="AE7" s="254"/>
      <c r="AF7" s="236">
        <f t="shared" ref="AF7:AF67" si="2">IF( LEN( C7 ) = 0, 0, IF( C7 = C6, AF6, IF( AF6 = 1, 0, 1 ) ) )</f>
        <v>1</v>
      </c>
      <c r="AG7" s="236">
        <f t="shared" ref="AG7:AG64" ca="1" si="3">IF( LEN( $C7 ) = 0, "", IF( $C7 &gt; $AL7, 1, "" ) )</f>
        <v>1</v>
      </c>
      <c r="AH7" s="236" t="str">
        <f ca="1">IF( LEN( $C7 ) = 0, "", IF( $C7 &lt; $AL7, 1, "" ) )</f>
        <v/>
      </c>
      <c r="AJ7" s="236">
        <f ca="1">MATCH( $D7, INDIRECT( AJ$2 ), 0 )</f>
        <v>12</v>
      </c>
      <c r="AK7" s="236" t="str">
        <f ca="1">IF( ISNA( $AJ7 ), "", OFFSET( INDIRECT( AK$2 ), $AJ7-1, 0 ) )</f>
        <v>A-</v>
      </c>
      <c r="AL7" s="236">
        <f ca="1">IF( ISNA( $AJ7 ), "", OFFSET( INDIRECT( AL$2 ), $AJ7-1, 0 ) )</f>
        <v>20</v>
      </c>
      <c r="AM7" s="236" t="str">
        <f t="shared" ref="AM7:AM67" ca="1" si="4">IF( B7 = AK7, "", "Change" )</f>
        <v>Change</v>
      </c>
      <c r="AQ7" s="286" t="s">
        <v>15</v>
      </c>
      <c r="AR7" s="286" t="s">
        <v>16</v>
      </c>
      <c r="AS7" s="286">
        <v>19</v>
      </c>
      <c r="AT7" s="286" t="s">
        <v>277</v>
      </c>
      <c r="AV7" s="234">
        <f>IF( LEN( AS7 ) = 0, 99, RANK( AS7, $AS$7:$AS$63 ) )</f>
        <v>15</v>
      </c>
      <c r="AW7" s="234">
        <f>COUNTIF( AV7:AV$7, AV7 )</f>
        <v>1</v>
      </c>
      <c r="AX7" s="287">
        <f>AV7 + AW7 / 10</f>
        <v>15.1</v>
      </c>
      <c r="AY7" s="234">
        <f>RANK( AX7, $AX$7:$AX$63, 1 )</f>
        <v>15</v>
      </c>
      <c r="AZ7" s="236"/>
      <c r="BA7" s="236"/>
      <c r="BC7" s="234">
        <f t="shared" ref="BC7" ca="1" si="5">OFFSET( BC7, -1, 0 ) + 1</f>
        <v>1</v>
      </c>
      <c r="BD7" s="288">
        <f t="shared" ref="BD7:BD62" ca="1" si="6">MATCH( BC7, $AY$7:$AY$63, 0 )</f>
        <v>20</v>
      </c>
      <c r="BF7" s="240" t="str">
        <f t="shared" ref="BF7:BI38" ca="1" si="7">OFFSET( AQ$6, $BD7, 0 )</f>
        <v>Eversource Energy</v>
      </c>
      <c r="BG7" s="240" t="str">
        <f t="shared" ca="1" si="7"/>
        <v>A</v>
      </c>
      <c r="BH7" s="240">
        <f t="shared" ca="1" si="7"/>
        <v>21</v>
      </c>
      <c r="BI7" s="240" t="str">
        <f t="shared" ca="1" si="7"/>
        <v>ES</v>
      </c>
    </row>
    <row r="8" spans="1:61" x14ac:dyDescent="0.2">
      <c r="A8" s="303" t="s">
        <v>7</v>
      </c>
      <c r="B8" s="304" t="s">
        <v>2</v>
      </c>
      <c r="C8" s="304">
        <v>21</v>
      </c>
      <c r="D8" s="304" t="s">
        <v>328</v>
      </c>
      <c r="E8" s="305" t="str">
        <f t="shared" ref="E8:E62" ca="1" si="8">IF( LEN( $G8 ) = 0, "", OFFSET( INDIRECT( E$3 &amp; E$4 ), $G8 - 1, 0 ) )</f>
        <v>R</v>
      </c>
      <c r="F8" s="306"/>
      <c r="G8" s="307">
        <f t="shared" ca="1" si="1"/>
        <v>47</v>
      </c>
      <c r="H8" s="250"/>
      <c r="I8" s="317"/>
      <c r="J8" s="293" t="s">
        <v>138</v>
      </c>
      <c r="K8" s="317"/>
      <c r="L8" s="293">
        <f t="shared" ref="L8:L13" si="9">COUNTIF($C$7:$C$67,$X8)</f>
        <v>3</v>
      </c>
      <c r="M8" s="294">
        <f t="shared" ref="M8:M13" si="10">IF( L8 = 0, "", L8/L$14 )</f>
        <v>5.7692307692307696E-2</v>
      </c>
      <c r="N8" s="317"/>
      <c r="O8" s="293">
        <f t="shared" ref="O8:O13" ca="1" si="11">COUNTIFS( $E$7:$E$66, O$3, $C$7:$C$66, $X8 )</f>
        <v>2</v>
      </c>
      <c r="P8" s="294">
        <f t="shared" ref="P8:P13" ca="1" si="12">IF( O8 = 0, "", O8/O$14 )</f>
        <v>5.4054054054054057E-2</v>
      </c>
      <c r="Q8" s="317"/>
      <c r="R8" s="293">
        <f t="shared" ref="R8:R13" ca="1" si="13">COUNTIFS( $E$7:$E$66, R$3, $C$7:$C$66, $X8 )</f>
        <v>1</v>
      </c>
      <c r="S8" s="294">
        <f t="shared" ref="S8:S13" ca="1" si="14">IF( R8 = 0, "", R8/R$14 )</f>
        <v>7.6923076923076927E-2</v>
      </c>
      <c r="T8" s="317"/>
      <c r="U8" s="293">
        <f t="shared" ref="U8:U13" ca="1" si="15">COUNTIFS( $E$7:$E$66, U$3, $C$7:$C$66, $X8 )</f>
        <v>0</v>
      </c>
      <c r="V8" s="294" t="str">
        <f t="shared" ref="V8:V13" ca="1" si="16">IF( U8 = 0, "", U8/U$14 )</f>
        <v/>
      </c>
      <c r="W8" s="317"/>
      <c r="X8" s="256" t="s">
        <v>464</v>
      </c>
      <c r="Y8" s="256">
        <v>21</v>
      </c>
      <c r="Z8" s="256">
        <v>1</v>
      </c>
      <c r="AA8" s="255">
        <f t="shared" ref="AA8:AA13" ca="1" si="17">SUM(O8, R8, U8)</f>
        <v>3</v>
      </c>
      <c r="AC8" s="257"/>
      <c r="AE8" s="254"/>
      <c r="AF8" s="236">
        <f t="shared" si="2"/>
        <v>1</v>
      </c>
      <c r="AG8" s="236" t="str">
        <f t="shared" ca="1" si="3"/>
        <v/>
      </c>
      <c r="AH8" s="236" t="str">
        <f t="shared" ref="AH8:AH67" ca="1" si="18">IF( LEN( $C8 ) = 0, "", IF( $C8 &lt; $AL8, 1, "" ) )</f>
        <v/>
      </c>
      <c r="AJ8" s="236">
        <f t="shared" ref="AJ8:AJ67" ca="1" si="19">MATCH( $D8, INDIRECT( AJ$2 ), 0 )</f>
        <v>7</v>
      </c>
      <c r="AK8" s="236" t="str">
        <f t="shared" ref="AK8:AL67" ca="1" si="20">IF( ISNA( $AJ8 ), "", OFFSET( INDIRECT( AK$2 ), $AJ8-1, 0 ) )</f>
        <v>A</v>
      </c>
      <c r="AL8" s="236">
        <f t="shared" ca="1" si="20"/>
        <v>21</v>
      </c>
      <c r="AM8" s="236" t="str">
        <f t="shared" ca="1" si="4"/>
        <v/>
      </c>
      <c r="AQ8" s="286" t="s">
        <v>17</v>
      </c>
      <c r="AR8" s="286" t="s">
        <v>10</v>
      </c>
      <c r="AS8" s="286">
        <v>20</v>
      </c>
      <c r="AT8" s="286" t="s">
        <v>307</v>
      </c>
      <c r="AV8" s="234">
        <f t="shared" ref="AV8:AV63" si="21">IF( LEN( AS8 ) = 0, 99, RANK( AS8, $AS$7:$AS$63 ) )</f>
        <v>3</v>
      </c>
      <c r="AW8" s="234">
        <f>COUNTIF( AV$7:AV8, AV8 )</f>
        <v>1</v>
      </c>
      <c r="AX8" s="287">
        <f t="shared" ref="AX8:AX63" si="22">AV8 + AW8 / 10</f>
        <v>3.1</v>
      </c>
      <c r="AY8" s="234">
        <f t="shared" ref="AY8:AY63" si="23">RANK( AX8, $AX$7:$AX$63, 1 )</f>
        <v>3</v>
      </c>
      <c r="AZ8" s="236"/>
      <c r="BA8" s="236"/>
      <c r="BC8" s="234">
        <f ca="1">OFFSET( BC8, -1, 0 ) + 1</f>
        <v>2</v>
      </c>
      <c r="BD8" s="288">
        <f t="shared" ca="1" si="6"/>
        <v>44</v>
      </c>
      <c r="BF8" s="240" t="str">
        <f t="shared" ca="1" si="7"/>
        <v>Southern Company</v>
      </c>
      <c r="BG8" s="240" t="str">
        <f t="shared" ca="1" si="7"/>
        <v>A</v>
      </c>
      <c r="BH8" s="240">
        <f t="shared" ca="1" si="7"/>
        <v>21</v>
      </c>
      <c r="BI8" s="240" t="str">
        <f t="shared" ca="1" si="7"/>
        <v>SO</v>
      </c>
    </row>
    <row r="9" spans="1:61" x14ac:dyDescent="0.2">
      <c r="A9" s="303" t="s">
        <v>17</v>
      </c>
      <c r="B9" s="304" t="s">
        <v>10</v>
      </c>
      <c r="C9" s="304">
        <v>20</v>
      </c>
      <c r="D9" s="304" t="s">
        <v>307</v>
      </c>
      <c r="E9" s="305" t="str">
        <f t="shared" ca="1" si="8"/>
        <v>R</v>
      </c>
      <c r="F9" s="306"/>
      <c r="G9" s="307">
        <f t="shared" ca="1" si="1"/>
        <v>8</v>
      </c>
      <c r="H9" s="250"/>
      <c r="I9" s="318"/>
      <c r="J9" s="295" t="s">
        <v>10</v>
      </c>
      <c r="K9" s="318"/>
      <c r="L9" s="295">
        <f t="shared" si="9"/>
        <v>12</v>
      </c>
      <c r="M9" s="296">
        <f t="shared" si="10"/>
        <v>0.23076923076923078</v>
      </c>
      <c r="N9" s="318"/>
      <c r="O9" s="295">
        <f t="shared" ca="1" si="11"/>
        <v>7</v>
      </c>
      <c r="P9" s="296">
        <f t="shared" ca="1" si="12"/>
        <v>0.1891891891891892</v>
      </c>
      <c r="Q9" s="318"/>
      <c r="R9" s="295">
        <f t="shared" ca="1" si="13"/>
        <v>5</v>
      </c>
      <c r="S9" s="296">
        <f t="shared" ca="1" si="14"/>
        <v>0.38461538461538464</v>
      </c>
      <c r="T9" s="318"/>
      <c r="U9" s="295">
        <f t="shared" ca="1" si="15"/>
        <v>0</v>
      </c>
      <c r="V9" s="296" t="str">
        <f t="shared" ca="1" si="16"/>
        <v/>
      </c>
      <c r="W9" s="318"/>
      <c r="X9" s="256" t="s">
        <v>465</v>
      </c>
      <c r="Y9" s="256">
        <v>20</v>
      </c>
      <c r="Z9" s="256">
        <v>1</v>
      </c>
      <c r="AA9" s="255">
        <f t="shared" ca="1" si="17"/>
        <v>12</v>
      </c>
      <c r="AC9" s="253"/>
      <c r="AE9" s="254"/>
      <c r="AF9" s="236">
        <f t="shared" si="2"/>
        <v>0</v>
      </c>
      <c r="AG9" s="236" t="str">
        <f t="shared" ca="1" si="3"/>
        <v/>
      </c>
      <c r="AH9" s="236" t="str">
        <f t="shared" ca="1" si="18"/>
        <v/>
      </c>
      <c r="AJ9" s="236">
        <f t="shared" ca="1" si="19"/>
        <v>8</v>
      </c>
      <c r="AK9" s="236" t="str">
        <f t="shared" ca="1" si="20"/>
        <v>A-</v>
      </c>
      <c r="AL9" s="236">
        <f t="shared" ca="1" si="20"/>
        <v>20</v>
      </c>
      <c r="AM9" s="236" t="str">
        <f t="shared" ca="1" si="4"/>
        <v/>
      </c>
      <c r="AQ9" s="286" t="s">
        <v>9</v>
      </c>
      <c r="AR9" s="286" t="s">
        <v>16</v>
      </c>
      <c r="AS9" s="286">
        <v>19</v>
      </c>
      <c r="AT9" s="286" t="s">
        <v>274</v>
      </c>
      <c r="AV9" s="234">
        <f t="shared" si="21"/>
        <v>15</v>
      </c>
      <c r="AW9" s="234">
        <f>COUNTIF( AV$7:AV9, AV9 )</f>
        <v>2</v>
      </c>
      <c r="AX9" s="287">
        <f t="shared" si="22"/>
        <v>15.2</v>
      </c>
      <c r="AY9" s="234">
        <f t="shared" si="23"/>
        <v>16</v>
      </c>
      <c r="AZ9" s="236"/>
      <c r="BA9" s="236"/>
      <c r="BC9" s="234">
        <f t="shared" ref="BC9:BC63" ca="1" si="24">OFFSET( BC9, -1, 0 ) + 1</f>
        <v>3</v>
      </c>
      <c r="BD9" s="288">
        <f t="shared" ca="1" si="6"/>
        <v>2</v>
      </c>
      <c r="BF9" s="240" t="str">
        <f t="shared" ca="1" si="7"/>
        <v>Alliant Energy Corporation</v>
      </c>
      <c r="BG9" s="240" t="str">
        <f t="shared" ca="1" si="7"/>
        <v>A-</v>
      </c>
      <c r="BH9" s="240">
        <f t="shared" ca="1" si="7"/>
        <v>20</v>
      </c>
      <c r="BI9" s="240" t="str">
        <f t="shared" ca="1" si="7"/>
        <v>LNT</v>
      </c>
    </row>
    <row r="10" spans="1:61" x14ac:dyDescent="0.2">
      <c r="A10" s="303" t="s">
        <v>29</v>
      </c>
      <c r="B10" s="304" t="s">
        <v>10</v>
      </c>
      <c r="C10" s="304">
        <v>20</v>
      </c>
      <c r="D10" s="304" t="s">
        <v>286</v>
      </c>
      <c r="E10" s="305" t="str">
        <f t="shared" ca="1" si="8"/>
        <v>MR</v>
      </c>
      <c r="F10" s="306"/>
      <c r="G10" s="307">
        <f t="shared" ca="1" si="1"/>
        <v>13</v>
      </c>
      <c r="H10" s="250"/>
      <c r="I10" s="318"/>
      <c r="J10" s="295" t="s">
        <v>16</v>
      </c>
      <c r="K10" s="318"/>
      <c r="L10" s="295">
        <f t="shared" si="9"/>
        <v>17</v>
      </c>
      <c r="M10" s="296">
        <f t="shared" si="10"/>
        <v>0.32692307692307693</v>
      </c>
      <c r="N10" s="318"/>
      <c r="O10" s="295">
        <f t="shared" ca="1" si="11"/>
        <v>11</v>
      </c>
      <c r="P10" s="296">
        <f t="shared" ca="1" si="12"/>
        <v>0.29729729729729731</v>
      </c>
      <c r="Q10" s="318"/>
      <c r="R10" s="295">
        <f t="shared" ca="1" si="13"/>
        <v>5</v>
      </c>
      <c r="S10" s="296">
        <f t="shared" ca="1" si="14"/>
        <v>0.38461538461538464</v>
      </c>
      <c r="T10" s="318"/>
      <c r="U10" s="295">
        <f t="shared" ca="1" si="15"/>
        <v>1</v>
      </c>
      <c r="V10" s="296">
        <f t="shared" ca="1" si="16"/>
        <v>0.5</v>
      </c>
      <c r="W10" s="318"/>
      <c r="X10" s="256" t="s">
        <v>466</v>
      </c>
      <c r="Y10" s="256">
        <v>19</v>
      </c>
      <c r="Z10" s="256">
        <v>1</v>
      </c>
      <c r="AA10" s="255">
        <f t="shared" ca="1" si="17"/>
        <v>17</v>
      </c>
      <c r="AE10" s="254"/>
      <c r="AF10" s="236">
        <f t="shared" si="2"/>
        <v>0</v>
      </c>
      <c r="AG10" s="236" t="str">
        <f t="shared" ca="1" si="3"/>
        <v/>
      </c>
      <c r="AH10" s="236" t="str">
        <f t="shared" ca="1" si="18"/>
        <v/>
      </c>
      <c r="AJ10" s="236">
        <f t="shared" ca="1" si="19"/>
        <v>9</v>
      </c>
      <c r="AK10" s="236" t="str">
        <f t="shared" ca="1" si="20"/>
        <v>A-</v>
      </c>
      <c r="AL10" s="236">
        <f t="shared" ca="1" si="20"/>
        <v>20</v>
      </c>
      <c r="AM10" s="236" t="str">
        <f t="shared" ca="1" si="4"/>
        <v/>
      </c>
      <c r="AQ10" s="286" t="s">
        <v>259</v>
      </c>
      <c r="AR10" s="286" t="s">
        <v>28</v>
      </c>
      <c r="AS10" s="286">
        <v>18</v>
      </c>
      <c r="AT10" s="286" t="s">
        <v>275</v>
      </c>
      <c r="AV10" s="234">
        <f t="shared" si="21"/>
        <v>32</v>
      </c>
      <c r="AW10" s="234">
        <f>COUNTIF( AV$7:AV10, AV10 )</f>
        <v>1</v>
      </c>
      <c r="AX10" s="287">
        <f t="shared" si="22"/>
        <v>32.1</v>
      </c>
      <c r="AY10" s="234">
        <f t="shared" si="23"/>
        <v>32</v>
      </c>
      <c r="AZ10" s="236"/>
      <c r="BA10" s="236"/>
      <c r="BC10" s="234">
        <f t="shared" ca="1" si="24"/>
        <v>4</v>
      </c>
      <c r="BD10" s="288">
        <f t="shared" ca="1" si="6"/>
        <v>8</v>
      </c>
      <c r="BF10" s="240" t="str">
        <f t="shared" ca="1" si="7"/>
        <v>CenterPoint Energy, Inc.</v>
      </c>
      <c r="BG10" s="240" t="str">
        <f t="shared" ca="1" si="7"/>
        <v>A-</v>
      </c>
      <c r="BH10" s="240">
        <f t="shared" ca="1" si="7"/>
        <v>20</v>
      </c>
      <c r="BI10" s="240" t="str">
        <f t="shared" ca="1" si="7"/>
        <v>CNP</v>
      </c>
    </row>
    <row r="11" spans="1:61" x14ac:dyDescent="0.2">
      <c r="A11" s="303" t="s">
        <v>3</v>
      </c>
      <c r="B11" s="304" t="s">
        <v>10</v>
      </c>
      <c r="C11" s="304">
        <v>20</v>
      </c>
      <c r="D11" s="304" t="s">
        <v>292</v>
      </c>
      <c r="E11" s="305" t="str">
        <f t="shared" ca="1" si="8"/>
        <v>R</v>
      </c>
      <c r="F11" s="306"/>
      <c r="G11" s="307">
        <f t="shared" ca="1" si="1"/>
        <v>16</v>
      </c>
      <c r="H11" s="250"/>
      <c r="I11" s="318"/>
      <c r="J11" s="295" t="s">
        <v>28</v>
      </c>
      <c r="K11" s="318"/>
      <c r="L11" s="295">
        <f t="shared" si="9"/>
        <v>15</v>
      </c>
      <c r="M11" s="296">
        <f t="shared" si="10"/>
        <v>0.28846153846153844</v>
      </c>
      <c r="N11" s="318"/>
      <c r="O11" s="295">
        <f t="shared" ca="1" si="11"/>
        <v>14</v>
      </c>
      <c r="P11" s="296">
        <f t="shared" ca="1" si="12"/>
        <v>0.3783783783783784</v>
      </c>
      <c r="Q11" s="318"/>
      <c r="R11" s="295">
        <f t="shared" ca="1" si="13"/>
        <v>1</v>
      </c>
      <c r="S11" s="296">
        <f t="shared" ca="1" si="14"/>
        <v>7.6923076923076927E-2</v>
      </c>
      <c r="T11" s="318"/>
      <c r="U11" s="295">
        <f t="shared" ca="1" si="15"/>
        <v>0</v>
      </c>
      <c r="V11" s="296" t="str">
        <f t="shared" ca="1" si="16"/>
        <v/>
      </c>
      <c r="W11" s="318"/>
      <c r="X11" s="256" t="s">
        <v>467</v>
      </c>
      <c r="Y11" s="256">
        <v>18</v>
      </c>
      <c r="Z11" s="256">
        <v>1</v>
      </c>
      <c r="AA11" s="255">
        <f t="shared" ca="1" si="17"/>
        <v>15</v>
      </c>
      <c r="AE11" s="254"/>
      <c r="AF11" s="236">
        <f t="shared" si="2"/>
        <v>0</v>
      </c>
      <c r="AG11" s="236" t="str">
        <f t="shared" ca="1" si="3"/>
        <v/>
      </c>
      <c r="AH11" s="236" t="str">
        <f t="shared" ca="1" si="18"/>
        <v/>
      </c>
      <c r="AJ11" s="236">
        <f t="shared" ca="1" si="19"/>
        <v>10</v>
      </c>
      <c r="AK11" s="236" t="str">
        <f t="shared" ca="1" si="20"/>
        <v>A-</v>
      </c>
      <c r="AL11" s="236">
        <f t="shared" ca="1" si="20"/>
        <v>20</v>
      </c>
      <c r="AM11" s="236" t="str">
        <f t="shared" ca="1" si="4"/>
        <v/>
      </c>
      <c r="AQ11" s="286" t="s">
        <v>55</v>
      </c>
      <c r="AR11" s="286" t="s">
        <v>28</v>
      </c>
      <c r="AS11" s="286">
        <v>18</v>
      </c>
      <c r="AT11" s="286" t="s">
        <v>278</v>
      </c>
      <c r="AV11" s="234">
        <f t="shared" si="21"/>
        <v>32</v>
      </c>
      <c r="AW11" s="234">
        <f>COUNTIF( AV$7:AV11, AV11 )</f>
        <v>2</v>
      </c>
      <c r="AX11" s="287">
        <f t="shared" si="22"/>
        <v>32.200000000000003</v>
      </c>
      <c r="AY11" s="234">
        <f t="shared" si="23"/>
        <v>33</v>
      </c>
      <c r="AZ11" s="236"/>
      <c r="BA11" s="236"/>
      <c r="BC11" s="234">
        <f t="shared" ca="1" si="24"/>
        <v>5</v>
      </c>
      <c r="BD11" s="288">
        <f t="shared" ca="1" si="6"/>
        <v>11</v>
      </c>
      <c r="BF11" s="240" t="str">
        <f t="shared" ca="1" si="7"/>
        <v>Consolidated Edison, Inc.</v>
      </c>
      <c r="BG11" s="240" t="str">
        <f t="shared" ca="1" si="7"/>
        <v>A-</v>
      </c>
      <c r="BH11" s="240">
        <f t="shared" ca="1" si="7"/>
        <v>20</v>
      </c>
      <c r="BI11" s="240" t="str">
        <f t="shared" ca="1" si="7"/>
        <v>ED</v>
      </c>
    </row>
    <row r="12" spans="1:61" x14ac:dyDescent="0.2">
      <c r="A12" s="303" t="s">
        <v>18</v>
      </c>
      <c r="B12" s="304" t="s">
        <v>10</v>
      </c>
      <c r="C12" s="304">
        <v>20</v>
      </c>
      <c r="D12" s="304" t="s">
        <v>86</v>
      </c>
      <c r="E12" s="305" t="str">
        <f t="shared" ca="1" si="8"/>
        <v>MR</v>
      </c>
      <c r="F12" s="306"/>
      <c r="G12" s="307">
        <f t="shared" ca="1" si="1"/>
        <v>17</v>
      </c>
      <c r="H12" s="250"/>
      <c r="I12" s="318"/>
      <c r="J12" s="295" t="s">
        <v>49</v>
      </c>
      <c r="K12" s="318"/>
      <c r="L12" s="295">
        <f t="shared" si="9"/>
        <v>3</v>
      </c>
      <c r="M12" s="296">
        <f t="shared" si="10"/>
        <v>5.7692307692307696E-2</v>
      </c>
      <c r="N12" s="318"/>
      <c r="O12" s="295">
        <f t="shared" ca="1" si="11"/>
        <v>1</v>
      </c>
      <c r="P12" s="296">
        <f t="shared" ca="1" si="12"/>
        <v>2.7027027027027029E-2</v>
      </c>
      <c r="Q12" s="318"/>
      <c r="R12" s="295">
        <f t="shared" ca="1" si="13"/>
        <v>1</v>
      </c>
      <c r="S12" s="296">
        <f t="shared" ca="1" si="14"/>
        <v>7.6923076923076927E-2</v>
      </c>
      <c r="T12" s="318"/>
      <c r="U12" s="295">
        <f t="shared" ca="1" si="15"/>
        <v>1</v>
      </c>
      <c r="V12" s="296">
        <f t="shared" ca="1" si="16"/>
        <v>0.5</v>
      </c>
      <c r="W12" s="318"/>
      <c r="X12" s="256" t="s">
        <v>468</v>
      </c>
      <c r="Y12" s="256">
        <v>17</v>
      </c>
      <c r="Z12" s="256">
        <v>1</v>
      </c>
      <c r="AA12" s="255">
        <f t="shared" ca="1" si="17"/>
        <v>3</v>
      </c>
      <c r="AE12" s="254"/>
      <c r="AF12" s="236">
        <f t="shared" si="2"/>
        <v>0</v>
      </c>
      <c r="AG12" s="236" t="str">
        <f t="shared" ca="1" si="3"/>
        <v/>
      </c>
      <c r="AH12" s="236" t="str">
        <f t="shared" ca="1" si="18"/>
        <v/>
      </c>
      <c r="AJ12" s="236">
        <f t="shared" ca="1" si="19"/>
        <v>11</v>
      </c>
      <c r="AK12" s="236" t="str">
        <f t="shared" ca="1" si="20"/>
        <v>A-</v>
      </c>
      <c r="AL12" s="236">
        <f t="shared" ca="1" si="20"/>
        <v>20</v>
      </c>
      <c r="AM12" s="236" t="str">
        <f t="shared" ca="1" si="4"/>
        <v/>
      </c>
      <c r="AQ12" s="286" t="s">
        <v>501</v>
      </c>
      <c r="AR12" s="286" t="s">
        <v>16</v>
      </c>
      <c r="AS12" s="286">
        <v>19</v>
      </c>
      <c r="AT12" s="286" t="s">
        <v>447</v>
      </c>
      <c r="AV12" s="234">
        <f t="shared" si="21"/>
        <v>15</v>
      </c>
      <c r="AW12" s="234">
        <f>COUNTIF( AV$7:AV12, AV12 )</f>
        <v>3</v>
      </c>
      <c r="AX12" s="287">
        <f t="shared" si="22"/>
        <v>15.3</v>
      </c>
      <c r="AY12" s="234">
        <f t="shared" si="23"/>
        <v>17</v>
      </c>
      <c r="AZ12" s="236"/>
      <c r="BA12" s="236"/>
      <c r="BC12" s="234">
        <f t="shared" ca="1" si="24"/>
        <v>6</v>
      </c>
      <c r="BD12" s="288">
        <f t="shared" ca="1" si="6"/>
        <v>12</v>
      </c>
      <c r="BF12" s="240" t="str">
        <f t="shared" ca="1" si="7"/>
        <v>Dominion Resources, Inc.</v>
      </c>
      <c r="BG12" s="240" t="str">
        <f t="shared" ca="1" si="7"/>
        <v>A-</v>
      </c>
      <c r="BH12" s="240">
        <f t="shared" ca="1" si="7"/>
        <v>20</v>
      </c>
      <c r="BI12" s="240" t="str">
        <f t="shared" ca="1" si="7"/>
        <v>D</v>
      </c>
    </row>
    <row r="13" spans="1:61" x14ac:dyDescent="0.2">
      <c r="A13" s="303" t="s">
        <v>32</v>
      </c>
      <c r="B13" s="304" t="s">
        <v>10</v>
      </c>
      <c r="C13" s="304">
        <v>20</v>
      </c>
      <c r="D13" s="304" t="s">
        <v>290</v>
      </c>
      <c r="E13" s="305" t="str">
        <f t="shared" ca="1" si="8"/>
        <v>R</v>
      </c>
      <c r="F13" s="306"/>
      <c r="G13" s="307">
        <f t="shared" ca="1" si="1"/>
        <v>19</v>
      </c>
      <c r="H13" s="250"/>
      <c r="I13" s="319"/>
      <c r="J13" s="297" t="s">
        <v>79</v>
      </c>
      <c r="K13" s="319"/>
      <c r="L13" s="297">
        <f t="shared" si="9"/>
        <v>2</v>
      </c>
      <c r="M13" s="298">
        <f t="shared" si="10"/>
        <v>3.8461538461538464E-2</v>
      </c>
      <c r="N13" s="319"/>
      <c r="O13" s="297">
        <f t="shared" ca="1" si="11"/>
        <v>2</v>
      </c>
      <c r="P13" s="298">
        <f t="shared" ca="1" si="12"/>
        <v>5.4054054054054057E-2</v>
      </c>
      <c r="Q13" s="319"/>
      <c r="R13" s="297">
        <f t="shared" ca="1" si="13"/>
        <v>0</v>
      </c>
      <c r="S13" s="298" t="str">
        <f t="shared" ca="1" si="14"/>
        <v/>
      </c>
      <c r="T13" s="319"/>
      <c r="U13" s="297">
        <f t="shared" ca="1" si="15"/>
        <v>0</v>
      </c>
      <c r="V13" s="298" t="str">
        <f t="shared" ca="1" si="16"/>
        <v/>
      </c>
      <c r="W13" s="319"/>
      <c r="X13" s="256" t="s">
        <v>469</v>
      </c>
      <c r="Y13" s="256">
        <v>16</v>
      </c>
      <c r="Z13" s="256">
        <v>1</v>
      </c>
      <c r="AA13" s="259">
        <f t="shared" ca="1" si="17"/>
        <v>2</v>
      </c>
      <c r="AE13" s="254"/>
      <c r="AF13" s="236">
        <f t="shared" si="2"/>
        <v>0</v>
      </c>
      <c r="AG13" s="236">
        <f t="shared" ca="1" si="3"/>
        <v>1</v>
      </c>
      <c r="AH13" s="236" t="str">
        <f t="shared" ca="1" si="18"/>
        <v/>
      </c>
      <c r="AJ13" s="236">
        <f t="shared" ca="1" si="19"/>
        <v>26</v>
      </c>
      <c r="AK13" s="236" t="str">
        <f t="shared" ca="1" si="20"/>
        <v>BBB+</v>
      </c>
      <c r="AL13" s="236">
        <f t="shared" ca="1" si="20"/>
        <v>19</v>
      </c>
      <c r="AM13" s="236" t="str">
        <f t="shared" ca="1" si="4"/>
        <v>Change</v>
      </c>
      <c r="AQ13" s="286" t="s">
        <v>48</v>
      </c>
      <c r="AR13" s="286" t="s">
        <v>28</v>
      </c>
      <c r="AS13" s="286">
        <v>18</v>
      </c>
      <c r="AT13" s="286" t="s">
        <v>280</v>
      </c>
      <c r="AV13" s="234">
        <f t="shared" si="21"/>
        <v>32</v>
      </c>
      <c r="AW13" s="234">
        <f>COUNTIF( AV$7:AV13, AV13 )</f>
        <v>3</v>
      </c>
      <c r="AX13" s="287">
        <f t="shared" si="22"/>
        <v>32.299999999999997</v>
      </c>
      <c r="AY13" s="234">
        <f t="shared" si="23"/>
        <v>34</v>
      </c>
      <c r="AZ13" s="236"/>
      <c r="BA13" s="236"/>
      <c r="BC13" s="234">
        <f t="shared" ca="1" si="24"/>
        <v>7</v>
      </c>
      <c r="BD13" s="288">
        <f t="shared" ca="1" si="6"/>
        <v>15</v>
      </c>
      <c r="BF13" s="240" t="str">
        <f t="shared" ca="1" si="7"/>
        <v>Duke Energy Corporation</v>
      </c>
      <c r="BG13" s="240" t="str">
        <f t="shared" ca="1" si="7"/>
        <v>A-</v>
      </c>
      <c r="BH13" s="240">
        <f t="shared" ca="1" si="7"/>
        <v>20</v>
      </c>
      <c r="BI13" s="240" t="str">
        <f t="shared" ca="1" si="7"/>
        <v>DUK</v>
      </c>
    </row>
    <row r="14" spans="1:61" x14ac:dyDescent="0.2">
      <c r="A14" s="303" t="s">
        <v>370</v>
      </c>
      <c r="B14" s="304" t="s">
        <v>10</v>
      </c>
      <c r="C14" s="304">
        <v>20</v>
      </c>
      <c r="D14" s="304" t="s">
        <v>369</v>
      </c>
      <c r="E14" s="305" t="str">
        <f t="shared" ca="1" si="8"/>
        <v>MR</v>
      </c>
      <c r="F14" s="306"/>
      <c r="G14" s="307">
        <f t="shared" ca="1" si="1"/>
        <v>32</v>
      </c>
      <c r="H14" s="250"/>
      <c r="I14" s="320"/>
      <c r="J14" s="291" t="s">
        <v>80</v>
      </c>
      <c r="K14" s="320"/>
      <c r="L14" s="291">
        <f>SUM(L8:L13)</f>
        <v>52</v>
      </c>
      <c r="M14" s="292">
        <f>L14/L$14</f>
        <v>1</v>
      </c>
      <c r="N14" s="320"/>
      <c r="O14" s="291">
        <f ca="1">SUM(O8:O13)</f>
        <v>37</v>
      </c>
      <c r="P14" s="292">
        <f ca="1">O14/O$14</f>
        <v>1</v>
      </c>
      <c r="Q14" s="320"/>
      <c r="R14" s="291">
        <f ca="1">SUM(R8:R13)</f>
        <v>13</v>
      </c>
      <c r="S14" s="292">
        <f ca="1">R14/R$14</f>
        <v>1</v>
      </c>
      <c r="T14" s="320"/>
      <c r="U14" s="291">
        <f ca="1">SUM(U8:U13)</f>
        <v>2</v>
      </c>
      <c r="V14" s="292">
        <f ca="1">U14/U$14</f>
        <v>1</v>
      </c>
      <c r="W14" s="320"/>
      <c r="Y14" s="261">
        <f>SUMPRODUCT( L8:L13, Y8:Y13 ) / L14</f>
        <v>18.826923076923077</v>
      </c>
      <c r="Z14" s="261"/>
      <c r="AA14" s="437">
        <f ca="1">SUM(AA8:AA13)</f>
        <v>52</v>
      </c>
      <c r="AE14" s="254"/>
      <c r="AF14" s="236">
        <f t="shared" si="2"/>
        <v>0</v>
      </c>
      <c r="AG14" s="236" t="str">
        <f t="shared" ca="1" si="3"/>
        <v/>
      </c>
      <c r="AH14" s="236" t="str">
        <f t="shared" ca="1" si="18"/>
        <v/>
      </c>
      <c r="AJ14" s="236">
        <f t="shared" ca="1" si="19"/>
        <v>14</v>
      </c>
      <c r="AK14" s="236" t="str">
        <f t="shared" ca="1" si="20"/>
        <v>A-</v>
      </c>
      <c r="AL14" s="236">
        <f t="shared" ca="1" si="20"/>
        <v>20</v>
      </c>
      <c r="AM14" s="236" t="str">
        <f t="shared" ca="1" si="4"/>
        <v/>
      </c>
      <c r="AQ14" s="286" t="s">
        <v>29</v>
      </c>
      <c r="AR14" s="286" t="s">
        <v>10</v>
      </c>
      <c r="AS14" s="286">
        <v>20</v>
      </c>
      <c r="AT14" s="286" t="s">
        <v>286</v>
      </c>
      <c r="AV14" s="234">
        <f>IF( LEN( AS14 ) = 0, 99, RANK( AS14, $AS$7:$AS$63 ) )</f>
        <v>3</v>
      </c>
      <c r="AW14" s="234">
        <f>COUNTIF( AV$7:AV14, AV14 )</f>
        <v>2</v>
      </c>
      <c r="AX14" s="287">
        <f t="shared" si="22"/>
        <v>3.2</v>
      </c>
      <c r="AY14" s="234">
        <f t="shared" si="23"/>
        <v>4</v>
      </c>
      <c r="AZ14" s="236"/>
      <c r="BA14" s="236"/>
      <c r="BC14" s="234">
        <f t="shared" ca="1" si="24"/>
        <v>8</v>
      </c>
      <c r="BD14" s="288">
        <f t="shared" ca="1" si="6"/>
        <v>29</v>
      </c>
      <c r="BF14" s="240" t="str">
        <f t="shared" ca="1" si="7"/>
        <v>NextEra Energy, Inc.</v>
      </c>
      <c r="BG14" s="240" t="str">
        <f t="shared" ca="1" si="7"/>
        <v>A-</v>
      </c>
      <c r="BH14" s="240">
        <f t="shared" ca="1" si="7"/>
        <v>20</v>
      </c>
      <c r="BI14" s="240" t="str">
        <f t="shared" ca="1" si="7"/>
        <v>NEE</v>
      </c>
    </row>
    <row r="15" spans="1:61" x14ac:dyDescent="0.2">
      <c r="A15" s="303" t="s">
        <v>21</v>
      </c>
      <c r="B15" s="304" t="s">
        <v>10</v>
      </c>
      <c r="C15" s="304">
        <v>20</v>
      </c>
      <c r="D15" s="304" t="s">
        <v>316</v>
      </c>
      <c r="E15" s="305" t="str">
        <f t="shared" ca="1" si="8"/>
        <v>R</v>
      </c>
      <c r="F15" s="306"/>
      <c r="G15" s="307">
        <f t="shared" ca="1" si="1"/>
        <v>36</v>
      </c>
      <c r="H15" s="250"/>
      <c r="I15" s="321"/>
      <c r="K15" s="321"/>
      <c r="N15" s="321"/>
      <c r="Q15" s="321"/>
      <c r="T15" s="321"/>
      <c r="W15" s="321"/>
      <c r="X15" s="240"/>
      <c r="AA15" s="240"/>
      <c r="AE15" s="254"/>
      <c r="AF15" s="236">
        <f t="shared" si="2"/>
        <v>0</v>
      </c>
      <c r="AG15" s="236" t="str">
        <f t="shared" ca="1" si="3"/>
        <v/>
      </c>
      <c r="AH15" s="236" t="str">
        <f t="shared" ca="1" si="18"/>
        <v/>
      </c>
      <c r="AJ15" s="236">
        <f t="shared" ca="1" si="19"/>
        <v>15</v>
      </c>
      <c r="AK15" s="236" t="str">
        <f t="shared" ca="1" si="20"/>
        <v>A-</v>
      </c>
      <c r="AL15" s="236">
        <f t="shared" ca="1" si="20"/>
        <v>20</v>
      </c>
      <c r="AM15" s="236" t="str">
        <f t="shared" ca="1" si="4"/>
        <v/>
      </c>
      <c r="AQ15" s="286" t="s">
        <v>30</v>
      </c>
      <c r="AR15" s="286" t="s">
        <v>16</v>
      </c>
      <c r="AS15" s="286">
        <v>19</v>
      </c>
      <c r="AT15" s="286" t="s">
        <v>285</v>
      </c>
      <c r="AV15" s="234">
        <f t="shared" si="21"/>
        <v>15</v>
      </c>
      <c r="AW15" s="234">
        <f>COUNTIF( AV$7:AV15, AV15 )</f>
        <v>4</v>
      </c>
      <c r="AX15" s="287">
        <f t="shared" si="22"/>
        <v>15.4</v>
      </c>
      <c r="AY15" s="234">
        <f t="shared" si="23"/>
        <v>18</v>
      </c>
      <c r="AZ15" s="236"/>
      <c r="BA15" s="236"/>
      <c r="BC15" s="234">
        <f t="shared" ca="1" si="24"/>
        <v>9</v>
      </c>
      <c r="BD15" s="288">
        <f t="shared" ca="1" si="6"/>
        <v>32</v>
      </c>
      <c r="BF15" s="240" t="str">
        <f t="shared" ca="1" si="7"/>
        <v>OGE Energy Corp.</v>
      </c>
      <c r="BG15" s="240" t="str">
        <f t="shared" ca="1" si="7"/>
        <v>A-</v>
      </c>
      <c r="BH15" s="240">
        <f t="shared" ca="1" si="7"/>
        <v>20</v>
      </c>
      <c r="BI15" s="240" t="str">
        <f t="shared" ca="1" si="7"/>
        <v>OGE</v>
      </c>
    </row>
    <row r="16" spans="1:61" x14ac:dyDescent="0.2">
      <c r="A16" s="303" t="s">
        <v>41</v>
      </c>
      <c r="B16" s="304" t="s">
        <v>10</v>
      </c>
      <c r="C16" s="304">
        <v>20</v>
      </c>
      <c r="D16" s="304" t="s">
        <v>322</v>
      </c>
      <c r="E16" s="305" t="str">
        <f t="shared" ca="1" si="8"/>
        <v>R</v>
      </c>
      <c r="F16" s="306"/>
      <c r="G16" s="307">
        <f t="shared" ca="1" si="1"/>
        <v>40</v>
      </c>
      <c r="H16" s="250"/>
      <c r="I16" s="316"/>
      <c r="J16" s="290" t="s">
        <v>450</v>
      </c>
      <c r="K16" s="316"/>
      <c r="L16" s="463">
        <f t="array" ref="L16">SUM( IF( LEN( $C$7:$C$65 ) = 0, 0, $C$7:$C$65 ) ) / SUM( IF( LEN( $C$7:$C$65 ) = 0, 0, 1  ) )</f>
        <v>18.846153846153847</v>
      </c>
      <c r="M16" s="464"/>
      <c r="N16" s="316"/>
      <c r="O16" s="463">
        <f t="array" aca="1" ref="O16" ca="1">SUM( IF( LEN( $C$7:$C$65 ) = 0, 0, IF( $E$7:$E$65 = O3, $C$7:$C$65, 0 ) ) ) / SUM( IF( LEN( $C$7:$C$65 ) = 0, 0, IF( $E$7:$E$65 = O3, 1, 0 ) ) )</f>
        <v>18.675675675675677</v>
      </c>
      <c r="P16" s="464"/>
      <c r="Q16" s="316"/>
      <c r="R16" s="463">
        <f t="array" aca="1" ref="R16" ca="1">SUM( IF( LEN( $C$7:$C$65 ) = 0, 0, IF( $E$7:$E$65 = R3, $C$7:$C$65, 0 ) ) ) / SUM( IF( LEN( $C$7:$C$65 ) = 0, 0, IF( $E$7:$E$65 = R3, 1, 0 ) ) )</f>
        <v>19.46153846153846</v>
      </c>
      <c r="S16" s="464"/>
      <c r="T16" s="316"/>
      <c r="U16" s="463">
        <f t="array" aca="1" ref="U16" ca="1">SUM( IF( LEN( $C$7:$C$65 ) = 0, 0, IF( $E$7:$E$65 = U3, $C$7:$C$65, 0 ) ) ) / SUM( IF( LEN( $C$7:$C$65 ) = 0, 0, IF( $E$7:$E$65 = U3, 1, 0 ) ) )</f>
        <v>18</v>
      </c>
      <c r="V16" s="465"/>
      <c r="W16" s="316"/>
      <c r="AE16" s="254"/>
      <c r="AF16" s="236">
        <f t="shared" si="2"/>
        <v>0</v>
      </c>
      <c r="AG16" s="236" t="str">
        <f t="shared" ca="1" si="3"/>
        <v/>
      </c>
      <c r="AH16" s="236" t="str">
        <f t="shared" ca="1" si="18"/>
        <v/>
      </c>
      <c r="AJ16" s="236">
        <f t="shared" ca="1" si="19"/>
        <v>16</v>
      </c>
      <c r="AK16" s="236" t="str">
        <f t="shared" ca="1" si="20"/>
        <v>A-</v>
      </c>
      <c r="AL16" s="236">
        <f t="shared" ca="1" si="20"/>
        <v>20</v>
      </c>
      <c r="AM16" s="236" t="str">
        <f t="shared" ca="1" si="4"/>
        <v/>
      </c>
      <c r="AQ16" s="286" t="s">
        <v>60</v>
      </c>
      <c r="AR16" s="286" t="s">
        <v>16</v>
      </c>
      <c r="AS16" s="286">
        <v>19</v>
      </c>
      <c r="AT16" s="286" t="s">
        <v>284</v>
      </c>
      <c r="AV16" s="234">
        <f t="shared" si="21"/>
        <v>15</v>
      </c>
      <c r="AW16" s="234">
        <f>COUNTIF( AV$7:AV16, AV16 )</f>
        <v>5</v>
      </c>
      <c r="AX16" s="287">
        <f t="shared" si="22"/>
        <v>15.5</v>
      </c>
      <c r="AY16" s="234">
        <f t="shared" si="23"/>
        <v>19</v>
      </c>
      <c r="AZ16" s="236"/>
      <c r="BA16" s="236"/>
      <c r="BC16" s="234">
        <f t="shared" ca="1" si="24"/>
        <v>10</v>
      </c>
      <c r="BD16" s="288">
        <f t="shared" ca="1" si="6"/>
        <v>36</v>
      </c>
      <c r="BF16" s="240" t="str">
        <f t="shared" ca="1" si="7"/>
        <v>Pinnacle West Capital Corporation</v>
      </c>
      <c r="BG16" s="240" t="str">
        <f t="shared" ca="1" si="7"/>
        <v>A-</v>
      </c>
      <c r="BH16" s="240">
        <f t="shared" ca="1" si="7"/>
        <v>20</v>
      </c>
      <c r="BI16" s="240" t="str">
        <f t="shared" ca="1" si="7"/>
        <v>PNW</v>
      </c>
    </row>
    <row r="17" spans="1:61" x14ac:dyDescent="0.2">
      <c r="A17" s="303" t="s">
        <v>43</v>
      </c>
      <c r="B17" s="304" t="s">
        <v>10</v>
      </c>
      <c r="C17" s="304">
        <v>20</v>
      </c>
      <c r="D17" s="304" t="s">
        <v>325</v>
      </c>
      <c r="E17" s="305" t="str">
        <f t="shared" ca="1" si="8"/>
        <v>MR</v>
      </c>
      <c r="F17" s="306"/>
      <c r="G17" s="307">
        <f t="shared" ca="1" si="1"/>
        <v>43</v>
      </c>
      <c r="H17" s="250"/>
      <c r="I17" s="321"/>
      <c r="K17" s="321"/>
      <c r="N17" s="321"/>
      <c r="O17" s="240"/>
      <c r="Q17" s="321"/>
      <c r="T17" s="321"/>
      <c r="W17" s="321"/>
      <c r="AE17" s="245"/>
      <c r="AF17" s="236">
        <f t="shared" si="2"/>
        <v>0</v>
      </c>
      <c r="AG17" s="236">
        <f t="shared" ca="1" si="3"/>
        <v>1</v>
      </c>
      <c r="AH17" s="236" t="str">
        <f t="shared" ca="1" si="18"/>
        <v/>
      </c>
      <c r="AJ17" s="236">
        <f t="shared" ca="1" si="19"/>
        <v>51</v>
      </c>
      <c r="AK17" s="236" t="str">
        <f t="shared" ca="1" si="20"/>
        <v>BBB</v>
      </c>
      <c r="AL17" s="236">
        <f t="shared" ca="1" si="20"/>
        <v>18</v>
      </c>
      <c r="AM17" s="236" t="str">
        <f t="shared" ca="1" si="4"/>
        <v>Change</v>
      </c>
      <c r="AQ17" s="286" t="s">
        <v>3</v>
      </c>
      <c r="AR17" s="286" t="s">
        <v>10</v>
      </c>
      <c r="AS17" s="286">
        <v>20</v>
      </c>
      <c r="AT17" s="286" t="s">
        <v>292</v>
      </c>
      <c r="AV17" s="234">
        <f t="shared" si="21"/>
        <v>3</v>
      </c>
      <c r="AW17" s="234">
        <f>COUNTIF( AV$7:AV17, AV17 )</f>
        <v>3</v>
      </c>
      <c r="AX17" s="287">
        <f t="shared" si="22"/>
        <v>3.3</v>
      </c>
      <c r="AY17" s="234">
        <f t="shared" si="23"/>
        <v>5</v>
      </c>
      <c r="AZ17" s="236"/>
      <c r="BA17" s="236"/>
      <c r="BC17" s="234">
        <f t="shared" ca="1" si="24"/>
        <v>11</v>
      </c>
      <c r="BD17" s="288">
        <f t="shared" ca="1" si="6"/>
        <v>39</v>
      </c>
      <c r="BF17" s="240" t="str">
        <f t="shared" ca="1" si="7"/>
        <v>PPL Corporation</v>
      </c>
      <c r="BG17" s="240" t="str">
        <f t="shared" ca="1" si="7"/>
        <v>A-</v>
      </c>
      <c r="BH17" s="240">
        <f t="shared" ca="1" si="7"/>
        <v>20</v>
      </c>
      <c r="BI17" s="240" t="str">
        <f t="shared" ca="1" si="7"/>
        <v>PPL</v>
      </c>
    </row>
    <row r="18" spans="1:61" x14ac:dyDescent="0.2">
      <c r="A18" s="303" t="s">
        <v>14</v>
      </c>
      <c r="B18" s="304" t="s">
        <v>10</v>
      </c>
      <c r="C18" s="304">
        <v>20</v>
      </c>
      <c r="D18" s="304" t="s">
        <v>335</v>
      </c>
      <c r="E18" s="305" t="str">
        <f t="shared" ca="1" si="8"/>
        <v>MR</v>
      </c>
      <c r="F18" s="306"/>
      <c r="G18" s="307">
        <f t="shared" ca="1" si="1"/>
        <v>52</v>
      </c>
      <c r="H18" s="250"/>
      <c r="I18" s="321"/>
      <c r="K18" s="321"/>
      <c r="N18" s="321"/>
      <c r="O18" s="240"/>
      <c r="Q18" s="321"/>
      <c r="T18" s="321"/>
      <c r="W18" s="321"/>
      <c r="AE18" s="254"/>
      <c r="AF18" s="236">
        <f t="shared" si="2"/>
        <v>0</v>
      </c>
      <c r="AG18" s="236" t="str">
        <f t="shared" ca="1" si="3"/>
        <v/>
      </c>
      <c r="AH18" s="236" t="str">
        <f t="shared" ca="1" si="18"/>
        <v/>
      </c>
      <c r="AJ18" s="236">
        <f t="shared" ca="1" si="19"/>
        <v>17</v>
      </c>
      <c r="AK18" s="236" t="str">
        <f t="shared" ca="1" si="20"/>
        <v>A-</v>
      </c>
      <c r="AL18" s="236">
        <f t="shared" ca="1" si="20"/>
        <v>20</v>
      </c>
      <c r="AM18" s="236" t="str">
        <f t="shared" ca="1" si="4"/>
        <v/>
      </c>
      <c r="AQ18" s="286" t="s">
        <v>18</v>
      </c>
      <c r="AR18" s="286" t="s">
        <v>10</v>
      </c>
      <c r="AS18" s="286">
        <v>20</v>
      </c>
      <c r="AT18" s="286" t="s">
        <v>86</v>
      </c>
      <c r="AV18" s="234">
        <f t="shared" si="21"/>
        <v>3</v>
      </c>
      <c r="AW18" s="234">
        <f>COUNTIF( AV$7:AV18, AV18 )</f>
        <v>4</v>
      </c>
      <c r="AX18" s="287">
        <f t="shared" si="22"/>
        <v>3.4</v>
      </c>
      <c r="AY18" s="234">
        <f t="shared" si="23"/>
        <v>6</v>
      </c>
      <c r="AZ18" s="236"/>
      <c r="BA18" s="236"/>
      <c r="BC18" s="234">
        <f t="shared" ca="1" si="24"/>
        <v>12</v>
      </c>
      <c r="BD18" s="288">
        <f t="shared" ca="1" si="6"/>
        <v>48</v>
      </c>
      <c r="BF18" s="240" t="str">
        <f t="shared" ca="1" si="7"/>
        <v>Vectren Corporation</v>
      </c>
      <c r="BG18" s="240" t="str">
        <f t="shared" ca="1" si="7"/>
        <v>A-</v>
      </c>
      <c r="BH18" s="240">
        <f t="shared" ca="1" si="7"/>
        <v>20</v>
      </c>
      <c r="BI18" s="240" t="str">
        <f t="shared" ca="1" si="7"/>
        <v>VVC</v>
      </c>
    </row>
    <row r="19" spans="1:61" x14ac:dyDescent="0.2">
      <c r="A19" s="303" t="s">
        <v>26</v>
      </c>
      <c r="B19" s="304" t="s">
        <v>10</v>
      </c>
      <c r="C19" s="304">
        <v>20</v>
      </c>
      <c r="D19" s="304" t="s">
        <v>336</v>
      </c>
      <c r="E19" s="305" t="str">
        <f t="shared" ca="1" si="8"/>
        <v>R</v>
      </c>
      <c r="F19" s="306"/>
      <c r="G19" s="307">
        <f t="shared" ca="1" si="1"/>
        <v>54</v>
      </c>
      <c r="H19" s="250"/>
      <c r="I19" s="321"/>
      <c r="K19" s="321"/>
      <c r="N19" s="321"/>
      <c r="O19" s="240"/>
      <c r="Q19" s="321"/>
      <c r="T19" s="321"/>
      <c r="W19" s="321"/>
      <c r="AE19" s="254"/>
      <c r="AF19" s="236">
        <f t="shared" si="2"/>
        <v>0</v>
      </c>
      <c r="AG19" s="236" t="str">
        <f t="shared" ca="1" si="3"/>
        <v/>
      </c>
      <c r="AH19" s="236" t="str">
        <f t="shared" ca="1" si="18"/>
        <v/>
      </c>
      <c r="AJ19" s="236">
        <f t="shared" ca="1" si="19"/>
        <v>18</v>
      </c>
      <c r="AK19" s="236" t="str">
        <f t="shared" ca="1" si="20"/>
        <v>A-</v>
      </c>
      <c r="AL19" s="236">
        <f t="shared" ca="1" si="20"/>
        <v>20</v>
      </c>
      <c r="AM19" s="236" t="str">
        <f t="shared" ca="1" si="4"/>
        <v/>
      </c>
      <c r="AQ19" s="286" t="s">
        <v>64</v>
      </c>
      <c r="AR19" s="286" t="s">
        <v>61</v>
      </c>
      <c r="AS19" s="286">
        <v>15</v>
      </c>
      <c r="AT19" s="286" t="s">
        <v>443</v>
      </c>
      <c r="AV19" s="234">
        <f t="shared" si="21"/>
        <v>51</v>
      </c>
      <c r="AW19" s="234">
        <f>COUNTIF( AV$7:AV19, AV19 )</f>
        <v>1</v>
      </c>
      <c r="AX19" s="287">
        <f t="shared" si="22"/>
        <v>51.1</v>
      </c>
      <c r="AY19" s="234">
        <f t="shared" si="23"/>
        <v>51</v>
      </c>
      <c r="AZ19" s="236"/>
      <c r="BA19" s="236"/>
      <c r="BC19" s="234">
        <f t="shared" ca="1" si="24"/>
        <v>13</v>
      </c>
      <c r="BD19" s="288">
        <f t="shared" ca="1" si="6"/>
        <v>50</v>
      </c>
      <c r="BF19" s="240" t="str">
        <f t="shared" ca="1" si="7"/>
        <v>Wisconsin Energy Corporation</v>
      </c>
      <c r="BG19" s="240" t="str">
        <f t="shared" ca="1" si="7"/>
        <v>A-</v>
      </c>
      <c r="BH19" s="240">
        <f t="shared" ca="1" si="7"/>
        <v>20</v>
      </c>
      <c r="BI19" s="240" t="str">
        <f t="shared" ca="1" si="7"/>
        <v>WEC</v>
      </c>
    </row>
    <row r="20" spans="1:61" x14ac:dyDescent="0.2">
      <c r="A20" s="303" t="s">
        <v>258</v>
      </c>
      <c r="B20" s="304" t="s">
        <v>10</v>
      </c>
      <c r="C20" s="304">
        <v>20</v>
      </c>
      <c r="D20" s="304" t="s">
        <v>338</v>
      </c>
      <c r="E20" s="305" t="str">
        <f t="shared" ca="1" si="8"/>
        <v>R</v>
      </c>
      <c r="F20" s="306"/>
      <c r="G20" s="307">
        <f t="shared" ca="1" si="1"/>
        <v>55</v>
      </c>
      <c r="H20" s="250"/>
      <c r="I20" s="322"/>
      <c r="K20" s="322"/>
      <c r="N20" s="322"/>
      <c r="O20" s="240"/>
      <c r="Q20" s="322"/>
      <c r="T20" s="322"/>
      <c r="W20" s="322"/>
      <c r="AE20" s="254"/>
      <c r="AF20" s="236">
        <f t="shared" si="2"/>
        <v>0</v>
      </c>
      <c r="AG20" s="236" t="str">
        <f t="shared" ca="1" si="3"/>
        <v/>
      </c>
      <c r="AH20" s="236" t="str">
        <f t="shared" ca="1" si="18"/>
        <v/>
      </c>
      <c r="AJ20" s="236">
        <f t="shared" ca="1" si="19"/>
        <v>19</v>
      </c>
      <c r="AK20" s="236" t="str">
        <f t="shared" ca="1" si="20"/>
        <v>A-</v>
      </c>
      <c r="AL20" s="236">
        <f t="shared" ca="1" si="20"/>
        <v>20</v>
      </c>
      <c r="AM20" s="236" t="str">
        <f t="shared" ca="1" si="4"/>
        <v/>
      </c>
      <c r="AQ20" s="286" t="s">
        <v>31</v>
      </c>
      <c r="AR20" s="286" t="s">
        <v>16</v>
      </c>
      <c r="AS20" s="286">
        <v>19</v>
      </c>
      <c r="AT20" s="286" t="s">
        <v>289</v>
      </c>
      <c r="AV20" s="234">
        <f t="shared" si="21"/>
        <v>15</v>
      </c>
      <c r="AW20" s="234">
        <f>COUNTIF( AV$7:AV20, AV20 )</f>
        <v>6</v>
      </c>
      <c r="AX20" s="287">
        <f t="shared" si="22"/>
        <v>15.6</v>
      </c>
      <c r="AY20" s="234">
        <f t="shared" si="23"/>
        <v>20</v>
      </c>
      <c r="AZ20" s="236"/>
      <c r="BA20" s="236"/>
      <c r="BC20" s="234">
        <f t="shared" ca="1" si="24"/>
        <v>14</v>
      </c>
      <c r="BD20" s="288">
        <f t="shared" ca="1" si="6"/>
        <v>51</v>
      </c>
      <c r="BF20" s="240" t="str">
        <f t="shared" ca="1" si="7"/>
        <v>Xcel Energy Inc.</v>
      </c>
      <c r="BG20" s="240" t="str">
        <f t="shared" ca="1" si="7"/>
        <v>A-</v>
      </c>
      <c r="BH20" s="240">
        <f t="shared" ca="1" si="7"/>
        <v>20</v>
      </c>
      <c r="BI20" s="240" t="str">
        <f t="shared" ca="1" si="7"/>
        <v>XEL</v>
      </c>
    </row>
    <row r="21" spans="1:61" x14ac:dyDescent="0.2">
      <c r="A21" s="303" t="s">
        <v>15</v>
      </c>
      <c r="B21" s="304" t="s">
        <v>16</v>
      </c>
      <c r="C21" s="304">
        <v>19</v>
      </c>
      <c r="D21" s="304" t="s">
        <v>277</v>
      </c>
      <c r="E21" s="305" t="str">
        <f t="shared" ca="1" si="8"/>
        <v>R</v>
      </c>
      <c r="F21" s="306"/>
      <c r="G21" s="307">
        <f t="shared" ca="1" si="1"/>
        <v>7</v>
      </c>
      <c r="H21" s="250"/>
      <c r="I21" s="321"/>
      <c r="K21" s="321"/>
      <c r="N21" s="321"/>
      <c r="Q21" s="321"/>
      <c r="T21" s="321"/>
      <c r="W21" s="321"/>
      <c r="AE21" s="254"/>
      <c r="AF21" s="236">
        <f t="shared" si="2"/>
        <v>1</v>
      </c>
      <c r="AG21" s="236" t="str">
        <f t="shared" ca="1" si="3"/>
        <v/>
      </c>
      <c r="AH21" s="236" t="str">
        <f t="shared" ca="1" si="18"/>
        <v/>
      </c>
      <c r="AJ21" s="236">
        <f t="shared" ca="1" si="19"/>
        <v>20</v>
      </c>
      <c r="AK21" s="236" t="str">
        <f t="shared" ca="1" si="20"/>
        <v>BBB+</v>
      </c>
      <c r="AL21" s="236">
        <f t="shared" ca="1" si="20"/>
        <v>19</v>
      </c>
      <c r="AM21" s="236" t="str">
        <f t="shared" ca="1" si="4"/>
        <v/>
      </c>
      <c r="AQ21" s="286" t="s">
        <v>32</v>
      </c>
      <c r="AR21" s="286" t="s">
        <v>10</v>
      </c>
      <c r="AS21" s="286">
        <v>20</v>
      </c>
      <c r="AT21" s="286" t="s">
        <v>290</v>
      </c>
      <c r="AV21" s="234">
        <f t="shared" si="21"/>
        <v>3</v>
      </c>
      <c r="AW21" s="234">
        <f>COUNTIF( AV$7:AV21, AV21 )</f>
        <v>5</v>
      </c>
      <c r="AX21" s="287">
        <f t="shared" si="22"/>
        <v>3.5</v>
      </c>
      <c r="AY21" s="234">
        <f t="shared" si="23"/>
        <v>7</v>
      </c>
      <c r="AZ21" s="236"/>
      <c r="BA21" s="236"/>
      <c r="BC21" s="234">
        <f t="shared" ca="1" si="24"/>
        <v>15</v>
      </c>
      <c r="BD21" s="288">
        <f t="shared" ca="1" si="6"/>
        <v>1</v>
      </c>
      <c r="BF21" s="240" t="str">
        <f t="shared" ca="1" si="7"/>
        <v>ALLETE, Inc.</v>
      </c>
      <c r="BG21" s="240" t="str">
        <f t="shared" ca="1" si="7"/>
        <v>BBB+</v>
      </c>
      <c r="BH21" s="240">
        <f t="shared" ca="1" si="7"/>
        <v>19</v>
      </c>
      <c r="BI21" s="240" t="str">
        <f t="shared" ca="1" si="7"/>
        <v>ALE</v>
      </c>
    </row>
    <row r="22" spans="1:61" x14ac:dyDescent="0.2">
      <c r="A22" s="303" t="s">
        <v>9</v>
      </c>
      <c r="B22" s="304" t="s">
        <v>16</v>
      </c>
      <c r="C22" s="304">
        <v>19</v>
      </c>
      <c r="D22" s="304" t="s">
        <v>274</v>
      </c>
      <c r="E22" s="305" t="str">
        <f t="shared" ca="1" si="8"/>
        <v>R</v>
      </c>
      <c r="F22" s="306"/>
      <c r="G22" s="307">
        <f t="shared" ca="1" si="1"/>
        <v>9</v>
      </c>
      <c r="H22" s="250"/>
      <c r="I22" s="321"/>
      <c r="K22" s="321"/>
      <c r="N22" s="321"/>
      <c r="Q22" s="321"/>
      <c r="T22" s="321"/>
      <c r="W22" s="321"/>
      <c r="AE22" s="254"/>
      <c r="AF22" s="236">
        <f t="shared" si="2"/>
        <v>1</v>
      </c>
      <c r="AG22" s="236" t="str">
        <f t="shared" ca="1" si="3"/>
        <v/>
      </c>
      <c r="AH22" s="236" t="str">
        <f t="shared" ca="1" si="18"/>
        <v/>
      </c>
      <c r="AJ22" s="236">
        <f t="shared" ca="1" si="19"/>
        <v>21</v>
      </c>
      <c r="AK22" s="236" t="str">
        <f t="shared" ca="1" si="20"/>
        <v>BBB+</v>
      </c>
      <c r="AL22" s="236">
        <f t="shared" ca="1" si="20"/>
        <v>19</v>
      </c>
      <c r="AM22" s="236" t="str">
        <f t="shared" ca="1" si="4"/>
        <v/>
      </c>
      <c r="AQ22" s="286" t="s">
        <v>57</v>
      </c>
      <c r="AR22" s="286" t="s">
        <v>16</v>
      </c>
      <c r="AS22" s="286">
        <v>19</v>
      </c>
      <c r="AT22" s="286" t="s">
        <v>296</v>
      </c>
      <c r="AV22" s="234">
        <f t="shared" si="21"/>
        <v>15</v>
      </c>
      <c r="AW22" s="234">
        <f>COUNTIF( AV$7:AV22, AV22 )</f>
        <v>7</v>
      </c>
      <c r="AX22" s="287">
        <f t="shared" si="22"/>
        <v>15.7</v>
      </c>
      <c r="AY22" s="234">
        <f t="shared" si="23"/>
        <v>21</v>
      </c>
      <c r="AZ22" s="236"/>
      <c r="BA22" s="236"/>
      <c r="BC22" s="234">
        <f t="shared" ca="1" si="24"/>
        <v>16</v>
      </c>
      <c r="BD22" s="288">
        <f t="shared" ca="1" si="6"/>
        <v>3</v>
      </c>
      <c r="BF22" s="240" t="str">
        <f t="shared" ca="1" si="7"/>
        <v>Ameren Corporation</v>
      </c>
      <c r="BG22" s="240" t="str">
        <f t="shared" ca="1" si="7"/>
        <v>BBB+</v>
      </c>
      <c r="BH22" s="240">
        <f t="shared" ca="1" si="7"/>
        <v>19</v>
      </c>
      <c r="BI22" s="240" t="str">
        <f t="shared" ca="1" si="7"/>
        <v>AEE</v>
      </c>
    </row>
    <row r="23" spans="1:61" x14ac:dyDescent="0.2">
      <c r="A23" s="303" t="s">
        <v>501</v>
      </c>
      <c r="B23" s="304" t="s">
        <v>16</v>
      </c>
      <c r="C23" s="304">
        <v>19</v>
      </c>
      <c r="D23" s="304" t="s">
        <v>447</v>
      </c>
      <c r="E23" s="305" t="str">
        <f t="shared" ca="1" si="8"/>
        <v>MR</v>
      </c>
      <c r="F23" s="306"/>
      <c r="G23" s="307">
        <f t="shared" ca="1" si="1"/>
        <v>61</v>
      </c>
      <c r="H23" s="250"/>
      <c r="I23" s="321"/>
      <c r="K23" s="321"/>
      <c r="N23" s="321"/>
      <c r="Q23" s="321"/>
      <c r="T23" s="321"/>
      <c r="W23" s="321"/>
      <c r="AE23" s="254"/>
      <c r="AF23" s="236">
        <f t="shared" si="2"/>
        <v>1</v>
      </c>
      <c r="AG23" s="236" t="str">
        <f t="shared" ca="1" si="3"/>
        <v/>
      </c>
      <c r="AH23" s="236" t="str">
        <f t="shared" ca="1" si="18"/>
        <v/>
      </c>
      <c r="AJ23" s="236">
        <f t="shared" ca="1" si="19"/>
        <v>22</v>
      </c>
      <c r="AK23" s="236" t="str">
        <f t="shared" ca="1" si="20"/>
        <v>BBB+</v>
      </c>
      <c r="AL23" s="236">
        <f t="shared" ca="1" si="20"/>
        <v>19</v>
      </c>
      <c r="AM23" s="236" t="str">
        <f t="shared" ca="1" si="4"/>
        <v/>
      </c>
      <c r="AQ23" s="286" t="s">
        <v>34</v>
      </c>
      <c r="AR23" s="286" t="s">
        <v>28</v>
      </c>
      <c r="AS23" s="286">
        <v>18</v>
      </c>
      <c r="AT23" s="286" t="s">
        <v>294</v>
      </c>
      <c r="AV23" s="234">
        <f t="shared" si="21"/>
        <v>32</v>
      </c>
      <c r="AW23" s="234">
        <f>COUNTIF( AV$7:AV23, AV23 )</f>
        <v>4</v>
      </c>
      <c r="AX23" s="287">
        <f t="shared" si="22"/>
        <v>32.4</v>
      </c>
      <c r="AY23" s="234">
        <f t="shared" si="23"/>
        <v>35</v>
      </c>
      <c r="AZ23" s="236"/>
      <c r="BA23" s="236"/>
      <c r="BC23" s="234">
        <f t="shared" ca="1" si="24"/>
        <v>17</v>
      </c>
      <c r="BD23" s="288">
        <f t="shared" ca="1" si="6"/>
        <v>6</v>
      </c>
      <c r="BF23" s="240" t="str">
        <f t="shared" ca="1" si="7"/>
        <v>Berkshire Energy Holdings Company</v>
      </c>
      <c r="BG23" s="240" t="str">
        <f t="shared" ca="1" si="7"/>
        <v>BBB+</v>
      </c>
      <c r="BH23" s="240">
        <f t="shared" ca="1" si="7"/>
        <v>19</v>
      </c>
      <c r="BI23" s="240" t="str">
        <f t="shared" ca="1" si="7"/>
        <v>**BRK</v>
      </c>
    </row>
    <row r="24" spans="1:61" x14ac:dyDescent="0.2">
      <c r="A24" s="303" t="s">
        <v>30</v>
      </c>
      <c r="B24" s="304" t="s">
        <v>16</v>
      </c>
      <c r="C24" s="304">
        <v>19</v>
      </c>
      <c r="D24" s="304" t="s">
        <v>285</v>
      </c>
      <c r="E24" s="305" t="str">
        <f t="shared" ca="1" si="8"/>
        <v>R</v>
      </c>
      <c r="F24" s="306"/>
      <c r="G24" s="307">
        <f t="shared" ca="1" si="1"/>
        <v>14</v>
      </c>
      <c r="H24" s="250"/>
      <c r="I24" s="321"/>
      <c r="J24" s="262"/>
      <c r="K24" s="321"/>
      <c r="N24" s="321"/>
      <c r="Q24" s="321"/>
      <c r="T24" s="321"/>
      <c r="W24" s="321"/>
      <c r="AE24" s="254"/>
      <c r="AF24" s="236">
        <f t="shared" si="2"/>
        <v>1</v>
      </c>
      <c r="AG24" s="236" t="str">
        <f t="shared" ca="1" si="3"/>
        <v/>
      </c>
      <c r="AH24" s="236" t="str">
        <f t="shared" ca="1" si="18"/>
        <v/>
      </c>
      <c r="AJ24" s="236">
        <f t="shared" ca="1" si="19"/>
        <v>23</v>
      </c>
      <c r="AK24" s="236" t="str">
        <f t="shared" ca="1" si="20"/>
        <v>BBB+</v>
      </c>
      <c r="AL24" s="236">
        <f t="shared" ca="1" si="20"/>
        <v>19</v>
      </c>
      <c r="AM24" s="236" t="str">
        <f t="shared" ca="1" si="4"/>
        <v/>
      </c>
      <c r="AQ24" s="286" t="s">
        <v>35</v>
      </c>
      <c r="AR24" s="286" t="s">
        <v>28</v>
      </c>
      <c r="AS24" s="286">
        <v>18</v>
      </c>
      <c r="AT24" s="286" t="s">
        <v>293</v>
      </c>
      <c r="AV24" s="234">
        <f t="shared" si="21"/>
        <v>32</v>
      </c>
      <c r="AW24" s="234">
        <f>COUNTIF( AV$7:AV24, AV24 )</f>
        <v>5</v>
      </c>
      <c r="AX24" s="287">
        <f t="shared" si="22"/>
        <v>32.5</v>
      </c>
      <c r="AY24" s="234">
        <f t="shared" si="23"/>
        <v>36</v>
      </c>
      <c r="AZ24" s="236"/>
      <c r="BA24" s="236"/>
      <c r="BC24" s="234">
        <f t="shared" ca="1" si="24"/>
        <v>18</v>
      </c>
      <c r="BD24" s="288">
        <f t="shared" ca="1" si="6"/>
        <v>9</v>
      </c>
      <c r="BF24" s="240" t="str">
        <f t="shared" ca="1" si="7"/>
        <v>Cleco Corporation</v>
      </c>
      <c r="BG24" s="240" t="str">
        <f t="shared" ca="1" si="7"/>
        <v>BBB+</v>
      </c>
      <c r="BH24" s="240">
        <f t="shared" ca="1" si="7"/>
        <v>19</v>
      </c>
      <c r="BI24" s="240" t="str">
        <f t="shared" ca="1" si="7"/>
        <v>CNL</v>
      </c>
    </row>
    <row r="25" spans="1:61" x14ac:dyDescent="0.2">
      <c r="A25" s="303" t="s">
        <v>60</v>
      </c>
      <c r="B25" s="304" t="s">
        <v>16</v>
      </c>
      <c r="C25" s="304">
        <v>19</v>
      </c>
      <c r="D25" s="304" t="s">
        <v>284</v>
      </c>
      <c r="E25" s="305" t="str">
        <f t="shared" ca="1" si="8"/>
        <v>R</v>
      </c>
      <c r="F25" s="306"/>
      <c r="G25" s="307">
        <f t="shared" ca="1" si="1"/>
        <v>15</v>
      </c>
      <c r="H25" s="250"/>
      <c r="I25" s="321"/>
      <c r="J25" s="262"/>
      <c r="K25" s="321"/>
      <c r="N25" s="321"/>
      <c r="Q25" s="321"/>
      <c r="T25" s="321"/>
      <c r="W25" s="321"/>
      <c r="AE25" s="254"/>
      <c r="AF25" s="236">
        <f t="shared" si="2"/>
        <v>1</v>
      </c>
      <c r="AG25" s="236" t="str">
        <f t="shared" ca="1" si="3"/>
        <v/>
      </c>
      <c r="AH25" s="236" t="str">
        <f t="shared" ca="1" si="18"/>
        <v/>
      </c>
      <c r="AJ25" s="236">
        <f t="shared" ca="1" si="19"/>
        <v>24</v>
      </c>
      <c r="AK25" s="236" t="str">
        <f t="shared" ca="1" si="20"/>
        <v>BBB+</v>
      </c>
      <c r="AL25" s="236">
        <f t="shared" ca="1" si="20"/>
        <v>19</v>
      </c>
      <c r="AM25" s="236" t="str">
        <f t="shared" ca="1" si="4"/>
        <v/>
      </c>
      <c r="AQ25" s="286" t="s">
        <v>36</v>
      </c>
      <c r="AR25" s="286" t="s">
        <v>28</v>
      </c>
      <c r="AS25" s="286">
        <v>18</v>
      </c>
      <c r="AT25" s="286" t="s">
        <v>297</v>
      </c>
      <c r="AV25" s="234">
        <f t="shared" si="21"/>
        <v>32</v>
      </c>
      <c r="AW25" s="234">
        <f>COUNTIF( AV$7:AV25, AV25 )</f>
        <v>6</v>
      </c>
      <c r="AX25" s="287">
        <f t="shared" si="22"/>
        <v>32.6</v>
      </c>
      <c r="AY25" s="234">
        <f t="shared" si="23"/>
        <v>37</v>
      </c>
      <c r="AZ25" s="236"/>
      <c r="BA25" s="236"/>
      <c r="BC25" s="234">
        <f t="shared" ca="1" si="24"/>
        <v>19</v>
      </c>
      <c r="BD25" s="288">
        <f t="shared" ca="1" si="6"/>
        <v>10</v>
      </c>
      <c r="BF25" s="240" t="str">
        <f t="shared" ca="1" si="7"/>
        <v>CMS Energy Corporation</v>
      </c>
      <c r="BG25" s="240" t="str">
        <f t="shared" ca="1" si="7"/>
        <v>BBB+</v>
      </c>
      <c r="BH25" s="240">
        <f t="shared" ca="1" si="7"/>
        <v>19</v>
      </c>
      <c r="BI25" s="240" t="str">
        <f t="shared" ca="1" si="7"/>
        <v>CMS</v>
      </c>
    </row>
    <row r="26" spans="1:61" x14ac:dyDescent="0.2">
      <c r="A26" s="303" t="s">
        <v>31</v>
      </c>
      <c r="B26" s="304" t="s">
        <v>16</v>
      </c>
      <c r="C26" s="304">
        <v>19</v>
      </c>
      <c r="D26" s="304" t="s">
        <v>289</v>
      </c>
      <c r="E26" s="305" t="str">
        <f t="shared" ca="1" si="8"/>
        <v>R</v>
      </c>
      <c r="F26" s="306"/>
      <c r="G26" s="307">
        <f t="shared" ca="1" si="1"/>
        <v>18</v>
      </c>
      <c r="H26" s="250"/>
      <c r="I26" s="321"/>
      <c r="J26" s="262"/>
      <c r="K26" s="321"/>
      <c r="N26" s="321"/>
      <c r="Q26" s="321"/>
      <c r="T26" s="321"/>
      <c r="W26" s="321"/>
      <c r="AE26" s="254"/>
      <c r="AF26" s="236">
        <f t="shared" si="2"/>
        <v>1</v>
      </c>
      <c r="AG26" s="236" t="str">
        <f t="shared" ca="1" si="3"/>
        <v/>
      </c>
      <c r="AH26" s="236" t="str">
        <f t="shared" ca="1" si="18"/>
        <v/>
      </c>
      <c r="AJ26" s="236">
        <f t="shared" ca="1" si="19"/>
        <v>25</v>
      </c>
      <c r="AK26" s="236" t="str">
        <f t="shared" ca="1" si="20"/>
        <v>BBB+</v>
      </c>
      <c r="AL26" s="236">
        <f t="shared" ca="1" si="20"/>
        <v>19</v>
      </c>
      <c r="AM26" s="236" t="str">
        <f t="shared" ca="1" si="4"/>
        <v/>
      </c>
      <c r="AQ26" s="286" t="s">
        <v>516</v>
      </c>
      <c r="AR26" s="286" t="s">
        <v>2</v>
      </c>
      <c r="AS26" s="286">
        <v>21</v>
      </c>
      <c r="AT26" s="289" t="s">
        <v>512</v>
      </c>
      <c r="AV26" s="234">
        <f t="shared" si="21"/>
        <v>1</v>
      </c>
      <c r="AW26" s="234">
        <f>COUNTIF( AV$7:AV26, AV26 )</f>
        <v>1</v>
      </c>
      <c r="AX26" s="287">
        <f t="shared" si="22"/>
        <v>1.1000000000000001</v>
      </c>
      <c r="AY26" s="234">
        <f t="shared" si="23"/>
        <v>1</v>
      </c>
      <c r="AZ26" s="236"/>
      <c r="BA26" s="236"/>
      <c r="BC26" s="234">
        <f t="shared" ca="1" si="24"/>
        <v>20</v>
      </c>
      <c r="BD26" s="288">
        <f t="shared" ca="1" si="6"/>
        <v>14</v>
      </c>
      <c r="BF26" s="240" t="str">
        <f t="shared" ca="1" si="7"/>
        <v>DTE Energy Company</v>
      </c>
      <c r="BG26" s="240" t="str">
        <f t="shared" ca="1" si="7"/>
        <v>BBB+</v>
      </c>
      <c r="BH26" s="240">
        <f t="shared" ca="1" si="7"/>
        <v>19</v>
      </c>
      <c r="BI26" s="240" t="str">
        <f t="shared" ca="1" si="7"/>
        <v>DTE</v>
      </c>
    </row>
    <row r="27" spans="1:61" x14ac:dyDescent="0.2">
      <c r="A27" s="303" t="s">
        <v>57</v>
      </c>
      <c r="B27" s="304" t="s">
        <v>16</v>
      </c>
      <c r="C27" s="304">
        <v>19</v>
      </c>
      <c r="D27" s="304" t="s">
        <v>296</v>
      </c>
      <c r="E27" s="305" t="str">
        <f t="shared" ca="1" si="8"/>
        <v>R</v>
      </c>
      <c r="F27" s="306"/>
      <c r="G27" s="307">
        <f t="shared" ca="1" si="1"/>
        <v>20</v>
      </c>
      <c r="H27" s="250"/>
      <c r="I27" s="321"/>
      <c r="J27" s="262"/>
      <c r="K27" s="321"/>
      <c r="N27" s="321"/>
      <c r="Q27" s="321"/>
      <c r="T27" s="321"/>
      <c r="W27" s="321"/>
      <c r="AE27" s="254"/>
      <c r="AF27" s="236">
        <f t="shared" si="2"/>
        <v>1</v>
      </c>
      <c r="AG27" s="236" t="str">
        <f t="shared" ca="1" si="3"/>
        <v/>
      </c>
      <c r="AH27" s="236" t="str">
        <f t="shared" ca="1" si="18"/>
        <v/>
      </c>
      <c r="AJ27" s="236">
        <f t="shared" ca="1" si="19"/>
        <v>27</v>
      </c>
      <c r="AK27" s="236" t="str">
        <f t="shared" ca="1" si="20"/>
        <v>BBB+</v>
      </c>
      <c r="AL27" s="236">
        <f t="shared" ca="1" si="20"/>
        <v>19</v>
      </c>
      <c r="AM27" s="236" t="str">
        <f t="shared" ca="1" si="4"/>
        <v/>
      </c>
      <c r="AQ27" s="286" t="s">
        <v>11</v>
      </c>
      <c r="AR27" s="286" t="s">
        <v>28</v>
      </c>
      <c r="AS27" s="286">
        <v>18</v>
      </c>
      <c r="AT27" s="289" t="s">
        <v>298</v>
      </c>
      <c r="AV27" s="234">
        <f t="shared" si="21"/>
        <v>32</v>
      </c>
      <c r="AW27" s="234">
        <f>COUNTIF( AV$7:AV27, AV27 )</f>
        <v>7</v>
      </c>
      <c r="AX27" s="287">
        <f t="shared" si="22"/>
        <v>32.700000000000003</v>
      </c>
      <c r="AY27" s="234">
        <f t="shared" si="23"/>
        <v>38</v>
      </c>
      <c r="AZ27" s="236"/>
      <c r="BA27" s="236"/>
      <c r="BC27" s="234">
        <f t="shared" ca="1" si="24"/>
        <v>21</v>
      </c>
      <c r="BD27" s="288">
        <f t="shared" ca="1" si="6"/>
        <v>16</v>
      </c>
      <c r="BF27" s="240" t="str">
        <f t="shared" ca="1" si="7"/>
        <v>Edison International</v>
      </c>
      <c r="BG27" s="240" t="str">
        <f t="shared" ca="1" si="7"/>
        <v>BBB+</v>
      </c>
      <c r="BH27" s="240">
        <f t="shared" ca="1" si="7"/>
        <v>19</v>
      </c>
      <c r="BI27" s="240" t="str">
        <f t="shared" ca="1" si="7"/>
        <v>EIX</v>
      </c>
    </row>
    <row r="28" spans="1:61" x14ac:dyDescent="0.2">
      <c r="A28" s="303" t="s">
        <v>261</v>
      </c>
      <c r="B28" s="304" t="s">
        <v>16</v>
      </c>
      <c r="C28" s="304">
        <v>19</v>
      </c>
      <c r="D28" s="304" t="s">
        <v>301</v>
      </c>
      <c r="E28" s="305" t="str">
        <f t="shared" ca="1" si="8"/>
        <v>R</v>
      </c>
      <c r="F28" s="306"/>
      <c r="G28" s="307">
        <f t="shared" ca="1" si="1"/>
        <v>26</v>
      </c>
      <c r="H28" s="250"/>
      <c r="I28" s="321"/>
      <c r="J28" s="262"/>
      <c r="K28" s="321"/>
      <c r="N28" s="321"/>
      <c r="Q28" s="321"/>
      <c r="T28" s="321"/>
      <c r="W28" s="321"/>
      <c r="AE28" s="245"/>
      <c r="AF28" s="236">
        <f t="shared" si="2"/>
        <v>1</v>
      </c>
      <c r="AG28" s="236" t="str">
        <f t="shared" ca="1" si="3"/>
        <v/>
      </c>
      <c r="AH28" s="236" t="str">
        <f t="shared" ca="1" si="18"/>
        <v/>
      </c>
      <c r="AJ28" s="236">
        <f t="shared" ca="1" si="19"/>
        <v>28</v>
      </c>
      <c r="AK28" s="236" t="str">
        <f t="shared" ca="1" si="20"/>
        <v>BBB+</v>
      </c>
      <c r="AL28" s="236">
        <f t="shared" ca="1" si="20"/>
        <v>19</v>
      </c>
      <c r="AM28" s="236" t="str">
        <f t="shared" ca="1" si="4"/>
        <v/>
      </c>
      <c r="AQ28" s="286" t="s">
        <v>51</v>
      </c>
      <c r="AR28" s="286" t="s">
        <v>49</v>
      </c>
      <c r="AS28" s="286">
        <v>17</v>
      </c>
      <c r="AT28" s="286" t="s">
        <v>299</v>
      </c>
      <c r="AV28" s="234">
        <f t="shared" si="21"/>
        <v>47</v>
      </c>
      <c r="AW28" s="234">
        <f>COUNTIF( AV$7:AV28, AV28 )</f>
        <v>1</v>
      </c>
      <c r="AX28" s="287">
        <f t="shared" si="22"/>
        <v>47.1</v>
      </c>
      <c r="AY28" s="234">
        <f t="shared" si="23"/>
        <v>47</v>
      </c>
      <c r="AZ28" s="236"/>
      <c r="BA28" s="236"/>
      <c r="BC28" s="234">
        <f t="shared" ca="1" si="24"/>
        <v>22</v>
      </c>
      <c r="BD28" s="288">
        <f t="shared" ca="1" si="6"/>
        <v>23</v>
      </c>
      <c r="BF28" s="240" t="str">
        <f t="shared" ca="1" si="7"/>
        <v>Great Plains Energy Inc.</v>
      </c>
      <c r="BG28" s="240" t="str">
        <f t="shared" ca="1" si="7"/>
        <v>BBB+</v>
      </c>
      <c r="BH28" s="240">
        <f t="shared" ca="1" si="7"/>
        <v>19</v>
      </c>
      <c r="BI28" s="240" t="str">
        <f t="shared" ca="1" si="7"/>
        <v>GXP</v>
      </c>
    </row>
    <row r="29" spans="1:61" x14ac:dyDescent="0.2">
      <c r="A29" s="303" t="s">
        <v>12</v>
      </c>
      <c r="B29" s="304" t="s">
        <v>16</v>
      </c>
      <c r="C29" s="304">
        <v>19</v>
      </c>
      <c r="D29" s="304" t="s">
        <v>309</v>
      </c>
      <c r="E29" s="305" t="str">
        <f t="shared" ca="1" si="8"/>
        <v>D</v>
      </c>
      <c r="F29" s="306"/>
      <c r="G29" s="307">
        <f t="shared" ca="1" si="1"/>
        <v>30</v>
      </c>
      <c r="H29" s="250"/>
      <c r="I29" s="321"/>
      <c r="J29" s="262"/>
      <c r="K29" s="321"/>
      <c r="N29" s="321"/>
      <c r="Q29" s="321"/>
      <c r="T29" s="321"/>
      <c r="W29" s="321"/>
      <c r="AF29" s="236">
        <f t="shared" si="2"/>
        <v>1</v>
      </c>
      <c r="AG29" s="236" t="str">
        <f t="shared" ca="1" si="3"/>
        <v/>
      </c>
      <c r="AH29" s="236" t="str">
        <f t="shared" ca="1" si="18"/>
        <v/>
      </c>
      <c r="AJ29" s="236">
        <f t="shared" ca="1" si="19"/>
        <v>29</v>
      </c>
      <c r="AK29" s="236" t="str">
        <f t="shared" ca="1" si="20"/>
        <v>BBB+</v>
      </c>
      <c r="AL29" s="236">
        <f t="shared" ca="1" si="20"/>
        <v>19</v>
      </c>
      <c r="AM29" s="236" t="str">
        <f t="shared" ca="1" si="4"/>
        <v/>
      </c>
      <c r="AQ29" s="286" t="s">
        <v>261</v>
      </c>
      <c r="AR29" s="286" t="s">
        <v>16</v>
      </c>
      <c r="AS29" s="286">
        <v>19</v>
      </c>
      <c r="AT29" s="286" t="s">
        <v>301</v>
      </c>
      <c r="AV29" s="234">
        <f t="shared" si="21"/>
        <v>15</v>
      </c>
      <c r="AW29" s="234">
        <f>COUNTIF( AV$7:AV29, AV29 )</f>
        <v>8</v>
      </c>
      <c r="AX29" s="287">
        <f t="shared" si="22"/>
        <v>15.8</v>
      </c>
      <c r="AY29" s="234">
        <f t="shared" si="23"/>
        <v>22</v>
      </c>
      <c r="AZ29" s="236"/>
      <c r="BA29" s="236"/>
      <c r="BC29" s="234">
        <f t="shared" ca="1" si="24"/>
        <v>23</v>
      </c>
      <c r="BD29" s="288">
        <f t="shared" ca="1" si="6"/>
        <v>28</v>
      </c>
      <c r="BF29" s="240" t="str">
        <f t="shared" ca="1" si="7"/>
        <v>MDU Resources Group, Inc.</v>
      </c>
      <c r="BG29" s="240" t="str">
        <f t="shared" ca="1" si="7"/>
        <v>BBB+</v>
      </c>
      <c r="BH29" s="240">
        <f t="shared" ca="1" si="7"/>
        <v>19</v>
      </c>
      <c r="BI29" s="240" t="str">
        <f t="shared" ca="1" si="7"/>
        <v>MDU</v>
      </c>
    </row>
    <row r="30" spans="1:61" x14ac:dyDescent="0.2">
      <c r="A30" s="303" t="s">
        <v>40</v>
      </c>
      <c r="B30" s="304" t="s">
        <v>16</v>
      </c>
      <c r="C30" s="304">
        <v>19</v>
      </c>
      <c r="D30" s="304" t="s">
        <v>311</v>
      </c>
      <c r="E30" s="305" t="str">
        <f t="shared" ca="1" si="8"/>
        <v>MR</v>
      </c>
      <c r="F30" s="306"/>
      <c r="G30" s="307">
        <f t="shared" ca="1" si="1"/>
        <v>33</v>
      </c>
      <c r="H30" s="250"/>
      <c r="I30" s="321"/>
      <c r="J30" s="262"/>
      <c r="K30" s="321"/>
      <c r="N30" s="321"/>
      <c r="Q30" s="321"/>
      <c r="T30" s="321"/>
      <c r="W30" s="321"/>
      <c r="AF30" s="236">
        <f t="shared" si="2"/>
        <v>1</v>
      </c>
      <c r="AG30" s="236">
        <f t="shared" ca="1" si="3"/>
        <v>1</v>
      </c>
      <c r="AH30" s="236" t="str">
        <f t="shared" ca="1" si="18"/>
        <v/>
      </c>
      <c r="AJ30" s="236">
        <f t="shared" ca="1" si="19"/>
        <v>55</v>
      </c>
      <c r="AK30" s="236" t="str">
        <f t="shared" ca="1" si="20"/>
        <v>BBB-</v>
      </c>
      <c r="AL30" s="236">
        <f t="shared" ca="1" si="20"/>
        <v>17</v>
      </c>
      <c r="AM30" s="236" t="str">
        <f t="shared" ca="1" si="4"/>
        <v>Change</v>
      </c>
      <c r="AQ30" s="286" t="s">
        <v>39</v>
      </c>
      <c r="AR30" s="286" t="s">
        <v>49</v>
      </c>
      <c r="AS30" s="286">
        <v>17</v>
      </c>
      <c r="AT30" s="286" t="s">
        <v>302</v>
      </c>
      <c r="AV30" s="234">
        <f t="shared" si="21"/>
        <v>47</v>
      </c>
      <c r="AW30" s="234">
        <f>COUNTIF( AV$7:AV30, AV30 )</f>
        <v>2</v>
      </c>
      <c r="AX30" s="287">
        <f t="shared" si="22"/>
        <v>47.2</v>
      </c>
      <c r="AY30" s="234">
        <f t="shared" si="23"/>
        <v>48</v>
      </c>
      <c r="AZ30" s="236"/>
      <c r="BA30" s="236"/>
      <c r="BC30" s="234">
        <f t="shared" ca="1" si="24"/>
        <v>24</v>
      </c>
      <c r="BD30" s="288">
        <f t="shared" ca="1" si="6"/>
        <v>30</v>
      </c>
      <c r="BF30" s="240" t="str">
        <f t="shared" ca="1" si="7"/>
        <v>NiSource Inc.</v>
      </c>
      <c r="BG30" s="240" t="str">
        <f t="shared" ca="1" si="7"/>
        <v>BBB+</v>
      </c>
      <c r="BH30" s="240">
        <f t="shared" ca="1" si="7"/>
        <v>19</v>
      </c>
      <c r="BI30" s="240" t="str">
        <f t="shared" ca="1" si="7"/>
        <v>NI</v>
      </c>
    </row>
    <row r="31" spans="1:61" x14ac:dyDescent="0.2">
      <c r="A31" s="303" t="s">
        <v>23</v>
      </c>
      <c r="B31" s="304" t="s">
        <v>16</v>
      </c>
      <c r="C31" s="304">
        <v>19</v>
      </c>
      <c r="D31" s="304" t="s">
        <v>323</v>
      </c>
      <c r="E31" s="305" t="str">
        <f t="shared" ca="1" si="8"/>
        <v>R</v>
      </c>
      <c r="F31" s="306"/>
      <c r="G31" s="307">
        <f t="shared" ca="1" si="1"/>
        <v>38</v>
      </c>
      <c r="H31" s="250"/>
      <c r="I31" s="321"/>
      <c r="J31" s="262"/>
      <c r="K31" s="321"/>
      <c r="N31" s="321"/>
      <c r="O31" s="253"/>
      <c r="Q31" s="321"/>
      <c r="T31" s="321"/>
      <c r="W31" s="321"/>
      <c r="AF31" s="236">
        <f t="shared" si="2"/>
        <v>1</v>
      </c>
      <c r="AG31" s="236" t="str">
        <f t="shared" ca="1" si="3"/>
        <v/>
      </c>
      <c r="AH31" s="236" t="str">
        <f t="shared" ca="1" si="18"/>
        <v/>
      </c>
      <c r="AJ31" s="236">
        <f t="shared" ca="1" si="19"/>
        <v>30</v>
      </c>
      <c r="AK31" s="236" t="str">
        <f t="shared" ca="1" si="20"/>
        <v>BBB+</v>
      </c>
      <c r="AL31" s="236">
        <f t="shared" ca="1" si="20"/>
        <v>19</v>
      </c>
      <c r="AM31" s="236" t="str">
        <f t="shared" ca="1" si="4"/>
        <v/>
      </c>
      <c r="AQ31" s="286" t="s">
        <v>452</v>
      </c>
      <c r="AR31" s="286" t="s">
        <v>28</v>
      </c>
      <c r="AS31" s="286">
        <v>18</v>
      </c>
      <c r="AT31" s="286" t="s">
        <v>444</v>
      </c>
      <c r="AV31" s="234">
        <f t="shared" si="21"/>
        <v>32</v>
      </c>
      <c r="AW31" s="234">
        <f>COUNTIF( AV$7:AV31, AV31 )</f>
        <v>8</v>
      </c>
      <c r="AX31" s="287">
        <f t="shared" si="22"/>
        <v>32.799999999999997</v>
      </c>
      <c r="AY31" s="234">
        <f t="shared" si="23"/>
        <v>39</v>
      </c>
      <c r="AZ31" s="236"/>
      <c r="BA31" s="236"/>
      <c r="BC31" s="234">
        <f t="shared" ca="1" si="24"/>
        <v>25</v>
      </c>
      <c r="BD31" s="288">
        <f t="shared" ca="1" si="6"/>
        <v>34</v>
      </c>
      <c r="BF31" s="240" t="str">
        <f t="shared" ca="1" si="7"/>
        <v>Pepco Holdings, Inc.</v>
      </c>
      <c r="BG31" s="240" t="str">
        <f t="shared" ca="1" si="7"/>
        <v>BBB+</v>
      </c>
      <c r="BH31" s="240">
        <f t="shared" ca="1" si="7"/>
        <v>19</v>
      </c>
      <c r="BI31" s="240" t="str">
        <f t="shared" ca="1" si="7"/>
        <v>POM</v>
      </c>
    </row>
    <row r="32" spans="1:61" x14ac:dyDescent="0.2">
      <c r="A32" s="303" t="s">
        <v>45</v>
      </c>
      <c r="B32" s="304" t="s">
        <v>16</v>
      </c>
      <c r="C32" s="304">
        <v>19</v>
      </c>
      <c r="D32" s="304" t="s">
        <v>319</v>
      </c>
      <c r="E32" s="305" t="str">
        <f t="shared" ca="1" si="8"/>
        <v>MR</v>
      </c>
      <c r="F32" s="306"/>
      <c r="G32" s="307">
        <f t="shared" ca="1" si="1"/>
        <v>44</v>
      </c>
      <c r="H32" s="250"/>
      <c r="I32" s="321"/>
      <c r="J32" s="262"/>
      <c r="K32" s="321"/>
      <c r="N32" s="321"/>
      <c r="Q32" s="321"/>
      <c r="T32" s="321"/>
      <c r="W32" s="321"/>
      <c r="AF32" s="236">
        <f t="shared" si="2"/>
        <v>1</v>
      </c>
      <c r="AG32" s="236" t="str">
        <f t="shared" ca="1" si="3"/>
        <v/>
      </c>
      <c r="AH32" s="236" t="str">
        <f t="shared" ca="1" si="18"/>
        <v/>
      </c>
      <c r="AJ32" s="236">
        <f t="shared" ca="1" si="19"/>
        <v>31</v>
      </c>
      <c r="AK32" s="236" t="str">
        <f t="shared" ca="1" si="20"/>
        <v>BBB+</v>
      </c>
      <c r="AL32" s="236">
        <f t="shared" ca="1" si="20"/>
        <v>19</v>
      </c>
      <c r="AM32" s="236" t="str">
        <f t="shared" ca="1" si="4"/>
        <v/>
      </c>
      <c r="AQ32" s="286" t="s">
        <v>20</v>
      </c>
      <c r="AR32" s="286" t="s">
        <v>28</v>
      </c>
      <c r="AS32" s="286">
        <v>18</v>
      </c>
      <c r="AT32" s="286" t="s">
        <v>303</v>
      </c>
      <c r="AV32" s="234">
        <f t="shared" si="21"/>
        <v>32</v>
      </c>
      <c r="AW32" s="234">
        <f>COUNTIF( AV$7:AV32, AV32 )</f>
        <v>9</v>
      </c>
      <c r="AX32" s="287">
        <f t="shared" si="22"/>
        <v>32.9</v>
      </c>
      <c r="AY32" s="234">
        <f t="shared" si="23"/>
        <v>40</v>
      </c>
      <c r="AZ32" s="236"/>
      <c r="BA32" s="236"/>
      <c r="BC32" s="234">
        <f t="shared" ca="1" si="24"/>
        <v>26</v>
      </c>
      <c r="BD32" s="288">
        <f t="shared" ca="1" si="6"/>
        <v>40</v>
      </c>
      <c r="BF32" s="240" t="str">
        <f t="shared" ca="1" si="7"/>
        <v>Public Service Enterprise Group Incorporated</v>
      </c>
      <c r="BG32" s="240" t="str">
        <f t="shared" ca="1" si="7"/>
        <v>BBB+</v>
      </c>
      <c r="BH32" s="240">
        <f t="shared" ca="1" si="7"/>
        <v>19</v>
      </c>
      <c r="BI32" s="240" t="str">
        <f t="shared" ca="1" si="7"/>
        <v>PEG</v>
      </c>
    </row>
    <row r="33" spans="1:61" x14ac:dyDescent="0.2">
      <c r="A33" s="303" t="s">
        <v>13</v>
      </c>
      <c r="B33" s="304" t="s">
        <v>16</v>
      </c>
      <c r="C33" s="304">
        <v>19</v>
      </c>
      <c r="D33" s="304" t="s">
        <v>327</v>
      </c>
      <c r="E33" s="305" t="str">
        <f t="shared" ca="1" si="8"/>
        <v>MR</v>
      </c>
      <c r="F33" s="306"/>
      <c r="G33" s="307">
        <f t="shared" ca="1" si="1"/>
        <v>45</v>
      </c>
      <c r="H33" s="250"/>
      <c r="I33" s="321"/>
      <c r="J33" s="262"/>
      <c r="K33" s="321"/>
      <c r="N33" s="321"/>
      <c r="Q33" s="321"/>
      <c r="T33" s="321"/>
      <c r="W33" s="321"/>
      <c r="AF33" s="236">
        <f t="shared" si="2"/>
        <v>1</v>
      </c>
      <c r="AG33" s="236" t="str">
        <f t="shared" ca="1" si="3"/>
        <v/>
      </c>
      <c r="AH33" s="236" t="str">
        <f t="shared" ca="1" si="18"/>
        <v/>
      </c>
      <c r="AJ33" s="236">
        <f t="shared" ca="1" si="19"/>
        <v>32</v>
      </c>
      <c r="AK33" s="236" t="str">
        <f t="shared" ca="1" si="20"/>
        <v>BBB+</v>
      </c>
      <c r="AL33" s="236">
        <f t="shared" ca="1" si="20"/>
        <v>19</v>
      </c>
      <c r="AM33" s="236" t="str">
        <f t="shared" ca="1" si="4"/>
        <v/>
      </c>
      <c r="AQ33" s="286" t="s">
        <v>58</v>
      </c>
      <c r="AR33" s="286" t="s">
        <v>56</v>
      </c>
      <c r="AS33" s="286">
        <v>16</v>
      </c>
      <c r="AT33" s="286" t="s">
        <v>446</v>
      </c>
      <c r="AV33" s="234">
        <f t="shared" si="21"/>
        <v>50</v>
      </c>
      <c r="AW33" s="234">
        <f>COUNTIF( AV$7:AV33, AV33 )</f>
        <v>1</v>
      </c>
      <c r="AX33" s="287">
        <f t="shared" si="22"/>
        <v>50.1</v>
      </c>
      <c r="AY33" s="234">
        <f t="shared" si="23"/>
        <v>50</v>
      </c>
      <c r="AZ33" s="236"/>
      <c r="BA33" s="236"/>
      <c r="BC33" s="234">
        <f t="shared" ca="1" si="24"/>
        <v>27</v>
      </c>
      <c r="BD33" s="288">
        <f t="shared" ca="1" si="6"/>
        <v>42</v>
      </c>
      <c r="BF33" s="240" t="str">
        <f t="shared" ca="1" si="7"/>
        <v>SCANA Corporation</v>
      </c>
      <c r="BG33" s="240" t="str">
        <f t="shared" ca="1" si="7"/>
        <v>BBB+</v>
      </c>
      <c r="BH33" s="240">
        <f t="shared" ca="1" si="7"/>
        <v>19</v>
      </c>
      <c r="BI33" s="240" t="str">
        <f t="shared" ca="1" si="7"/>
        <v>SCG</v>
      </c>
    </row>
    <row r="34" spans="1:61" x14ac:dyDescent="0.2">
      <c r="A34" s="303" t="s">
        <v>25</v>
      </c>
      <c r="B34" s="304" t="s">
        <v>16</v>
      </c>
      <c r="C34" s="304">
        <v>19</v>
      </c>
      <c r="D34" s="304" t="s">
        <v>329</v>
      </c>
      <c r="E34" s="305" t="str">
        <f t="shared" ca="1" si="8"/>
        <v>MR</v>
      </c>
      <c r="F34" s="306"/>
      <c r="G34" s="307">
        <f t="shared" ca="1" si="1"/>
        <v>46</v>
      </c>
      <c r="H34" s="250"/>
      <c r="I34" s="321"/>
      <c r="J34" s="262"/>
      <c r="K34" s="321"/>
      <c r="L34" s="235"/>
      <c r="M34" s="235"/>
      <c r="N34" s="321"/>
      <c r="Q34" s="321"/>
      <c r="T34" s="321"/>
      <c r="W34" s="321"/>
      <c r="AF34" s="236">
        <f t="shared" si="2"/>
        <v>1</v>
      </c>
      <c r="AG34" s="236" t="str">
        <f t="shared" ca="1" si="3"/>
        <v/>
      </c>
      <c r="AH34" s="236" t="str">
        <f t="shared" ca="1" si="18"/>
        <v/>
      </c>
      <c r="AJ34" s="236">
        <f t="shared" ca="1" si="19"/>
        <v>33</v>
      </c>
      <c r="AK34" s="236" t="str">
        <f t="shared" ca="1" si="20"/>
        <v>BBB+</v>
      </c>
      <c r="AL34" s="236">
        <f t="shared" ca="1" si="20"/>
        <v>19</v>
      </c>
      <c r="AM34" s="236" t="str">
        <f t="shared" ca="1" si="4"/>
        <v/>
      </c>
      <c r="AQ34" s="286" t="s">
        <v>12</v>
      </c>
      <c r="AR34" s="286" t="s">
        <v>16</v>
      </c>
      <c r="AS34" s="286">
        <v>19</v>
      </c>
      <c r="AT34" s="286" t="s">
        <v>309</v>
      </c>
      <c r="AV34" s="234">
        <f t="shared" si="21"/>
        <v>15</v>
      </c>
      <c r="AW34" s="234">
        <f>COUNTIF( AV$7:AV34, AV34 )</f>
        <v>9</v>
      </c>
      <c r="AX34" s="287">
        <f t="shared" si="22"/>
        <v>15.9</v>
      </c>
      <c r="AY34" s="234">
        <f t="shared" si="23"/>
        <v>23</v>
      </c>
      <c r="AZ34" s="236"/>
      <c r="BA34" s="236"/>
      <c r="BC34" s="234">
        <f t="shared" ca="1" si="24"/>
        <v>28</v>
      </c>
      <c r="BD34" s="288">
        <f t="shared" ca="1" si="6"/>
        <v>43</v>
      </c>
      <c r="BF34" s="240" t="str">
        <f t="shared" ca="1" si="7"/>
        <v>Sempra Energy</v>
      </c>
      <c r="BG34" s="240" t="str">
        <f t="shared" ca="1" si="7"/>
        <v>BBB+</v>
      </c>
      <c r="BH34" s="240">
        <f t="shared" ca="1" si="7"/>
        <v>19</v>
      </c>
      <c r="BI34" s="240" t="str">
        <f t="shared" ca="1" si="7"/>
        <v>SRE</v>
      </c>
    </row>
    <row r="35" spans="1:61" x14ac:dyDescent="0.2">
      <c r="A35" s="303" t="s">
        <v>62</v>
      </c>
      <c r="B35" s="304" t="s">
        <v>16</v>
      </c>
      <c r="C35" s="304">
        <v>19</v>
      </c>
      <c r="D35" s="304" t="s">
        <v>330</v>
      </c>
      <c r="E35" s="305" t="str">
        <f t="shared" ca="1" si="8"/>
        <v>R</v>
      </c>
      <c r="F35" s="306"/>
      <c r="G35" s="307">
        <f t="shared" ca="1" si="1"/>
        <v>48</v>
      </c>
      <c r="H35" s="250"/>
      <c r="I35" s="321"/>
      <c r="K35" s="321"/>
      <c r="L35" s="235"/>
      <c r="M35" s="235"/>
      <c r="N35" s="321"/>
      <c r="Q35" s="321"/>
      <c r="T35" s="321"/>
      <c r="W35" s="321"/>
      <c r="AF35" s="236">
        <f t="shared" si="2"/>
        <v>1</v>
      </c>
      <c r="AG35" s="236" t="str">
        <f t="shared" ca="1" si="3"/>
        <v/>
      </c>
      <c r="AH35" s="236" t="str">
        <f t="shared" ca="1" si="18"/>
        <v/>
      </c>
      <c r="AJ35" s="236">
        <f t="shared" ca="1" si="19"/>
        <v>34</v>
      </c>
      <c r="AK35" s="236" t="str">
        <f t="shared" ca="1" si="20"/>
        <v>BBB+</v>
      </c>
      <c r="AL35" s="236">
        <f t="shared" ca="1" si="20"/>
        <v>19</v>
      </c>
      <c r="AM35" s="236" t="str">
        <f t="shared" ca="1" si="4"/>
        <v/>
      </c>
      <c r="AQ35" s="286" t="s">
        <v>370</v>
      </c>
      <c r="AR35" s="286" t="s">
        <v>10</v>
      </c>
      <c r="AS35" s="286">
        <v>20</v>
      </c>
      <c r="AT35" s="286" t="s">
        <v>369</v>
      </c>
      <c r="AV35" s="234">
        <f t="shared" si="21"/>
        <v>3</v>
      </c>
      <c r="AW35" s="234">
        <f>COUNTIF( AV$7:AV35, AV35 )</f>
        <v>6</v>
      </c>
      <c r="AX35" s="287">
        <f t="shared" si="22"/>
        <v>3.6</v>
      </c>
      <c r="AY35" s="234">
        <f t="shared" si="23"/>
        <v>8</v>
      </c>
      <c r="AZ35" s="236"/>
      <c r="BA35" s="236"/>
      <c r="BC35" s="234">
        <f t="shared" ca="1" si="24"/>
        <v>29</v>
      </c>
      <c r="BD35" s="288">
        <f t="shared" ca="1" si="6"/>
        <v>45</v>
      </c>
      <c r="BF35" s="240" t="str">
        <f t="shared" ca="1" si="7"/>
        <v>TECO Energy, Inc.</v>
      </c>
      <c r="BG35" s="240" t="str">
        <f t="shared" ca="1" si="7"/>
        <v>BBB+</v>
      </c>
      <c r="BH35" s="240">
        <f t="shared" ca="1" si="7"/>
        <v>19</v>
      </c>
      <c r="BI35" s="240" t="str">
        <f t="shared" ca="1" si="7"/>
        <v>TE</v>
      </c>
    </row>
    <row r="36" spans="1:61" x14ac:dyDescent="0.2">
      <c r="A36" s="303" t="s">
        <v>76</v>
      </c>
      <c r="B36" s="304" t="s">
        <v>16</v>
      </c>
      <c r="C36" s="304">
        <v>19</v>
      </c>
      <c r="D36" s="304" t="s">
        <v>334</v>
      </c>
      <c r="E36" s="305" t="str">
        <f t="shared" ca="1" si="8"/>
        <v>R</v>
      </c>
      <c r="F36" s="306"/>
      <c r="G36" s="307">
        <f t="shared" ca="1" si="1"/>
        <v>50</v>
      </c>
      <c r="H36" s="250"/>
      <c r="I36" s="321"/>
      <c r="J36" s="262"/>
      <c r="K36" s="321"/>
      <c r="L36" s="263"/>
      <c r="M36" s="263"/>
      <c r="N36" s="321"/>
      <c r="Q36" s="321"/>
      <c r="T36" s="321"/>
      <c r="W36" s="321"/>
      <c r="AF36" s="236">
        <f t="shared" si="2"/>
        <v>1</v>
      </c>
      <c r="AG36" s="236" t="str">
        <f t="shared" ca="1" si="3"/>
        <v/>
      </c>
      <c r="AH36" s="236" t="str">
        <f t="shared" ca="1" si="18"/>
        <v/>
      </c>
      <c r="AJ36" s="236">
        <f t="shared" ca="1" si="19"/>
        <v>35</v>
      </c>
      <c r="AK36" s="236" t="str">
        <f t="shared" ca="1" si="20"/>
        <v>BBB+</v>
      </c>
      <c r="AL36" s="236">
        <f t="shared" ca="1" si="20"/>
        <v>19</v>
      </c>
      <c r="AM36" s="236" t="str">
        <f t="shared" ca="1" si="4"/>
        <v/>
      </c>
      <c r="AQ36" s="286" t="s">
        <v>40</v>
      </c>
      <c r="AR36" s="286" t="s">
        <v>16</v>
      </c>
      <c r="AS36" s="286">
        <v>19</v>
      </c>
      <c r="AT36" s="289" t="s">
        <v>311</v>
      </c>
      <c r="AV36" s="234">
        <f t="shared" si="21"/>
        <v>15</v>
      </c>
      <c r="AW36" s="234">
        <f>COUNTIF( AV$7:AV36, AV36 )</f>
        <v>10</v>
      </c>
      <c r="AX36" s="287">
        <f t="shared" si="22"/>
        <v>16</v>
      </c>
      <c r="AY36" s="234">
        <f t="shared" si="23"/>
        <v>24</v>
      </c>
      <c r="AZ36" s="236"/>
      <c r="BA36" s="236"/>
      <c r="BC36" s="234">
        <f t="shared" ca="1" si="24"/>
        <v>30</v>
      </c>
      <c r="BD36" s="288">
        <f t="shared" ca="1" si="6"/>
        <v>47</v>
      </c>
      <c r="BF36" s="240" t="str">
        <f t="shared" ca="1" si="7"/>
        <v>Unitil Corporation</v>
      </c>
      <c r="BG36" s="240" t="str">
        <f t="shared" ca="1" si="7"/>
        <v>BBB+</v>
      </c>
      <c r="BH36" s="240">
        <f t="shared" ca="1" si="7"/>
        <v>19</v>
      </c>
      <c r="BI36" s="240" t="str">
        <f t="shared" ca="1" si="7"/>
        <v>*UTL</v>
      </c>
    </row>
    <row r="37" spans="1:61" x14ac:dyDescent="0.2">
      <c r="A37" s="303" t="s">
        <v>59</v>
      </c>
      <c r="B37" s="304" t="s">
        <v>16</v>
      </c>
      <c r="C37" s="304">
        <v>19</v>
      </c>
      <c r="D37" s="304" t="s">
        <v>337</v>
      </c>
      <c r="E37" s="305" t="str">
        <f t="shared" ca="1" si="8"/>
        <v>R</v>
      </c>
      <c r="F37" s="306"/>
      <c r="G37" s="307">
        <f t="shared" ca="1" si="1"/>
        <v>53</v>
      </c>
      <c r="H37" s="250"/>
      <c r="I37" s="321"/>
      <c r="K37" s="321"/>
      <c r="L37" s="264"/>
      <c r="M37" s="235"/>
      <c r="N37" s="321"/>
      <c r="Q37" s="321"/>
      <c r="T37" s="321"/>
      <c r="W37" s="321"/>
      <c r="AF37" s="236">
        <f t="shared" si="2"/>
        <v>1</v>
      </c>
      <c r="AG37" s="236" t="str">
        <f t="shared" ca="1" si="3"/>
        <v/>
      </c>
      <c r="AH37" s="236" t="str">
        <f t="shared" ca="1" si="18"/>
        <v/>
      </c>
      <c r="AJ37" s="236">
        <f t="shared" ca="1" si="19"/>
        <v>36</v>
      </c>
      <c r="AK37" s="236" t="str">
        <f t="shared" ca="1" si="20"/>
        <v>BBB+</v>
      </c>
      <c r="AL37" s="236">
        <f t="shared" ca="1" si="20"/>
        <v>19</v>
      </c>
      <c r="AM37" s="236" t="str">
        <f t="shared" ca="1" si="4"/>
        <v/>
      </c>
      <c r="AQ37" s="286" t="s">
        <v>66</v>
      </c>
      <c r="AR37" s="286" t="s">
        <v>28</v>
      </c>
      <c r="AS37" s="286">
        <v>18</v>
      </c>
      <c r="AT37" s="286" t="s">
        <v>315</v>
      </c>
      <c r="AV37" s="234">
        <f t="shared" si="21"/>
        <v>32</v>
      </c>
      <c r="AW37" s="234">
        <f>COUNTIF( AV$7:AV37, AV37 )</f>
        <v>10</v>
      </c>
      <c r="AX37" s="287">
        <f t="shared" si="22"/>
        <v>33</v>
      </c>
      <c r="AY37" s="234">
        <f t="shared" si="23"/>
        <v>41</v>
      </c>
      <c r="AZ37" s="236"/>
      <c r="BA37" s="236"/>
      <c r="BC37" s="234">
        <f t="shared" ca="1" si="24"/>
        <v>31</v>
      </c>
      <c r="BD37" s="288">
        <f t="shared" ca="1" si="6"/>
        <v>49</v>
      </c>
      <c r="BF37" s="240" t="str">
        <f t="shared" ca="1" si="7"/>
        <v>Westar Energy, Inc.</v>
      </c>
      <c r="BG37" s="240" t="str">
        <f t="shared" ca="1" si="7"/>
        <v>BBB+</v>
      </c>
      <c r="BH37" s="240">
        <f t="shared" ca="1" si="7"/>
        <v>19</v>
      </c>
      <c r="BI37" s="240" t="str">
        <f t="shared" ca="1" si="7"/>
        <v>WR</v>
      </c>
    </row>
    <row r="38" spans="1:61" x14ac:dyDescent="0.2">
      <c r="A38" s="303" t="s">
        <v>259</v>
      </c>
      <c r="B38" s="304" t="s">
        <v>28</v>
      </c>
      <c r="C38" s="304">
        <v>18</v>
      </c>
      <c r="D38" s="304" t="s">
        <v>275</v>
      </c>
      <c r="E38" s="305" t="str">
        <f t="shared" ca="1" si="8"/>
        <v>R</v>
      </c>
      <c r="F38" s="306"/>
      <c r="G38" s="307">
        <f t="shared" ca="1" si="1"/>
        <v>10</v>
      </c>
      <c r="H38" s="250"/>
      <c r="I38" s="321"/>
      <c r="J38" s="262"/>
      <c r="K38" s="321"/>
      <c r="L38" s="264"/>
      <c r="M38" s="235"/>
      <c r="N38" s="321"/>
      <c r="Q38" s="321"/>
      <c r="T38" s="321"/>
      <c r="W38" s="321"/>
      <c r="AF38" s="236">
        <f t="shared" si="2"/>
        <v>0</v>
      </c>
      <c r="AG38" s="236" t="str">
        <f t="shared" ca="1" si="3"/>
        <v/>
      </c>
      <c r="AH38" s="236" t="str">
        <f t="shared" ca="1" si="18"/>
        <v/>
      </c>
      <c r="AJ38" s="236">
        <f t="shared" ca="1" si="19"/>
        <v>37</v>
      </c>
      <c r="AK38" s="236" t="str">
        <f t="shared" ca="1" si="20"/>
        <v>BBB</v>
      </c>
      <c r="AL38" s="236">
        <f t="shared" ca="1" si="20"/>
        <v>18</v>
      </c>
      <c r="AM38" s="236" t="str">
        <f t="shared" ca="1" si="4"/>
        <v/>
      </c>
      <c r="AQ38" s="286" t="s">
        <v>21</v>
      </c>
      <c r="AR38" s="286" t="s">
        <v>10</v>
      </c>
      <c r="AS38" s="286">
        <v>20</v>
      </c>
      <c r="AT38" s="286" t="s">
        <v>316</v>
      </c>
      <c r="AV38" s="234">
        <f t="shared" si="21"/>
        <v>3</v>
      </c>
      <c r="AW38" s="234">
        <f>COUNTIF( AV$7:AV38, AV38 )</f>
        <v>7</v>
      </c>
      <c r="AX38" s="287">
        <f t="shared" si="22"/>
        <v>3.7</v>
      </c>
      <c r="AY38" s="234">
        <f t="shared" si="23"/>
        <v>9</v>
      </c>
      <c r="AZ38" s="236"/>
      <c r="BA38" s="236"/>
      <c r="BC38" s="234">
        <f t="shared" ca="1" si="24"/>
        <v>32</v>
      </c>
      <c r="BD38" s="288">
        <f t="shared" ca="1" si="6"/>
        <v>4</v>
      </c>
      <c r="BF38" s="240" t="str">
        <f t="shared" ca="1" si="7"/>
        <v>American Electric Power Company, Inc.</v>
      </c>
      <c r="BG38" s="240" t="str">
        <f t="shared" ca="1" si="7"/>
        <v>BBB</v>
      </c>
      <c r="BH38" s="240">
        <f t="shared" ca="1" si="7"/>
        <v>18</v>
      </c>
      <c r="BI38" s="240" t="str">
        <f t="shared" ca="1" si="7"/>
        <v>AEP</v>
      </c>
    </row>
    <row r="39" spans="1:61" x14ac:dyDescent="0.2">
      <c r="A39" s="303" t="s">
        <v>55</v>
      </c>
      <c r="B39" s="304" t="s">
        <v>28</v>
      </c>
      <c r="C39" s="304">
        <v>18</v>
      </c>
      <c r="D39" s="304" t="s">
        <v>278</v>
      </c>
      <c r="E39" s="305" t="str">
        <f t="shared" ca="1" si="8"/>
        <v>R</v>
      </c>
      <c r="F39" s="306"/>
      <c r="G39" s="307">
        <f t="shared" ca="1" si="1"/>
        <v>11</v>
      </c>
      <c r="H39" s="250"/>
      <c r="I39" s="321"/>
      <c r="K39" s="321"/>
      <c r="L39" s="264"/>
      <c r="M39" s="235"/>
      <c r="N39" s="321"/>
      <c r="Q39" s="321"/>
      <c r="T39" s="321"/>
      <c r="W39" s="321"/>
      <c r="AF39" s="236">
        <f t="shared" si="2"/>
        <v>0</v>
      </c>
      <c r="AG39" s="236" t="str">
        <f t="shared" ca="1" si="3"/>
        <v/>
      </c>
      <c r="AH39" s="236" t="str">
        <f t="shared" ca="1" si="18"/>
        <v/>
      </c>
      <c r="AJ39" s="236">
        <f t="shared" ca="1" si="19"/>
        <v>38</v>
      </c>
      <c r="AK39" s="236" t="str">
        <f t="shared" ca="1" si="20"/>
        <v>BBB</v>
      </c>
      <c r="AL39" s="236">
        <f t="shared" ca="1" si="20"/>
        <v>18</v>
      </c>
      <c r="AM39" s="236" t="str">
        <f t="shared" ca="1" si="4"/>
        <v/>
      </c>
      <c r="AQ39" s="286" t="s">
        <v>22</v>
      </c>
      <c r="AR39" s="286" t="s">
        <v>28</v>
      </c>
      <c r="AS39" s="286">
        <v>18</v>
      </c>
      <c r="AT39" s="286" t="s">
        <v>317</v>
      </c>
      <c r="AV39" s="234">
        <f t="shared" si="21"/>
        <v>32</v>
      </c>
      <c r="AW39" s="234">
        <f>COUNTIF( AV$7:AV39, AV39 )</f>
        <v>11</v>
      </c>
      <c r="AX39" s="287">
        <f t="shared" si="22"/>
        <v>33.1</v>
      </c>
      <c r="AY39" s="234">
        <f t="shared" si="23"/>
        <v>42</v>
      </c>
      <c r="AZ39" s="236"/>
      <c r="BA39" s="236"/>
      <c r="BC39" s="234">
        <f t="shared" ca="1" si="24"/>
        <v>33</v>
      </c>
      <c r="BD39" s="288">
        <f t="shared" ca="1" si="6"/>
        <v>5</v>
      </c>
      <c r="BF39" s="240" t="str">
        <f t="shared" ref="BF39:BI63" ca="1" si="25">OFFSET( AQ$6, $BD39, 0 )</f>
        <v>Avista Corporation</v>
      </c>
      <c r="BG39" s="240" t="str">
        <f t="shared" ca="1" si="25"/>
        <v>BBB</v>
      </c>
      <c r="BH39" s="240">
        <f t="shared" ca="1" si="25"/>
        <v>18</v>
      </c>
      <c r="BI39" s="240" t="str">
        <f t="shared" ca="1" si="25"/>
        <v>AVA</v>
      </c>
    </row>
    <row r="40" spans="1:61" x14ac:dyDescent="0.2">
      <c r="A40" s="303" t="s">
        <v>48</v>
      </c>
      <c r="B40" s="304" t="s">
        <v>28</v>
      </c>
      <c r="C40" s="304">
        <v>18</v>
      </c>
      <c r="D40" s="304" t="s">
        <v>280</v>
      </c>
      <c r="E40" s="305" t="str">
        <f t="shared" ca="1" si="8"/>
        <v>R</v>
      </c>
      <c r="F40" s="306"/>
      <c r="G40" s="307">
        <f t="shared" ca="1" si="1"/>
        <v>12</v>
      </c>
      <c r="H40" s="250"/>
      <c r="I40" s="321"/>
      <c r="J40" s="262"/>
      <c r="K40" s="321"/>
      <c r="L40" s="264"/>
      <c r="M40" s="235"/>
      <c r="N40" s="321"/>
      <c r="Q40" s="321"/>
      <c r="T40" s="321"/>
      <c r="W40" s="321"/>
      <c r="AF40" s="236">
        <f t="shared" si="2"/>
        <v>0</v>
      </c>
      <c r="AG40" s="236" t="str">
        <f t="shared" ca="1" si="3"/>
        <v/>
      </c>
      <c r="AH40" s="236" t="str">
        <f t="shared" ca="1" si="18"/>
        <v/>
      </c>
      <c r="AJ40" s="236">
        <f t="shared" ca="1" si="19"/>
        <v>39</v>
      </c>
      <c r="AK40" s="236" t="str">
        <f t="shared" ca="1" si="20"/>
        <v>BBB</v>
      </c>
      <c r="AL40" s="236">
        <f t="shared" ca="1" si="20"/>
        <v>18</v>
      </c>
      <c r="AM40" s="236" t="str">
        <f t="shared" ca="1" si="4"/>
        <v/>
      </c>
      <c r="AQ40" s="286" t="s">
        <v>23</v>
      </c>
      <c r="AR40" s="286" t="s">
        <v>16</v>
      </c>
      <c r="AS40" s="286">
        <v>19</v>
      </c>
      <c r="AT40" s="286" t="s">
        <v>323</v>
      </c>
      <c r="AV40" s="234">
        <f t="shared" si="21"/>
        <v>15</v>
      </c>
      <c r="AW40" s="234">
        <f>COUNTIF( AV$7:AV40, AV40 )</f>
        <v>11</v>
      </c>
      <c r="AX40" s="287">
        <f t="shared" si="22"/>
        <v>16.100000000000001</v>
      </c>
      <c r="AY40" s="234">
        <f t="shared" si="23"/>
        <v>25</v>
      </c>
      <c r="AZ40" s="236"/>
      <c r="BA40" s="236"/>
      <c r="BC40" s="234">
        <f t="shared" ca="1" si="24"/>
        <v>34</v>
      </c>
      <c r="BD40" s="288">
        <f t="shared" ca="1" si="6"/>
        <v>7</v>
      </c>
      <c r="BF40" s="240" t="str">
        <f t="shared" ca="1" si="25"/>
        <v>Black Hills Corporation</v>
      </c>
      <c r="BG40" s="240" t="str">
        <f t="shared" ca="1" si="25"/>
        <v>BBB</v>
      </c>
      <c r="BH40" s="240">
        <f t="shared" ca="1" si="25"/>
        <v>18</v>
      </c>
      <c r="BI40" s="240" t="str">
        <f t="shared" ca="1" si="25"/>
        <v>BKH</v>
      </c>
    </row>
    <row r="41" spans="1:61" x14ac:dyDescent="0.2">
      <c r="A41" s="303" t="s">
        <v>34</v>
      </c>
      <c r="B41" s="304" t="s">
        <v>28</v>
      </c>
      <c r="C41" s="304">
        <v>18</v>
      </c>
      <c r="D41" s="304" t="s">
        <v>294</v>
      </c>
      <c r="E41" s="305" t="str">
        <f t="shared" ca="1" si="8"/>
        <v>R</v>
      </c>
      <c r="F41" s="306"/>
      <c r="G41" s="307">
        <f t="shared" ca="1" si="1"/>
        <v>21</v>
      </c>
      <c r="H41" s="250"/>
      <c r="I41" s="321"/>
      <c r="J41" s="262"/>
      <c r="K41" s="321"/>
      <c r="L41" s="264"/>
      <c r="M41" s="235"/>
      <c r="N41" s="321"/>
      <c r="Q41" s="321"/>
      <c r="T41" s="321"/>
      <c r="W41" s="321"/>
      <c r="AF41" s="236">
        <f t="shared" si="2"/>
        <v>0</v>
      </c>
      <c r="AG41" s="236" t="str">
        <f t="shared" ca="1" si="3"/>
        <v/>
      </c>
      <c r="AH41" s="236" t="str">
        <f t="shared" ca="1" si="18"/>
        <v/>
      </c>
      <c r="AJ41" s="236">
        <f t="shared" ca="1" si="19"/>
        <v>40</v>
      </c>
      <c r="AK41" s="236" t="str">
        <f t="shared" ca="1" si="20"/>
        <v>BBB</v>
      </c>
      <c r="AL41" s="236">
        <f t="shared" ca="1" si="20"/>
        <v>18</v>
      </c>
      <c r="AM41" s="236" t="str">
        <f t="shared" ca="1" si="4"/>
        <v/>
      </c>
      <c r="AQ41" s="286" t="s">
        <v>53</v>
      </c>
      <c r="AR41" s="286" t="s">
        <v>28</v>
      </c>
      <c r="AS41" s="286">
        <v>18</v>
      </c>
      <c r="AT41" s="286" t="s">
        <v>318</v>
      </c>
      <c r="AV41" s="234">
        <f t="shared" si="21"/>
        <v>32</v>
      </c>
      <c r="AW41" s="234">
        <f>COUNTIF( AV$7:AV41, AV41 )</f>
        <v>12</v>
      </c>
      <c r="AX41" s="287">
        <f t="shared" si="22"/>
        <v>33.200000000000003</v>
      </c>
      <c r="AY41" s="234">
        <f t="shared" si="23"/>
        <v>43</v>
      </c>
      <c r="AZ41" s="236"/>
      <c r="BA41" s="236"/>
      <c r="BC41" s="234">
        <f t="shared" ca="1" si="24"/>
        <v>35</v>
      </c>
      <c r="BD41" s="288">
        <f t="shared" ca="1" si="6"/>
        <v>17</v>
      </c>
      <c r="BF41" s="240" t="str">
        <f t="shared" ca="1" si="25"/>
        <v>El Paso Electric Company</v>
      </c>
      <c r="BG41" s="240" t="str">
        <f t="shared" ca="1" si="25"/>
        <v>BBB</v>
      </c>
      <c r="BH41" s="240">
        <f t="shared" ca="1" si="25"/>
        <v>18</v>
      </c>
      <c r="BI41" s="240" t="str">
        <f t="shared" ca="1" si="25"/>
        <v>EE</v>
      </c>
    </row>
    <row r="42" spans="1:61" x14ac:dyDescent="0.2">
      <c r="A42" s="303" t="s">
        <v>35</v>
      </c>
      <c r="B42" s="304" t="s">
        <v>28</v>
      </c>
      <c r="C42" s="304">
        <v>18</v>
      </c>
      <c r="D42" s="304" t="s">
        <v>293</v>
      </c>
      <c r="E42" s="305" t="str">
        <f t="shared" ca="1" si="8"/>
        <v>R</v>
      </c>
      <c r="F42" s="306"/>
      <c r="G42" s="307">
        <f t="shared" ca="1" si="1"/>
        <v>22</v>
      </c>
      <c r="H42" s="250"/>
      <c r="I42" s="321"/>
      <c r="J42" s="262"/>
      <c r="K42" s="321"/>
      <c r="L42" s="264"/>
      <c r="M42" s="235"/>
      <c r="N42" s="321"/>
      <c r="Q42" s="321"/>
      <c r="T42" s="321"/>
      <c r="W42" s="321"/>
      <c r="AF42" s="236">
        <f t="shared" si="2"/>
        <v>0</v>
      </c>
      <c r="AG42" s="236" t="str">
        <f t="shared" ca="1" si="3"/>
        <v/>
      </c>
      <c r="AH42" s="236" t="str">
        <f t="shared" ca="1" si="18"/>
        <v/>
      </c>
      <c r="AJ42" s="236">
        <f t="shared" ca="1" si="19"/>
        <v>41</v>
      </c>
      <c r="AK42" s="236" t="str">
        <f t="shared" ca="1" si="20"/>
        <v>BBB</v>
      </c>
      <c r="AL42" s="236">
        <f t="shared" ca="1" si="20"/>
        <v>18</v>
      </c>
      <c r="AM42" s="236" t="str">
        <f t="shared" ca="1" si="4"/>
        <v/>
      </c>
      <c r="AQ42" s="286" t="s">
        <v>41</v>
      </c>
      <c r="AR42" s="286" t="s">
        <v>10</v>
      </c>
      <c r="AS42" s="286">
        <v>20</v>
      </c>
      <c r="AT42" s="286" t="s">
        <v>322</v>
      </c>
      <c r="AV42" s="234">
        <f t="shared" si="21"/>
        <v>3</v>
      </c>
      <c r="AW42" s="234">
        <f>COUNTIF( AV$7:AV42, AV42 )</f>
        <v>8</v>
      </c>
      <c r="AX42" s="287">
        <f t="shared" si="22"/>
        <v>3.8</v>
      </c>
      <c r="AY42" s="234">
        <f t="shared" si="23"/>
        <v>10</v>
      </c>
      <c r="AZ42" s="236"/>
      <c r="BA42" s="236"/>
      <c r="BC42" s="234">
        <f t="shared" ca="1" si="24"/>
        <v>36</v>
      </c>
      <c r="BD42" s="288">
        <f t="shared" ca="1" si="6"/>
        <v>18</v>
      </c>
      <c r="BF42" s="240" t="str">
        <f t="shared" ca="1" si="25"/>
        <v>Empire District Electric Company</v>
      </c>
      <c r="BG42" s="240" t="str">
        <f t="shared" ca="1" si="25"/>
        <v>BBB</v>
      </c>
      <c r="BH42" s="240">
        <f t="shared" ca="1" si="25"/>
        <v>18</v>
      </c>
      <c r="BI42" s="240" t="str">
        <f t="shared" ca="1" si="25"/>
        <v>EDE</v>
      </c>
    </row>
    <row r="43" spans="1:61" x14ac:dyDescent="0.2">
      <c r="A43" s="303" t="s">
        <v>36</v>
      </c>
      <c r="B43" s="304" t="s">
        <v>28</v>
      </c>
      <c r="C43" s="304">
        <v>18</v>
      </c>
      <c r="D43" s="304" t="s">
        <v>297</v>
      </c>
      <c r="E43" s="305" t="str">
        <f t="shared" ca="1" si="8"/>
        <v>R</v>
      </c>
      <c r="F43" s="306"/>
      <c r="G43" s="307">
        <f t="shared" ca="1" si="1"/>
        <v>23</v>
      </c>
      <c r="H43" s="250"/>
      <c r="I43" s="321"/>
      <c r="J43" s="262"/>
      <c r="K43" s="321"/>
      <c r="L43" s="235"/>
      <c r="M43" s="235"/>
      <c r="N43" s="321"/>
      <c r="Q43" s="321"/>
      <c r="T43" s="321"/>
      <c r="W43" s="321"/>
      <c r="AF43" s="236">
        <f t="shared" si="2"/>
        <v>0</v>
      </c>
      <c r="AG43" s="236" t="str">
        <f t="shared" ca="1" si="3"/>
        <v/>
      </c>
      <c r="AH43" s="236" t="str">
        <f t="shared" ca="1" si="18"/>
        <v/>
      </c>
      <c r="AJ43" s="236">
        <f t="shared" ca="1" si="19"/>
        <v>42</v>
      </c>
      <c r="AK43" s="236" t="str">
        <f t="shared" ca="1" si="20"/>
        <v>BBB</v>
      </c>
      <c r="AL43" s="236">
        <f t="shared" ca="1" si="20"/>
        <v>18</v>
      </c>
      <c r="AM43" s="236" t="str">
        <f t="shared" ca="1" si="4"/>
        <v/>
      </c>
      <c r="AQ43" s="286" t="s">
        <v>42</v>
      </c>
      <c r="AR43" s="286" t="s">
        <v>28</v>
      </c>
      <c r="AS43" s="286">
        <v>18</v>
      </c>
      <c r="AT43" s="286" t="s">
        <v>321</v>
      </c>
      <c r="AV43" s="234">
        <f t="shared" si="21"/>
        <v>32</v>
      </c>
      <c r="AW43" s="234">
        <f>COUNTIF( AV$7:AV43, AV43 )</f>
        <v>13</v>
      </c>
      <c r="AX43" s="287">
        <f t="shared" si="22"/>
        <v>33.299999999999997</v>
      </c>
      <c r="AY43" s="234">
        <f t="shared" si="23"/>
        <v>44</v>
      </c>
      <c r="AZ43" s="236"/>
      <c r="BA43" s="236"/>
      <c r="BC43" s="234">
        <f t="shared" ca="1" si="24"/>
        <v>37</v>
      </c>
      <c r="BD43" s="288">
        <f t="shared" ca="1" si="6"/>
        <v>19</v>
      </c>
      <c r="BF43" s="240" t="str">
        <f t="shared" ca="1" si="25"/>
        <v>Entergy Corporation</v>
      </c>
      <c r="BG43" s="240" t="str">
        <f t="shared" ca="1" si="25"/>
        <v>BBB</v>
      </c>
      <c r="BH43" s="240">
        <f t="shared" ca="1" si="25"/>
        <v>18</v>
      </c>
      <c r="BI43" s="240" t="str">
        <f t="shared" ca="1" si="25"/>
        <v>ETR</v>
      </c>
    </row>
    <row r="44" spans="1:61" x14ac:dyDescent="0.2">
      <c r="A44" s="303" t="s">
        <v>11</v>
      </c>
      <c r="B44" s="304" t="s">
        <v>28</v>
      </c>
      <c r="C44" s="304">
        <v>18</v>
      </c>
      <c r="D44" s="304" t="s">
        <v>298</v>
      </c>
      <c r="E44" s="305" t="str">
        <f t="shared" ca="1" si="8"/>
        <v>MR</v>
      </c>
      <c r="F44" s="306"/>
      <c r="G44" s="307">
        <f t="shared" ca="1" si="1"/>
        <v>24</v>
      </c>
      <c r="H44" s="250"/>
      <c r="I44" s="321"/>
      <c r="J44" s="262"/>
      <c r="K44" s="321"/>
      <c r="L44" s="235"/>
      <c r="M44" s="235"/>
      <c r="N44" s="321"/>
      <c r="Q44" s="321"/>
      <c r="T44" s="321"/>
      <c r="W44" s="321"/>
      <c r="AF44" s="236">
        <f t="shared" si="2"/>
        <v>0</v>
      </c>
      <c r="AG44" s="236" t="str">
        <f t="shared" ca="1" si="3"/>
        <v/>
      </c>
      <c r="AH44" s="236" t="str">
        <f t="shared" ca="1" si="18"/>
        <v/>
      </c>
      <c r="AJ44" s="236">
        <f t="shared" ca="1" si="19"/>
        <v>43</v>
      </c>
      <c r="AK44" s="236" t="str">
        <f t="shared" ca="1" si="20"/>
        <v>BBB</v>
      </c>
      <c r="AL44" s="236">
        <f t="shared" ca="1" si="20"/>
        <v>18</v>
      </c>
      <c r="AM44" s="236" t="str">
        <f t="shared" ca="1" si="4"/>
        <v/>
      </c>
      <c r="AQ44" s="286" t="s">
        <v>24</v>
      </c>
      <c r="AR44" s="286" t="s">
        <v>28</v>
      </c>
      <c r="AS44" s="286">
        <v>18</v>
      </c>
      <c r="AT44" s="286" t="s">
        <v>324</v>
      </c>
      <c r="AV44" s="234">
        <f t="shared" si="21"/>
        <v>32</v>
      </c>
      <c r="AW44" s="234">
        <f>COUNTIF( AV$7:AV44, AV44 )</f>
        <v>14</v>
      </c>
      <c r="AX44" s="287">
        <f t="shared" si="22"/>
        <v>33.4</v>
      </c>
      <c r="AY44" s="234">
        <f t="shared" si="23"/>
        <v>45</v>
      </c>
      <c r="AZ44" s="236"/>
      <c r="BA44" s="236"/>
      <c r="BC44" s="234">
        <f t="shared" ca="1" si="24"/>
        <v>38</v>
      </c>
      <c r="BD44" s="288">
        <f t="shared" ca="1" si="6"/>
        <v>21</v>
      </c>
      <c r="BF44" s="240" t="str">
        <f t="shared" ca="1" si="25"/>
        <v>Exelon Corporation</v>
      </c>
      <c r="BG44" s="240" t="str">
        <f t="shared" ca="1" si="25"/>
        <v>BBB</v>
      </c>
      <c r="BH44" s="240">
        <f t="shared" ca="1" si="25"/>
        <v>18</v>
      </c>
      <c r="BI44" s="240" t="str">
        <f t="shared" ca="1" si="25"/>
        <v>EXC</v>
      </c>
    </row>
    <row r="45" spans="1:61" x14ac:dyDescent="0.2">
      <c r="A45" s="303" t="s">
        <v>452</v>
      </c>
      <c r="B45" s="304" t="s">
        <v>28</v>
      </c>
      <c r="C45" s="304">
        <v>18</v>
      </c>
      <c r="D45" s="304" t="s">
        <v>444</v>
      </c>
      <c r="E45" s="305" t="str">
        <f t="shared" ca="1" si="8"/>
        <v>R</v>
      </c>
      <c r="F45" s="306"/>
      <c r="G45" s="307">
        <f t="shared" ca="1" si="1"/>
        <v>57</v>
      </c>
      <c r="H45" s="250"/>
      <c r="I45" s="321"/>
      <c r="J45" s="262"/>
      <c r="K45" s="321"/>
      <c r="L45" s="235"/>
      <c r="M45" s="235"/>
      <c r="N45" s="321"/>
      <c r="Q45" s="321"/>
      <c r="T45" s="321"/>
      <c r="W45" s="321"/>
      <c r="AF45" s="236">
        <f t="shared" si="2"/>
        <v>0</v>
      </c>
      <c r="AG45" s="236" t="str">
        <f t="shared" ca="1" si="3"/>
        <v/>
      </c>
      <c r="AH45" s="236" t="str">
        <f t="shared" ca="1" si="18"/>
        <v/>
      </c>
      <c r="AJ45" s="236">
        <f t="shared" ca="1" si="19"/>
        <v>44</v>
      </c>
      <c r="AK45" s="236" t="str">
        <f t="shared" ca="1" si="20"/>
        <v>BBB</v>
      </c>
      <c r="AL45" s="236">
        <f t="shared" ca="1" si="20"/>
        <v>18</v>
      </c>
      <c r="AM45" s="236" t="str">
        <f t="shared" ca="1" si="4"/>
        <v/>
      </c>
      <c r="AQ45" s="286" t="s">
        <v>43</v>
      </c>
      <c r="AR45" s="286" t="s">
        <v>10</v>
      </c>
      <c r="AS45" s="286">
        <v>20</v>
      </c>
      <c r="AT45" s="286" t="s">
        <v>325</v>
      </c>
      <c r="AV45" s="234">
        <f t="shared" si="21"/>
        <v>3</v>
      </c>
      <c r="AW45" s="234">
        <f>COUNTIF( AV$7:AV45, AV45 )</f>
        <v>9</v>
      </c>
      <c r="AX45" s="287">
        <f t="shared" si="22"/>
        <v>3.9</v>
      </c>
      <c r="AY45" s="234">
        <f t="shared" si="23"/>
        <v>11</v>
      </c>
      <c r="AZ45" s="236"/>
      <c r="BA45" s="236"/>
      <c r="BC45" s="234">
        <f t="shared" ca="1" si="24"/>
        <v>39</v>
      </c>
      <c r="BD45" s="288">
        <f t="shared" ca="1" si="6"/>
        <v>25</v>
      </c>
      <c r="BF45" s="240" t="str">
        <f t="shared" ca="1" si="25"/>
        <v>Iberdrola USA</v>
      </c>
      <c r="BG45" s="240" t="str">
        <f t="shared" ca="1" si="25"/>
        <v>BBB</v>
      </c>
      <c r="BH45" s="240">
        <f t="shared" ca="1" si="25"/>
        <v>18</v>
      </c>
      <c r="BI45" s="240" t="str">
        <f t="shared" ca="1" si="25"/>
        <v>**EAST</v>
      </c>
    </row>
    <row r="46" spans="1:61" x14ac:dyDescent="0.2">
      <c r="A46" s="303" t="s">
        <v>20</v>
      </c>
      <c r="B46" s="304" t="s">
        <v>28</v>
      </c>
      <c r="C46" s="304">
        <v>18</v>
      </c>
      <c r="D46" s="304" t="s">
        <v>303</v>
      </c>
      <c r="E46" s="305" t="str">
        <f t="shared" ca="1" si="8"/>
        <v>R</v>
      </c>
      <c r="F46" s="306"/>
      <c r="G46" s="307">
        <f t="shared" ca="1" si="1"/>
        <v>28</v>
      </c>
      <c r="H46" s="250"/>
      <c r="I46" s="262"/>
      <c r="K46" s="262"/>
      <c r="N46" s="257"/>
      <c r="W46" s="262"/>
      <c r="AF46" s="236">
        <f t="shared" si="2"/>
        <v>0</v>
      </c>
      <c r="AG46" s="236" t="str">
        <f t="shared" ca="1" si="3"/>
        <v/>
      </c>
      <c r="AH46" s="236" t="str">
        <f t="shared" ca="1" si="18"/>
        <v/>
      </c>
      <c r="AJ46" s="236">
        <f t="shared" ca="1" si="19"/>
        <v>45</v>
      </c>
      <c r="AK46" s="236" t="str">
        <f t="shared" ca="1" si="20"/>
        <v>BBB</v>
      </c>
      <c r="AL46" s="236">
        <f t="shared" ca="1" si="20"/>
        <v>18</v>
      </c>
      <c r="AM46" s="236" t="str">
        <f t="shared" ca="1" si="4"/>
        <v/>
      </c>
      <c r="AQ46" s="286" t="s">
        <v>45</v>
      </c>
      <c r="AR46" s="286" t="s">
        <v>16</v>
      </c>
      <c r="AS46" s="286">
        <v>19</v>
      </c>
      <c r="AT46" s="286" t="s">
        <v>319</v>
      </c>
      <c r="AV46" s="234">
        <f t="shared" si="21"/>
        <v>15</v>
      </c>
      <c r="AW46" s="234">
        <f>COUNTIF( AV$7:AV46, AV46 )</f>
        <v>12</v>
      </c>
      <c r="AX46" s="287">
        <f t="shared" si="22"/>
        <v>16.2</v>
      </c>
      <c r="AY46" s="234">
        <f t="shared" si="23"/>
        <v>26</v>
      </c>
      <c r="AZ46" s="236"/>
      <c r="BA46" s="236"/>
      <c r="BC46" s="234">
        <f t="shared" ca="1" si="24"/>
        <v>40</v>
      </c>
      <c r="BD46" s="288">
        <f t="shared" ca="1" si="6"/>
        <v>26</v>
      </c>
      <c r="BF46" s="240" t="str">
        <f t="shared" ca="1" si="25"/>
        <v>IDACORP, Inc.</v>
      </c>
      <c r="BG46" s="240" t="str">
        <f t="shared" ca="1" si="25"/>
        <v>BBB</v>
      </c>
      <c r="BH46" s="240">
        <f t="shared" ca="1" si="25"/>
        <v>18</v>
      </c>
      <c r="BI46" s="240" t="str">
        <f t="shared" ca="1" si="25"/>
        <v>IDA</v>
      </c>
    </row>
    <row r="47" spans="1:61" x14ac:dyDescent="0.2">
      <c r="A47" s="303" t="s">
        <v>66</v>
      </c>
      <c r="B47" s="304" t="s">
        <v>28</v>
      </c>
      <c r="C47" s="304">
        <v>18</v>
      </c>
      <c r="D47" s="304" t="s">
        <v>315</v>
      </c>
      <c r="E47" s="305" t="str">
        <f t="shared" ca="1" si="8"/>
        <v>R</v>
      </c>
      <c r="F47" s="306"/>
      <c r="G47" s="307">
        <f t="shared" ca="1" si="1"/>
        <v>35</v>
      </c>
      <c r="H47" s="250"/>
      <c r="I47" s="250"/>
      <c r="J47" s="258" t="s">
        <v>268</v>
      </c>
      <c r="K47" s="262"/>
      <c r="M47" s="253"/>
      <c r="N47" s="253"/>
      <c r="AF47" s="236">
        <f t="shared" si="2"/>
        <v>0</v>
      </c>
      <c r="AG47" s="236" t="str">
        <f t="shared" ca="1" si="3"/>
        <v/>
      </c>
      <c r="AH47" s="236" t="str">
        <f t="shared" ca="1" si="18"/>
        <v/>
      </c>
      <c r="AJ47" s="236">
        <f t="shared" ca="1" si="19"/>
        <v>46</v>
      </c>
      <c r="AK47" s="236" t="str">
        <f t="shared" ca="1" si="20"/>
        <v>BBB</v>
      </c>
      <c r="AL47" s="236">
        <f t="shared" ca="1" si="20"/>
        <v>18</v>
      </c>
      <c r="AM47" s="236" t="str">
        <f t="shared" ca="1" si="4"/>
        <v/>
      </c>
      <c r="AQ47" s="286" t="s">
        <v>54</v>
      </c>
      <c r="AR47" s="286" t="s">
        <v>49</v>
      </c>
      <c r="AS47" s="286">
        <v>17</v>
      </c>
      <c r="AT47" s="286" t="s">
        <v>449</v>
      </c>
      <c r="AV47" s="234">
        <f t="shared" si="21"/>
        <v>47</v>
      </c>
      <c r="AW47" s="234">
        <f>COUNTIF( AV$7:AV47, AV47 )</f>
        <v>3</v>
      </c>
      <c r="AX47" s="287">
        <f t="shared" si="22"/>
        <v>47.3</v>
      </c>
      <c r="AY47" s="234">
        <f t="shared" si="23"/>
        <v>49</v>
      </c>
      <c r="AZ47" s="236"/>
      <c r="BA47" s="236"/>
      <c r="BC47" s="234">
        <f t="shared" ca="1" si="24"/>
        <v>41</v>
      </c>
      <c r="BD47" s="288">
        <f t="shared" ca="1" si="6"/>
        <v>31</v>
      </c>
      <c r="BF47" s="240" t="str">
        <f t="shared" ca="1" si="25"/>
        <v>NorthWestern Corporation</v>
      </c>
      <c r="BG47" s="240" t="str">
        <f t="shared" ca="1" si="25"/>
        <v>BBB</v>
      </c>
      <c r="BH47" s="240">
        <f t="shared" ca="1" si="25"/>
        <v>18</v>
      </c>
      <c r="BI47" s="240" t="str">
        <f t="shared" ca="1" si="25"/>
        <v>NWE</v>
      </c>
    </row>
    <row r="48" spans="1:61" x14ac:dyDescent="0.2">
      <c r="A48" s="303" t="s">
        <v>22</v>
      </c>
      <c r="B48" s="304" t="s">
        <v>28</v>
      </c>
      <c r="C48" s="304">
        <v>18</v>
      </c>
      <c r="D48" s="304" t="s">
        <v>317</v>
      </c>
      <c r="E48" s="305" t="str">
        <f t="shared" ca="1" si="8"/>
        <v>R</v>
      </c>
      <c r="F48" s="306"/>
      <c r="G48" s="307">
        <f t="shared" ca="1" si="1"/>
        <v>37</v>
      </c>
      <c r="H48" s="250"/>
      <c r="I48" s="250"/>
      <c r="K48" s="262"/>
      <c r="M48" s="253"/>
      <c r="N48" s="253"/>
      <c r="AF48" s="236">
        <f t="shared" si="2"/>
        <v>0</v>
      </c>
      <c r="AG48" s="236" t="str">
        <f t="shared" ca="1" si="3"/>
        <v/>
      </c>
      <c r="AH48" s="236" t="str">
        <f t="shared" ca="1" si="18"/>
        <v/>
      </c>
      <c r="AJ48" s="236">
        <f t="shared" ca="1" si="19"/>
        <v>47</v>
      </c>
      <c r="AK48" s="236" t="str">
        <f t="shared" ca="1" si="20"/>
        <v>BBB</v>
      </c>
      <c r="AL48" s="236">
        <f t="shared" ca="1" si="20"/>
        <v>18</v>
      </c>
      <c r="AM48" s="236" t="str">
        <f t="shared" ca="1" si="4"/>
        <v/>
      </c>
      <c r="AQ48" s="286" t="s">
        <v>13</v>
      </c>
      <c r="AR48" s="286" t="s">
        <v>16</v>
      </c>
      <c r="AS48" s="286">
        <v>19</v>
      </c>
      <c r="AT48" s="286" t="s">
        <v>327</v>
      </c>
      <c r="AV48" s="234">
        <f t="shared" si="21"/>
        <v>15</v>
      </c>
      <c r="AW48" s="234">
        <f>COUNTIF( AV$7:AV48, AV48 )</f>
        <v>13</v>
      </c>
      <c r="AX48" s="287">
        <f t="shared" si="22"/>
        <v>16.3</v>
      </c>
      <c r="AY48" s="234">
        <f t="shared" si="23"/>
        <v>27</v>
      </c>
      <c r="AZ48" s="236"/>
      <c r="BA48" s="236"/>
      <c r="BC48" s="234">
        <f t="shared" ca="1" si="24"/>
        <v>42</v>
      </c>
      <c r="BD48" s="288">
        <f t="shared" ca="1" si="6"/>
        <v>33</v>
      </c>
      <c r="BF48" s="240" t="str">
        <f t="shared" ca="1" si="25"/>
        <v>Otter Tail Corporation</v>
      </c>
      <c r="BG48" s="240" t="str">
        <f t="shared" ca="1" si="25"/>
        <v>BBB</v>
      </c>
      <c r="BH48" s="240">
        <f t="shared" ca="1" si="25"/>
        <v>18</v>
      </c>
      <c r="BI48" s="240" t="str">
        <f t="shared" ca="1" si="25"/>
        <v>OTTR</v>
      </c>
    </row>
    <row r="49" spans="1:61" x14ac:dyDescent="0.2">
      <c r="A49" s="303" t="s">
        <v>53</v>
      </c>
      <c r="B49" s="304" t="s">
        <v>28</v>
      </c>
      <c r="C49" s="304">
        <v>18</v>
      </c>
      <c r="D49" s="304" t="s">
        <v>318</v>
      </c>
      <c r="E49" s="305" t="str">
        <f t="shared" ca="1" si="8"/>
        <v>R</v>
      </c>
      <c r="F49" s="306"/>
      <c r="G49" s="307">
        <f t="shared" ca="1" si="1"/>
        <v>39</v>
      </c>
      <c r="H49" s="250"/>
      <c r="I49" s="250"/>
      <c r="J49" s="262"/>
      <c r="K49" s="262"/>
      <c r="M49" s="253"/>
      <c r="N49" s="253"/>
      <c r="AF49" s="236">
        <f t="shared" si="2"/>
        <v>0</v>
      </c>
      <c r="AG49" s="236" t="str">
        <f t="shared" ca="1" si="3"/>
        <v/>
      </c>
      <c r="AH49" s="236" t="str">
        <f t="shared" ca="1" si="18"/>
        <v/>
      </c>
      <c r="AJ49" s="236">
        <f t="shared" ca="1" si="19"/>
        <v>48</v>
      </c>
      <c r="AK49" s="236" t="str">
        <f t="shared" ca="1" si="20"/>
        <v>BBB</v>
      </c>
      <c r="AL49" s="236">
        <f t="shared" ca="1" si="20"/>
        <v>18</v>
      </c>
      <c r="AM49" s="236" t="str">
        <f t="shared" ca="1" si="4"/>
        <v/>
      </c>
      <c r="AQ49" s="286" t="s">
        <v>25</v>
      </c>
      <c r="AR49" s="286" t="s">
        <v>16</v>
      </c>
      <c r="AS49" s="286">
        <v>19</v>
      </c>
      <c r="AT49" s="286" t="s">
        <v>329</v>
      </c>
      <c r="AV49" s="234">
        <f t="shared" si="21"/>
        <v>15</v>
      </c>
      <c r="AW49" s="234">
        <f>COUNTIF( AV$7:AV49, AV49 )</f>
        <v>14</v>
      </c>
      <c r="AX49" s="287">
        <f t="shared" si="22"/>
        <v>16.399999999999999</v>
      </c>
      <c r="AY49" s="234">
        <f t="shared" si="23"/>
        <v>28</v>
      </c>
      <c r="AZ49" s="236"/>
      <c r="BA49" s="236"/>
      <c r="BC49" s="234">
        <f t="shared" ca="1" si="24"/>
        <v>43</v>
      </c>
      <c r="BD49" s="288">
        <f t="shared" ca="1" si="6"/>
        <v>35</v>
      </c>
      <c r="BF49" s="240" t="str">
        <f t="shared" ca="1" si="25"/>
        <v>PG&amp;E Corporation</v>
      </c>
      <c r="BG49" s="240" t="str">
        <f t="shared" ca="1" si="25"/>
        <v>BBB</v>
      </c>
      <c r="BH49" s="240">
        <f t="shared" ca="1" si="25"/>
        <v>18</v>
      </c>
      <c r="BI49" s="240" t="str">
        <f t="shared" ca="1" si="25"/>
        <v>PCG</v>
      </c>
    </row>
    <row r="50" spans="1:61" x14ac:dyDescent="0.2">
      <c r="A50" s="303" t="s">
        <v>42</v>
      </c>
      <c r="B50" s="304" t="s">
        <v>28</v>
      </c>
      <c r="C50" s="304">
        <v>18</v>
      </c>
      <c r="D50" s="304" t="s">
        <v>321</v>
      </c>
      <c r="E50" s="305" t="str">
        <f t="shared" ca="1" si="8"/>
        <v>R</v>
      </c>
      <c r="F50" s="306"/>
      <c r="G50" s="307">
        <f t="shared" ca="1" si="1"/>
        <v>41</v>
      </c>
      <c r="H50" s="250"/>
      <c r="I50" s="250"/>
      <c r="J50" s="262"/>
      <c r="K50" s="262"/>
      <c r="L50" s="235"/>
      <c r="M50" s="257"/>
      <c r="N50" s="257"/>
      <c r="AF50" s="236">
        <f t="shared" si="2"/>
        <v>0</v>
      </c>
      <c r="AG50" s="236" t="str">
        <f t="shared" ca="1" si="3"/>
        <v/>
      </c>
      <c r="AH50" s="236" t="str">
        <f t="shared" ca="1" si="18"/>
        <v/>
      </c>
      <c r="AJ50" s="236">
        <f t="shared" ca="1" si="19"/>
        <v>49</v>
      </c>
      <c r="AK50" s="236" t="str">
        <f t="shared" ca="1" si="20"/>
        <v>BBB</v>
      </c>
      <c r="AL50" s="236">
        <f t="shared" ca="1" si="20"/>
        <v>18</v>
      </c>
      <c r="AM50" s="236" t="str">
        <f t="shared" ca="1" si="4"/>
        <v/>
      </c>
      <c r="AQ50" s="286" t="s">
        <v>7</v>
      </c>
      <c r="AR50" s="286" t="s">
        <v>2</v>
      </c>
      <c r="AS50" s="286">
        <v>21</v>
      </c>
      <c r="AT50" s="286" t="s">
        <v>328</v>
      </c>
      <c r="AV50" s="234">
        <f t="shared" si="21"/>
        <v>1</v>
      </c>
      <c r="AW50" s="234">
        <f>COUNTIF( AV$7:AV50, AV50 )</f>
        <v>2</v>
      </c>
      <c r="AX50" s="287">
        <f t="shared" si="22"/>
        <v>1.2</v>
      </c>
      <c r="AY50" s="234">
        <f t="shared" si="23"/>
        <v>2</v>
      </c>
      <c r="AZ50" s="236"/>
      <c r="BA50" s="236"/>
      <c r="BC50" s="234">
        <f t="shared" ca="1" si="24"/>
        <v>44</v>
      </c>
      <c r="BD50" s="288">
        <f t="shared" ca="1" si="6"/>
        <v>37</v>
      </c>
      <c r="BF50" s="240" t="str">
        <f t="shared" ca="1" si="25"/>
        <v>PNM Resources, Inc.</v>
      </c>
      <c r="BG50" s="240" t="str">
        <f t="shared" ca="1" si="25"/>
        <v>BBB</v>
      </c>
      <c r="BH50" s="240">
        <f t="shared" ca="1" si="25"/>
        <v>18</v>
      </c>
      <c r="BI50" s="240" t="str">
        <f t="shared" ca="1" si="25"/>
        <v>PNM</v>
      </c>
    </row>
    <row r="51" spans="1:61" x14ac:dyDescent="0.2">
      <c r="A51" s="303" t="s">
        <v>24</v>
      </c>
      <c r="B51" s="304" t="s">
        <v>28</v>
      </c>
      <c r="C51" s="304">
        <v>18</v>
      </c>
      <c r="D51" s="304" t="s">
        <v>324</v>
      </c>
      <c r="E51" s="305" t="str">
        <f t="shared" ca="1" si="8"/>
        <v>R</v>
      </c>
      <c r="F51" s="306"/>
      <c r="G51" s="307">
        <f t="shared" ca="1" si="1"/>
        <v>42</v>
      </c>
      <c r="H51" s="250"/>
      <c r="I51" s="250"/>
      <c r="J51" s="262"/>
      <c r="K51" s="262"/>
      <c r="L51" s="235"/>
      <c r="M51" s="257"/>
      <c r="N51" s="257"/>
      <c r="AF51" s="236">
        <f t="shared" si="2"/>
        <v>0</v>
      </c>
      <c r="AG51" s="236" t="str">
        <f t="shared" ca="1" si="3"/>
        <v/>
      </c>
      <c r="AH51" s="236" t="str">
        <f t="shared" ca="1" si="18"/>
        <v/>
      </c>
      <c r="AJ51" s="236">
        <f t="shared" ca="1" si="19"/>
        <v>50</v>
      </c>
      <c r="AK51" s="236" t="str">
        <f t="shared" ca="1" si="20"/>
        <v>BBB</v>
      </c>
      <c r="AL51" s="236">
        <f t="shared" ca="1" si="20"/>
        <v>18</v>
      </c>
      <c r="AM51" s="236" t="str">
        <f t="shared" ca="1" si="4"/>
        <v/>
      </c>
      <c r="AQ51" s="286" t="s">
        <v>62</v>
      </c>
      <c r="AR51" s="286" t="s">
        <v>16</v>
      </c>
      <c r="AS51" s="286">
        <v>19</v>
      </c>
      <c r="AT51" s="286" t="s">
        <v>330</v>
      </c>
      <c r="AV51" s="234">
        <f t="shared" si="21"/>
        <v>15</v>
      </c>
      <c r="AW51" s="234">
        <f>COUNTIF( AV$7:AV51, AV51 )</f>
        <v>15</v>
      </c>
      <c r="AX51" s="287">
        <f t="shared" si="22"/>
        <v>16.5</v>
      </c>
      <c r="AY51" s="234">
        <f t="shared" si="23"/>
        <v>29</v>
      </c>
      <c r="AZ51" s="236"/>
      <c r="BA51" s="236"/>
      <c r="BC51" s="234">
        <f t="shared" ca="1" si="24"/>
        <v>45</v>
      </c>
      <c r="BD51" s="288">
        <f t="shared" ca="1" si="6"/>
        <v>38</v>
      </c>
      <c r="BF51" s="240" t="str">
        <f t="shared" ca="1" si="25"/>
        <v>Portland General Electric Company</v>
      </c>
      <c r="BG51" s="240" t="str">
        <f t="shared" ca="1" si="25"/>
        <v>BBB</v>
      </c>
      <c r="BH51" s="240">
        <f t="shared" ca="1" si="25"/>
        <v>18</v>
      </c>
      <c r="BI51" s="240" t="str">
        <f t="shared" ca="1" si="25"/>
        <v>POR</v>
      </c>
    </row>
    <row r="52" spans="1:61" x14ac:dyDescent="0.2">
      <c r="A52" s="303" t="s">
        <v>75</v>
      </c>
      <c r="B52" s="304" t="s">
        <v>28</v>
      </c>
      <c r="C52" s="304">
        <v>18</v>
      </c>
      <c r="D52" s="304" t="s">
        <v>332</v>
      </c>
      <c r="E52" s="305" t="str">
        <f t="shared" ca="1" si="8"/>
        <v>R</v>
      </c>
      <c r="F52" s="306"/>
      <c r="G52" s="307">
        <f t="shared" ca="1" si="1"/>
        <v>49</v>
      </c>
      <c r="H52" s="250"/>
      <c r="I52" s="250"/>
      <c r="J52" s="262"/>
      <c r="K52" s="262"/>
      <c r="AF52" s="236">
        <f t="shared" si="2"/>
        <v>0</v>
      </c>
      <c r="AG52" s="236" t="str">
        <f t="shared" ca="1" si="3"/>
        <v/>
      </c>
      <c r="AH52" s="236" t="str">
        <f t="shared" ca="1" si="18"/>
        <v/>
      </c>
      <c r="AJ52" s="236">
        <f t="shared" ca="1" si="19"/>
        <v>52</v>
      </c>
      <c r="AK52" s="236" t="str">
        <f t="shared" ca="1" si="20"/>
        <v>BBB</v>
      </c>
      <c r="AL52" s="236">
        <f t="shared" ca="1" si="20"/>
        <v>18</v>
      </c>
      <c r="AM52" s="236" t="str">
        <f t="shared" ca="1" si="4"/>
        <v/>
      </c>
      <c r="AQ52" s="286" t="s">
        <v>75</v>
      </c>
      <c r="AR52" s="286" t="s">
        <v>28</v>
      </c>
      <c r="AS52" s="286">
        <v>18</v>
      </c>
      <c r="AT52" s="286" t="s">
        <v>332</v>
      </c>
      <c r="AV52" s="234">
        <f t="shared" si="21"/>
        <v>32</v>
      </c>
      <c r="AW52" s="234">
        <f>COUNTIF( AV$7:AV52, AV52 )</f>
        <v>15</v>
      </c>
      <c r="AX52" s="287">
        <f t="shared" si="22"/>
        <v>33.5</v>
      </c>
      <c r="AY52" s="234">
        <f t="shared" si="23"/>
        <v>46</v>
      </c>
      <c r="AZ52" s="236"/>
      <c r="BA52" s="236"/>
      <c r="BC52" s="234">
        <f t="shared" ca="1" si="24"/>
        <v>46</v>
      </c>
      <c r="BD52" s="288">
        <f t="shared" ca="1" si="6"/>
        <v>46</v>
      </c>
      <c r="BF52" s="240" t="str">
        <f t="shared" ca="1" si="25"/>
        <v>UIL Holdings Corporation</v>
      </c>
      <c r="BG52" s="240" t="str">
        <f t="shared" ca="1" si="25"/>
        <v>BBB</v>
      </c>
      <c r="BH52" s="240">
        <f t="shared" ca="1" si="25"/>
        <v>18</v>
      </c>
      <c r="BI52" s="240" t="str">
        <f t="shared" ca="1" si="25"/>
        <v>UIL</v>
      </c>
    </row>
    <row r="53" spans="1:61" x14ac:dyDescent="0.2">
      <c r="A53" s="303" t="s">
        <v>51</v>
      </c>
      <c r="B53" s="304" t="s">
        <v>49</v>
      </c>
      <c r="C53" s="304">
        <v>17</v>
      </c>
      <c r="D53" s="304" t="s">
        <v>299</v>
      </c>
      <c r="E53" s="305" t="str">
        <f t="shared" ca="1" si="8"/>
        <v>MR</v>
      </c>
      <c r="F53" s="306"/>
      <c r="G53" s="307">
        <f t="shared" ca="1" si="1"/>
        <v>25</v>
      </c>
      <c r="H53" s="250"/>
      <c r="I53" s="250"/>
      <c r="J53" s="262"/>
      <c r="K53" s="262"/>
      <c r="AF53" s="236">
        <f t="shared" si="2"/>
        <v>1</v>
      </c>
      <c r="AG53" s="236" t="str">
        <f t="shared" ca="1" si="3"/>
        <v/>
      </c>
      <c r="AH53" s="236" t="str">
        <f t="shared" ca="1" si="18"/>
        <v/>
      </c>
      <c r="AJ53" s="236">
        <f t="shared" ca="1" si="19"/>
        <v>53</v>
      </c>
      <c r="AK53" s="236" t="str">
        <f t="shared" ca="1" si="20"/>
        <v>BBB-</v>
      </c>
      <c r="AL53" s="236">
        <f t="shared" ca="1" si="20"/>
        <v>17</v>
      </c>
      <c r="AM53" s="236" t="str">
        <f t="shared" ca="1" si="4"/>
        <v/>
      </c>
      <c r="AQ53" s="286" t="s">
        <v>76</v>
      </c>
      <c r="AR53" s="286" t="s">
        <v>16</v>
      </c>
      <c r="AS53" s="286">
        <v>19</v>
      </c>
      <c r="AT53" s="286" t="s">
        <v>448</v>
      </c>
      <c r="AV53" s="234">
        <f t="shared" si="21"/>
        <v>15</v>
      </c>
      <c r="AW53" s="234">
        <f>COUNTIF( AV$7:AV53, AV53 )</f>
        <v>16</v>
      </c>
      <c r="AX53" s="287">
        <f t="shared" si="22"/>
        <v>16.600000000000001</v>
      </c>
      <c r="AY53" s="234">
        <f t="shared" si="23"/>
        <v>30</v>
      </c>
      <c r="AZ53" s="236"/>
      <c r="BA53" s="236"/>
      <c r="BC53" s="234">
        <f t="shared" ca="1" si="24"/>
        <v>47</v>
      </c>
      <c r="BD53" s="288">
        <f t="shared" ca="1" si="6"/>
        <v>22</v>
      </c>
      <c r="BF53" s="240" t="str">
        <f t="shared" ca="1" si="25"/>
        <v>FirstEnergy Corp.</v>
      </c>
      <c r="BG53" s="240" t="str">
        <f t="shared" ca="1" si="25"/>
        <v>BBB-</v>
      </c>
      <c r="BH53" s="240">
        <f t="shared" ca="1" si="25"/>
        <v>17</v>
      </c>
      <c r="BI53" s="240" t="str">
        <f t="shared" ca="1" si="25"/>
        <v>FE</v>
      </c>
    </row>
    <row r="54" spans="1:61" x14ac:dyDescent="0.2">
      <c r="A54" s="303" t="s">
        <v>39</v>
      </c>
      <c r="B54" s="304" t="s">
        <v>49</v>
      </c>
      <c r="C54" s="304">
        <v>17</v>
      </c>
      <c r="D54" s="304" t="s">
        <v>302</v>
      </c>
      <c r="E54" s="305" t="str">
        <f t="shared" ca="1" si="8"/>
        <v>D</v>
      </c>
      <c r="F54" s="306"/>
      <c r="G54" s="307">
        <f t="shared" ca="1" si="1"/>
        <v>27</v>
      </c>
      <c r="H54" s="250"/>
      <c r="I54" s="250"/>
      <c r="J54" s="262"/>
      <c r="K54" s="262"/>
      <c r="AF54" s="236">
        <f t="shared" si="2"/>
        <v>1</v>
      </c>
      <c r="AG54" s="236" t="str">
        <f t="shared" ca="1" si="3"/>
        <v/>
      </c>
      <c r="AH54" s="236" t="str">
        <f t="shared" ca="1" si="18"/>
        <v/>
      </c>
      <c r="AJ54" s="236">
        <f t="shared" ca="1" si="19"/>
        <v>54</v>
      </c>
      <c r="AK54" s="236" t="str">
        <f t="shared" ca="1" si="20"/>
        <v>BBB-</v>
      </c>
      <c r="AL54" s="236">
        <f t="shared" ca="1" si="20"/>
        <v>17</v>
      </c>
      <c r="AM54" s="236" t="str">
        <f t="shared" ca="1" si="4"/>
        <v/>
      </c>
      <c r="AQ54" s="286" t="s">
        <v>14</v>
      </c>
      <c r="AR54" s="286" t="s">
        <v>10</v>
      </c>
      <c r="AS54" s="286">
        <v>20</v>
      </c>
      <c r="AT54" s="286" t="s">
        <v>335</v>
      </c>
      <c r="AV54" s="234">
        <f t="shared" si="21"/>
        <v>3</v>
      </c>
      <c r="AW54" s="234">
        <f>COUNTIF( AV$7:AV54, AV54 )</f>
        <v>10</v>
      </c>
      <c r="AX54" s="287">
        <f t="shared" si="22"/>
        <v>4</v>
      </c>
      <c r="AY54" s="234">
        <f t="shared" si="23"/>
        <v>12</v>
      </c>
      <c r="AZ54" s="236"/>
      <c r="BA54" s="236"/>
      <c r="BC54" s="234">
        <f t="shared" ca="1" si="24"/>
        <v>48</v>
      </c>
      <c r="BD54" s="288">
        <f t="shared" ca="1" si="6"/>
        <v>24</v>
      </c>
      <c r="BF54" s="240" t="str">
        <f t="shared" ca="1" si="25"/>
        <v>Hawaiian Electric Industries, Inc.</v>
      </c>
      <c r="BG54" s="240" t="str">
        <f t="shared" ca="1" si="25"/>
        <v>BBB-</v>
      </c>
      <c r="BH54" s="240">
        <f t="shared" ca="1" si="25"/>
        <v>17</v>
      </c>
      <c r="BI54" s="240" t="str">
        <f t="shared" ca="1" si="25"/>
        <v>HE</v>
      </c>
    </row>
    <row r="55" spans="1:61" x14ac:dyDescent="0.2">
      <c r="A55" s="303" t="s">
        <v>54</v>
      </c>
      <c r="B55" s="304" t="s">
        <v>49</v>
      </c>
      <c r="C55" s="304">
        <v>17</v>
      </c>
      <c r="D55" s="304" t="s">
        <v>449</v>
      </c>
      <c r="E55" s="305" t="str">
        <f t="shared" ca="1" si="8"/>
        <v>R</v>
      </c>
      <c r="F55" s="306"/>
      <c r="G55" s="307">
        <f t="shared" ca="1" si="1"/>
        <v>62</v>
      </c>
      <c r="H55" s="250"/>
      <c r="I55" s="250"/>
      <c r="J55" s="262"/>
      <c r="K55" s="262"/>
      <c r="AF55" s="236">
        <f t="shared" si="2"/>
        <v>1</v>
      </c>
      <c r="AG55" s="236" t="str">
        <f t="shared" ca="1" si="3"/>
        <v/>
      </c>
      <c r="AH55" s="236" t="str">
        <f t="shared" ca="1" si="18"/>
        <v/>
      </c>
      <c r="AJ55" s="236">
        <f t="shared" ca="1" si="19"/>
        <v>56</v>
      </c>
      <c r="AK55" s="236" t="str">
        <f t="shared" ca="1" si="20"/>
        <v>BBB-</v>
      </c>
      <c r="AL55" s="236">
        <f t="shared" ca="1" si="20"/>
        <v>17</v>
      </c>
      <c r="AM55" s="236" t="str">
        <f t="shared" ca="1" si="4"/>
        <v/>
      </c>
      <c r="AQ55" s="286" t="s">
        <v>59</v>
      </c>
      <c r="AR55" s="286" t="s">
        <v>16</v>
      </c>
      <c r="AS55" s="286">
        <v>19</v>
      </c>
      <c r="AT55" s="286" t="s">
        <v>337</v>
      </c>
      <c r="AV55" s="234">
        <f t="shared" si="21"/>
        <v>15</v>
      </c>
      <c r="AW55" s="234">
        <f>COUNTIF( AV$7:AV55, AV55 )</f>
        <v>17</v>
      </c>
      <c r="AX55" s="287">
        <f t="shared" si="22"/>
        <v>16.7</v>
      </c>
      <c r="AY55" s="234">
        <f t="shared" si="23"/>
        <v>31</v>
      </c>
      <c r="AZ55" s="236"/>
      <c r="BA55" s="236"/>
      <c r="BC55" s="234">
        <f t="shared" ca="1" si="24"/>
        <v>49</v>
      </c>
      <c r="BD55" s="288">
        <f t="shared" ca="1" si="6"/>
        <v>41</v>
      </c>
      <c r="BF55" s="240" t="str">
        <f t="shared" ca="1" si="25"/>
        <v>Puget Energy, Inc.</v>
      </c>
      <c r="BG55" s="240" t="str">
        <f t="shared" ca="1" si="25"/>
        <v>BBB-</v>
      </c>
      <c r="BH55" s="240">
        <f t="shared" ca="1" si="25"/>
        <v>17</v>
      </c>
      <c r="BI55" s="240" t="str">
        <f t="shared" ca="1" si="25"/>
        <v>**PSD</v>
      </c>
    </row>
    <row r="56" spans="1:61" x14ac:dyDescent="0.2">
      <c r="A56" s="303" t="s">
        <v>58</v>
      </c>
      <c r="B56" s="304" t="s">
        <v>56</v>
      </c>
      <c r="C56" s="304">
        <v>16</v>
      </c>
      <c r="D56" s="304" t="s">
        <v>446</v>
      </c>
      <c r="E56" s="305" t="str">
        <f t="shared" ca="1" si="8"/>
        <v>R</v>
      </c>
      <c r="F56" s="306"/>
      <c r="G56" s="307">
        <f t="shared" ca="1" si="1"/>
        <v>60</v>
      </c>
      <c r="H56" s="250"/>
      <c r="I56" s="250"/>
      <c r="J56" s="262"/>
      <c r="K56" s="262"/>
      <c r="AF56" s="236">
        <f t="shared" si="2"/>
        <v>0</v>
      </c>
      <c r="AG56" s="236" t="str">
        <f t="shared" ca="1" si="3"/>
        <v/>
      </c>
      <c r="AH56" s="236" t="str">
        <f t="shared" ca="1" si="18"/>
        <v/>
      </c>
      <c r="AJ56" s="236">
        <f t="shared" ca="1" si="19"/>
        <v>57</v>
      </c>
      <c r="AK56" s="236" t="str">
        <f t="shared" ca="1" si="20"/>
        <v>BB+</v>
      </c>
      <c r="AL56" s="236">
        <f t="shared" ca="1" si="20"/>
        <v>16</v>
      </c>
      <c r="AM56" s="236" t="str">
        <f t="shared" ca="1" si="4"/>
        <v/>
      </c>
      <c r="AQ56" s="286" t="s">
        <v>26</v>
      </c>
      <c r="AR56" s="286" t="s">
        <v>10</v>
      </c>
      <c r="AS56" s="286">
        <v>20</v>
      </c>
      <c r="AT56" s="286" t="s">
        <v>336</v>
      </c>
      <c r="AV56" s="234">
        <f t="shared" si="21"/>
        <v>3</v>
      </c>
      <c r="AW56" s="234">
        <f>COUNTIF( AV$7:AV56, AV56 )</f>
        <v>11</v>
      </c>
      <c r="AX56" s="287">
        <f t="shared" si="22"/>
        <v>4.0999999999999996</v>
      </c>
      <c r="AY56" s="234">
        <f t="shared" si="23"/>
        <v>13</v>
      </c>
      <c r="AZ56" s="236"/>
      <c r="BA56" s="236"/>
      <c r="BC56" s="234">
        <f t="shared" ca="1" si="24"/>
        <v>50</v>
      </c>
      <c r="BD56" s="288">
        <f t="shared" ca="1" si="6"/>
        <v>27</v>
      </c>
      <c r="BF56" s="240" t="str">
        <f t="shared" ca="1" si="25"/>
        <v>IPALCO Enterprises, Inc.</v>
      </c>
      <c r="BG56" s="240" t="str">
        <f t="shared" ca="1" si="25"/>
        <v>BB+</v>
      </c>
      <c r="BH56" s="240">
        <f t="shared" ca="1" si="25"/>
        <v>16</v>
      </c>
      <c r="BI56" s="240" t="str">
        <f t="shared" ca="1" si="25"/>
        <v>**IPALCO</v>
      </c>
    </row>
    <row r="57" spans="1:61" x14ac:dyDescent="0.2">
      <c r="A57" s="303" t="s">
        <v>64</v>
      </c>
      <c r="B57" s="304" t="s">
        <v>61</v>
      </c>
      <c r="C57" s="304">
        <v>15</v>
      </c>
      <c r="D57" s="304" t="s">
        <v>443</v>
      </c>
      <c r="E57" s="305" t="str">
        <f t="shared" ca="1" si="8"/>
        <v>R</v>
      </c>
      <c r="F57" s="306"/>
      <c r="G57" s="307">
        <f t="shared" ca="1" si="1"/>
        <v>58</v>
      </c>
      <c r="H57" s="250"/>
      <c r="I57" s="250"/>
      <c r="J57" s="262"/>
      <c r="K57" s="262"/>
      <c r="AF57" s="236">
        <f t="shared" si="2"/>
        <v>1</v>
      </c>
      <c r="AG57" s="236" t="str">
        <f t="shared" ca="1" si="3"/>
        <v/>
      </c>
      <c r="AH57" s="236" t="str">
        <f t="shared" ca="1" si="18"/>
        <v/>
      </c>
      <c r="AJ57" s="236">
        <f t="shared" ca="1" si="19"/>
        <v>58</v>
      </c>
      <c r="AK57" s="236" t="str">
        <f t="shared" ca="1" si="20"/>
        <v>BB</v>
      </c>
      <c r="AL57" s="236">
        <f t="shared" ca="1" si="20"/>
        <v>15</v>
      </c>
      <c r="AM57" s="236" t="str">
        <f t="shared" ca="1" si="4"/>
        <v/>
      </c>
      <c r="AQ57" s="286" t="s">
        <v>258</v>
      </c>
      <c r="AR57" s="286" t="s">
        <v>10</v>
      </c>
      <c r="AS57" s="286">
        <v>20</v>
      </c>
      <c r="AT57" s="286" t="s">
        <v>338</v>
      </c>
      <c r="AV57" s="234">
        <f t="shared" si="21"/>
        <v>3</v>
      </c>
      <c r="AW57" s="234">
        <f>COUNTIF( AV$7:AV57, AV57 )</f>
        <v>12</v>
      </c>
      <c r="AX57" s="287">
        <f t="shared" si="22"/>
        <v>4.2</v>
      </c>
      <c r="AY57" s="234">
        <f t="shared" si="23"/>
        <v>14</v>
      </c>
      <c r="AZ57" s="236"/>
      <c r="BA57" s="236"/>
      <c r="BC57" s="234">
        <f t="shared" ca="1" si="24"/>
        <v>51</v>
      </c>
      <c r="BD57" s="288">
        <f t="shared" ca="1" si="6"/>
        <v>13</v>
      </c>
      <c r="BF57" s="240" t="str">
        <f t="shared" ca="1" si="25"/>
        <v>DPL Inc.</v>
      </c>
      <c r="BG57" s="240" t="str">
        <f t="shared" ca="1" si="25"/>
        <v>BB</v>
      </c>
      <c r="BH57" s="240">
        <f t="shared" ca="1" si="25"/>
        <v>15</v>
      </c>
      <c r="BI57" s="240" t="str">
        <f t="shared" ca="1" si="25"/>
        <v>**DPL</v>
      </c>
    </row>
    <row r="58" spans="1:61" x14ac:dyDescent="0.2">
      <c r="A58" s="303"/>
      <c r="B58" s="304"/>
      <c r="C58" s="304"/>
      <c r="D58" s="304"/>
      <c r="E58" s="305" t="str">
        <f t="shared" ca="1" si="8"/>
        <v/>
      </c>
      <c r="F58" s="306"/>
      <c r="G58" s="307" t="str">
        <f t="shared" ca="1" si="1"/>
        <v/>
      </c>
      <c r="H58" s="250"/>
      <c r="I58" s="250"/>
      <c r="J58" s="262"/>
      <c r="K58" s="262"/>
      <c r="AF58" s="236">
        <f t="shared" si="2"/>
        <v>0</v>
      </c>
      <c r="AG58" s="236" t="str">
        <f t="shared" si="3"/>
        <v/>
      </c>
      <c r="AH58" s="236" t="str">
        <f t="shared" si="18"/>
        <v/>
      </c>
      <c r="AJ58" s="236" t="e">
        <f t="shared" ca="1" si="19"/>
        <v>#N/A</v>
      </c>
      <c r="AK58" s="236" t="str">
        <f t="shared" ca="1" si="20"/>
        <v/>
      </c>
      <c r="AL58" s="236" t="str">
        <f t="shared" ca="1" si="20"/>
        <v/>
      </c>
      <c r="AM58" s="236" t="str">
        <f t="shared" ca="1" si="4"/>
        <v/>
      </c>
      <c r="AQ58" s="286"/>
      <c r="AR58" s="286"/>
      <c r="AS58" s="286"/>
      <c r="AT58" s="286"/>
      <c r="AV58" s="234">
        <f t="shared" si="21"/>
        <v>99</v>
      </c>
      <c r="AW58" s="234">
        <f>COUNTIF( AV$7:AV58, AV58 )</f>
        <v>1</v>
      </c>
      <c r="AX58" s="287">
        <f t="shared" si="22"/>
        <v>99.1</v>
      </c>
      <c r="AY58" s="234">
        <f t="shared" si="23"/>
        <v>52</v>
      </c>
      <c r="AZ58" s="236"/>
      <c r="BA58" s="236"/>
      <c r="BC58" s="234">
        <f t="shared" ca="1" si="24"/>
        <v>52</v>
      </c>
      <c r="BD58" s="288">
        <f t="shared" ca="1" si="6"/>
        <v>52</v>
      </c>
      <c r="BF58" s="240">
        <f t="shared" ca="1" si="25"/>
        <v>0</v>
      </c>
      <c r="BG58" s="240">
        <f t="shared" ca="1" si="25"/>
        <v>0</v>
      </c>
      <c r="BH58" s="240">
        <f t="shared" ca="1" si="25"/>
        <v>0</v>
      </c>
      <c r="BI58" s="240">
        <f t="shared" ca="1" si="25"/>
        <v>0</v>
      </c>
    </row>
    <row r="59" spans="1:61" x14ac:dyDescent="0.2">
      <c r="A59" s="303"/>
      <c r="B59" s="304"/>
      <c r="C59" s="304"/>
      <c r="D59" s="304"/>
      <c r="E59" s="305" t="str">
        <f t="shared" ca="1" si="8"/>
        <v/>
      </c>
      <c r="F59" s="306"/>
      <c r="G59" s="307" t="str">
        <f t="shared" ca="1" si="1"/>
        <v/>
      </c>
      <c r="H59" s="250"/>
      <c r="I59" s="250"/>
      <c r="J59" s="262"/>
      <c r="K59" s="262"/>
      <c r="AF59" s="236">
        <f t="shared" si="2"/>
        <v>0</v>
      </c>
      <c r="AG59" s="236" t="str">
        <f t="shared" si="3"/>
        <v/>
      </c>
      <c r="AH59" s="236" t="str">
        <f t="shared" si="18"/>
        <v/>
      </c>
      <c r="AJ59" s="236" t="e">
        <f t="shared" ca="1" si="19"/>
        <v>#N/A</v>
      </c>
      <c r="AK59" s="236" t="str">
        <f t="shared" ca="1" si="20"/>
        <v/>
      </c>
      <c r="AL59" s="236" t="str">
        <f t="shared" ca="1" si="20"/>
        <v/>
      </c>
      <c r="AM59" s="236" t="str">
        <f t="shared" ca="1" si="4"/>
        <v/>
      </c>
      <c r="AQ59" s="286"/>
      <c r="AR59" s="286"/>
      <c r="AS59" s="286"/>
      <c r="AT59" s="286"/>
      <c r="AV59" s="234">
        <f t="shared" si="21"/>
        <v>99</v>
      </c>
      <c r="AW59" s="234">
        <f>COUNTIF( AV$7:AV59, AV59 )</f>
        <v>2</v>
      </c>
      <c r="AX59" s="287">
        <f t="shared" si="22"/>
        <v>99.2</v>
      </c>
      <c r="AY59" s="234">
        <f t="shared" si="23"/>
        <v>53</v>
      </c>
      <c r="AZ59" s="236"/>
      <c r="BA59" s="236"/>
      <c r="BC59" s="234">
        <f t="shared" ca="1" si="24"/>
        <v>53</v>
      </c>
      <c r="BD59" s="288">
        <f t="shared" ca="1" si="6"/>
        <v>53</v>
      </c>
      <c r="BF59" s="240">
        <f t="shared" ca="1" si="25"/>
        <v>0</v>
      </c>
      <c r="BG59" s="240">
        <f t="shared" ca="1" si="25"/>
        <v>0</v>
      </c>
      <c r="BH59" s="240">
        <f t="shared" ca="1" si="25"/>
        <v>0</v>
      </c>
      <c r="BI59" s="240">
        <f t="shared" ca="1" si="25"/>
        <v>0</v>
      </c>
    </row>
    <row r="60" spans="1:61" ht="13.5" thickBot="1" x14ac:dyDescent="0.25">
      <c r="A60" s="265"/>
      <c r="B60" s="266"/>
      <c r="C60" s="266"/>
      <c r="D60" s="266"/>
      <c r="E60" s="267" t="str">
        <f t="shared" ca="1" si="8"/>
        <v/>
      </c>
      <c r="F60" s="250"/>
      <c r="G60" s="251" t="str">
        <f t="shared" ca="1" si="1"/>
        <v/>
      </c>
      <c r="H60" s="250"/>
      <c r="I60" s="250"/>
      <c r="AF60" s="236">
        <f t="shared" si="2"/>
        <v>0</v>
      </c>
      <c r="AG60" s="236" t="str">
        <f t="shared" si="3"/>
        <v/>
      </c>
      <c r="AH60" s="236" t="str">
        <f t="shared" si="18"/>
        <v/>
      </c>
      <c r="AJ60" s="236" t="e">
        <f t="shared" ca="1" si="19"/>
        <v>#N/A</v>
      </c>
      <c r="AK60" s="236" t="str">
        <f t="shared" ca="1" si="20"/>
        <v/>
      </c>
      <c r="AL60" s="236" t="str">
        <f t="shared" ca="1" si="20"/>
        <v/>
      </c>
      <c r="AM60" s="236" t="str">
        <f t="shared" ca="1" si="4"/>
        <v/>
      </c>
      <c r="AQ60" s="286"/>
      <c r="AR60" s="286"/>
      <c r="AS60" s="286"/>
      <c r="AT60" s="286"/>
      <c r="AV60" s="234">
        <f t="shared" si="21"/>
        <v>99</v>
      </c>
      <c r="AW60" s="234">
        <f>COUNTIF( AV$7:AV60, AV60 )</f>
        <v>3</v>
      </c>
      <c r="AX60" s="287">
        <f t="shared" si="22"/>
        <v>99.3</v>
      </c>
      <c r="AY60" s="234">
        <f t="shared" si="23"/>
        <v>54</v>
      </c>
      <c r="AZ60" s="236"/>
      <c r="BA60" s="236"/>
      <c r="BC60" s="234">
        <f t="shared" ca="1" si="24"/>
        <v>54</v>
      </c>
      <c r="BD60" s="288">
        <f t="shared" ca="1" si="6"/>
        <v>54</v>
      </c>
      <c r="BF60" s="240">
        <f t="shared" ca="1" si="25"/>
        <v>0</v>
      </c>
      <c r="BG60" s="240">
        <f t="shared" ca="1" si="25"/>
        <v>0</v>
      </c>
      <c r="BH60" s="240">
        <f t="shared" ca="1" si="25"/>
        <v>0</v>
      </c>
      <c r="BI60" s="240">
        <f t="shared" ca="1" si="25"/>
        <v>0</v>
      </c>
    </row>
    <row r="61" spans="1:61" x14ac:dyDescent="0.2">
      <c r="A61" s="308" t="s">
        <v>474</v>
      </c>
      <c r="B61" s="309" t="s">
        <v>108</v>
      </c>
      <c r="C61" s="309">
        <v>23</v>
      </c>
      <c r="D61" s="309" t="s">
        <v>440</v>
      </c>
      <c r="E61" s="310" t="str">
        <f t="shared" ca="1" si="8"/>
        <v>MR</v>
      </c>
      <c r="F61" s="311"/>
      <c r="G61" s="312">
        <f t="shared" ca="1" si="1"/>
        <v>31</v>
      </c>
      <c r="H61" s="250"/>
      <c r="I61" s="250"/>
      <c r="AF61" s="236">
        <f t="shared" si="2"/>
        <v>1</v>
      </c>
      <c r="AG61" s="236" t="str">
        <f t="shared" ca="1" si="3"/>
        <v/>
      </c>
      <c r="AH61" s="236" t="str">
        <f t="shared" ca="1" si="18"/>
        <v/>
      </c>
      <c r="AJ61" s="236">
        <f t="shared" ca="1" si="19"/>
        <v>61</v>
      </c>
      <c r="AK61" s="236" t="str">
        <f t="shared" ca="1" si="20"/>
        <v>AA-</v>
      </c>
      <c r="AL61" s="236">
        <f t="shared" ca="1" si="20"/>
        <v>23</v>
      </c>
      <c r="AM61" s="236" t="str">
        <f t="shared" ca="1" si="4"/>
        <v/>
      </c>
      <c r="AQ61" s="286"/>
      <c r="AR61" s="286"/>
      <c r="AS61" s="286"/>
      <c r="AT61" s="286"/>
      <c r="AV61" s="234">
        <f t="shared" si="21"/>
        <v>99</v>
      </c>
      <c r="AW61" s="234">
        <f>COUNTIF( AV$7:AV61, AV61 )</f>
        <v>4</v>
      </c>
      <c r="AX61" s="287">
        <f t="shared" si="22"/>
        <v>99.4</v>
      </c>
      <c r="AY61" s="234">
        <f t="shared" si="23"/>
        <v>55</v>
      </c>
      <c r="AZ61" s="236"/>
      <c r="BA61" s="236"/>
      <c r="BC61" s="234">
        <f t="shared" ca="1" si="24"/>
        <v>55</v>
      </c>
      <c r="BD61" s="288">
        <f t="shared" ca="1" si="6"/>
        <v>55</v>
      </c>
      <c r="BF61" s="240">
        <f t="shared" ca="1" si="25"/>
        <v>0</v>
      </c>
      <c r="BG61" s="240">
        <f t="shared" ca="1" si="25"/>
        <v>0</v>
      </c>
      <c r="BH61" s="240">
        <f t="shared" ca="1" si="25"/>
        <v>0</v>
      </c>
      <c r="BI61" s="240">
        <f t="shared" ca="1" si="25"/>
        <v>0</v>
      </c>
    </row>
    <row r="62" spans="1:61" x14ac:dyDescent="0.2">
      <c r="A62" s="303" t="s">
        <v>249</v>
      </c>
      <c r="B62" s="304"/>
      <c r="C62" s="304"/>
      <c r="D62" s="304" t="s">
        <v>445</v>
      </c>
      <c r="E62" s="305" t="str">
        <f t="shared" ca="1" si="8"/>
        <v>D</v>
      </c>
      <c r="F62" s="306"/>
      <c r="G62" s="307">
        <f t="shared" ca="1" si="1"/>
        <v>59</v>
      </c>
      <c r="H62" s="250"/>
      <c r="I62" s="250"/>
      <c r="AF62" s="236">
        <f t="shared" si="2"/>
        <v>0</v>
      </c>
      <c r="AG62" s="236" t="str">
        <f t="shared" si="3"/>
        <v/>
      </c>
      <c r="AH62" s="236" t="str">
        <f t="shared" si="18"/>
        <v/>
      </c>
      <c r="AJ62" s="236">
        <f t="shared" ca="1" si="19"/>
        <v>62</v>
      </c>
      <c r="AK62" s="236">
        <f t="shared" ca="1" si="20"/>
        <v>0</v>
      </c>
      <c r="AL62" s="236">
        <f t="shared" ca="1" si="20"/>
        <v>0</v>
      </c>
      <c r="AM62" s="236" t="str">
        <f t="shared" ca="1" si="4"/>
        <v/>
      </c>
      <c r="AQ62" s="286"/>
      <c r="AR62" s="286"/>
      <c r="AS62" s="286"/>
      <c r="AT62" s="286"/>
      <c r="AV62" s="234">
        <f t="shared" si="21"/>
        <v>99</v>
      </c>
      <c r="AW62" s="234">
        <f>COUNTIF( AV$7:AV62, AV62 )</f>
        <v>5</v>
      </c>
      <c r="AX62" s="287">
        <f t="shared" si="22"/>
        <v>99.5</v>
      </c>
      <c r="AY62" s="234">
        <f t="shared" si="23"/>
        <v>56</v>
      </c>
      <c r="AZ62" s="236"/>
      <c r="BA62" s="236"/>
      <c r="BC62" s="234">
        <f t="shared" ca="1" si="24"/>
        <v>56</v>
      </c>
      <c r="BD62" s="288">
        <f t="shared" ca="1" si="6"/>
        <v>56</v>
      </c>
      <c r="BF62" s="240">
        <f t="shared" ca="1" si="25"/>
        <v>0</v>
      </c>
      <c r="BG62" s="240">
        <f t="shared" ca="1" si="25"/>
        <v>0</v>
      </c>
      <c r="BH62" s="240">
        <f t="shared" ca="1" si="25"/>
        <v>0</v>
      </c>
      <c r="BI62" s="240">
        <f t="shared" ca="1" si="25"/>
        <v>0</v>
      </c>
    </row>
    <row r="63" spans="1:61" x14ac:dyDescent="0.2">
      <c r="A63" s="303"/>
      <c r="B63" s="313"/>
      <c r="C63" s="304"/>
      <c r="D63" s="304"/>
      <c r="E63" s="305"/>
      <c r="F63" s="306"/>
      <c r="G63" s="307"/>
      <c r="H63" s="250"/>
      <c r="I63" s="250"/>
      <c r="AF63" s="236">
        <f t="shared" si="2"/>
        <v>0</v>
      </c>
      <c r="AG63" s="236" t="str">
        <f t="shared" si="3"/>
        <v/>
      </c>
      <c r="AH63" s="236" t="str">
        <f t="shared" si="18"/>
        <v/>
      </c>
      <c r="AJ63" s="236" t="e">
        <f t="shared" ca="1" si="19"/>
        <v>#N/A</v>
      </c>
      <c r="AK63" s="236" t="str">
        <f t="shared" ca="1" si="20"/>
        <v/>
      </c>
      <c r="AL63" s="236" t="str">
        <f t="shared" ca="1" si="20"/>
        <v/>
      </c>
      <c r="AM63" s="236" t="str">
        <f t="shared" ca="1" si="4"/>
        <v/>
      </c>
      <c r="AQ63" s="286"/>
      <c r="AR63" s="286"/>
      <c r="AS63" s="286"/>
      <c r="AT63" s="286"/>
      <c r="AU63" s="286"/>
      <c r="AV63" s="234">
        <f t="shared" si="21"/>
        <v>99</v>
      </c>
      <c r="AW63" s="234">
        <f>COUNTIF( AV$7:AV63, AV63 )</f>
        <v>6</v>
      </c>
      <c r="AX63" s="287">
        <f t="shared" si="22"/>
        <v>99.6</v>
      </c>
      <c r="AY63" s="234">
        <f t="shared" si="23"/>
        <v>57</v>
      </c>
      <c r="AZ63" s="236"/>
      <c r="BA63" s="236"/>
      <c r="BC63" s="234">
        <f t="shared" ca="1" si="24"/>
        <v>57</v>
      </c>
      <c r="BD63" s="288">
        <f ca="1">MATCH( BC63, $AY$7:$AY$63, 0 )</f>
        <v>57</v>
      </c>
      <c r="BF63" s="240">
        <f t="shared" ca="1" si="25"/>
        <v>0</v>
      </c>
      <c r="BG63" s="240">
        <f t="shared" ca="1" si="25"/>
        <v>0</v>
      </c>
      <c r="BH63" s="240">
        <f t="shared" ca="1" si="25"/>
        <v>0</v>
      </c>
      <c r="BI63" s="240">
        <f t="shared" ca="1" si="25"/>
        <v>0</v>
      </c>
    </row>
    <row r="64" spans="1:61" x14ac:dyDescent="0.2">
      <c r="A64" s="303"/>
      <c r="B64" s="313"/>
      <c r="C64" s="304"/>
      <c r="D64" s="304"/>
      <c r="E64" s="305"/>
      <c r="F64" s="306"/>
      <c r="G64" s="307"/>
      <c r="H64" s="250"/>
      <c r="I64" s="250"/>
      <c r="AF64" s="236">
        <f t="shared" si="2"/>
        <v>0</v>
      </c>
      <c r="AG64" s="236" t="str">
        <f t="shared" si="3"/>
        <v/>
      </c>
      <c r="AH64" s="236" t="str">
        <f t="shared" si="18"/>
        <v/>
      </c>
      <c r="AJ64" s="236" t="e">
        <f t="shared" ca="1" si="19"/>
        <v>#N/A</v>
      </c>
      <c r="AK64" s="236" t="str">
        <f t="shared" ca="1" si="20"/>
        <v/>
      </c>
      <c r="AL64" s="236" t="str">
        <f t="shared" ca="1" si="20"/>
        <v/>
      </c>
      <c r="AM64" s="236" t="str">
        <f t="shared" ca="1" si="4"/>
        <v/>
      </c>
      <c r="AQ64" s="286" t="s">
        <v>74</v>
      </c>
      <c r="AR64" s="286" t="s">
        <v>108</v>
      </c>
      <c r="AS64" s="286">
        <v>23</v>
      </c>
      <c r="AT64" s="286" t="s">
        <v>440</v>
      </c>
      <c r="AU64" s="286"/>
      <c r="AZ64" s="236"/>
      <c r="BA64" s="236"/>
      <c r="BF64" s="236"/>
    </row>
    <row r="65" spans="1:58" x14ac:dyDescent="0.2">
      <c r="A65" s="303"/>
      <c r="B65" s="313"/>
      <c r="C65" s="304"/>
      <c r="D65" s="304"/>
      <c r="E65" s="305"/>
      <c r="F65" s="306"/>
      <c r="G65" s="307"/>
      <c r="H65" s="250"/>
      <c r="I65" s="250"/>
      <c r="N65" s="234" t="s">
        <v>73</v>
      </c>
      <c r="AF65" s="236">
        <f t="shared" si="2"/>
        <v>0</v>
      </c>
      <c r="AG65" s="236" t="str">
        <f>IF( LEN( $C65 ) = 0, "", IF( $C65 &gt; $AL65, 1, "" ) )</f>
        <v/>
      </c>
      <c r="AH65" s="236" t="str">
        <f t="shared" si="18"/>
        <v/>
      </c>
      <c r="AJ65" s="236" t="e">
        <f t="shared" ca="1" si="19"/>
        <v>#N/A</v>
      </c>
      <c r="AK65" s="236" t="str">
        <f t="shared" ca="1" si="20"/>
        <v/>
      </c>
      <c r="AL65" s="236" t="str">
        <f t="shared" ca="1" si="20"/>
        <v/>
      </c>
      <c r="AM65" s="236" t="str">
        <f t="shared" ca="1" si="4"/>
        <v/>
      </c>
      <c r="AQ65" s="286" t="s">
        <v>249</v>
      </c>
      <c r="AR65" s="286"/>
      <c r="AS65" s="286"/>
      <c r="AT65" s="286" t="s">
        <v>445</v>
      </c>
      <c r="AU65" s="286"/>
      <c r="AZ65" s="236"/>
      <c r="BA65" s="236"/>
      <c r="BF65" s="236"/>
    </row>
    <row r="66" spans="1:58" x14ac:dyDescent="0.2">
      <c r="A66" s="268"/>
      <c r="B66" s="269"/>
      <c r="C66" s="270"/>
      <c r="D66" s="270"/>
      <c r="E66" s="249"/>
      <c r="F66" s="250"/>
      <c r="H66" s="250"/>
      <c r="I66" s="250"/>
      <c r="AF66" s="236">
        <f t="shared" si="2"/>
        <v>0</v>
      </c>
      <c r="AG66" s="236" t="str">
        <f t="shared" ref="AG66:AG67" si="26">IF( LEN( $C66 ) = 0, "", IF( $C66 &gt; $AL66, 1, "" ) )</f>
        <v/>
      </c>
      <c r="AH66" s="236" t="str">
        <f t="shared" si="18"/>
        <v/>
      </c>
      <c r="AJ66" s="236" t="e">
        <f t="shared" ca="1" si="19"/>
        <v>#N/A</v>
      </c>
      <c r="AK66" s="236" t="str">
        <f t="shared" ca="1" si="20"/>
        <v/>
      </c>
      <c r="AL66" s="236" t="str">
        <f t="shared" ca="1" si="20"/>
        <v/>
      </c>
      <c r="AM66" s="236" t="str">
        <f t="shared" ca="1" si="4"/>
        <v/>
      </c>
      <c r="AU66" s="286"/>
      <c r="AX66" s="287"/>
      <c r="AZ66" s="236"/>
      <c r="BA66" s="236"/>
      <c r="BD66" s="288"/>
      <c r="BF66" s="236"/>
    </row>
    <row r="67" spans="1:58" ht="13.5" thickBot="1" x14ac:dyDescent="0.25">
      <c r="A67" s="271"/>
      <c r="B67" s="272"/>
      <c r="C67" s="337"/>
      <c r="D67" s="272"/>
      <c r="E67" s="273"/>
      <c r="F67" s="250"/>
      <c r="H67" s="250"/>
      <c r="I67" s="250"/>
      <c r="AF67" s="236">
        <f t="shared" si="2"/>
        <v>0</v>
      </c>
      <c r="AG67" s="236" t="str">
        <f t="shared" si="26"/>
        <v/>
      </c>
      <c r="AH67" s="236" t="str">
        <f t="shared" si="18"/>
        <v/>
      </c>
      <c r="AJ67" s="236" t="e">
        <f t="shared" ca="1" si="19"/>
        <v>#N/A</v>
      </c>
      <c r="AK67" s="236" t="str">
        <f t="shared" ca="1" si="20"/>
        <v/>
      </c>
      <c r="AL67" s="236" t="str">
        <f t="shared" ca="1" si="20"/>
        <v/>
      </c>
      <c r="AM67" s="236" t="str">
        <f t="shared" ca="1" si="4"/>
        <v/>
      </c>
      <c r="AX67" s="287"/>
      <c r="AZ67" s="236"/>
      <c r="BA67" s="236"/>
      <c r="BD67" s="288"/>
      <c r="BF67" s="236"/>
    </row>
    <row r="68" spans="1:58" x14ac:dyDescent="0.2">
      <c r="A68" s="274" t="s">
        <v>135</v>
      </c>
      <c r="B68" s="275" t="str">
        <f ca="1">OFFSET( Scale!$H$5, ROUND( C68, 0 ) - 1, 1 )</f>
        <v>BBB+</v>
      </c>
      <c r="C68" s="276">
        <f>AVERAGE(C7:C65)</f>
        <v>18.846153846153847</v>
      </c>
      <c r="D68" s="276"/>
      <c r="E68" s="276"/>
      <c r="F68" s="250"/>
      <c r="H68" s="250"/>
      <c r="I68" s="250"/>
      <c r="J68" s="253"/>
      <c r="K68" s="253"/>
      <c r="AX68" s="287"/>
      <c r="AZ68" s="236"/>
      <c r="BA68" s="236"/>
      <c r="BD68" s="288"/>
      <c r="BF68" s="236"/>
    </row>
    <row r="69" spans="1:58" x14ac:dyDescent="0.2">
      <c r="A69" s="277"/>
      <c r="B69" s="278"/>
      <c r="F69" s="250"/>
      <c r="H69" s="250"/>
      <c r="I69" s="250"/>
      <c r="AX69" s="287"/>
      <c r="AZ69" s="236"/>
      <c r="BA69" s="236"/>
      <c r="BD69" s="288"/>
      <c r="BF69" s="236"/>
    </row>
    <row r="70" spans="1:58" x14ac:dyDescent="0.2">
      <c r="A70" s="277"/>
      <c r="B70" s="278"/>
      <c r="F70" s="240"/>
      <c r="H70" s="240"/>
      <c r="I70" s="240"/>
      <c r="J70" s="253"/>
      <c r="K70" s="253"/>
    </row>
    <row r="71" spans="1:58" x14ac:dyDescent="0.2">
      <c r="A71" s="279" t="s">
        <v>267</v>
      </c>
      <c r="F71" s="240"/>
      <c r="H71" s="240"/>
      <c r="I71" s="240"/>
    </row>
    <row r="72" spans="1:58" x14ac:dyDescent="0.2">
      <c r="A72" s="279" t="s">
        <v>366</v>
      </c>
      <c r="B72" s="240"/>
      <c r="D72" s="264"/>
      <c r="E72" s="264"/>
      <c r="F72" s="280"/>
      <c r="H72" s="280"/>
      <c r="I72" s="280"/>
    </row>
    <row r="73" spans="1:58" x14ac:dyDescent="0.2">
      <c r="A73" s="281" t="s">
        <v>357</v>
      </c>
      <c r="B73" s="240"/>
      <c r="D73" s="264"/>
      <c r="E73" s="264"/>
      <c r="F73" s="280"/>
      <c r="H73" s="280"/>
      <c r="I73" s="280"/>
    </row>
    <row r="74" spans="1:58" x14ac:dyDescent="0.2">
      <c r="A74" s="279" t="s">
        <v>359</v>
      </c>
      <c r="D74" s="280"/>
      <c r="E74" s="234"/>
      <c r="F74" s="282"/>
      <c r="H74" s="282"/>
      <c r="I74" s="282"/>
      <c r="AQ74" s="286"/>
      <c r="AR74" s="286"/>
      <c r="AS74" s="286"/>
    </row>
    <row r="75" spans="1:58" x14ac:dyDescent="0.2">
      <c r="A75" s="279" t="s">
        <v>507</v>
      </c>
      <c r="D75" s="280"/>
      <c r="E75" s="234"/>
      <c r="F75" s="282"/>
      <c r="H75" s="282"/>
      <c r="I75" s="282"/>
      <c r="AQ75" s="286"/>
      <c r="AR75" s="286"/>
      <c r="AS75" s="286"/>
    </row>
    <row r="76" spans="1:58" x14ac:dyDescent="0.2">
      <c r="A76" s="279"/>
      <c r="AQ76" s="286"/>
      <c r="AR76" s="286"/>
      <c r="AS76" s="286"/>
    </row>
    <row r="77" spans="1:58" x14ac:dyDescent="0.2">
      <c r="C77" s="339">
        <f>SUMPRODUCT( L8:L13, Y8:Y13 ) / L14</f>
        <v>18.826923076923077</v>
      </c>
      <c r="E77" s="283"/>
      <c r="G77" s="251"/>
      <c r="J77" s="240"/>
      <c r="K77" s="240"/>
      <c r="AQ77" s="286"/>
      <c r="AR77" s="286"/>
      <c r="AS77" s="286"/>
    </row>
    <row r="78" spans="1:58" s="240" customFormat="1" x14ac:dyDescent="0.2">
      <c r="A78" s="284"/>
      <c r="B78" s="285"/>
      <c r="C78" s="285"/>
      <c r="D78" s="285"/>
      <c r="E78" s="249"/>
      <c r="F78" s="234"/>
      <c r="G78" s="236"/>
      <c r="H78" s="234"/>
      <c r="I78" s="234"/>
      <c r="Q78" s="234"/>
      <c r="T78" s="236"/>
      <c r="U78" s="236"/>
      <c r="V78" s="236"/>
      <c r="AF78" s="236"/>
      <c r="AG78" s="236"/>
      <c r="AH78" s="236"/>
      <c r="AJ78" s="236"/>
      <c r="AK78" s="236"/>
      <c r="AL78" s="236"/>
      <c r="AM78" s="236"/>
      <c r="AN78" s="236"/>
      <c r="AQ78" s="286"/>
      <c r="AR78" s="286"/>
      <c r="AS78" s="286"/>
    </row>
  </sheetData>
  <sortState ref="AQ7:AT57">
    <sortCondition ref="AQ7"/>
  </sortState>
  <mergeCells count="9">
    <mergeCell ref="L16:M16"/>
    <mergeCell ref="O16:P16"/>
    <mergeCell ref="R16:S16"/>
    <mergeCell ref="U16:V16"/>
    <mergeCell ref="J5:J6"/>
    <mergeCell ref="L5:M6"/>
    <mergeCell ref="O5:P6"/>
    <mergeCell ref="R5:S6"/>
    <mergeCell ref="U5:V6"/>
  </mergeCells>
  <conditionalFormatting sqref="A60:E61 E62:E65 E7:E59">
    <cfRule type="expression" dxfId="608" priority="28" stopIfTrue="1">
      <formula>IF( $AH7 = 1, TRUE, FALSE )</formula>
    </cfRule>
    <cfRule type="expression" dxfId="607" priority="29" stopIfTrue="1">
      <formula>IF( $AG7 = 1, TRUE, FALSE )</formula>
    </cfRule>
    <cfRule type="expression" dxfId="606" priority="30" stopIfTrue="1">
      <formula>IF( $AF7 = 1, TRUE, FALSE )</formula>
    </cfRule>
  </conditionalFormatting>
  <conditionalFormatting sqref="A67:E67">
    <cfRule type="expression" dxfId="605" priority="31" stopIfTrue="1">
      <formula>IF( $AH67 = 1, TRUE, FALSE )</formula>
    </cfRule>
    <cfRule type="expression" dxfId="604" priority="32" stopIfTrue="1">
      <formula>IF( $AG67 = 1, TRUE, FALSE )</formula>
    </cfRule>
    <cfRule type="expression" dxfId="603" priority="33" stopIfTrue="1">
      <formula>IF( $AF67 = 1, TRUE, FALSE )</formula>
    </cfRule>
  </conditionalFormatting>
  <conditionalFormatting sqref="A66:E66">
    <cfRule type="expression" dxfId="602" priority="25" stopIfTrue="1">
      <formula>IF( $AH66 = 1, TRUE, FALSE )</formula>
    </cfRule>
    <cfRule type="expression" dxfId="601" priority="26" stopIfTrue="1">
      <formula>IF( $AG66 = 1, TRUE, FALSE )</formula>
    </cfRule>
    <cfRule type="expression" dxfId="600" priority="27" stopIfTrue="1">
      <formula>IF( $AF66 = 1, TRUE, FALSE )</formula>
    </cfRule>
  </conditionalFormatting>
  <conditionalFormatting sqref="A8:D58 B7:D7">
    <cfRule type="expression" dxfId="599" priority="22" stopIfTrue="1">
      <formula>IF( $AH7 = 1, TRUE, FALSE )</formula>
    </cfRule>
    <cfRule type="expression" dxfId="598" priority="23" stopIfTrue="1">
      <formula>IF( $AG7 = 1, TRUE, FALSE )</formula>
    </cfRule>
    <cfRule type="expression" dxfId="597" priority="24" stopIfTrue="1">
      <formula>IF( $AF7 = 1, TRUE, FALSE )</formula>
    </cfRule>
  </conditionalFormatting>
  <conditionalFormatting sqref="A59:D59">
    <cfRule type="expression" dxfId="596" priority="19" stopIfTrue="1">
      <formula>IF( $AH59 = 1, TRUE, FALSE )</formula>
    </cfRule>
    <cfRule type="expression" dxfId="595" priority="20" stopIfTrue="1">
      <formula>IF( $AG59 = 1, TRUE, FALSE )</formula>
    </cfRule>
    <cfRule type="expression" dxfId="594" priority="21" stopIfTrue="1">
      <formula>IF( $AF59 = 1, TRUE, FALSE )</formula>
    </cfRule>
  </conditionalFormatting>
  <conditionalFormatting sqref="A61:D65">
    <cfRule type="expression" dxfId="593" priority="16" stopIfTrue="1">
      <formula>IF( $AH61 = 1, TRUE, FALSE )</formula>
    </cfRule>
    <cfRule type="expression" dxfId="592" priority="17" stopIfTrue="1">
      <formula>IF( $AG61 = 1, TRUE, FALSE )</formula>
    </cfRule>
    <cfRule type="expression" dxfId="591" priority="18" stopIfTrue="1">
      <formula>IF( $AF61 = 1, TRUE, FALSE )</formula>
    </cfRule>
  </conditionalFormatting>
  <conditionalFormatting sqref="U8:U12">
    <cfRule type="cellIs" dxfId="590" priority="15" operator="equal">
      <formula>0</formula>
    </cfRule>
  </conditionalFormatting>
  <conditionalFormatting sqref="O8:O12 Q8:Q12">
    <cfRule type="cellIs" dxfId="589" priority="14" operator="equal">
      <formula>0</formula>
    </cfRule>
  </conditionalFormatting>
  <conditionalFormatting sqref="V8:V12">
    <cfRule type="cellIs" dxfId="588" priority="13" operator="equal">
      <formula>0</formula>
    </cfRule>
  </conditionalFormatting>
  <conditionalFormatting sqref="S8:S12">
    <cfRule type="cellIs" dxfId="587" priority="11" operator="equal">
      <formula>0</formula>
    </cfRule>
  </conditionalFormatting>
  <conditionalFormatting sqref="R8:R12">
    <cfRule type="cellIs" dxfId="586" priority="12" operator="equal">
      <formula>0</formula>
    </cfRule>
  </conditionalFormatting>
  <conditionalFormatting sqref="P8:P12">
    <cfRule type="cellIs" dxfId="585" priority="10" operator="equal">
      <formula>0</formula>
    </cfRule>
  </conditionalFormatting>
  <conditionalFormatting sqref="M8:M12">
    <cfRule type="cellIs" dxfId="584" priority="9" operator="equal">
      <formula>0</formula>
    </cfRule>
  </conditionalFormatting>
  <conditionalFormatting sqref="T8:T12">
    <cfRule type="cellIs" dxfId="583" priority="8" operator="equal">
      <formula>0</formula>
    </cfRule>
  </conditionalFormatting>
  <conditionalFormatting sqref="N8:N12">
    <cfRule type="cellIs" dxfId="582" priority="7" operator="equal">
      <formula>0</formula>
    </cfRule>
  </conditionalFormatting>
  <conditionalFormatting sqref="K8:K12">
    <cfRule type="cellIs" dxfId="581" priority="6" operator="equal">
      <formula>0</formula>
    </cfRule>
  </conditionalFormatting>
  <conditionalFormatting sqref="I8:I12">
    <cfRule type="cellIs" dxfId="580" priority="5" operator="equal">
      <formula>0</formula>
    </cfRule>
  </conditionalFormatting>
  <conditionalFormatting sqref="W8:W12">
    <cfRule type="cellIs" dxfId="579" priority="4" operator="equal">
      <formula>0</formula>
    </cfRule>
  </conditionalFormatting>
  <conditionalFormatting sqref="A7">
    <cfRule type="expression" dxfId="578" priority="1" stopIfTrue="1">
      <formula>IF( $AH7 = 1, TRUE, FALSE )</formula>
    </cfRule>
    <cfRule type="expression" dxfId="577" priority="2" stopIfTrue="1">
      <formula>IF( $AG7 = 1, TRUE, FALSE )</formula>
    </cfRule>
    <cfRule type="expression" dxfId="576" priority="3" stopIfTrue="1">
      <formula>IF( $AF7 = 1, TRUE, FALSE )</formula>
    </cfRule>
  </conditionalFormatting>
  <pageMargins left="0.17" right="0.18" top="0.28000000000000003" bottom="0.17" header="0.3" footer="0.3"/>
  <pageSetup scale="19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BJ78"/>
  <sheetViews>
    <sheetView showGridLines="0" zoomScale="85" zoomScaleNormal="85" workbookViewId="0">
      <pane ySplit="6" topLeftCell="A7" activePane="bottomLeft" state="frozen"/>
      <selection activeCell="A7" sqref="A7"/>
      <selection pane="bottomLeft" activeCell="A7" sqref="A7"/>
    </sheetView>
  </sheetViews>
  <sheetFormatPr defaultColWidth="9.140625" defaultRowHeight="12.75" outlineLevelRow="1" outlineLevelCol="2" x14ac:dyDescent="0.2"/>
  <cols>
    <col min="1" max="1" width="35.140625" style="234" customWidth="1"/>
    <col min="2" max="2" width="9.140625" style="234"/>
    <col min="3" max="3" width="9.42578125" style="263" customWidth="1"/>
    <col min="4" max="4" width="9.140625" style="235" customWidth="1" outlineLevel="1"/>
    <col min="5" max="5" width="12.5703125" style="235" customWidth="1" outlineLevel="1"/>
    <col min="6" max="6" width="3.42578125" style="234" customWidth="1" outlineLevel="1"/>
    <col min="7" max="7" width="17.7109375" style="236" hidden="1" customWidth="1" outlineLevel="2"/>
    <col min="8" max="8" width="3.42578125" style="234" hidden="1" customWidth="1" outlineLevel="2" collapsed="1"/>
    <col min="9" max="9" width="3.28515625" style="234" customWidth="1" outlineLevel="1" collapsed="1"/>
    <col min="10" max="10" width="22" style="234" customWidth="1"/>
    <col min="11" max="11" width="2" style="234" customWidth="1"/>
    <col min="12" max="13" width="10.42578125" style="234" customWidth="1"/>
    <col min="14" max="14" width="2" style="234" customWidth="1"/>
    <col min="15" max="16" width="10.42578125" style="234" customWidth="1"/>
    <col min="17" max="17" width="2" style="234" customWidth="1"/>
    <col min="18" max="19" width="10.42578125" style="234" customWidth="1"/>
    <col min="20" max="20" width="2" style="236" customWidth="1"/>
    <col min="21" max="22" width="10.42578125" style="236" customWidth="1"/>
    <col min="23" max="23" width="2" style="234" customWidth="1"/>
    <col min="24" max="24" width="4.140625" style="234" customWidth="1"/>
    <col min="25" max="25" width="5.5703125" style="234" customWidth="1"/>
    <col min="26" max="26" width="2.42578125" style="234" customWidth="1"/>
    <col min="27" max="27" width="4.28515625" style="234" customWidth="1"/>
    <col min="28" max="30" width="2.42578125" style="234" hidden="1" customWidth="1" outlineLevel="1"/>
    <col min="31" max="31" width="4.42578125" style="234" hidden="1" customWidth="1" outlineLevel="1"/>
    <col min="32" max="32" width="6.5703125" style="236" hidden="1" customWidth="1" outlineLevel="1" collapsed="1"/>
    <col min="33" max="34" width="6.5703125" style="236" hidden="1" customWidth="1" outlineLevel="1"/>
    <col min="35" max="35" width="3.140625" style="234" hidden="1" customWidth="1" outlineLevel="1"/>
    <col min="36" max="36" width="15.85546875" style="236" hidden="1" customWidth="1" outlineLevel="1" collapsed="1"/>
    <col min="37" max="38" width="15.85546875" style="236" hidden="1" customWidth="1" outlineLevel="1"/>
    <col min="39" max="39" width="8.42578125" style="236" hidden="1" customWidth="1" outlineLevel="1"/>
    <col min="40" max="40" width="11.85546875" style="236" hidden="1" customWidth="1" outlineLevel="1"/>
    <col min="41" max="41" width="3.42578125" style="234" customWidth="1" collapsed="1"/>
    <col min="42" max="42" width="3.42578125" style="234" customWidth="1"/>
    <col min="43" max="43" width="29.7109375" style="234" hidden="1" customWidth="1" outlineLevel="1"/>
    <col min="44" max="44" width="6.42578125" style="234" hidden="1" customWidth="1" outlineLevel="1"/>
    <col min="45" max="45" width="6.7109375" style="234" hidden="1" customWidth="1" outlineLevel="1"/>
    <col min="46" max="46" width="8.7109375" style="234" hidden="1" customWidth="1" outlineLevel="1"/>
    <col min="47" max="47" width="3.140625" style="234" hidden="1" customWidth="1" outlineLevel="1"/>
    <col min="48" max="56" width="9.140625" style="234" hidden="1" customWidth="1" outlineLevel="2"/>
    <col min="57" max="57" width="5.42578125" style="234" hidden="1" customWidth="1" outlineLevel="1" collapsed="1"/>
    <col min="58" max="58" width="36.85546875" style="234" hidden="1" customWidth="1" outlineLevel="1"/>
    <col min="59" max="59" width="6.42578125" style="234" hidden="1" customWidth="1" outlineLevel="1"/>
    <col min="60" max="60" width="3.42578125" style="234" hidden="1" customWidth="1" outlineLevel="1"/>
    <col min="61" max="61" width="9.140625" style="234" hidden="1" customWidth="1" outlineLevel="1"/>
    <col min="62" max="62" width="9.140625" style="234" collapsed="1"/>
    <col min="63" max="16384" width="9.140625" style="234"/>
  </cols>
  <sheetData>
    <row r="1" spans="1:61" ht="18.75" x14ac:dyDescent="0.2">
      <c r="A1" s="323" t="str">
        <f>"I.  S&amp;P Utility Credit Ratings Distribution -- " &amp; B6</f>
        <v>I.  S&amp;P Utility Credit Ratings Distribution -- 2015 Q1</v>
      </c>
      <c r="G1" s="242" t="s">
        <v>506</v>
      </c>
      <c r="AF1" s="237" t="s">
        <v>420</v>
      </c>
      <c r="AG1" s="237" t="s">
        <v>421</v>
      </c>
      <c r="AH1" s="237" t="s">
        <v>422</v>
      </c>
      <c r="AJ1" s="237" t="s">
        <v>424</v>
      </c>
      <c r="AK1" s="237" t="s">
        <v>426</v>
      </c>
      <c r="AL1" s="237" t="s">
        <v>426</v>
      </c>
      <c r="AM1" s="237" t="s">
        <v>424</v>
      </c>
      <c r="AN1" s="237"/>
      <c r="AQ1" s="237" t="s">
        <v>497</v>
      </c>
    </row>
    <row r="2" spans="1:61" ht="18.75" hidden="1" outlineLevel="1" x14ac:dyDescent="0.2">
      <c r="A2" s="233"/>
      <c r="E2" s="238" t="str">
        <f>G2</f>
        <v>Reg_Percent_2013</v>
      </c>
      <c r="G2" s="239" t="s">
        <v>505</v>
      </c>
      <c r="AJ2" s="240" t="str">
        <f>AJ4 &amp; AJ3</f>
        <v>'Credit_2014Q4'!d:d</v>
      </c>
      <c r="AK2" s="240" t="str">
        <f>AK4 &amp; AK3</f>
        <v>'Credit_2014Q4'!b1</v>
      </c>
      <c r="AL2" s="240" t="str">
        <f>AL4 &amp; AL3</f>
        <v>'Credit_2014Q4'!c1</v>
      </c>
      <c r="AQ2" s="236"/>
    </row>
    <row r="3" spans="1:61" ht="18.75" hidden="1" outlineLevel="1" x14ac:dyDescent="0.2">
      <c r="A3" s="233"/>
      <c r="E3" s="241" t="str">
        <f>"'" &amp; E2 &amp; "'!"</f>
        <v>'Reg_Percent_2013'!</v>
      </c>
      <c r="G3" s="234" t="str">
        <f>"'" &amp; G2 &amp; "'!"</f>
        <v>'Reg_Percent_2013'!</v>
      </c>
      <c r="O3" s="242" t="s">
        <v>371</v>
      </c>
      <c r="P3" s="242"/>
      <c r="Q3" s="242"/>
      <c r="R3" s="242" t="s">
        <v>372</v>
      </c>
      <c r="T3" s="234"/>
      <c r="U3" s="242" t="s">
        <v>86</v>
      </c>
      <c r="V3" s="234"/>
      <c r="X3" s="242"/>
      <c r="Y3" s="242"/>
      <c r="Z3" s="242"/>
      <c r="AA3" s="242"/>
      <c r="AJ3" s="210" t="s">
        <v>438</v>
      </c>
      <c r="AK3" s="210" t="s">
        <v>427</v>
      </c>
      <c r="AL3" s="210" t="s">
        <v>453</v>
      </c>
      <c r="AQ3" s="236"/>
    </row>
    <row r="4" spans="1:61" ht="18.75" hidden="1" outlineLevel="1" x14ac:dyDescent="0.2">
      <c r="A4" s="233"/>
      <c r="E4" s="242" t="s">
        <v>439</v>
      </c>
      <c r="G4" s="242" t="s">
        <v>438</v>
      </c>
      <c r="O4" s="236"/>
      <c r="P4" s="236"/>
      <c r="Q4" s="236"/>
      <c r="T4" s="234"/>
      <c r="U4" s="234"/>
      <c r="V4" s="234"/>
      <c r="AJ4" s="236" t="str">
        <f>$AQ$5</f>
        <v>'Credit_2014Q4'!</v>
      </c>
      <c r="AK4" s="236" t="str">
        <f t="shared" ref="AK4:AL4" si="0">$AQ$5</f>
        <v>'Credit_2014Q4'!</v>
      </c>
      <c r="AL4" s="236" t="str">
        <f t="shared" si="0"/>
        <v>'Credit_2014Q4'!</v>
      </c>
      <c r="AQ4" s="236"/>
    </row>
    <row r="5" spans="1:61" collapsed="1" x14ac:dyDescent="0.2">
      <c r="E5" s="243" t="s">
        <v>436</v>
      </c>
      <c r="G5" s="237" t="s">
        <v>424</v>
      </c>
      <c r="I5" s="314"/>
      <c r="J5" s="466" t="s">
        <v>77</v>
      </c>
      <c r="K5" s="314"/>
      <c r="L5" s="468" t="str">
        <f>"All Companies" &amp; CHAR( 10 ) &amp; "("&amp; L14 &amp; ")"</f>
        <v>All Companies
(53)</v>
      </c>
      <c r="M5" s="468"/>
      <c r="N5" s="314"/>
      <c r="O5" s="466" t="str">
        <f ca="1">"Regulated" &amp; CHAR( 10 ) &amp; "(" &amp; O14 &amp; ")"</f>
        <v>Regulated
(38)</v>
      </c>
      <c r="P5" s="470"/>
      <c r="Q5" s="314"/>
      <c r="R5" s="466" t="str">
        <f ca="1">"Mostly Regulated" &amp; CHAR( 10 ) &amp; "(" &amp; R14 &amp; ")"</f>
        <v>Mostly Regulated
(13)</v>
      </c>
      <c r="S5" s="470"/>
      <c r="T5" s="314"/>
      <c r="U5" s="466" t="str">
        <f ca="1">"Diversified" &amp; CHAR( 10 ) &amp; "(" &amp; U14 &amp; ")"</f>
        <v>Diversified
(2)</v>
      </c>
      <c r="V5" s="470"/>
      <c r="W5" s="314"/>
      <c r="AE5" s="244"/>
      <c r="AF5" s="234"/>
      <c r="AG5" s="234"/>
      <c r="AH5" s="234"/>
      <c r="AJ5" s="234"/>
      <c r="AK5" s="234"/>
      <c r="AL5" s="234"/>
      <c r="AM5" s="234"/>
      <c r="AN5" s="234"/>
      <c r="AQ5" s="432" t="s">
        <v>511</v>
      </c>
    </row>
    <row r="6" spans="1:61" ht="28.5" customHeight="1" x14ac:dyDescent="0.2">
      <c r="A6" s="299" t="s">
        <v>0</v>
      </c>
      <c r="B6" s="300" t="s">
        <v>514</v>
      </c>
      <c r="C6" s="338" t="s">
        <v>471</v>
      </c>
      <c r="D6" s="301"/>
      <c r="E6" s="302">
        <f ca="1">INDIRECT( E3 &amp; G1 )</f>
        <v>41639</v>
      </c>
      <c r="I6" s="315"/>
      <c r="J6" s="467"/>
      <c r="K6" s="315"/>
      <c r="L6" s="469"/>
      <c r="M6" s="469"/>
      <c r="N6" s="315"/>
      <c r="O6" s="467"/>
      <c r="P6" s="467"/>
      <c r="Q6" s="315"/>
      <c r="R6" s="467" t="s">
        <v>137</v>
      </c>
      <c r="S6" s="467"/>
      <c r="T6" s="315"/>
      <c r="U6" s="467"/>
      <c r="V6" s="467"/>
      <c r="W6" s="315"/>
      <c r="AE6" s="245"/>
      <c r="AJ6" s="246"/>
    </row>
    <row r="7" spans="1:61" x14ac:dyDescent="0.2">
      <c r="A7" s="303" t="s">
        <v>7</v>
      </c>
      <c r="B7" s="304" t="s">
        <v>2</v>
      </c>
      <c r="C7" s="304">
        <v>21</v>
      </c>
      <c r="D7" s="304" t="s">
        <v>328</v>
      </c>
      <c r="E7" s="305" t="str">
        <f ca="1">IF( LEN( $G7 ) = 0, "", OFFSET( INDIRECT( E$3 &amp; E$4 ), $G7 - 1, 0 ) )</f>
        <v>R</v>
      </c>
      <c r="F7" s="306"/>
      <c r="G7" s="307">
        <f t="shared" ref="G7:G62" ca="1" si="1">IF( LEN( $D7 ) = 0, "", MATCH( $D7, INDIRECT( G$3 &amp; G$4 ), 0 ) )</f>
        <v>47</v>
      </c>
      <c r="H7" s="250"/>
      <c r="I7" s="316"/>
      <c r="J7" s="252"/>
      <c r="K7" s="316"/>
      <c r="L7" s="252" t="s">
        <v>81</v>
      </c>
      <c r="M7" s="252" t="s">
        <v>82</v>
      </c>
      <c r="N7" s="316"/>
      <c r="O7" s="252" t="s">
        <v>81</v>
      </c>
      <c r="P7" s="252" t="s">
        <v>82</v>
      </c>
      <c r="Q7" s="316"/>
      <c r="R7" s="252" t="s">
        <v>81</v>
      </c>
      <c r="S7" s="252" t="s">
        <v>82</v>
      </c>
      <c r="T7" s="316"/>
      <c r="U7" s="252" t="s">
        <v>81</v>
      </c>
      <c r="V7" s="252" t="s">
        <v>82</v>
      </c>
      <c r="W7" s="316"/>
      <c r="AE7" s="254"/>
      <c r="AF7" s="236">
        <f t="shared" ref="AF7:AF67" si="2">IF( LEN( C7 ) = 0, 0, IF( C7 = C6, AF6, IF( AF6 = 1, 0, 1 ) ) )</f>
        <v>1</v>
      </c>
      <c r="AG7" s="236" t="str">
        <f t="shared" ref="AG7:AG64" ca="1" si="3">IF( LEN( $C7 ) = 0, "", IF( $C7 &gt; $AL7, 1, "" ) )</f>
        <v/>
      </c>
      <c r="AH7" s="236" t="str">
        <f ca="1">IF( LEN( $C7 ) = 0, "", IF( $C7 &lt; $AL7, 1, "" ) )</f>
        <v/>
      </c>
      <c r="AJ7" s="236">
        <f ca="1">MATCH( $D7, INDIRECT( AJ$2 ), 0 )</f>
        <v>7</v>
      </c>
      <c r="AK7" s="236" t="str">
        <f ca="1">IF( ISNA( $AJ7 ), "", OFFSET( INDIRECT( AK$2 ), $AJ7-1, 0 ) )</f>
        <v>A</v>
      </c>
      <c r="AL7" s="236">
        <f ca="1">IF( ISNA( $AJ7 ), "", OFFSET( INDIRECT( AL$2 ), $AJ7-1, 0 ) )</f>
        <v>21</v>
      </c>
      <c r="AM7" s="236" t="str">
        <f t="shared" ref="AM7:AM67" ca="1" si="4">IF( B7 = AK7, "", "Change" )</f>
        <v/>
      </c>
      <c r="AQ7" s="286" t="s">
        <v>15</v>
      </c>
      <c r="AR7" s="286" t="s">
        <v>16</v>
      </c>
      <c r="AS7" s="286">
        <v>19</v>
      </c>
      <c r="AT7" s="286" t="s">
        <v>277</v>
      </c>
      <c r="AV7" s="234">
        <f>IF( LEN( AS7 ) = 0, 99, RANK( AS7, $AS$7:$AS$63 ) )</f>
        <v>14</v>
      </c>
      <c r="AW7" s="234">
        <f>COUNTIF( AV7:AV$7, AV7 )</f>
        <v>1</v>
      </c>
      <c r="AX7" s="287">
        <f>AV7 + AW7 / 10</f>
        <v>14.1</v>
      </c>
      <c r="AY7" s="234">
        <f>RANK( AX7, $AX$7:$AX$63, 1 )</f>
        <v>14</v>
      </c>
      <c r="AZ7" s="236"/>
      <c r="BA7" s="236"/>
      <c r="BC7" s="234">
        <f t="shared" ref="BC7" ca="1" si="5">OFFSET( BC7, -1, 0 ) + 1</f>
        <v>1</v>
      </c>
      <c r="BD7" s="288">
        <f t="shared" ref="BD7:BD62" ca="1" si="6">MATCH( BC7, $AY$7:$AY$63, 0 )</f>
        <v>45</v>
      </c>
      <c r="BF7" s="240" t="str">
        <f t="shared" ref="BF7:BI38" ca="1" si="7">OFFSET( AQ$6, $BD7, 0 )</f>
        <v>Southern Company</v>
      </c>
      <c r="BG7" s="240" t="str">
        <f t="shared" ca="1" si="7"/>
        <v>A</v>
      </c>
      <c r="BH7" s="240">
        <f t="shared" ca="1" si="7"/>
        <v>21</v>
      </c>
      <c r="BI7" s="240" t="str">
        <f t="shared" ca="1" si="7"/>
        <v>SO</v>
      </c>
    </row>
    <row r="8" spans="1:61" x14ac:dyDescent="0.2">
      <c r="A8" s="303" t="s">
        <v>17</v>
      </c>
      <c r="B8" s="304" t="s">
        <v>10</v>
      </c>
      <c r="C8" s="304">
        <v>20</v>
      </c>
      <c r="D8" s="304" t="s">
        <v>307</v>
      </c>
      <c r="E8" s="305" t="str">
        <f t="shared" ref="E8:E62" ca="1" si="8">IF( LEN( $G8 ) = 0, "", OFFSET( INDIRECT( E$3 &amp; E$4 ), $G8 - 1, 0 ) )</f>
        <v>R</v>
      </c>
      <c r="F8" s="306"/>
      <c r="G8" s="307">
        <f t="shared" ca="1" si="1"/>
        <v>8</v>
      </c>
      <c r="H8" s="250"/>
      <c r="I8" s="317"/>
      <c r="J8" s="293" t="s">
        <v>138</v>
      </c>
      <c r="K8" s="317"/>
      <c r="L8" s="293">
        <f t="shared" ref="L8:L13" si="9">COUNTIF($C$7:$C$67,$X8)</f>
        <v>2</v>
      </c>
      <c r="M8" s="294">
        <f t="shared" ref="M8:M13" si="10">IF( L8 = 0, "", L8/L$14 )</f>
        <v>3.7735849056603772E-2</v>
      </c>
      <c r="N8" s="317"/>
      <c r="O8" s="293">
        <f t="shared" ref="O8:O13" ca="1" si="11">COUNTIFS( $E$7:$E$66, O$3, $C$7:$C$66, $X8 )</f>
        <v>1</v>
      </c>
      <c r="P8" s="294">
        <f t="shared" ref="P8:P13" ca="1" si="12">IF( O8 = 0, "", O8/O$14 )</f>
        <v>2.6315789473684209E-2</v>
      </c>
      <c r="Q8" s="317"/>
      <c r="R8" s="293">
        <f t="shared" ref="R8:R13" ca="1" si="13">COUNTIFS( $E$7:$E$66, R$3, $C$7:$C$66, $X8 )</f>
        <v>1</v>
      </c>
      <c r="S8" s="294">
        <f t="shared" ref="S8:S13" ca="1" si="14">IF( R8 = 0, "", R8/R$14 )</f>
        <v>7.6923076923076927E-2</v>
      </c>
      <c r="T8" s="317"/>
      <c r="U8" s="293">
        <f t="shared" ref="U8:U13" ca="1" si="15">COUNTIFS( $E$7:$E$66, U$3, $C$7:$C$66, $X8 )</f>
        <v>0</v>
      </c>
      <c r="V8" s="294" t="str">
        <f t="shared" ref="V8:V13" ca="1" si="16">IF( U8 = 0, "", U8/U$14 )</f>
        <v/>
      </c>
      <c r="W8" s="317"/>
      <c r="X8" s="256" t="s">
        <v>464</v>
      </c>
      <c r="Y8" s="256">
        <v>21</v>
      </c>
      <c r="Z8" s="256">
        <v>1</v>
      </c>
      <c r="AA8" s="255">
        <f t="shared" ref="AA8:AA13" ca="1" si="17">SUM(O8, R8, U8)</f>
        <v>2</v>
      </c>
      <c r="AC8" s="257"/>
      <c r="AE8" s="254"/>
      <c r="AF8" s="236">
        <f t="shared" si="2"/>
        <v>0</v>
      </c>
      <c r="AG8" s="236" t="str">
        <f t="shared" ca="1" si="3"/>
        <v/>
      </c>
      <c r="AH8" s="236" t="str">
        <f t="shared" ref="AH8:AH67" ca="1" si="18">IF( LEN( $C8 ) = 0, "", IF( $C8 &lt; $AL8, 1, "" ) )</f>
        <v/>
      </c>
      <c r="AJ8" s="236">
        <f t="shared" ref="AJ8:AJ67" ca="1" si="19">MATCH( $D8, INDIRECT( AJ$2 ), 0 )</f>
        <v>8</v>
      </c>
      <c r="AK8" s="236" t="str">
        <f t="shared" ref="AK8:AL67" ca="1" si="20">IF( ISNA( $AJ8 ), "", OFFSET( INDIRECT( AK$2 ), $AJ8-1, 0 ) )</f>
        <v>A-</v>
      </c>
      <c r="AL8" s="236">
        <f t="shared" ca="1" si="20"/>
        <v>20</v>
      </c>
      <c r="AM8" s="236" t="str">
        <f t="shared" ca="1" si="4"/>
        <v/>
      </c>
      <c r="AQ8" s="286" t="s">
        <v>17</v>
      </c>
      <c r="AR8" s="286" t="s">
        <v>10</v>
      </c>
      <c r="AS8" s="286">
        <v>20</v>
      </c>
      <c r="AT8" s="286" t="s">
        <v>307</v>
      </c>
      <c r="AV8" s="234">
        <f t="shared" ref="AV8:AV63" si="21">IF( LEN( AS8 ) = 0, 99, RANK( AS8, $AS$7:$AS$63 ) )</f>
        <v>2</v>
      </c>
      <c r="AW8" s="234">
        <f>COUNTIF( AV$7:AV8, AV8 )</f>
        <v>1</v>
      </c>
      <c r="AX8" s="287">
        <f t="shared" ref="AX8:AX63" si="22">AV8 + AW8 / 10</f>
        <v>2.1</v>
      </c>
      <c r="AY8" s="234">
        <f t="shared" ref="AY8:AY63" si="23">RANK( AX8, $AX$7:$AX$63, 1 )</f>
        <v>2</v>
      </c>
      <c r="AZ8" s="236"/>
      <c r="BA8" s="236"/>
      <c r="BC8" s="234">
        <f ca="1">OFFSET( BC8, -1, 0 ) + 1</f>
        <v>2</v>
      </c>
      <c r="BD8" s="288">
        <f t="shared" ca="1" si="6"/>
        <v>2</v>
      </c>
      <c r="BF8" s="240" t="str">
        <f t="shared" ca="1" si="7"/>
        <v>Alliant Energy Corporation</v>
      </c>
      <c r="BG8" s="240" t="str">
        <f t="shared" ca="1" si="7"/>
        <v>A-</v>
      </c>
      <c r="BH8" s="240">
        <f t="shared" ca="1" si="7"/>
        <v>20</v>
      </c>
      <c r="BI8" s="240" t="str">
        <f t="shared" ca="1" si="7"/>
        <v>LNT</v>
      </c>
    </row>
    <row r="9" spans="1:61" x14ac:dyDescent="0.2">
      <c r="A9" s="303" t="s">
        <v>29</v>
      </c>
      <c r="B9" s="304" t="s">
        <v>10</v>
      </c>
      <c r="C9" s="304">
        <v>20</v>
      </c>
      <c r="D9" s="304" t="s">
        <v>286</v>
      </c>
      <c r="E9" s="305" t="str">
        <f t="shared" ca="1" si="8"/>
        <v>MR</v>
      </c>
      <c r="F9" s="306"/>
      <c r="G9" s="307">
        <f t="shared" ca="1" si="1"/>
        <v>13</v>
      </c>
      <c r="H9" s="250"/>
      <c r="I9" s="318"/>
      <c r="J9" s="295" t="s">
        <v>10</v>
      </c>
      <c r="K9" s="318"/>
      <c r="L9" s="295">
        <f t="shared" si="9"/>
        <v>12</v>
      </c>
      <c r="M9" s="296">
        <f t="shared" si="10"/>
        <v>0.22641509433962265</v>
      </c>
      <c r="N9" s="318"/>
      <c r="O9" s="295">
        <f t="shared" ca="1" si="11"/>
        <v>8</v>
      </c>
      <c r="P9" s="296">
        <f t="shared" ca="1" si="12"/>
        <v>0.21052631578947367</v>
      </c>
      <c r="Q9" s="318"/>
      <c r="R9" s="295">
        <f t="shared" ca="1" si="13"/>
        <v>4</v>
      </c>
      <c r="S9" s="296">
        <f t="shared" ca="1" si="14"/>
        <v>0.30769230769230771</v>
      </c>
      <c r="T9" s="318"/>
      <c r="U9" s="295">
        <f t="shared" ca="1" si="15"/>
        <v>0</v>
      </c>
      <c r="V9" s="296" t="str">
        <f t="shared" ca="1" si="16"/>
        <v/>
      </c>
      <c r="W9" s="318"/>
      <c r="X9" s="256" t="s">
        <v>465</v>
      </c>
      <c r="Y9" s="256">
        <v>20</v>
      </c>
      <c r="Z9" s="256">
        <v>1</v>
      </c>
      <c r="AA9" s="255">
        <f t="shared" ca="1" si="17"/>
        <v>12</v>
      </c>
      <c r="AC9" s="253"/>
      <c r="AE9" s="254"/>
      <c r="AF9" s="236">
        <f t="shared" si="2"/>
        <v>0</v>
      </c>
      <c r="AG9" s="236" t="str">
        <f t="shared" ca="1" si="3"/>
        <v/>
      </c>
      <c r="AH9" s="236" t="str">
        <f t="shared" ca="1" si="18"/>
        <v/>
      </c>
      <c r="AJ9" s="236">
        <f t="shared" ca="1" si="19"/>
        <v>9</v>
      </c>
      <c r="AK9" s="236" t="str">
        <f t="shared" ca="1" si="20"/>
        <v>A-</v>
      </c>
      <c r="AL9" s="236">
        <f t="shared" ca="1" si="20"/>
        <v>20</v>
      </c>
      <c r="AM9" s="236" t="str">
        <f t="shared" ca="1" si="4"/>
        <v/>
      </c>
      <c r="AQ9" s="286" t="s">
        <v>9</v>
      </c>
      <c r="AR9" s="286" t="s">
        <v>16</v>
      </c>
      <c r="AS9" s="286">
        <v>19</v>
      </c>
      <c r="AT9" s="286" t="s">
        <v>274</v>
      </c>
      <c r="AV9" s="234">
        <f t="shared" si="21"/>
        <v>14</v>
      </c>
      <c r="AW9" s="234">
        <f>COUNTIF( AV$7:AV9, AV9 )</f>
        <v>2</v>
      </c>
      <c r="AX9" s="287">
        <f t="shared" si="22"/>
        <v>14.2</v>
      </c>
      <c r="AY9" s="234">
        <f t="shared" si="23"/>
        <v>15</v>
      </c>
      <c r="AZ9" s="236"/>
      <c r="BA9" s="236"/>
      <c r="BC9" s="234">
        <f t="shared" ref="BC9:BC63" ca="1" si="24">OFFSET( BC9, -1, 0 ) + 1</f>
        <v>3</v>
      </c>
      <c r="BD9" s="288">
        <f t="shared" ca="1" si="6"/>
        <v>8</v>
      </c>
      <c r="BF9" s="240" t="str">
        <f t="shared" ca="1" si="7"/>
        <v>CenterPoint Energy, Inc.</v>
      </c>
      <c r="BG9" s="240" t="str">
        <f t="shared" ca="1" si="7"/>
        <v>A-</v>
      </c>
      <c r="BH9" s="240">
        <f t="shared" ca="1" si="7"/>
        <v>20</v>
      </c>
      <c r="BI9" s="240" t="str">
        <f t="shared" ca="1" si="7"/>
        <v>CNP</v>
      </c>
    </row>
    <row r="10" spans="1:61" x14ac:dyDescent="0.2">
      <c r="A10" s="303" t="s">
        <v>3</v>
      </c>
      <c r="B10" s="304" t="s">
        <v>10</v>
      </c>
      <c r="C10" s="304">
        <v>20</v>
      </c>
      <c r="D10" s="304" t="s">
        <v>292</v>
      </c>
      <c r="E10" s="305" t="str">
        <f t="shared" ca="1" si="8"/>
        <v>R</v>
      </c>
      <c r="F10" s="306"/>
      <c r="G10" s="307">
        <f t="shared" ca="1" si="1"/>
        <v>16</v>
      </c>
      <c r="H10" s="250"/>
      <c r="I10" s="318"/>
      <c r="J10" s="295" t="s">
        <v>16</v>
      </c>
      <c r="K10" s="318"/>
      <c r="L10" s="295">
        <f t="shared" si="9"/>
        <v>17</v>
      </c>
      <c r="M10" s="296">
        <f t="shared" si="10"/>
        <v>0.32075471698113206</v>
      </c>
      <c r="N10" s="318"/>
      <c r="O10" s="295">
        <f t="shared" ca="1" si="11"/>
        <v>12</v>
      </c>
      <c r="P10" s="296">
        <f t="shared" ca="1" si="12"/>
        <v>0.31578947368421051</v>
      </c>
      <c r="Q10" s="318"/>
      <c r="R10" s="295">
        <f t="shared" ca="1" si="13"/>
        <v>4</v>
      </c>
      <c r="S10" s="296">
        <f t="shared" ca="1" si="14"/>
        <v>0.30769230769230771</v>
      </c>
      <c r="T10" s="318"/>
      <c r="U10" s="295">
        <f t="shared" ca="1" si="15"/>
        <v>1</v>
      </c>
      <c r="V10" s="296">
        <f t="shared" ca="1" si="16"/>
        <v>0.5</v>
      </c>
      <c r="W10" s="318"/>
      <c r="X10" s="256" t="s">
        <v>466</v>
      </c>
      <c r="Y10" s="256">
        <v>19</v>
      </c>
      <c r="Z10" s="256">
        <v>1</v>
      </c>
      <c r="AA10" s="255">
        <f t="shared" ca="1" si="17"/>
        <v>17</v>
      </c>
      <c r="AE10" s="254"/>
      <c r="AF10" s="236">
        <f t="shared" si="2"/>
        <v>0</v>
      </c>
      <c r="AG10" s="236" t="str">
        <f t="shared" ca="1" si="3"/>
        <v/>
      </c>
      <c r="AH10" s="236" t="str">
        <f t="shared" ca="1" si="18"/>
        <v/>
      </c>
      <c r="AJ10" s="236">
        <f t="shared" ca="1" si="19"/>
        <v>10</v>
      </c>
      <c r="AK10" s="236" t="str">
        <f t="shared" ca="1" si="20"/>
        <v>A-</v>
      </c>
      <c r="AL10" s="236">
        <f t="shared" ca="1" si="20"/>
        <v>20</v>
      </c>
      <c r="AM10" s="236" t="str">
        <f t="shared" ca="1" si="4"/>
        <v/>
      </c>
      <c r="AQ10" s="286" t="s">
        <v>259</v>
      </c>
      <c r="AR10" s="286" t="s">
        <v>28</v>
      </c>
      <c r="AS10" s="286">
        <v>18</v>
      </c>
      <c r="AT10" s="286" t="s">
        <v>275</v>
      </c>
      <c r="AV10" s="234">
        <f t="shared" si="21"/>
        <v>31</v>
      </c>
      <c r="AW10" s="234">
        <f>COUNTIF( AV$7:AV10, AV10 )</f>
        <v>1</v>
      </c>
      <c r="AX10" s="287">
        <f t="shared" si="22"/>
        <v>31.1</v>
      </c>
      <c r="AY10" s="234">
        <f t="shared" si="23"/>
        <v>31</v>
      </c>
      <c r="AZ10" s="236"/>
      <c r="BA10" s="236"/>
      <c r="BC10" s="234">
        <f t="shared" ca="1" si="24"/>
        <v>4</v>
      </c>
      <c r="BD10" s="288">
        <f t="shared" ca="1" si="6"/>
        <v>11</v>
      </c>
      <c r="BF10" s="240" t="str">
        <f t="shared" ca="1" si="7"/>
        <v>Consolidated Edison, Inc.</v>
      </c>
      <c r="BG10" s="240" t="str">
        <f t="shared" ca="1" si="7"/>
        <v>A-</v>
      </c>
      <c r="BH10" s="240">
        <f t="shared" ca="1" si="7"/>
        <v>20</v>
      </c>
      <c r="BI10" s="240" t="str">
        <f t="shared" ca="1" si="7"/>
        <v>ED</v>
      </c>
    </row>
    <row r="11" spans="1:61" x14ac:dyDescent="0.2">
      <c r="A11" s="303" t="s">
        <v>18</v>
      </c>
      <c r="B11" s="304" t="s">
        <v>10</v>
      </c>
      <c r="C11" s="304">
        <v>20</v>
      </c>
      <c r="D11" s="304" t="s">
        <v>86</v>
      </c>
      <c r="E11" s="305" t="str">
        <f t="shared" ca="1" si="8"/>
        <v>MR</v>
      </c>
      <c r="F11" s="306"/>
      <c r="G11" s="307">
        <f t="shared" ca="1" si="1"/>
        <v>17</v>
      </c>
      <c r="H11" s="250"/>
      <c r="I11" s="318"/>
      <c r="J11" s="295" t="s">
        <v>28</v>
      </c>
      <c r="K11" s="318"/>
      <c r="L11" s="295">
        <f t="shared" si="9"/>
        <v>16</v>
      </c>
      <c r="M11" s="296">
        <f t="shared" si="10"/>
        <v>0.30188679245283018</v>
      </c>
      <c r="N11" s="318"/>
      <c r="O11" s="295">
        <f t="shared" ca="1" si="11"/>
        <v>14</v>
      </c>
      <c r="P11" s="296">
        <f t="shared" ca="1" si="12"/>
        <v>0.36842105263157893</v>
      </c>
      <c r="Q11" s="318"/>
      <c r="R11" s="295">
        <f t="shared" ca="1" si="13"/>
        <v>2</v>
      </c>
      <c r="S11" s="296">
        <f t="shared" ca="1" si="14"/>
        <v>0.15384615384615385</v>
      </c>
      <c r="T11" s="318"/>
      <c r="U11" s="295">
        <f t="shared" ca="1" si="15"/>
        <v>0</v>
      </c>
      <c r="V11" s="296" t="str">
        <f t="shared" ca="1" si="16"/>
        <v/>
      </c>
      <c r="W11" s="318"/>
      <c r="X11" s="256" t="s">
        <v>467</v>
      </c>
      <c r="Y11" s="256">
        <v>18</v>
      </c>
      <c r="Z11" s="256">
        <v>1</v>
      </c>
      <c r="AA11" s="255">
        <f t="shared" ca="1" si="17"/>
        <v>16</v>
      </c>
      <c r="AE11" s="254"/>
      <c r="AF11" s="236">
        <f t="shared" si="2"/>
        <v>0</v>
      </c>
      <c r="AG11" s="236" t="str">
        <f t="shared" ca="1" si="3"/>
        <v/>
      </c>
      <c r="AH11" s="236" t="str">
        <f t="shared" ca="1" si="18"/>
        <v/>
      </c>
      <c r="AJ11" s="236">
        <f t="shared" ca="1" si="19"/>
        <v>11</v>
      </c>
      <c r="AK11" s="236" t="str">
        <f t="shared" ca="1" si="20"/>
        <v>A-</v>
      </c>
      <c r="AL11" s="236">
        <f t="shared" ca="1" si="20"/>
        <v>20</v>
      </c>
      <c r="AM11" s="236" t="str">
        <f t="shared" ca="1" si="4"/>
        <v/>
      </c>
      <c r="AQ11" s="286" t="s">
        <v>55</v>
      </c>
      <c r="AR11" s="286" t="s">
        <v>28</v>
      </c>
      <c r="AS11" s="286">
        <v>18</v>
      </c>
      <c r="AT11" s="286" t="s">
        <v>278</v>
      </c>
      <c r="AV11" s="234">
        <f t="shared" si="21"/>
        <v>31</v>
      </c>
      <c r="AW11" s="234">
        <f>COUNTIF( AV$7:AV11, AV11 )</f>
        <v>2</v>
      </c>
      <c r="AX11" s="287">
        <f t="shared" si="22"/>
        <v>31.2</v>
      </c>
      <c r="AY11" s="234">
        <f t="shared" si="23"/>
        <v>32</v>
      </c>
      <c r="AZ11" s="236"/>
      <c r="BA11" s="236"/>
      <c r="BC11" s="234">
        <f t="shared" ca="1" si="24"/>
        <v>5</v>
      </c>
      <c r="BD11" s="288">
        <f t="shared" ca="1" si="6"/>
        <v>12</v>
      </c>
      <c r="BF11" s="240" t="str">
        <f t="shared" ca="1" si="7"/>
        <v>Dominion Resources, Inc.</v>
      </c>
      <c r="BG11" s="240" t="str">
        <f t="shared" ca="1" si="7"/>
        <v>A-</v>
      </c>
      <c r="BH11" s="240">
        <f t="shared" ca="1" si="7"/>
        <v>20</v>
      </c>
      <c r="BI11" s="240" t="str">
        <f t="shared" ca="1" si="7"/>
        <v>D</v>
      </c>
    </row>
    <row r="12" spans="1:61" x14ac:dyDescent="0.2">
      <c r="A12" s="303" t="s">
        <v>513</v>
      </c>
      <c r="B12" s="304" t="s">
        <v>10</v>
      </c>
      <c r="C12" s="304">
        <v>20</v>
      </c>
      <c r="D12" s="304" t="s">
        <v>512</v>
      </c>
      <c r="E12" s="305" t="str">
        <f t="shared" ca="1" si="8"/>
        <v>R</v>
      </c>
      <c r="F12" s="306"/>
      <c r="G12" s="307">
        <f t="shared" ca="1" si="1"/>
        <v>34</v>
      </c>
      <c r="H12" s="250"/>
      <c r="I12" s="318"/>
      <c r="J12" s="295" t="s">
        <v>49</v>
      </c>
      <c r="K12" s="318"/>
      <c r="L12" s="295">
        <f t="shared" si="9"/>
        <v>4</v>
      </c>
      <c r="M12" s="296">
        <f t="shared" si="10"/>
        <v>7.5471698113207544E-2</v>
      </c>
      <c r="N12" s="318"/>
      <c r="O12" s="295">
        <f t="shared" ca="1" si="11"/>
        <v>1</v>
      </c>
      <c r="P12" s="296">
        <f t="shared" ca="1" si="12"/>
        <v>2.6315789473684209E-2</v>
      </c>
      <c r="Q12" s="318"/>
      <c r="R12" s="295">
        <f t="shared" ca="1" si="13"/>
        <v>2</v>
      </c>
      <c r="S12" s="296">
        <f t="shared" ca="1" si="14"/>
        <v>0.15384615384615385</v>
      </c>
      <c r="T12" s="318"/>
      <c r="U12" s="295">
        <f t="shared" ca="1" si="15"/>
        <v>1</v>
      </c>
      <c r="V12" s="296">
        <f t="shared" ca="1" si="16"/>
        <v>0.5</v>
      </c>
      <c r="W12" s="318"/>
      <c r="X12" s="256" t="s">
        <v>468</v>
      </c>
      <c r="Y12" s="256">
        <v>17</v>
      </c>
      <c r="Z12" s="256">
        <v>1</v>
      </c>
      <c r="AA12" s="255">
        <f t="shared" ca="1" si="17"/>
        <v>4</v>
      </c>
      <c r="AE12" s="254"/>
      <c r="AF12" s="236">
        <f t="shared" si="2"/>
        <v>0</v>
      </c>
      <c r="AG12" s="236" t="str">
        <f t="shared" ca="1" si="3"/>
        <v/>
      </c>
      <c r="AH12" s="236" t="str">
        <f t="shared" ca="1" si="18"/>
        <v/>
      </c>
      <c r="AJ12" s="236">
        <f t="shared" ca="1" si="19"/>
        <v>12</v>
      </c>
      <c r="AK12" s="236" t="str">
        <f t="shared" ca="1" si="20"/>
        <v>A-</v>
      </c>
      <c r="AL12" s="236">
        <f t="shared" ca="1" si="20"/>
        <v>20</v>
      </c>
      <c r="AM12" s="236" t="str">
        <f t="shared" ca="1" si="4"/>
        <v/>
      </c>
      <c r="AQ12" s="286" t="s">
        <v>501</v>
      </c>
      <c r="AR12" s="286" t="s">
        <v>16</v>
      </c>
      <c r="AS12" s="286">
        <v>19</v>
      </c>
      <c r="AT12" s="286" t="s">
        <v>447</v>
      </c>
      <c r="AV12" s="234">
        <f t="shared" si="21"/>
        <v>14</v>
      </c>
      <c r="AW12" s="234">
        <f>COUNTIF( AV$7:AV12, AV12 )</f>
        <v>3</v>
      </c>
      <c r="AX12" s="287">
        <f t="shared" si="22"/>
        <v>14.3</v>
      </c>
      <c r="AY12" s="234">
        <f t="shared" si="23"/>
        <v>16</v>
      </c>
      <c r="AZ12" s="236"/>
      <c r="BA12" s="236"/>
      <c r="BC12" s="234">
        <f t="shared" ca="1" si="24"/>
        <v>6</v>
      </c>
      <c r="BD12" s="288">
        <f t="shared" ca="1" si="6"/>
        <v>20</v>
      </c>
      <c r="BF12" s="240" t="str">
        <f t="shared" ca="1" si="7"/>
        <v>Eversource</v>
      </c>
      <c r="BG12" s="240" t="str">
        <f t="shared" ca="1" si="7"/>
        <v>A-</v>
      </c>
      <c r="BH12" s="240">
        <f t="shared" ca="1" si="7"/>
        <v>20</v>
      </c>
      <c r="BI12" s="240" t="str">
        <f t="shared" ca="1" si="7"/>
        <v>ES</v>
      </c>
    </row>
    <row r="13" spans="1:61" x14ac:dyDescent="0.2">
      <c r="A13" s="303" t="s">
        <v>254</v>
      </c>
      <c r="B13" s="304" t="s">
        <v>10</v>
      </c>
      <c r="C13" s="304">
        <v>20</v>
      </c>
      <c r="D13" s="304" t="s">
        <v>331</v>
      </c>
      <c r="E13" s="305" t="str">
        <f t="shared" ca="1" si="8"/>
        <v>R</v>
      </c>
      <c r="F13" s="306"/>
      <c r="G13" s="307">
        <f t="shared" ca="1" si="1"/>
        <v>29</v>
      </c>
      <c r="H13" s="250"/>
      <c r="I13" s="319"/>
      <c r="J13" s="297" t="s">
        <v>79</v>
      </c>
      <c r="K13" s="319"/>
      <c r="L13" s="297">
        <f t="shared" si="9"/>
        <v>2</v>
      </c>
      <c r="M13" s="298">
        <f t="shared" si="10"/>
        <v>3.7735849056603772E-2</v>
      </c>
      <c r="N13" s="319"/>
      <c r="O13" s="297">
        <f t="shared" ca="1" si="11"/>
        <v>2</v>
      </c>
      <c r="P13" s="298">
        <f t="shared" ca="1" si="12"/>
        <v>5.2631578947368418E-2</v>
      </c>
      <c r="Q13" s="319"/>
      <c r="R13" s="297">
        <f t="shared" ca="1" si="13"/>
        <v>0</v>
      </c>
      <c r="S13" s="298" t="str">
        <f t="shared" ca="1" si="14"/>
        <v/>
      </c>
      <c r="T13" s="319"/>
      <c r="U13" s="297">
        <f t="shared" ca="1" si="15"/>
        <v>0</v>
      </c>
      <c r="V13" s="298" t="str">
        <f t="shared" ca="1" si="16"/>
        <v/>
      </c>
      <c r="W13" s="319"/>
      <c r="X13" s="256" t="s">
        <v>469</v>
      </c>
      <c r="Y13" s="256">
        <v>16</v>
      </c>
      <c r="Z13" s="256">
        <v>1</v>
      </c>
      <c r="AA13" s="259">
        <f t="shared" ca="1" si="17"/>
        <v>2</v>
      </c>
      <c r="AE13" s="254"/>
      <c r="AF13" s="236">
        <f t="shared" si="2"/>
        <v>0</v>
      </c>
      <c r="AG13" s="236" t="str">
        <f t="shared" ca="1" si="3"/>
        <v/>
      </c>
      <c r="AH13" s="236" t="str">
        <f t="shared" ca="1" si="18"/>
        <v/>
      </c>
      <c r="AJ13" s="236">
        <f t="shared" ca="1" si="19"/>
        <v>13</v>
      </c>
      <c r="AK13" s="236" t="str">
        <f t="shared" ca="1" si="20"/>
        <v>A-</v>
      </c>
      <c r="AL13" s="236">
        <f t="shared" ca="1" si="20"/>
        <v>20</v>
      </c>
      <c r="AM13" s="236" t="str">
        <f t="shared" ca="1" si="4"/>
        <v/>
      </c>
      <c r="AQ13" s="286" t="s">
        <v>48</v>
      </c>
      <c r="AR13" s="286" t="s">
        <v>28</v>
      </c>
      <c r="AS13" s="286">
        <v>18</v>
      </c>
      <c r="AT13" s="286" t="s">
        <v>280</v>
      </c>
      <c r="AV13" s="234">
        <f t="shared" si="21"/>
        <v>31</v>
      </c>
      <c r="AW13" s="234">
        <f>COUNTIF( AV$7:AV13, AV13 )</f>
        <v>3</v>
      </c>
      <c r="AX13" s="287">
        <f t="shared" si="22"/>
        <v>31.3</v>
      </c>
      <c r="AY13" s="234">
        <f t="shared" si="23"/>
        <v>33</v>
      </c>
      <c r="AZ13" s="236"/>
      <c r="BA13" s="236"/>
      <c r="BC13" s="234">
        <f t="shared" ca="1" si="24"/>
        <v>7</v>
      </c>
      <c r="BD13" s="288">
        <f t="shared" ca="1" si="6"/>
        <v>27</v>
      </c>
      <c r="BF13" s="240" t="str">
        <f t="shared" ca="1" si="7"/>
        <v>Integrys Energy Group, Inc.</v>
      </c>
      <c r="BG13" s="240" t="str">
        <f t="shared" ca="1" si="7"/>
        <v>A-</v>
      </c>
      <c r="BH13" s="240">
        <f t="shared" ca="1" si="7"/>
        <v>20</v>
      </c>
      <c r="BI13" s="240" t="str">
        <f t="shared" ca="1" si="7"/>
        <v>TEG</v>
      </c>
    </row>
    <row r="14" spans="1:61" x14ac:dyDescent="0.2">
      <c r="A14" s="303" t="s">
        <v>370</v>
      </c>
      <c r="B14" s="304" t="s">
        <v>10</v>
      </c>
      <c r="C14" s="304">
        <v>20</v>
      </c>
      <c r="D14" s="304" t="s">
        <v>369</v>
      </c>
      <c r="E14" s="305" t="str">
        <f t="shared" ca="1" si="8"/>
        <v>MR</v>
      </c>
      <c r="F14" s="306"/>
      <c r="G14" s="307">
        <f t="shared" ca="1" si="1"/>
        <v>32</v>
      </c>
      <c r="H14" s="250"/>
      <c r="I14" s="320"/>
      <c r="J14" s="291" t="s">
        <v>80</v>
      </c>
      <c r="K14" s="320"/>
      <c r="L14" s="291">
        <f>SUM(L8:L13)</f>
        <v>53</v>
      </c>
      <c r="M14" s="292">
        <f>L14/L$14</f>
        <v>1</v>
      </c>
      <c r="N14" s="320"/>
      <c r="O14" s="291">
        <f ca="1">SUM(O8:O13)</f>
        <v>38</v>
      </c>
      <c r="P14" s="292">
        <f ca="1">O14/O$14</f>
        <v>1</v>
      </c>
      <c r="Q14" s="320"/>
      <c r="R14" s="291">
        <f ca="1">SUM(R8:R13)</f>
        <v>13</v>
      </c>
      <c r="S14" s="292">
        <f ca="1">R14/R$14</f>
        <v>1</v>
      </c>
      <c r="T14" s="320"/>
      <c r="U14" s="291">
        <f ca="1">SUM(U8:U13)</f>
        <v>2</v>
      </c>
      <c r="V14" s="292">
        <f ca="1">U14/U$14</f>
        <v>1</v>
      </c>
      <c r="W14" s="320"/>
      <c r="Y14" s="261">
        <f>SUMPRODUCT( L8:L13, Y8:Y13 ) / L14</f>
        <v>18.735849056603772</v>
      </c>
      <c r="Z14" s="261"/>
      <c r="AA14" s="437">
        <f ca="1">SUM(AA8:AA13)</f>
        <v>53</v>
      </c>
      <c r="AE14" s="254"/>
      <c r="AF14" s="236">
        <f t="shared" si="2"/>
        <v>0</v>
      </c>
      <c r="AG14" s="236" t="str">
        <f t="shared" ca="1" si="3"/>
        <v/>
      </c>
      <c r="AH14" s="236" t="str">
        <f t="shared" ca="1" si="18"/>
        <v/>
      </c>
      <c r="AJ14" s="236">
        <f t="shared" ca="1" si="19"/>
        <v>14</v>
      </c>
      <c r="AK14" s="236" t="str">
        <f t="shared" ca="1" si="20"/>
        <v>A-</v>
      </c>
      <c r="AL14" s="236">
        <f t="shared" ca="1" si="20"/>
        <v>20</v>
      </c>
      <c r="AM14" s="236" t="str">
        <f t="shared" ca="1" si="4"/>
        <v/>
      </c>
      <c r="AQ14" s="286" t="s">
        <v>29</v>
      </c>
      <c r="AR14" s="286" t="s">
        <v>10</v>
      </c>
      <c r="AS14" s="286">
        <v>20</v>
      </c>
      <c r="AT14" s="286" t="s">
        <v>286</v>
      </c>
      <c r="AV14" s="234">
        <f>IF( LEN( AS14 ) = 0, 99, RANK( AS14, $AS$7:$AS$63 ) )</f>
        <v>2</v>
      </c>
      <c r="AW14" s="234">
        <f>COUNTIF( AV$7:AV14, AV14 )</f>
        <v>2</v>
      </c>
      <c r="AX14" s="287">
        <f t="shared" si="22"/>
        <v>2.2000000000000002</v>
      </c>
      <c r="AY14" s="234">
        <f t="shared" si="23"/>
        <v>3</v>
      </c>
      <c r="AZ14" s="236"/>
      <c r="BA14" s="236"/>
      <c r="BC14" s="234">
        <f t="shared" ca="1" si="24"/>
        <v>8</v>
      </c>
      <c r="BD14" s="288">
        <f t="shared" ca="1" si="6"/>
        <v>30</v>
      </c>
      <c r="BF14" s="240" t="str">
        <f t="shared" ca="1" si="7"/>
        <v>NextEra Energy, Inc.</v>
      </c>
      <c r="BG14" s="240" t="str">
        <f t="shared" ca="1" si="7"/>
        <v>A-</v>
      </c>
      <c r="BH14" s="240">
        <f t="shared" ca="1" si="7"/>
        <v>20</v>
      </c>
      <c r="BI14" s="240" t="str">
        <f t="shared" ca="1" si="7"/>
        <v>NEE</v>
      </c>
    </row>
    <row r="15" spans="1:61" x14ac:dyDescent="0.2">
      <c r="A15" s="303" t="s">
        <v>21</v>
      </c>
      <c r="B15" s="304" t="s">
        <v>10</v>
      </c>
      <c r="C15" s="304">
        <v>20</v>
      </c>
      <c r="D15" s="304" t="s">
        <v>316</v>
      </c>
      <c r="E15" s="305" t="str">
        <f t="shared" ca="1" si="8"/>
        <v>R</v>
      </c>
      <c r="F15" s="306"/>
      <c r="G15" s="307">
        <f t="shared" ca="1" si="1"/>
        <v>36</v>
      </c>
      <c r="H15" s="250"/>
      <c r="I15" s="321"/>
      <c r="K15" s="321"/>
      <c r="N15" s="321"/>
      <c r="Q15" s="321"/>
      <c r="T15" s="321"/>
      <c r="W15" s="321"/>
      <c r="X15" s="240"/>
      <c r="AA15" s="240"/>
      <c r="AE15" s="254"/>
      <c r="AF15" s="236">
        <f t="shared" si="2"/>
        <v>0</v>
      </c>
      <c r="AG15" s="236" t="str">
        <f t="shared" ca="1" si="3"/>
        <v/>
      </c>
      <c r="AH15" s="236" t="str">
        <f t="shared" ca="1" si="18"/>
        <v/>
      </c>
      <c r="AJ15" s="236">
        <f t="shared" ca="1" si="19"/>
        <v>15</v>
      </c>
      <c r="AK15" s="236" t="str">
        <f t="shared" ca="1" si="20"/>
        <v>A-</v>
      </c>
      <c r="AL15" s="236">
        <f t="shared" ca="1" si="20"/>
        <v>20</v>
      </c>
      <c r="AM15" s="236" t="str">
        <f t="shared" ca="1" si="4"/>
        <v/>
      </c>
      <c r="AQ15" s="286" t="s">
        <v>30</v>
      </c>
      <c r="AR15" s="286" t="s">
        <v>16</v>
      </c>
      <c r="AS15" s="286">
        <v>19</v>
      </c>
      <c r="AT15" s="286" t="s">
        <v>285</v>
      </c>
      <c r="AV15" s="234">
        <f t="shared" si="21"/>
        <v>14</v>
      </c>
      <c r="AW15" s="234">
        <f>COUNTIF( AV$7:AV15, AV15 )</f>
        <v>4</v>
      </c>
      <c r="AX15" s="287">
        <f t="shared" si="22"/>
        <v>14.4</v>
      </c>
      <c r="AY15" s="234">
        <f t="shared" si="23"/>
        <v>17</v>
      </c>
      <c r="AZ15" s="236"/>
      <c r="BA15" s="236"/>
      <c r="BC15" s="234">
        <f t="shared" ca="1" si="24"/>
        <v>9</v>
      </c>
      <c r="BD15" s="288">
        <f t="shared" ca="1" si="6"/>
        <v>33</v>
      </c>
      <c r="BF15" s="240" t="str">
        <f t="shared" ca="1" si="7"/>
        <v>OGE Energy Corp.</v>
      </c>
      <c r="BG15" s="240" t="str">
        <f t="shared" ca="1" si="7"/>
        <v>A-</v>
      </c>
      <c r="BH15" s="240">
        <f t="shared" ca="1" si="7"/>
        <v>20</v>
      </c>
      <c r="BI15" s="240" t="str">
        <f t="shared" ca="1" si="7"/>
        <v>OGE</v>
      </c>
    </row>
    <row r="16" spans="1:61" x14ac:dyDescent="0.2">
      <c r="A16" s="303" t="s">
        <v>41</v>
      </c>
      <c r="B16" s="304" t="s">
        <v>10</v>
      </c>
      <c r="C16" s="304">
        <v>20</v>
      </c>
      <c r="D16" s="304" t="s">
        <v>322</v>
      </c>
      <c r="E16" s="305" t="str">
        <f t="shared" ca="1" si="8"/>
        <v>R</v>
      </c>
      <c r="F16" s="306"/>
      <c r="G16" s="307">
        <f t="shared" ca="1" si="1"/>
        <v>40</v>
      </c>
      <c r="H16" s="250"/>
      <c r="I16" s="316"/>
      <c r="J16" s="290" t="s">
        <v>450</v>
      </c>
      <c r="K16" s="316"/>
      <c r="L16" s="463">
        <f t="array" ref="L16">SUM( IF( LEN( $C$7:$C$65 ) = 0, 0, $C$7:$C$65 ) ) / SUM( IF( LEN( $C$7:$C$65 ) = 0, 0, 1  ) )</f>
        <v>18.754716981132077</v>
      </c>
      <c r="M16" s="464"/>
      <c r="N16" s="316"/>
      <c r="O16" s="463">
        <f t="array" aca="1" ref="O16" ca="1">SUM( IF( LEN( $C$7:$C$65 ) = 0, 0, IF( $E$7:$E$65 = O3, $C$7:$C$65, 0 ) ) ) / SUM( IF( LEN( $C$7:$C$65 ) = 0, 0, IF( $E$7:$E$65 = O3, 1, 0 ) ) )</f>
        <v>18.657894736842106</v>
      </c>
      <c r="P16" s="464"/>
      <c r="Q16" s="316"/>
      <c r="R16" s="463">
        <f t="array" aca="1" ref="R16" ca="1">SUM( IF( LEN( $C$7:$C$65 ) = 0, 0, IF( $E$7:$E$65 = R3, $C$7:$C$65, 0 ) ) ) / SUM( IF( LEN( $C$7:$C$65 ) = 0, 0, IF( $E$7:$E$65 = R3, 1, 0 ) ) )</f>
        <v>19.153846153846153</v>
      </c>
      <c r="S16" s="464"/>
      <c r="T16" s="316"/>
      <c r="U16" s="463">
        <f t="array" aca="1" ref="U16" ca="1">SUM( IF( LEN( $C$7:$C$65 ) = 0, 0, IF( $E$7:$E$65 = U3, $C$7:$C$65, 0 ) ) ) / SUM( IF( LEN( $C$7:$C$65 ) = 0, 0, IF( $E$7:$E$65 = U3, 1, 0 ) ) )</f>
        <v>18</v>
      </c>
      <c r="V16" s="465"/>
      <c r="W16" s="316"/>
      <c r="AE16" s="254"/>
      <c r="AF16" s="236">
        <f t="shared" si="2"/>
        <v>0</v>
      </c>
      <c r="AG16" s="236" t="str">
        <f t="shared" ca="1" si="3"/>
        <v/>
      </c>
      <c r="AH16" s="236" t="str">
        <f t="shared" ca="1" si="18"/>
        <v/>
      </c>
      <c r="AJ16" s="236">
        <f t="shared" ca="1" si="19"/>
        <v>16</v>
      </c>
      <c r="AK16" s="236" t="str">
        <f t="shared" ca="1" si="20"/>
        <v>A-</v>
      </c>
      <c r="AL16" s="236">
        <f t="shared" ca="1" si="20"/>
        <v>20</v>
      </c>
      <c r="AM16" s="236" t="str">
        <f t="shared" ca="1" si="4"/>
        <v/>
      </c>
      <c r="AQ16" s="286" t="s">
        <v>60</v>
      </c>
      <c r="AR16" s="286" t="s">
        <v>16</v>
      </c>
      <c r="AS16" s="286">
        <v>19</v>
      </c>
      <c r="AT16" s="286" t="s">
        <v>284</v>
      </c>
      <c r="AV16" s="234">
        <f t="shared" si="21"/>
        <v>14</v>
      </c>
      <c r="AW16" s="234">
        <f>COUNTIF( AV$7:AV16, AV16 )</f>
        <v>5</v>
      </c>
      <c r="AX16" s="287">
        <f t="shared" si="22"/>
        <v>14.5</v>
      </c>
      <c r="AY16" s="234">
        <f t="shared" si="23"/>
        <v>18</v>
      </c>
      <c r="AZ16" s="236"/>
      <c r="BA16" s="236"/>
      <c r="BC16" s="234">
        <f t="shared" ca="1" si="24"/>
        <v>10</v>
      </c>
      <c r="BD16" s="288">
        <f t="shared" ca="1" si="6"/>
        <v>37</v>
      </c>
      <c r="BF16" s="240" t="str">
        <f t="shared" ca="1" si="7"/>
        <v>Pinnacle West Capital Corporation</v>
      </c>
      <c r="BG16" s="240" t="str">
        <f t="shared" ca="1" si="7"/>
        <v>A-</v>
      </c>
      <c r="BH16" s="240">
        <f t="shared" ca="1" si="7"/>
        <v>20</v>
      </c>
      <c r="BI16" s="240" t="str">
        <f t="shared" ca="1" si="7"/>
        <v>PNW</v>
      </c>
    </row>
    <row r="17" spans="1:61" x14ac:dyDescent="0.2">
      <c r="A17" s="303" t="s">
        <v>14</v>
      </c>
      <c r="B17" s="304" t="s">
        <v>10</v>
      </c>
      <c r="C17" s="304">
        <v>20</v>
      </c>
      <c r="D17" s="304" t="s">
        <v>335</v>
      </c>
      <c r="E17" s="305" t="str">
        <f t="shared" ca="1" si="8"/>
        <v>MR</v>
      </c>
      <c r="F17" s="306"/>
      <c r="G17" s="307">
        <f t="shared" ca="1" si="1"/>
        <v>52</v>
      </c>
      <c r="H17" s="250"/>
      <c r="I17" s="321"/>
      <c r="K17" s="321"/>
      <c r="N17" s="321"/>
      <c r="O17" s="240"/>
      <c r="Q17" s="321"/>
      <c r="T17" s="321"/>
      <c r="W17" s="321"/>
      <c r="AE17" s="245"/>
      <c r="AF17" s="236">
        <f t="shared" si="2"/>
        <v>0</v>
      </c>
      <c r="AG17" s="236" t="str">
        <f t="shared" ca="1" si="3"/>
        <v/>
      </c>
      <c r="AH17" s="236" t="str">
        <f t="shared" ca="1" si="18"/>
        <v/>
      </c>
      <c r="AJ17" s="236">
        <f t="shared" ca="1" si="19"/>
        <v>17</v>
      </c>
      <c r="AK17" s="236" t="str">
        <f t="shared" ca="1" si="20"/>
        <v>A-</v>
      </c>
      <c r="AL17" s="236">
        <f t="shared" ca="1" si="20"/>
        <v>20</v>
      </c>
      <c r="AM17" s="236" t="str">
        <f t="shared" ca="1" si="4"/>
        <v/>
      </c>
      <c r="AQ17" s="286" t="s">
        <v>3</v>
      </c>
      <c r="AR17" s="286" t="s">
        <v>10</v>
      </c>
      <c r="AS17" s="286">
        <v>20</v>
      </c>
      <c r="AT17" s="286" t="s">
        <v>292</v>
      </c>
      <c r="AV17" s="234">
        <f t="shared" si="21"/>
        <v>2</v>
      </c>
      <c r="AW17" s="234">
        <f>COUNTIF( AV$7:AV17, AV17 )</f>
        <v>3</v>
      </c>
      <c r="AX17" s="287">
        <f t="shared" si="22"/>
        <v>2.2999999999999998</v>
      </c>
      <c r="AY17" s="234">
        <f t="shared" si="23"/>
        <v>4</v>
      </c>
      <c r="AZ17" s="236"/>
      <c r="BA17" s="236"/>
      <c r="BC17" s="234">
        <f t="shared" ca="1" si="24"/>
        <v>11</v>
      </c>
      <c r="BD17" s="288">
        <f t="shared" ca="1" si="6"/>
        <v>49</v>
      </c>
      <c r="BF17" s="240" t="str">
        <f t="shared" ca="1" si="7"/>
        <v>Vectren Corporation</v>
      </c>
      <c r="BG17" s="240" t="str">
        <f t="shared" ca="1" si="7"/>
        <v>A-</v>
      </c>
      <c r="BH17" s="240">
        <f t="shared" ca="1" si="7"/>
        <v>20</v>
      </c>
      <c r="BI17" s="240" t="str">
        <f t="shared" ca="1" si="7"/>
        <v>VVC</v>
      </c>
    </row>
    <row r="18" spans="1:61" x14ac:dyDescent="0.2">
      <c r="A18" s="303" t="s">
        <v>26</v>
      </c>
      <c r="B18" s="304" t="s">
        <v>10</v>
      </c>
      <c r="C18" s="304">
        <v>20</v>
      </c>
      <c r="D18" s="304" t="s">
        <v>336</v>
      </c>
      <c r="E18" s="305" t="str">
        <f t="shared" ca="1" si="8"/>
        <v>R</v>
      </c>
      <c r="F18" s="306"/>
      <c r="G18" s="307">
        <f t="shared" ca="1" si="1"/>
        <v>54</v>
      </c>
      <c r="H18" s="250"/>
      <c r="I18" s="321"/>
      <c r="K18" s="321"/>
      <c r="N18" s="321"/>
      <c r="O18" s="240"/>
      <c r="Q18" s="321"/>
      <c r="T18" s="321"/>
      <c r="W18" s="321"/>
      <c r="AE18" s="254"/>
      <c r="AF18" s="236">
        <f t="shared" si="2"/>
        <v>0</v>
      </c>
      <c r="AG18" s="236" t="str">
        <f t="shared" ca="1" si="3"/>
        <v/>
      </c>
      <c r="AH18" s="236" t="str">
        <f t="shared" ca="1" si="18"/>
        <v/>
      </c>
      <c r="AJ18" s="236">
        <f t="shared" ca="1" si="19"/>
        <v>18</v>
      </c>
      <c r="AK18" s="236" t="str">
        <f t="shared" ca="1" si="20"/>
        <v>A-</v>
      </c>
      <c r="AL18" s="236">
        <f t="shared" ca="1" si="20"/>
        <v>20</v>
      </c>
      <c r="AM18" s="236" t="str">
        <f t="shared" ca="1" si="4"/>
        <v/>
      </c>
      <c r="AQ18" s="286" t="s">
        <v>18</v>
      </c>
      <c r="AR18" s="286" t="s">
        <v>10</v>
      </c>
      <c r="AS18" s="286">
        <v>20</v>
      </c>
      <c r="AT18" s="286" t="s">
        <v>86</v>
      </c>
      <c r="AV18" s="234">
        <f t="shared" si="21"/>
        <v>2</v>
      </c>
      <c r="AW18" s="234">
        <f>COUNTIF( AV$7:AV18, AV18 )</f>
        <v>4</v>
      </c>
      <c r="AX18" s="287">
        <f t="shared" si="22"/>
        <v>2.4</v>
      </c>
      <c r="AY18" s="234">
        <f t="shared" si="23"/>
        <v>5</v>
      </c>
      <c r="AZ18" s="236"/>
      <c r="BA18" s="236"/>
      <c r="BC18" s="234">
        <f t="shared" ca="1" si="24"/>
        <v>12</v>
      </c>
      <c r="BD18" s="288">
        <f t="shared" ca="1" si="6"/>
        <v>51</v>
      </c>
      <c r="BF18" s="240" t="str">
        <f t="shared" ca="1" si="7"/>
        <v>Wisconsin Energy Corporation</v>
      </c>
      <c r="BG18" s="240" t="str">
        <f t="shared" ca="1" si="7"/>
        <v>A-</v>
      </c>
      <c r="BH18" s="240">
        <f t="shared" ca="1" si="7"/>
        <v>20</v>
      </c>
      <c r="BI18" s="240" t="str">
        <f t="shared" ca="1" si="7"/>
        <v>WEC</v>
      </c>
    </row>
    <row r="19" spans="1:61" x14ac:dyDescent="0.2">
      <c r="A19" s="303" t="s">
        <v>258</v>
      </c>
      <c r="B19" s="304" t="s">
        <v>10</v>
      </c>
      <c r="C19" s="304">
        <v>20</v>
      </c>
      <c r="D19" s="304" t="s">
        <v>338</v>
      </c>
      <c r="E19" s="305" t="str">
        <f t="shared" ca="1" si="8"/>
        <v>R</v>
      </c>
      <c r="F19" s="306"/>
      <c r="G19" s="307">
        <f t="shared" ca="1" si="1"/>
        <v>55</v>
      </c>
      <c r="H19" s="250"/>
      <c r="I19" s="321"/>
      <c r="K19" s="321"/>
      <c r="N19" s="321"/>
      <c r="O19" s="240"/>
      <c r="Q19" s="321"/>
      <c r="T19" s="321"/>
      <c r="W19" s="321"/>
      <c r="AE19" s="254"/>
      <c r="AF19" s="236">
        <f t="shared" si="2"/>
        <v>0</v>
      </c>
      <c r="AG19" s="236" t="str">
        <f t="shared" ca="1" si="3"/>
        <v/>
      </c>
      <c r="AH19" s="236" t="str">
        <f t="shared" ca="1" si="18"/>
        <v/>
      </c>
      <c r="AJ19" s="236">
        <f t="shared" ca="1" si="19"/>
        <v>19</v>
      </c>
      <c r="AK19" s="236" t="str">
        <f t="shared" ca="1" si="20"/>
        <v>A-</v>
      </c>
      <c r="AL19" s="236">
        <f t="shared" ca="1" si="20"/>
        <v>20</v>
      </c>
      <c r="AM19" s="236" t="str">
        <f t="shared" ca="1" si="4"/>
        <v/>
      </c>
      <c r="AQ19" s="286" t="s">
        <v>64</v>
      </c>
      <c r="AR19" s="286" t="s">
        <v>61</v>
      </c>
      <c r="AS19" s="286">
        <v>15</v>
      </c>
      <c r="AT19" s="286" t="s">
        <v>443</v>
      </c>
      <c r="AV19" s="234">
        <f t="shared" si="21"/>
        <v>52</v>
      </c>
      <c r="AW19" s="234">
        <f>COUNTIF( AV$7:AV19, AV19 )</f>
        <v>1</v>
      </c>
      <c r="AX19" s="287">
        <f t="shared" si="22"/>
        <v>52.1</v>
      </c>
      <c r="AY19" s="234">
        <f t="shared" si="23"/>
        <v>52</v>
      </c>
      <c r="AZ19" s="236"/>
      <c r="BA19" s="236"/>
      <c r="BC19" s="234">
        <f t="shared" ca="1" si="24"/>
        <v>13</v>
      </c>
      <c r="BD19" s="288">
        <f t="shared" ca="1" si="6"/>
        <v>52</v>
      </c>
      <c r="BF19" s="240" t="str">
        <f t="shared" ca="1" si="7"/>
        <v>Xcel Energy Inc.</v>
      </c>
      <c r="BG19" s="240" t="str">
        <f t="shared" ca="1" si="7"/>
        <v>A-</v>
      </c>
      <c r="BH19" s="240">
        <f t="shared" ca="1" si="7"/>
        <v>20</v>
      </c>
      <c r="BI19" s="240" t="str">
        <f t="shared" ca="1" si="7"/>
        <v>XEL</v>
      </c>
    </row>
    <row r="20" spans="1:61" x14ac:dyDescent="0.2">
      <c r="A20" s="303" t="s">
        <v>15</v>
      </c>
      <c r="B20" s="304" t="s">
        <v>16</v>
      </c>
      <c r="C20" s="304">
        <v>19</v>
      </c>
      <c r="D20" s="304" t="s">
        <v>277</v>
      </c>
      <c r="E20" s="305" t="str">
        <f t="shared" ca="1" si="8"/>
        <v>R</v>
      </c>
      <c r="F20" s="306"/>
      <c r="G20" s="307">
        <f t="shared" ca="1" si="1"/>
        <v>7</v>
      </c>
      <c r="H20" s="250"/>
      <c r="I20" s="322"/>
      <c r="K20" s="322"/>
      <c r="N20" s="322"/>
      <c r="O20" s="240"/>
      <c r="Q20" s="322"/>
      <c r="T20" s="322"/>
      <c r="W20" s="322"/>
      <c r="AE20" s="254"/>
      <c r="AF20" s="236">
        <f t="shared" si="2"/>
        <v>1</v>
      </c>
      <c r="AG20" s="236" t="str">
        <f t="shared" ca="1" si="3"/>
        <v/>
      </c>
      <c r="AH20" s="236" t="str">
        <f t="shared" ca="1" si="18"/>
        <v/>
      </c>
      <c r="AJ20" s="236">
        <f t="shared" ca="1" si="19"/>
        <v>20</v>
      </c>
      <c r="AK20" s="236" t="str">
        <f t="shared" ca="1" si="20"/>
        <v>BBB+</v>
      </c>
      <c r="AL20" s="236">
        <f t="shared" ca="1" si="20"/>
        <v>19</v>
      </c>
      <c r="AM20" s="236" t="str">
        <f t="shared" ca="1" si="4"/>
        <v/>
      </c>
      <c r="AQ20" s="286" t="s">
        <v>31</v>
      </c>
      <c r="AR20" s="286" t="s">
        <v>16</v>
      </c>
      <c r="AS20" s="286">
        <v>19</v>
      </c>
      <c r="AT20" s="286" t="s">
        <v>289</v>
      </c>
      <c r="AV20" s="234">
        <f t="shared" si="21"/>
        <v>14</v>
      </c>
      <c r="AW20" s="234">
        <f>COUNTIF( AV$7:AV20, AV20 )</f>
        <v>6</v>
      </c>
      <c r="AX20" s="287">
        <f t="shared" si="22"/>
        <v>14.6</v>
      </c>
      <c r="AY20" s="234">
        <f t="shared" si="23"/>
        <v>19</v>
      </c>
      <c r="AZ20" s="236"/>
      <c r="BA20" s="236"/>
      <c r="BC20" s="234">
        <f t="shared" ca="1" si="24"/>
        <v>14</v>
      </c>
      <c r="BD20" s="288">
        <f t="shared" ca="1" si="6"/>
        <v>1</v>
      </c>
      <c r="BF20" s="240" t="str">
        <f t="shared" ca="1" si="7"/>
        <v>ALLETE, Inc.</v>
      </c>
      <c r="BG20" s="240" t="str">
        <f t="shared" ca="1" si="7"/>
        <v>BBB+</v>
      </c>
      <c r="BH20" s="240">
        <f t="shared" ca="1" si="7"/>
        <v>19</v>
      </c>
      <c r="BI20" s="240" t="str">
        <f t="shared" ca="1" si="7"/>
        <v>ALE</v>
      </c>
    </row>
    <row r="21" spans="1:61" x14ac:dyDescent="0.2">
      <c r="A21" s="303" t="s">
        <v>9</v>
      </c>
      <c r="B21" s="304" t="s">
        <v>16</v>
      </c>
      <c r="C21" s="304">
        <v>19</v>
      </c>
      <c r="D21" s="304" t="s">
        <v>274</v>
      </c>
      <c r="E21" s="305" t="str">
        <f t="shared" ca="1" si="8"/>
        <v>R</v>
      </c>
      <c r="F21" s="306"/>
      <c r="G21" s="307">
        <f t="shared" ca="1" si="1"/>
        <v>9</v>
      </c>
      <c r="H21" s="250"/>
      <c r="I21" s="321"/>
      <c r="K21" s="321"/>
      <c r="N21" s="321"/>
      <c r="Q21" s="321"/>
      <c r="T21" s="321"/>
      <c r="W21" s="321"/>
      <c r="AE21" s="254"/>
      <c r="AF21" s="236">
        <f t="shared" si="2"/>
        <v>1</v>
      </c>
      <c r="AG21" s="236" t="str">
        <f t="shared" ca="1" si="3"/>
        <v/>
      </c>
      <c r="AH21" s="236" t="str">
        <f t="shared" ca="1" si="18"/>
        <v/>
      </c>
      <c r="AJ21" s="236">
        <f t="shared" ca="1" si="19"/>
        <v>21</v>
      </c>
      <c r="AK21" s="236" t="str">
        <f t="shared" ca="1" si="20"/>
        <v>BBB+</v>
      </c>
      <c r="AL21" s="236">
        <f t="shared" ca="1" si="20"/>
        <v>19</v>
      </c>
      <c r="AM21" s="236" t="str">
        <f t="shared" ca="1" si="4"/>
        <v/>
      </c>
      <c r="AQ21" s="286" t="s">
        <v>32</v>
      </c>
      <c r="AR21" s="286" t="s">
        <v>16</v>
      </c>
      <c r="AS21" s="286">
        <v>19</v>
      </c>
      <c r="AT21" s="286" t="s">
        <v>290</v>
      </c>
      <c r="AV21" s="234">
        <f t="shared" si="21"/>
        <v>14</v>
      </c>
      <c r="AW21" s="234">
        <f>COUNTIF( AV$7:AV21, AV21 )</f>
        <v>7</v>
      </c>
      <c r="AX21" s="287">
        <f t="shared" si="22"/>
        <v>14.7</v>
      </c>
      <c r="AY21" s="234">
        <f t="shared" si="23"/>
        <v>20</v>
      </c>
      <c r="AZ21" s="236"/>
      <c r="BA21" s="236"/>
      <c r="BC21" s="234">
        <f t="shared" ca="1" si="24"/>
        <v>15</v>
      </c>
      <c r="BD21" s="288">
        <f t="shared" ca="1" si="6"/>
        <v>3</v>
      </c>
      <c r="BF21" s="240" t="str">
        <f t="shared" ca="1" si="7"/>
        <v>Ameren Corporation</v>
      </c>
      <c r="BG21" s="240" t="str">
        <f t="shared" ca="1" si="7"/>
        <v>BBB+</v>
      </c>
      <c r="BH21" s="240">
        <f t="shared" ca="1" si="7"/>
        <v>19</v>
      </c>
      <c r="BI21" s="240" t="str">
        <f t="shared" ca="1" si="7"/>
        <v>AEE</v>
      </c>
    </row>
    <row r="22" spans="1:61" x14ac:dyDescent="0.2">
      <c r="A22" s="303" t="s">
        <v>501</v>
      </c>
      <c r="B22" s="304" t="s">
        <v>16</v>
      </c>
      <c r="C22" s="304">
        <v>19</v>
      </c>
      <c r="D22" s="304" t="s">
        <v>447</v>
      </c>
      <c r="E22" s="305" t="str">
        <f t="shared" ca="1" si="8"/>
        <v>MR</v>
      </c>
      <c r="F22" s="306"/>
      <c r="G22" s="307">
        <f t="shared" ca="1" si="1"/>
        <v>61</v>
      </c>
      <c r="H22" s="250"/>
      <c r="I22" s="321"/>
      <c r="K22" s="321"/>
      <c r="N22" s="321"/>
      <c r="Q22" s="321"/>
      <c r="T22" s="321"/>
      <c r="W22" s="321"/>
      <c r="AE22" s="254"/>
      <c r="AF22" s="236">
        <f t="shared" si="2"/>
        <v>1</v>
      </c>
      <c r="AG22" s="236" t="str">
        <f t="shared" ca="1" si="3"/>
        <v/>
      </c>
      <c r="AH22" s="236" t="str">
        <f t="shared" ca="1" si="18"/>
        <v/>
      </c>
      <c r="AJ22" s="236">
        <f t="shared" ca="1" si="19"/>
        <v>22</v>
      </c>
      <c r="AK22" s="236" t="str">
        <f t="shared" ca="1" si="20"/>
        <v>BBB+</v>
      </c>
      <c r="AL22" s="236">
        <f t="shared" ca="1" si="20"/>
        <v>19</v>
      </c>
      <c r="AM22" s="236" t="str">
        <f t="shared" ca="1" si="4"/>
        <v/>
      </c>
      <c r="AQ22" s="286" t="s">
        <v>57</v>
      </c>
      <c r="AR22" s="286" t="s">
        <v>16</v>
      </c>
      <c r="AS22" s="286">
        <v>19</v>
      </c>
      <c r="AT22" s="286" t="s">
        <v>296</v>
      </c>
      <c r="AV22" s="234">
        <f t="shared" si="21"/>
        <v>14</v>
      </c>
      <c r="AW22" s="234">
        <f>COUNTIF( AV$7:AV22, AV22 )</f>
        <v>8</v>
      </c>
      <c r="AX22" s="287">
        <f t="shared" si="22"/>
        <v>14.8</v>
      </c>
      <c r="AY22" s="234">
        <f t="shared" si="23"/>
        <v>21</v>
      </c>
      <c r="AZ22" s="236"/>
      <c r="BA22" s="236"/>
      <c r="BC22" s="234">
        <f t="shared" ca="1" si="24"/>
        <v>16</v>
      </c>
      <c r="BD22" s="288">
        <f t="shared" ca="1" si="6"/>
        <v>6</v>
      </c>
      <c r="BF22" s="240" t="str">
        <f t="shared" ca="1" si="7"/>
        <v>Berkshire Energy Holdings Company</v>
      </c>
      <c r="BG22" s="240" t="str">
        <f t="shared" ca="1" si="7"/>
        <v>BBB+</v>
      </c>
      <c r="BH22" s="240">
        <f t="shared" ca="1" si="7"/>
        <v>19</v>
      </c>
      <c r="BI22" s="240" t="str">
        <f t="shared" ca="1" si="7"/>
        <v>**BRK</v>
      </c>
    </row>
    <row r="23" spans="1:61" x14ac:dyDescent="0.2">
      <c r="A23" s="303" t="s">
        <v>30</v>
      </c>
      <c r="B23" s="304" t="s">
        <v>16</v>
      </c>
      <c r="C23" s="304">
        <v>19</v>
      </c>
      <c r="D23" s="304" t="s">
        <v>285</v>
      </c>
      <c r="E23" s="305" t="str">
        <f t="shared" ca="1" si="8"/>
        <v>R</v>
      </c>
      <c r="F23" s="306"/>
      <c r="G23" s="307">
        <f t="shared" ca="1" si="1"/>
        <v>14</v>
      </c>
      <c r="H23" s="250"/>
      <c r="I23" s="321"/>
      <c r="K23" s="321"/>
      <c r="N23" s="321"/>
      <c r="Q23" s="321"/>
      <c r="T23" s="321"/>
      <c r="W23" s="321"/>
      <c r="AE23" s="254"/>
      <c r="AF23" s="236">
        <f t="shared" si="2"/>
        <v>1</v>
      </c>
      <c r="AG23" s="236" t="str">
        <f t="shared" ca="1" si="3"/>
        <v/>
      </c>
      <c r="AH23" s="236" t="str">
        <f t="shared" ca="1" si="18"/>
        <v/>
      </c>
      <c r="AJ23" s="236">
        <f t="shared" ca="1" si="19"/>
        <v>23</v>
      </c>
      <c r="AK23" s="236" t="str">
        <f t="shared" ca="1" si="20"/>
        <v>BBB+</v>
      </c>
      <c r="AL23" s="236">
        <f t="shared" ca="1" si="20"/>
        <v>19</v>
      </c>
      <c r="AM23" s="236" t="str">
        <f t="shared" ca="1" si="4"/>
        <v/>
      </c>
      <c r="AQ23" s="286" t="s">
        <v>34</v>
      </c>
      <c r="AR23" s="286" t="s">
        <v>28</v>
      </c>
      <c r="AS23" s="286">
        <v>18</v>
      </c>
      <c r="AT23" s="286" t="s">
        <v>294</v>
      </c>
      <c r="AV23" s="234">
        <f t="shared" si="21"/>
        <v>31</v>
      </c>
      <c r="AW23" s="234">
        <f>COUNTIF( AV$7:AV23, AV23 )</f>
        <v>4</v>
      </c>
      <c r="AX23" s="287">
        <f t="shared" si="22"/>
        <v>31.4</v>
      </c>
      <c r="AY23" s="234">
        <f t="shared" si="23"/>
        <v>34</v>
      </c>
      <c r="AZ23" s="236"/>
      <c r="BA23" s="236"/>
      <c r="BC23" s="234">
        <f t="shared" ca="1" si="24"/>
        <v>17</v>
      </c>
      <c r="BD23" s="288">
        <f t="shared" ca="1" si="6"/>
        <v>9</v>
      </c>
      <c r="BF23" s="240" t="str">
        <f t="shared" ca="1" si="7"/>
        <v>Cleco Corporation</v>
      </c>
      <c r="BG23" s="240" t="str">
        <f t="shared" ca="1" si="7"/>
        <v>BBB+</v>
      </c>
      <c r="BH23" s="240">
        <f t="shared" ca="1" si="7"/>
        <v>19</v>
      </c>
      <c r="BI23" s="240" t="str">
        <f t="shared" ca="1" si="7"/>
        <v>CNL</v>
      </c>
    </row>
    <row r="24" spans="1:61" x14ac:dyDescent="0.2">
      <c r="A24" s="303" t="s">
        <v>60</v>
      </c>
      <c r="B24" s="304" t="s">
        <v>16</v>
      </c>
      <c r="C24" s="304">
        <v>19</v>
      </c>
      <c r="D24" s="304" t="s">
        <v>284</v>
      </c>
      <c r="E24" s="305" t="str">
        <f t="shared" ca="1" si="8"/>
        <v>R</v>
      </c>
      <c r="F24" s="306"/>
      <c r="G24" s="307">
        <f t="shared" ca="1" si="1"/>
        <v>15</v>
      </c>
      <c r="H24" s="250"/>
      <c r="I24" s="321"/>
      <c r="J24" s="262"/>
      <c r="K24" s="321"/>
      <c r="N24" s="321"/>
      <c r="Q24" s="321"/>
      <c r="T24" s="321"/>
      <c r="W24" s="321"/>
      <c r="AE24" s="254"/>
      <c r="AF24" s="236">
        <f t="shared" si="2"/>
        <v>1</v>
      </c>
      <c r="AG24" s="236" t="str">
        <f t="shared" ca="1" si="3"/>
        <v/>
      </c>
      <c r="AH24" s="236" t="str">
        <f t="shared" ca="1" si="18"/>
        <v/>
      </c>
      <c r="AJ24" s="236">
        <f t="shared" ca="1" si="19"/>
        <v>24</v>
      </c>
      <c r="AK24" s="236" t="str">
        <f t="shared" ca="1" si="20"/>
        <v>BBB+</v>
      </c>
      <c r="AL24" s="236">
        <f t="shared" ca="1" si="20"/>
        <v>19</v>
      </c>
      <c r="AM24" s="236" t="str">
        <f t="shared" ca="1" si="4"/>
        <v/>
      </c>
      <c r="AQ24" s="286" t="s">
        <v>35</v>
      </c>
      <c r="AR24" s="286" t="s">
        <v>28</v>
      </c>
      <c r="AS24" s="286">
        <v>18</v>
      </c>
      <c r="AT24" s="289" t="s">
        <v>293</v>
      </c>
      <c r="AV24" s="234">
        <f t="shared" si="21"/>
        <v>31</v>
      </c>
      <c r="AW24" s="234">
        <f>COUNTIF( AV$7:AV24, AV24 )</f>
        <v>5</v>
      </c>
      <c r="AX24" s="287">
        <f t="shared" si="22"/>
        <v>31.5</v>
      </c>
      <c r="AY24" s="234">
        <f t="shared" si="23"/>
        <v>35</v>
      </c>
      <c r="AZ24" s="236"/>
      <c r="BA24" s="236"/>
      <c r="BC24" s="234">
        <f t="shared" ca="1" si="24"/>
        <v>18</v>
      </c>
      <c r="BD24" s="288">
        <f t="shared" ca="1" si="6"/>
        <v>10</v>
      </c>
      <c r="BF24" s="240" t="str">
        <f t="shared" ca="1" si="7"/>
        <v>CMS Energy Corporation</v>
      </c>
      <c r="BG24" s="240" t="str">
        <f t="shared" ca="1" si="7"/>
        <v>BBB+</v>
      </c>
      <c r="BH24" s="240">
        <f t="shared" ca="1" si="7"/>
        <v>19</v>
      </c>
      <c r="BI24" s="240" t="str">
        <f t="shared" ca="1" si="7"/>
        <v>CMS</v>
      </c>
    </row>
    <row r="25" spans="1:61" x14ac:dyDescent="0.2">
      <c r="A25" s="303" t="s">
        <v>31</v>
      </c>
      <c r="B25" s="304" t="s">
        <v>16</v>
      </c>
      <c r="C25" s="304">
        <v>19</v>
      </c>
      <c r="D25" s="304" t="s">
        <v>289</v>
      </c>
      <c r="E25" s="305" t="str">
        <f t="shared" ca="1" si="8"/>
        <v>R</v>
      </c>
      <c r="F25" s="306"/>
      <c r="G25" s="307">
        <f t="shared" ca="1" si="1"/>
        <v>18</v>
      </c>
      <c r="H25" s="250"/>
      <c r="I25" s="321"/>
      <c r="J25" s="262"/>
      <c r="K25" s="321"/>
      <c r="N25" s="321"/>
      <c r="Q25" s="321"/>
      <c r="T25" s="321"/>
      <c r="W25" s="321"/>
      <c r="AE25" s="254"/>
      <c r="AF25" s="236">
        <f t="shared" si="2"/>
        <v>1</v>
      </c>
      <c r="AG25" s="236" t="str">
        <f t="shared" ca="1" si="3"/>
        <v/>
      </c>
      <c r="AH25" s="236" t="str">
        <f t="shared" ca="1" si="18"/>
        <v/>
      </c>
      <c r="AJ25" s="236">
        <f t="shared" ca="1" si="19"/>
        <v>25</v>
      </c>
      <c r="AK25" s="236" t="str">
        <f t="shared" ca="1" si="20"/>
        <v>BBB+</v>
      </c>
      <c r="AL25" s="236">
        <f t="shared" ca="1" si="20"/>
        <v>19</v>
      </c>
      <c r="AM25" s="236" t="str">
        <f t="shared" ca="1" si="4"/>
        <v/>
      </c>
      <c r="AQ25" s="286" t="s">
        <v>36</v>
      </c>
      <c r="AR25" s="286" t="s">
        <v>28</v>
      </c>
      <c r="AS25" s="286">
        <v>18</v>
      </c>
      <c r="AT25" s="286" t="s">
        <v>297</v>
      </c>
      <c r="AV25" s="234">
        <f t="shared" si="21"/>
        <v>31</v>
      </c>
      <c r="AW25" s="234">
        <f>COUNTIF( AV$7:AV25, AV25 )</f>
        <v>6</v>
      </c>
      <c r="AX25" s="287">
        <f t="shared" si="22"/>
        <v>31.6</v>
      </c>
      <c r="AY25" s="234">
        <f t="shared" si="23"/>
        <v>36</v>
      </c>
      <c r="AZ25" s="236"/>
      <c r="BA25" s="236"/>
      <c r="BC25" s="234">
        <f t="shared" ca="1" si="24"/>
        <v>19</v>
      </c>
      <c r="BD25" s="288">
        <f t="shared" ca="1" si="6"/>
        <v>14</v>
      </c>
      <c r="BF25" s="240" t="str">
        <f t="shared" ca="1" si="7"/>
        <v>DTE Energy Company</v>
      </c>
      <c r="BG25" s="240" t="str">
        <f t="shared" ca="1" si="7"/>
        <v>BBB+</v>
      </c>
      <c r="BH25" s="240">
        <f t="shared" ca="1" si="7"/>
        <v>19</v>
      </c>
      <c r="BI25" s="240" t="str">
        <f t="shared" ca="1" si="7"/>
        <v>DTE</v>
      </c>
    </row>
    <row r="26" spans="1:61" x14ac:dyDescent="0.2">
      <c r="A26" s="303" t="s">
        <v>32</v>
      </c>
      <c r="B26" s="304" t="s">
        <v>16</v>
      </c>
      <c r="C26" s="304">
        <v>19</v>
      </c>
      <c r="D26" s="304" t="s">
        <v>290</v>
      </c>
      <c r="E26" s="305" t="str">
        <f t="shared" ca="1" si="8"/>
        <v>R</v>
      </c>
      <c r="F26" s="306"/>
      <c r="G26" s="307">
        <f t="shared" ca="1" si="1"/>
        <v>19</v>
      </c>
      <c r="H26" s="250"/>
      <c r="I26" s="321"/>
      <c r="J26" s="262"/>
      <c r="K26" s="321"/>
      <c r="N26" s="321"/>
      <c r="Q26" s="321"/>
      <c r="T26" s="321"/>
      <c r="W26" s="321"/>
      <c r="AE26" s="254"/>
      <c r="AF26" s="236">
        <f t="shared" si="2"/>
        <v>1</v>
      </c>
      <c r="AG26" s="236" t="str">
        <f t="shared" ca="1" si="3"/>
        <v/>
      </c>
      <c r="AH26" s="236" t="str">
        <f t="shared" ca="1" si="18"/>
        <v/>
      </c>
      <c r="AJ26" s="236">
        <f t="shared" ca="1" si="19"/>
        <v>26</v>
      </c>
      <c r="AK26" s="236" t="str">
        <f t="shared" ca="1" si="20"/>
        <v>BBB+</v>
      </c>
      <c r="AL26" s="236">
        <f t="shared" ca="1" si="20"/>
        <v>19</v>
      </c>
      <c r="AM26" s="236" t="str">
        <f t="shared" ca="1" si="4"/>
        <v/>
      </c>
      <c r="AQ26" s="286" t="s">
        <v>513</v>
      </c>
      <c r="AR26" s="286" t="s">
        <v>10</v>
      </c>
      <c r="AS26" s="286">
        <v>20</v>
      </c>
      <c r="AT26" s="286" t="s">
        <v>512</v>
      </c>
      <c r="AV26" s="234">
        <f t="shared" si="21"/>
        <v>2</v>
      </c>
      <c r="AW26" s="234">
        <f>COUNTIF( AV$7:AV26, AV26 )</f>
        <v>5</v>
      </c>
      <c r="AX26" s="287">
        <f t="shared" si="22"/>
        <v>2.5</v>
      </c>
      <c r="AY26" s="234">
        <f t="shared" si="23"/>
        <v>6</v>
      </c>
      <c r="AZ26" s="236"/>
      <c r="BA26" s="236"/>
      <c r="BC26" s="234">
        <f t="shared" ca="1" si="24"/>
        <v>20</v>
      </c>
      <c r="BD26" s="288">
        <f t="shared" ca="1" si="6"/>
        <v>15</v>
      </c>
      <c r="BF26" s="240" t="str">
        <f t="shared" ca="1" si="7"/>
        <v>Duke Energy Corporation</v>
      </c>
      <c r="BG26" s="240" t="str">
        <f t="shared" ca="1" si="7"/>
        <v>BBB+</v>
      </c>
      <c r="BH26" s="240">
        <f t="shared" ca="1" si="7"/>
        <v>19</v>
      </c>
      <c r="BI26" s="240" t="str">
        <f t="shared" ca="1" si="7"/>
        <v>DUK</v>
      </c>
    </row>
    <row r="27" spans="1:61" x14ac:dyDescent="0.2">
      <c r="A27" s="303" t="s">
        <v>57</v>
      </c>
      <c r="B27" s="304" t="s">
        <v>16</v>
      </c>
      <c r="C27" s="304">
        <v>19</v>
      </c>
      <c r="D27" s="304" t="s">
        <v>296</v>
      </c>
      <c r="E27" s="305" t="str">
        <f t="shared" ca="1" si="8"/>
        <v>R</v>
      </c>
      <c r="F27" s="306"/>
      <c r="G27" s="307">
        <f t="shared" ca="1" si="1"/>
        <v>20</v>
      </c>
      <c r="H27" s="250"/>
      <c r="I27" s="321"/>
      <c r="J27" s="262"/>
      <c r="K27" s="321"/>
      <c r="N27" s="321"/>
      <c r="Q27" s="321"/>
      <c r="T27" s="321"/>
      <c r="W27" s="321"/>
      <c r="AE27" s="254"/>
      <c r="AF27" s="236">
        <f t="shared" si="2"/>
        <v>1</v>
      </c>
      <c r="AG27" s="236" t="str">
        <f t="shared" ca="1" si="3"/>
        <v/>
      </c>
      <c r="AH27" s="236" t="str">
        <f t="shared" ca="1" si="18"/>
        <v/>
      </c>
      <c r="AJ27" s="236">
        <f t="shared" ca="1" si="19"/>
        <v>27</v>
      </c>
      <c r="AK27" s="236" t="str">
        <f t="shared" ca="1" si="20"/>
        <v>BBB+</v>
      </c>
      <c r="AL27" s="236">
        <f t="shared" ca="1" si="20"/>
        <v>19</v>
      </c>
      <c r="AM27" s="236" t="str">
        <f t="shared" ca="1" si="4"/>
        <v/>
      </c>
      <c r="AQ27" s="286" t="s">
        <v>11</v>
      </c>
      <c r="AR27" s="286" t="s">
        <v>28</v>
      </c>
      <c r="AS27" s="286">
        <v>18</v>
      </c>
      <c r="AT27" s="286" t="s">
        <v>298</v>
      </c>
      <c r="AV27" s="234">
        <f t="shared" si="21"/>
        <v>31</v>
      </c>
      <c r="AW27" s="234">
        <f>COUNTIF( AV$7:AV27, AV27 )</f>
        <v>7</v>
      </c>
      <c r="AX27" s="287">
        <f t="shared" si="22"/>
        <v>31.7</v>
      </c>
      <c r="AY27" s="234">
        <f t="shared" si="23"/>
        <v>37</v>
      </c>
      <c r="AZ27" s="236"/>
      <c r="BA27" s="236"/>
      <c r="BC27" s="234">
        <f t="shared" ca="1" si="24"/>
        <v>21</v>
      </c>
      <c r="BD27" s="288">
        <f t="shared" ca="1" si="6"/>
        <v>16</v>
      </c>
      <c r="BF27" s="240" t="str">
        <f t="shared" ca="1" si="7"/>
        <v>Edison International</v>
      </c>
      <c r="BG27" s="240" t="str">
        <f t="shared" ca="1" si="7"/>
        <v>BBB+</v>
      </c>
      <c r="BH27" s="240">
        <f t="shared" ca="1" si="7"/>
        <v>19</v>
      </c>
      <c r="BI27" s="240" t="str">
        <f t="shared" ca="1" si="7"/>
        <v>EIX</v>
      </c>
    </row>
    <row r="28" spans="1:61" x14ac:dyDescent="0.2">
      <c r="A28" s="303" t="s">
        <v>261</v>
      </c>
      <c r="B28" s="304" t="s">
        <v>16</v>
      </c>
      <c r="C28" s="304">
        <v>19</v>
      </c>
      <c r="D28" s="304" t="s">
        <v>301</v>
      </c>
      <c r="E28" s="305" t="str">
        <f t="shared" ca="1" si="8"/>
        <v>R</v>
      </c>
      <c r="F28" s="306"/>
      <c r="G28" s="307">
        <f t="shared" ca="1" si="1"/>
        <v>26</v>
      </c>
      <c r="H28" s="250"/>
      <c r="I28" s="321"/>
      <c r="J28" s="262"/>
      <c r="K28" s="321"/>
      <c r="N28" s="321"/>
      <c r="Q28" s="321"/>
      <c r="T28" s="321"/>
      <c r="W28" s="321"/>
      <c r="AE28" s="245"/>
      <c r="AF28" s="236">
        <f t="shared" si="2"/>
        <v>1</v>
      </c>
      <c r="AG28" s="236" t="str">
        <f t="shared" ca="1" si="3"/>
        <v/>
      </c>
      <c r="AH28" s="236" t="str">
        <f t="shared" ca="1" si="18"/>
        <v/>
      </c>
      <c r="AJ28" s="236">
        <f t="shared" ca="1" si="19"/>
        <v>28</v>
      </c>
      <c r="AK28" s="236" t="str">
        <f t="shared" ca="1" si="20"/>
        <v>BBB+</v>
      </c>
      <c r="AL28" s="236">
        <f t="shared" ca="1" si="20"/>
        <v>19</v>
      </c>
      <c r="AM28" s="236" t="str">
        <f t="shared" ca="1" si="4"/>
        <v/>
      </c>
      <c r="AQ28" s="286" t="s">
        <v>51</v>
      </c>
      <c r="AR28" s="286" t="s">
        <v>49</v>
      </c>
      <c r="AS28" s="286">
        <v>17</v>
      </c>
      <c r="AT28" s="286" t="s">
        <v>299</v>
      </c>
      <c r="AV28" s="234">
        <f t="shared" si="21"/>
        <v>47</v>
      </c>
      <c r="AW28" s="234">
        <f>COUNTIF( AV$7:AV28, AV28 )</f>
        <v>1</v>
      </c>
      <c r="AX28" s="287">
        <f t="shared" si="22"/>
        <v>47.1</v>
      </c>
      <c r="AY28" s="234">
        <f t="shared" si="23"/>
        <v>47</v>
      </c>
      <c r="AZ28" s="236"/>
      <c r="BA28" s="236"/>
      <c r="BC28" s="234">
        <f t="shared" ca="1" si="24"/>
        <v>22</v>
      </c>
      <c r="BD28" s="288">
        <f t="shared" ca="1" si="6"/>
        <v>23</v>
      </c>
      <c r="BF28" s="240" t="str">
        <f t="shared" ca="1" si="7"/>
        <v>Great Plains Energy Inc.</v>
      </c>
      <c r="BG28" s="240" t="str">
        <f t="shared" ca="1" si="7"/>
        <v>BBB+</v>
      </c>
      <c r="BH28" s="240">
        <f t="shared" ca="1" si="7"/>
        <v>19</v>
      </c>
      <c r="BI28" s="240" t="str">
        <f t="shared" ca="1" si="7"/>
        <v>GXP</v>
      </c>
    </row>
    <row r="29" spans="1:61" x14ac:dyDescent="0.2">
      <c r="A29" s="303" t="s">
        <v>12</v>
      </c>
      <c r="B29" s="304" t="s">
        <v>16</v>
      </c>
      <c r="C29" s="304">
        <v>19</v>
      </c>
      <c r="D29" s="304" t="s">
        <v>309</v>
      </c>
      <c r="E29" s="305" t="str">
        <f t="shared" ca="1" si="8"/>
        <v>D</v>
      </c>
      <c r="F29" s="306"/>
      <c r="G29" s="307">
        <f t="shared" ca="1" si="1"/>
        <v>30</v>
      </c>
      <c r="H29" s="250"/>
      <c r="I29" s="321"/>
      <c r="J29" s="262"/>
      <c r="K29" s="321"/>
      <c r="N29" s="321"/>
      <c r="Q29" s="321"/>
      <c r="T29" s="321"/>
      <c r="W29" s="321"/>
      <c r="AF29" s="236">
        <f t="shared" si="2"/>
        <v>1</v>
      </c>
      <c r="AG29" s="236" t="str">
        <f t="shared" ca="1" si="3"/>
        <v/>
      </c>
      <c r="AH29" s="236" t="str">
        <f t="shared" ca="1" si="18"/>
        <v/>
      </c>
      <c r="AJ29" s="236">
        <f t="shared" ca="1" si="19"/>
        <v>29</v>
      </c>
      <c r="AK29" s="236" t="str">
        <f t="shared" ca="1" si="20"/>
        <v>BBB+</v>
      </c>
      <c r="AL29" s="236">
        <f t="shared" ca="1" si="20"/>
        <v>19</v>
      </c>
      <c r="AM29" s="236" t="str">
        <f t="shared" ca="1" si="4"/>
        <v/>
      </c>
      <c r="AQ29" s="286" t="s">
        <v>261</v>
      </c>
      <c r="AR29" s="286" t="s">
        <v>16</v>
      </c>
      <c r="AS29" s="286">
        <v>19</v>
      </c>
      <c r="AT29" s="286" t="s">
        <v>301</v>
      </c>
      <c r="AV29" s="234">
        <f t="shared" si="21"/>
        <v>14</v>
      </c>
      <c r="AW29" s="234">
        <f>COUNTIF( AV$7:AV29, AV29 )</f>
        <v>9</v>
      </c>
      <c r="AX29" s="287">
        <f t="shared" si="22"/>
        <v>14.9</v>
      </c>
      <c r="AY29" s="234">
        <f t="shared" si="23"/>
        <v>22</v>
      </c>
      <c r="AZ29" s="236"/>
      <c r="BA29" s="236"/>
      <c r="BC29" s="234">
        <f t="shared" ca="1" si="24"/>
        <v>23</v>
      </c>
      <c r="BD29" s="288">
        <f t="shared" ca="1" si="6"/>
        <v>29</v>
      </c>
      <c r="BF29" s="240" t="str">
        <f t="shared" ca="1" si="7"/>
        <v>MDU Resources Group, Inc.</v>
      </c>
      <c r="BG29" s="240" t="str">
        <f t="shared" ca="1" si="7"/>
        <v>BBB+</v>
      </c>
      <c r="BH29" s="240">
        <f t="shared" ca="1" si="7"/>
        <v>19</v>
      </c>
      <c r="BI29" s="240" t="str">
        <f t="shared" ca="1" si="7"/>
        <v>MDU</v>
      </c>
    </row>
    <row r="30" spans="1:61" x14ac:dyDescent="0.2">
      <c r="A30" s="303" t="s">
        <v>23</v>
      </c>
      <c r="B30" s="304" t="s">
        <v>16</v>
      </c>
      <c r="C30" s="304">
        <v>19</v>
      </c>
      <c r="D30" s="304" t="s">
        <v>323</v>
      </c>
      <c r="E30" s="305" t="str">
        <f t="shared" ca="1" si="8"/>
        <v>R</v>
      </c>
      <c r="F30" s="306"/>
      <c r="G30" s="307">
        <f t="shared" ca="1" si="1"/>
        <v>38</v>
      </c>
      <c r="H30" s="250"/>
      <c r="I30" s="321"/>
      <c r="J30" s="262"/>
      <c r="K30" s="321"/>
      <c r="N30" s="321"/>
      <c r="Q30" s="321"/>
      <c r="T30" s="321"/>
      <c r="W30" s="321"/>
      <c r="AF30" s="236">
        <f t="shared" si="2"/>
        <v>1</v>
      </c>
      <c r="AG30" s="236" t="str">
        <f t="shared" ca="1" si="3"/>
        <v/>
      </c>
      <c r="AH30" s="236" t="str">
        <f t="shared" ca="1" si="18"/>
        <v/>
      </c>
      <c r="AJ30" s="236">
        <f t="shared" ca="1" si="19"/>
        <v>30</v>
      </c>
      <c r="AK30" s="236" t="str">
        <f t="shared" ca="1" si="20"/>
        <v>BBB+</v>
      </c>
      <c r="AL30" s="236">
        <f t="shared" ca="1" si="20"/>
        <v>19</v>
      </c>
      <c r="AM30" s="236" t="str">
        <f t="shared" ca="1" si="4"/>
        <v/>
      </c>
      <c r="AQ30" s="286" t="s">
        <v>39</v>
      </c>
      <c r="AR30" s="286" t="s">
        <v>49</v>
      </c>
      <c r="AS30" s="286">
        <v>17</v>
      </c>
      <c r="AT30" s="286" t="s">
        <v>302</v>
      </c>
      <c r="AV30" s="234">
        <f t="shared" si="21"/>
        <v>47</v>
      </c>
      <c r="AW30" s="234">
        <f>COUNTIF( AV$7:AV30, AV30 )</f>
        <v>2</v>
      </c>
      <c r="AX30" s="287">
        <f t="shared" si="22"/>
        <v>47.2</v>
      </c>
      <c r="AY30" s="234">
        <f t="shared" si="23"/>
        <v>48</v>
      </c>
      <c r="AZ30" s="236"/>
      <c r="BA30" s="236"/>
      <c r="BC30" s="234">
        <f t="shared" ca="1" si="24"/>
        <v>24</v>
      </c>
      <c r="BD30" s="288">
        <f t="shared" ca="1" si="6"/>
        <v>35</v>
      </c>
      <c r="BF30" s="240" t="str">
        <f t="shared" ca="1" si="7"/>
        <v>Pepco Holdings, Inc.</v>
      </c>
      <c r="BG30" s="240" t="str">
        <f t="shared" ca="1" si="7"/>
        <v>BBB+</v>
      </c>
      <c r="BH30" s="240">
        <f t="shared" ca="1" si="7"/>
        <v>19</v>
      </c>
      <c r="BI30" s="240" t="str">
        <f t="shared" ca="1" si="7"/>
        <v>POM</v>
      </c>
    </row>
    <row r="31" spans="1:61" x14ac:dyDescent="0.2">
      <c r="A31" s="303" t="s">
        <v>45</v>
      </c>
      <c r="B31" s="304" t="s">
        <v>16</v>
      </c>
      <c r="C31" s="304">
        <v>19</v>
      </c>
      <c r="D31" s="304" t="s">
        <v>319</v>
      </c>
      <c r="E31" s="305" t="str">
        <f t="shared" ca="1" si="8"/>
        <v>MR</v>
      </c>
      <c r="F31" s="306"/>
      <c r="G31" s="307">
        <f t="shared" ca="1" si="1"/>
        <v>44</v>
      </c>
      <c r="H31" s="250"/>
      <c r="I31" s="321"/>
      <c r="J31" s="262"/>
      <c r="K31" s="321"/>
      <c r="N31" s="321"/>
      <c r="O31" s="253"/>
      <c r="Q31" s="321"/>
      <c r="T31" s="321"/>
      <c r="W31" s="321"/>
      <c r="AF31" s="236">
        <f t="shared" si="2"/>
        <v>1</v>
      </c>
      <c r="AG31" s="236" t="str">
        <f t="shared" ca="1" si="3"/>
        <v/>
      </c>
      <c r="AH31" s="236" t="str">
        <f t="shared" ca="1" si="18"/>
        <v/>
      </c>
      <c r="AJ31" s="236">
        <f t="shared" ca="1" si="19"/>
        <v>31</v>
      </c>
      <c r="AK31" s="236" t="str">
        <f t="shared" ca="1" si="20"/>
        <v>BBB+</v>
      </c>
      <c r="AL31" s="236">
        <f t="shared" ca="1" si="20"/>
        <v>19</v>
      </c>
      <c r="AM31" s="236" t="str">
        <f t="shared" ca="1" si="4"/>
        <v/>
      </c>
      <c r="AQ31" s="286" t="s">
        <v>452</v>
      </c>
      <c r="AR31" s="286" t="s">
        <v>28</v>
      </c>
      <c r="AS31" s="286">
        <v>18</v>
      </c>
      <c r="AT31" s="286" t="s">
        <v>444</v>
      </c>
      <c r="AV31" s="234">
        <f t="shared" si="21"/>
        <v>31</v>
      </c>
      <c r="AW31" s="234">
        <f>COUNTIF( AV$7:AV31, AV31 )</f>
        <v>8</v>
      </c>
      <c r="AX31" s="287">
        <f t="shared" si="22"/>
        <v>31.8</v>
      </c>
      <c r="AY31" s="234">
        <f t="shared" si="23"/>
        <v>38</v>
      </c>
      <c r="AZ31" s="236"/>
      <c r="BA31" s="236"/>
      <c r="BC31" s="234">
        <f t="shared" ca="1" si="24"/>
        <v>25</v>
      </c>
      <c r="BD31" s="288">
        <f t="shared" ca="1" si="6"/>
        <v>41</v>
      </c>
      <c r="BF31" s="240" t="str">
        <f t="shared" ca="1" si="7"/>
        <v>Public Service Enterprise Group Incorporated</v>
      </c>
      <c r="BG31" s="240" t="str">
        <f t="shared" ca="1" si="7"/>
        <v>BBB+</v>
      </c>
      <c r="BH31" s="240">
        <f t="shared" ca="1" si="7"/>
        <v>19</v>
      </c>
      <c r="BI31" s="240" t="str">
        <f t="shared" ca="1" si="7"/>
        <v>PEG</v>
      </c>
    </row>
    <row r="32" spans="1:61" x14ac:dyDescent="0.2">
      <c r="A32" s="303" t="s">
        <v>13</v>
      </c>
      <c r="B32" s="304" t="s">
        <v>16</v>
      </c>
      <c r="C32" s="304">
        <v>19</v>
      </c>
      <c r="D32" s="304" t="s">
        <v>327</v>
      </c>
      <c r="E32" s="305" t="str">
        <f t="shared" ca="1" si="8"/>
        <v>MR</v>
      </c>
      <c r="F32" s="306"/>
      <c r="G32" s="307">
        <f t="shared" ca="1" si="1"/>
        <v>45</v>
      </c>
      <c r="H32" s="250"/>
      <c r="I32" s="321"/>
      <c r="J32" s="262"/>
      <c r="K32" s="321"/>
      <c r="N32" s="321"/>
      <c r="Q32" s="321"/>
      <c r="T32" s="321"/>
      <c r="W32" s="321"/>
      <c r="AF32" s="236">
        <f t="shared" si="2"/>
        <v>1</v>
      </c>
      <c r="AG32" s="236" t="str">
        <f t="shared" ca="1" si="3"/>
        <v/>
      </c>
      <c r="AH32" s="236" t="str">
        <f t="shared" ca="1" si="18"/>
        <v/>
      </c>
      <c r="AJ32" s="236">
        <f t="shared" ca="1" si="19"/>
        <v>32</v>
      </c>
      <c r="AK32" s="236" t="str">
        <f t="shared" ca="1" si="20"/>
        <v>BBB+</v>
      </c>
      <c r="AL32" s="236">
        <f t="shared" ca="1" si="20"/>
        <v>19</v>
      </c>
      <c r="AM32" s="236" t="str">
        <f t="shared" ca="1" si="4"/>
        <v/>
      </c>
      <c r="AQ32" s="286" t="s">
        <v>20</v>
      </c>
      <c r="AR32" s="286" t="s">
        <v>28</v>
      </c>
      <c r="AS32" s="286">
        <v>18</v>
      </c>
      <c r="AT32" s="289" t="s">
        <v>303</v>
      </c>
      <c r="AV32" s="234">
        <f t="shared" si="21"/>
        <v>31</v>
      </c>
      <c r="AW32" s="234">
        <f>COUNTIF( AV$7:AV32, AV32 )</f>
        <v>9</v>
      </c>
      <c r="AX32" s="287">
        <f t="shared" si="22"/>
        <v>31.9</v>
      </c>
      <c r="AY32" s="234">
        <f t="shared" si="23"/>
        <v>39</v>
      </c>
      <c r="AZ32" s="236"/>
      <c r="BA32" s="236"/>
      <c r="BC32" s="234">
        <f t="shared" ca="1" si="24"/>
        <v>26</v>
      </c>
      <c r="BD32" s="288">
        <f t="shared" ca="1" si="6"/>
        <v>43</v>
      </c>
      <c r="BF32" s="240" t="str">
        <f t="shared" ca="1" si="7"/>
        <v>SCANA Corporation</v>
      </c>
      <c r="BG32" s="240" t="str">
        <f t="shared" ca="1" si="7"/>
        <v>BBB+</v>
      </c>
      <c r="BH32" s="240">
        <f t="shared" ca="1" si="7"/>
        <v>19</v>
      </c>
      <c r="BI32" s="240" t="str">
        <f t="shared" ca="1" si="7"/>
        <v>SCG</v>
      </c>
    </row>
    <row r="33" spans="1:61" x14ac:dyDescent="0.2">
      <c r="A33" s="303" t="s">
        <v>25</v>
      </c>
      <c r="B33" s="304" t="s">
        <v>16</v>
      </c>
      <c r="C33" s="304">
        <v>19</v>
      </c>
      <c r="D33" s="304" t="s">
        <v>329</v>
      </c>
      <c r="E33" s="305" t="str">
        <f t="shared" ca="1" si="8"/>
        <v>MR</v>
      </c>
      <c r="F33" s="306"/>
      <c r="G33" s="307">
        <f t="shared" ca="1" si="1"/>
        <v>46</v>
      </c>
      <c r="H33" s="250"/>
      <c r="I33" s="321"/>
      <c r="J33" s="262"/>
      <c r="K33" s="321"/>
      <c r="N33" s="321"/>
      <c r="Q33" s="321"/>
      <c r="T33" s="321"/>
      <c r="W33" s="321"/>
      <c r="AF33" s="236">
        <f t="shared" si="2"/>
        <v>1</v>
      </c>
      <c r="AG33" s="236" t="str">
        <f t="shared" ca="1" si="3"/>
        <v/>
      </c>
      <c r="AH33" s="236" t="str">
        <f t="shared" ca="1" si="18"/>
        <v/>
      </c>
      <c r="AJ33" s="236">
        <f t="shared" ca="1" si="19"/>
        <v>33</v>
      </c>
      <c r="AK33" s="236" t="str">
        <f t="shared" ca="1" si="20"/>
        <v>BBB+</v>
      </c>
      <c r="AL33" s="236">
        <f t="shared" ca="1" si="20"/>
        <v>19</v>
      </c>
      <c r="AM33" s="236" t="str">
        <f t="shared" ca="1" si="4"/>
        <v/>
      </c>
      <c r="AQ33" s="286" t="s">
        <v>254</v>
      </c>
      <c r="AR33" s="286" t="s">
        <v>10</v>
      </c>
      <c r="AS33" s="286">
        <v>20</v>
      </c>
      <c r="AT33" s="289" t="s">
        <v>331</v>
      </c>
      <c r="AV33" s="234">
        <f t="shared" si="21"/>
        <v>2</v>
      </c>
      <c r="AW33" s="234">
        <f>COUNTIF( AV$7:AV33, AV33 )</f>
        <v>6</v>
      </c>
      <c r="AX33" s="287">
        <f t="shared" si="22"/>
        <v>2.6</v>
      </c>
      <c r="AY33" s="234">
        <f t="shared" si="23"/>
        <v>7</v>
      </c>
      <c r="AZ33" s="236"/>
      <c r="BA33" s="236"/>
      <c r="BC33" s="234">
        <f t="shared" ca="1" si="24"/>
        <v>27</v>
      </c>
      <c r="BD33" s="288">
        <f t="shared" ca="1" si="6"/>
        <v>44</v>
      </c>
      <c r="BF33" s="240" t="str">
        <f t="shared" ca="1" si="7"/>
        <v>Sempra Energy</v>
      </c>
      <c r="BG33" s="240" t="str">
        <f t="shared" ca="1" si="7"/>
        <v>BBB+</v>
      </c>
      <c r="BH33" s="240">
        <f t="shared" ca="1" si="7"/>
        <v>19</v>
      </c>
      <c r="BI33" s="240" t="str">
        <f t="shared" ca="1" si="7"/>
        <v>SRE</v>
      </c>
    </row>
    <row r="34" spans="1:61" x14ac:dyDescent="0.2">
      <c r="A34" s="303" t="s">
        <v>62</v>
      </c>
      <c r="B34" s="304" t="s">
        <v>16</v>
      </c>
      <c r="C34" s="304">
        <v>19</v>
      </c>
      <c r="D34" s="304" t="s">
        <v>330</v>
      </c>
      <c r="E34" s="305" t="str">
        <f t="shared" ca="1" si="8"/>
        <v>R</v>
      </c>
      <c r="F34" s="306"/>
      <c r="G34" s="307">
        <f t="shared" ca="1" si="1"/>
        <v>48</v>
      </c>
      <c r="H34" s="250"/>
      <c r="I34" s="321"/>
      <c r="J34" s="262"/>
      <c r="K34" s="321"/>
      <c r="L34" s="235"/>
      <c r="M34" s="235"/>
      <c r="N34" s="321"/>
      <c r="Q34" s="321"/>
      <c r="T34" s="321"/>
      <c r="W34" s="321"/>
      <c r="AF34" s="236">
        <f t="shared" si="2"/>
        <v>1</v>
      </c>
      <c r="AG34" s="236" t="str">
        <f t="shared" ca="1" si="3"/>
        <v/>
      </c>
      <c r="AH34" s="236" t="str">
        <f t="shared" ca="1" si="18"/>
        <v/>
      </c>
      <c r="AJ34" s="236">
        <f t="shared" ca="1" si="19"/>
        <v>34</v>
      </c>
      <c r="AK34" s="236" t="str">
        <f t="shared" ca="1" si="20"/>
        <v>BBB+</v>
      </c>
      <c r="AL34" s="236">
        <f t="shared" ca="1" si="20"/>
        <v>19</v>
      </c>
      <c r="AM34" s="236" t="str">
        <f t="shared" ca="1" si="4"/>
        <v/>
      </c>
      <c r="AQ34" s="286" t="s">
        <v>58</v>
      </c>
      <c r="AR34" s="286" t="s">
        <v>56</v>
      </c>
      <c r="AS34" s="286">
        <v>16</v>
      </c>
      <c r="AT34" s="286" t="s">
        <v>446</v>
      </c>
      <c r="AV34" s="234">
        <f t="shared" si="21"/>
        <v>51</v>
      </c>
      <c r="AW34" s="234">
        <f>COUNTIF( AV$7:AV34, AV34 )</f>
        <v>1</v>
      </c>
      <c r="AX34" s="287">
        <f t="shared" si="22"/>
        <v>51.1</v>
      </c>
      <c r="AY34" s="234">
        <f t="shared" si="23"/>
        <v>51</v>
      </c>
      <c r="AZ34" s="236"/>
      <c r="BA34" s="236"/>
      <c r="BC34" s="234">
        <f t="shared" ca="1" si="24"/>
        <v>28</v>
      </c>
      <c r="BD34" s="288">
        <f t="shared" ca="1" si="6"/>
        <v>46</v>
      </c>
      <c r="BF34" s="240" t="str">
        <f t="shared" ca="1" si="7"/>
        <v>TECO Energy, Inc.</v>
      </c>
      <c r="BG34" s="240" t="str">
        <f t="shared" ca="1" si="7"/>
        <v>BBB+</v>
      </c>
      <c r="BH34" s="240">
        <f t="shared" ca="1" si="7"/>
        <v>19</v>
      </c>
      <c r="BI34" s="240" t="str">
        <f t="shared" ca="1" si="7"/>
        <v>TE</v>
      </c>
    </row>
    <row r="35" spans="1:61" x14ac:dyDescent="0.2">
      <c r="A35" s="303" t="s">
        <v>76</v>
      </c>
      <c r="B35" s="304" t="s">
        <v>16</v>
      </c>
      <c r="C35" s="304">
        <v>19</v>
      </c>
      <c r="D35" s="304" t="s">
        <v>334</v>
      </c>
      <c r="E35" s="305" t="str">
        <f t="shared" ca="1" si="8"/>
        <v>R</v>
      </c>
      <c r="F35" s="306"/>
      <c r="G35" s="307">
        <f t="shared" ca="1" si="1"/>
        <v>50</v>
      </c>
      <c r="H35" s="250"/>
      <c r="I35" s="321"/>
      <c r="K35" s="321"/>
      <c r="L35" s="235"/>
      <c r="M35" s="235"/>
      <c r="N35" s="321"/>
      <c r="Q35" s="321"/>
      <c r="T35" s="321"/>
      <c r="W35" s="321"/>
      <c r="AF35" s="236">
        <f t="shared" si="2"/>
        <v>1</v>
      </c>
      <c r="AG35" s="236" t="str">
        <f t="shared" ca="1" si="3"/>
        <v/>
      </c>
      <c r="AH35" s="236" t="str">
        <f t="shared" ca="1" si="18"/>
        <v/>
      </c>
      <c r="AJ35" s="236">
        <f t="shared" ca="1" si="19"/>
        <v>35</v>
      </c>
      <c r="AK35" s="236" t="str">
        <f t="shared" ca="1" si="20"/>
        <v>BBB+</v>
      </c>
      <c r="AL35" s="236">
        <f t="shared" ca="1" si="20"/>
        <v>19</v>
      </c>
      <c r="AM35" s="236" t="str">
        <f t="shared" ca="1" si="4"/>
        <v/>
      </c>
      <c r="AQ35" s="286" t="s">
        <v>12</v>
      </c>
      <c r="AR35" s="286" t="s">
        <v>16</v>
      </c>
      <c r="AS35" s="286">
        <v>19</v>
      </c>
      <c r="AT35" s="286" t="s">
        <v>309</v>
      </c>
      <c r="AV35" s="234">
        <f t="shared" si="21"/>
        <v>14</v>
      </c>
      <c r="AW35" s="234">
        <f>COUNTIF( AV$7:AV35, AV35 )</f>
        <v>10</v>
      </c>
      <c r="AX35" s="287">
        <f t="shared" si="22"/>
        <v>15</v>
      </c>
      <c r="AY35" s="234">
        <f t="shared" si="23"/>
        <v>23</v>
      </c>
      <c r="AZ35" s="236"/>
      <c r="BA35" s="236"/>
      <c r="BC35" s="234">
        <f t="shared" ca="1" si="24"/>
        <v>29</v>
      </c>
      <c r="BD35" s="288">
        <f t="shared" ca="1" si="6"/>
        <v>48</v>
      </c>
      <c r="BF35" s="240" t="str">
        <f t="shared" ca="1" si="7"/>
        <v>Unitil Corporation</v>
      </c>
      <c r="BG35" s="240" t="str">
        <f t="shared" ca="1" si="7"/>
        <v>BBB+</v>
      </c>
      <c r="BH35" s="240">
        <f t="shared" ca="1" si="7"/>
        <v>19</v>
      </c>
      <c r="BI35" s="240" t="str">
        <f t="shared" ca="1" si="7"/>
        <v>*UTL</v>
      </c>
    </row>
    <row r="36" spans="1:61" x14ac:dyDescent="0.2">
      <c r="A36" s="303" t="s">
        <v>59</v>
      </c>
      <c r="B36" s="304" t="s">
        <v>16</v>
      </c>
      <c r="C36" s="304">
        <v>19</v>
      </c>
      <c r="D36" s="304" t="s">
        <v>337</v>
      </c>
      <c r="E36" s="305" t="str">
        <f t="shared" ca="1" si="8"/>
        <v>R</v>
      </c>
      <c r="F36" s="306"/>
      <c r="G36" s="307">
        <f t="shared" ca="1" si="1"/>
        <v>53</v>
      </c>
      <c r="H36" s="250"/>
      <c r="I36" s="321"/>
      <c r="J36" s="262"/>
      <c r="K36" s="321"/>
      <c r="L36" s="263"/>
      <c r="M36" s="263"/>
      <c r="N36" s="321"/>
      <c r="Q36" s="321"/>
      <c r="T36" s="321"/>
      <c r="W36" s="321"/>
      <c r="AF36" s="236">
        <f t="shared" si="2"/>
        <v>1</v>
      </c>
      <c r="AG36" s="236" t="str">
        <f t="shared" ca="1" si="3"/>
        <v/>
      </c>
      <c r="AH36" s="236" t="str">
        <f t="shared" ca="1" si="18"/>
        <v/>
      </c>
      <c r="AJ36" s="236">
        <f t="shared" ca="1" si="19"/>
        <v>36</v>
      </c>
      <c r="AK36" s="236" t="str">
        <f t="shared" ca="1" si="20"/>
        <v>BBB+</v>
      </c>
      <c r="AL36" s="236">
        <f t="shared" ca="1" si="20"/>
        <v>19</v>
      </c>
      <c r="AM36" s="236" t="str">
        <f t="shared" ca="1" si="4"/>
        <v/>
      </c>
      <c r="AQ36" s="286" t="s">
        <v>370</v>
      </c>
      <c r="AR36" s="286" t="s">
        <v>10</v>
      </c>
      <c r="AS36" s="286">
        <v>20</v>
      </c>
      <c r="AT36" s="286" t="s">
        <v>369</v>
      </c>
      <c r="AV36" s="234">
        <f t="shared" si="21"/>
        <v>2</v>
      </c>
      <c r="AW36" s="234">
        <f>COUNTIF( AV$7:AV36, AV36 )</f>
        <v>7</v>
      </c>
      <c r="AX36" s="287">
        <f t="shared" si="22"/>
        <v>2.7</v>
      </c>
      <c r="AY36" s="234">
        <f t="shared" si="23"/>
        <v>8</v>
      </c>
      <c r="AZ36" s="236"/>
      <c r="BA36" s="236"/>
      <c r="BC36" s="234">
        <f t="shared" ca="1" si="24"/>
        <v>30</v>
      </c>
      <c r="BD36" s="288">
        <f t="shared" ca="1" si="6"/>
        <v>50</v>
      </c>
      <c r="BF36" s="240" t="str">
        <f t="shared" ca="1" si="7"/>
        <v>Westar Energy, Inc.</v>
      </c>
      <c r="BG36" s="240" t="str">
        <f t="shared" ca="1" si="7"/>
        <v>BBB+</v>
      </c>
      <c r="BH36" s="240">
        <f t="shared" ca="1" si="7"/>
        <v>19</v>
      </c>
      <c r="BI36" s="240" t="str">
        <f t="shared" ca="1" si="7"/>
        <v>WR</v>
      </c>
    </row>
    <row r="37" spans="1:61" x14ac:dyDescent="0.2">
      <c r="A37" s="303" t="s">
        <v>259</v>
      </c>
      <c r="B37" s="304" t="s">
        <v>28</v>
      </c>
      <c r="C37" s="304">
        <v>18</v>
      </c>
      <c r="D37" s="304" t="s">
        <v>275</v>
      </c>
      <c r="E37" s="305" t="str">
        <f t="shared" ca="1" si="8"/>
        <v>R</v>
      </c>
      <c r="F37" s="306"/>
      <c r="G37" s="307">
        <f t="shared" ca="1" si="1"/>
        <v>10</v>
      </c>
      <c r="H37" s="250"/>
      <c r="I37" s="321"/>
      <c r="K37" s="321"/>
      <c r="L37" s="264"/>
      <c r="M37" s="235"/>
      <c r="N37" s="321"/>
      <c r="Q37" s="321"/>
      <c r="T37" s="321"/>
      <c r="W37" s="321"/>
      <c r="AF37" s="236">
        <f t="shared" si="2"/>
        <v>0</v>
      </c>
      <c r="AG37" s="236" t="str">
        <f t="shared" ca="1" si="3"/>
        <v/>
      </c>
      <c r="AH37" s="236" t="str">
        <f t="shared" ca="1" si="18"/>
        <v/>
      </c>
      <c r="AJ37" s="236">
        <f t="shared" ca="1" si="19"/>
        <v>37</v>
      </c>
      <c r="AK37" s="236" t="str">
        <f t="shared" ca="1" si="20"/>
        <v>BBB</v>
      </c>
      <c r="AL37" s="236">
        <f t="shared" ca="1" si="20"/>
        <v>18</v>
      </c>
      <c r="AM37" s="236" t="str">
        <f t="shared" ca="1" si="4"/>
        <v/>
      </c>
      <c r="AQ37" s="286" t="s">
        <v>40</v>
      </c>
      <c r="AR37" s="286" t="s">
        <v>49</v>
      </c>
      <c r="AS37" s="286">
        <v>17</v>
      </c>
      <c r="AT37" s="286" t="s">
        <v>311</v>
      </c>
      <c r="AV37" s="234">
        <f t="shared" si="21"/>
        <v>47</v>
      </c>
      <c r="AW37" s="234">
        <f>COUNTIF( AV$7:AV37, AV37 )</f>
        <v>3</v>
      </c>
      <c r="AX37" s="287">
        <f t="shared" si="22"/>
        <v>47.3</v>
      </c>
      <c r="AY37" s="234">
        <f t="shared" si="23"/>
        <v>49</v>
      </c>
      <c r="AZ37" s="236"/>
      <c r="BA37" s="236"/>
      <c r="BC37" s="234">
        <f t="shared" ca="1" si="24"/>
        <v>31</v>
      </c>
      <c r="BD37" s="288">
        <f t="shared" ca="1" si="6"/>
        <v>4</v>
      </c>
      <c r="BF37" s="240" t="str">
        <f t="shared" ca="1" si="7"/>
        <v>American Electric Power Company, Inc.</v>
      </c>
      <c r="BG37" s="240" t="str">
        <f t="shared" ca="1" si="7"/>
        <v>BBB</v>
      </c>
      <c r="BH37" s="240">
        <f t="shared" ca="1" si="7"/>
        <v>18</v>
      </c>
      <c r="BI37" s="240" t="str">
        <f t="shared" ca="1" si="7"/>
        <v>AEP</v>
      </c>
    </row>
    <row r="38" spans="1:61" x14ac:dyDescent="0.2">
      <c r="A38" s="303" t="s">
        <v>55</v>
      </c>
      <c r="B38" s="304" t="s">
        <v>28</v>
      </c>
      <c r="C38" s="304">
        <v>18</v>
      </c>
      <c r="D38" s="304" t="s">
        <v>278</v>
      </c>
      <c r="E38" s="305" t="str">
        <f t="shared" ca="1" si="8"/>
        <v>R</v>
      </c>
      <c r="F38" s="306"/>
      <c r="G38" s="307">
        <f t="shared" ca="1" si="1"/>
        <v>11</v>
      </c>
      <c r="H38" s="250"/>
      <c r="I38" s="321"/>
      <c r="J38" s="262"/>
      <c r="K38" s="321"/>
      <c r="L38" s="264"/>
      <c r="M38" s="235"/>
      <c r="N38" s="321"/>
      <c r="Q38" s="321"/>
      <c r="T38" s="321"/>
      <c r="W38" s="321"/>
      <c r="AF38" s="236">
        <f t="shared" si="2"/>
        <v>0</v>
      </c>
      <c r="AG38" s="236" t="str">
        <f t="shared" ca="1" si="3"/>
        <v/>
      </c>
      <c r="AH38" s="236" t="str">
        <f t="shared" ca="1" si="18"/>
        <v/>
      </c>
      <c r="AJ38" s="236">
        <f t="shared" ca="1" si="19"/>
        <v>38</v>
      </c>
      <c r="AK38" s="236" t="str">
        <f t="shared" ca="1" si="20"/>
        <v>BBB</v>
      </c>
      <c r="AL38" s="236">
        <f t="shared" ca="1" si="20"/>
        <v>18</v>
      </c>
      <c r="AM38" s="236" t="str">
        <f t="shared" ca="1" si="4"/>
        <v/>
      </c>
      <c r="AQ38" s="286" t="s">
        <v>66</v>
      </c>
      <c r="AR38" s="286" t="s">
        <v>28</v>
      </c>
      <c r="AS38" s="286">
        <v>18</v>
      </c>
      <c r="AT38" s="286" t="s">
        <v>315</v>
      </c>
      <c r="AV38" s="234">
        <f t="shared" si="21"/>
        <v>31</v>
      </c>
      <c r="AW38" s="234">
        <f>COUNTIF( AV$7:AV38, AV38 )</f>
        <v>10</v>
      </c>
      <c r="AX38" s="287">
        <f t="shared" si="22"/>
        <v>32</v>
      </c>
      <c r="AY38" s="234">
        <f t="shared" si="23"/>
        <v>40</v>
      </c>
      <c r="AZ38" s="236"/>
      <c r="BA38" s="236"/>
      <c r="BC38" s="234">
        <f t="shared" ca="1" si="24"/>
        <v>32</v>
      </c>
      <c r="BD38" s="288">
        <f t="shared" ca="1" si="6"/>
        <v>5</v>
      </c>
      <c r="BF38" s="240" t="str">
        <f t="shared" ca="1" si="7"/>
        <v>Avista Corporation</v>
      </c>
      <c r="BG38" s="240" t="str">
        <f t="shared" ca="1" si="7"/>
        <v>BBB</v>
      </c>
      <c r="BH38" s="240">
        <f t="shared" ca="1" si="7"/>
        <v>18</v>
      </c>
      <c r="BI38" s="240" t="str">
        <f t="shared" ca="1" si="7"/>
        <v>AVA</v>
      </c>
    </row>
    <row r="39" spans="1:61" x14ac:dyDescent="0.2">
      <c r="A39" s="303" t="s">
        <v>48</v>
      </c>
      <c r="B39" s="304" t="s">
        <v>28</v>
      </c>
      <c r="C39" s="304">
        <v>18</v>
      </c>
      <c r="D39" s="304" t="s">
        <v>280</v>
      </c>
      <c r="E39" s="305" t="str">
        <f t="shared" ca="1" si="8"/>
        <v>R</v>
      </c>
      <c r="F39" s="306"/>
      <c r="G39" s="307">
        <f t="shared" ca="1" si="1"/>
        <v>12</v>
      </c>
      <c r="H39" s="250"/>
      <c r="I39" s="321"/>
      <c r="K39" s="321"/>
      <c r="L39" s="264"/>
      <c r="M39" s="235"/>
      <c r="N39" s="321"/>
      <c r="Q39" s="321"/>
      <c r="T39" s="321"/>
      <c r="W39" s="321"/>
      <c r="AF39" s="236">
        <f t="shared" si="2"/>
        <v>0</v>
      </c>
      <c r="AG39" s="236" t="str">
        <f t="shared" ca="1" si="3"/>
        <v/>
      </c>
      <c r="AH39" s="236" t="str">
        <f t="shared" ca="1" si="18"/>
        <v/>
      </c>
      <c r="AJ39" s="236">
        <f t="shared" ca="1" si="19"/>
        <v>39</v>
      </c>
      <c r="AK39" s="236" t="str">
        <f t="shared" ca="1" si="20"/>
        <v>BBB</v>
      </c>
      <c r="AL39" s="236">
        <f t="shared" ca="1" si="20"/>
        <v>18</v>
      </c>
      <c r="AM39" s="236" t="str">
        <f t="shared" ca="1" si="4"/>
        <v/>
      </c>
      <c r="AQ39" s="286" t="s">
        <v>21</v>
      </c>
      <c r="AR39" s="286" t="s">
        <v>10</v>
      </c>
      <c r="AS39" s="286">
        <v>20</v>
      </c>
      <c r="AT39" s="286" t="s">
        <v>316</v>
      </c>
      <c r="AV39" s="234">
        <f t="shared" si="21"/>
        <v>2</v>
      </c>
      <c r="AW39" s="234">
        <f>COUNTIF( AV$7:AV39, AV39 )</f>
        <v>8</v>
      </c>
      <c r="AX39" s="287">
        <f t="shared" si="22"/>
        <v>2.8</v>
      </c>
      <c r="AY39" s="234">
        <f t="shared" si="23"/>
        <v>9</v>
      </c>
      <c r="AZ39" s="236"/>
      <c r="BA39" s="236"/>
      <c r="BC39" s="234">
        <f t="shared" ca="1" si="24"/>
        <v>33</v>
      </c>
      <c r="BD39" s="288">
        <f t="shared" ca="1" si="6"/>
        <v>7</v>
      </c>
      <c r="BF39" s="240" t="str">
        <f t="shared" ref="BF39:BI63" ca="1" si="25">OFFSET( AQ$6, $BD39, 0 )</f>
        <v>Black Hills Corporation</v>
      </c>
      <c r="BG39" s="240" t="str">
        <f t="shared" ca="1" si="25"/>
        <v>BBB</v>
      </c>
      <c r="BH39" s="240">
        <f t="shared" ca="1" si="25"/>
        <v>18</v>
      </c>
      <c r="BI39" s="240" t="str">
        <f t="shared" ca="1" si="25"/>
        <v>BKH</v>
      </c>
    </row>
    <row r="40" spans="1:61" x14ac:dyDescent="0.2">
      <c r="A40" s="303" t="s">
        <v>34</v>
      </c>
      <c r="B40" s="304" t="s">
        <v>28</v>
      </c>
      <c r="C40" s="304">
        <v>18</v>
      </c>
      <c r="D40" s="304" t="s">
        <v>294</v>
      </c>
      <c r="E40" s="305" t="str">
        <f t="shared" ca="1" si="8"/>
        <v>R</v>
      </c>
      <c r="F40" s="306"/>
      <c r="G40" s="307">
        <f t="shared" ca="1" si="1"/>
        <v>21</v>
      </c>
      <c r="H40" s="250"/>
      <c r="I40" s="321"/>
      <c r="J40" s="262"/>
      <c r="K40" s="321"/>
      <c r="L40" s="264"/>
      <c r="M40" s="235"/>
      <c r="N40" s="321"/>
      <c r="Q40" s="321"/>
      <c r="T40" s="321"/>
      <c r="W40" s="321"/>
      <c r="AF40" s="236">
        <f t="shared" si="2"/>
        <v>0</v>
      </c>
      <c r="AG40" s="236" t="str">
        <f t="shared" ca="1" si="3"/>
        <v/>
      </c>
      <c r="AH40" s="236" t="str">
        <f t="shared" ca="1" si="18"/>
        <v/>
      </c>
      <c r="AJ40" s="236">
        <f t="shared" ca="1" si="19"/>
        <v>40</v>
      </c>
      <c r="AK40" s="236" t="str">
        <f t="shared" ca="1" si="20"/>
        <v>BBB</v>
      </c>
      <c r="AL40" s="236">
        <f t="shared" ca="1" si="20"/>
        <v>18</v>
      </c>
      <c r="AM40" s="236" t="str">
        <f t="shared" ca="1" si="4"/>
        <v/>
      </c>
      <c r="AQ40" s="286" t="s">
        <v>22</v>
      </c>
      <c r="AR40" s="286" t="s">
        <v>28</v>
      </c>
      <c r="AS40" s="286">
        <v>18</v>
      </c>
      <c r="AT40" s="286" t="s">
        <v>317</v>
      </c>
      <c r="AV40" s="234">
        <f t="shared" si="21"/>
        <v>31</v>
      </c>
      <c r="AW40" s="234">
        <f>COUNTIF( AV$7:AV40, AV40 )</f>
        <v>11</v>
      </c>
      <c r="AX40" s="287">
        <f t="shared" si="22"/>
        <v>32.1</v>
      </c>
      <c r="AY40" s="234">
        <f t="shared" si="23"/>
        <v>41</v>
      </c>
      <c r="AZ40" s="236"/>
      <c r="BA40" s="236"/>
      <c r="BC40" s="234">
        <f t="shared" ca="1" si="24"/>
        <v>34</v>
      </c>
      <c r="BD40" s="288">
        <f t="shared" ca="1" si="6"/>
        <v>17</v>
      </c>
      <c r="BF40" s="240" t="str">
        <f t="shared" ca="1" si="25"/>
        <v>El Paso Electric Company</v>
      </c>
      <c r="BG40" s="240" t="str">
        <f t="shared" ca="1" si="25"/>
        <v>BBB</v>
      </c>
      <c r="BH40" s="240">
        <f t="shared" ca="1" si="25"/>
        <v>18</v>
      </c>
      <c r="BI40" s="240" t="str">
        <f t="shared" ca="1" si="25"/>
        <v>EE</v>
      </c>
    </row>
    <row r="41" spans="1:61" x14ac:dyDescent="0.2">
      <c r="A41" s="303" t="s">
        <v>35</v>
      </c>
      <c r="B41" s="304" t="s">
        <v>28</v>
      </c>
      <c r="C41" s="304">
        <v>18</v>
      </c>
      <c r="D41" s="304" t="s">
        <v>293</v>
      </c>
      <c r="E41" s="305" t="str">
        <f t="shared" ca="1" si="8"/>
        <v>R</v>
      </c>
      <c r="F41" s="306"/>
      <c r="G41" s="307">
        <f t="shared" ca="1" si="1"/>
        <v>22</v>
      </c>
      <c r="H41" s="250"/>
      <c r="I41" s="321"/>
      <c r="J41" s="262"/>
      <c r="K41" s="321"/>
      <c r="L41" s="264"/>
      <c r="M41" s="235"/>
      <c r="N41" s="321"/>
      <c r="Q41" s="321"/>
      <c r="T41" s="321"/>
      <c r="W41" s="321"/>
      <c r="AF41" s="236">
        <f t="shared" si="2"/>
        <v>0</v>
      </c>
      <c r="AG41" s="236" t="str">
        <f t="shared" ca="1" si="3"/>
        <v/>
      </c>
      <c r="AH41" s="236" t="str">
        <f t="shared" ca="1" si="18"/>
        <v/>
      </c>
      <c r="AJ41" s="236">
        <f t="shared" ca="1" si="19"/>
        <v>41</v>
      </c>
      <c r="AK41" s="236" t="str">
        <f t="shared" ca="1" si="20"/>
        <v>BBB</v>
      </c>
      <c r="AL41" s="236">
        <f t="shared" ca="1" si="20"/>
        <v>18</v>
      </c>
      <c r="AM41" s="236" t="str">
        <f t="shared" ca="1" si="4"/>
        <v/>
      </c>
      <c r="AQ41" s="286" t="s">
        <v>23</v>
      </c>
      <c r="AR41" s="286" t="s">
        <v>16</v>
      </c>
      <c r="AS41" s="286">
        <v>19</v>
      </c>
      <c r="AT41" s="286" t="s">
        <v>323</v>
      </c>
      <c r="AV41" s="234">
        <f t="shared" si="21"/>
        <v>14</v>
      </c>
      <c r="AW41" s="234">
        <f>COUNTIF( AV$7:AV41, AV41 )</f>
        <v>11</v>
      </c>
      <c r="AX41" s="287">
        <f t="shared" si="22"/>
        <v>15.1</v>
      </c>
      <c r="AY41" s="234">
        <f t="shared" si="23"/>
        <v>24</v>
      </c>
      <c r="AZ41" s="236"/>
      <c r="BA41" s="236"/>
      <c r="BC41" s="234">
        <f t="shared" ca="1" si="24"/>
        <v>35</v>
      </c>
      <c r="BD41" s="288">
        <f t="shared" ca="1" si="6"/>
        <v>18</v>
      </c>
      <c r="BF41" s="240" t="str">
        <f t="shared" ca="1" si="25"/>
        <v>Empire District Electric Company</v>
      </c>
      <c r="BG41" s="240" t="str">
        <f t="shared" ca="1" si="25"/>
        <v>BBB</v>
      </c>
      <c r="BH41" s="240">
        <f t="shared" ca="1" si="25"/>
        <v>18</v>
      </c>
      <c r="BI41" s="240" t="str">
        <f t="shared" ca="1" si="25"/>
        <v>EDE</v>
      </c>
    </row>
    <row r="42" spans="1:61" x14ac:dyDescent="0.2">
      <c r="A42" s="303" t="s">
        <v>36</v>
      </c>
      <c r="B42" s="304" t="s">
        <v>28</v>
      </c>
      <c r="C42" s="304">
        <v>18</v>
      </c>
      <c r="D42" s="304" t="s">
        <v>297</v>
      </c>
      <c r="E42" s="305" t="str">
        <f t="shared" ca="1" si="8"/>
        <v>R</v>
      </c>
      <c r="F42" s="306"/>
      <c r="G42" s="307">
        <f t="shared" ca="1" si="1"/>
        <v>23</v>
      </c>
      <c r="H42" s="250"/>
      <c r="I42" s="321"/>
      <c r="J42" s="262"/>
      <c r="K42" s="321"/>
      <c r="L42" s="264"/>
      <c r="M42" s="235"/>
      <c r="N42" s="321"/>
      <c r="Q42" s="321"/>
      <c r="T42" s="321"/>
      <c r="W42" s="321"/>
      <c r="AF42" s="236">
        <f t="shared" si="2"/>
        <v>0</v>
      </c>
      <c r="AG42" s="236" t="str">
        <f t="shared" ca="1" si="3"/>
        <v/>
      </c>
      <c r="AH42" s="236" t="str">
        <f t="shared" ca="1" si="18"/>
        <v/>
      </c>
      <c r="AJ42" s="236">
        <f t="shared" ca="1" si="19"/>
        <v>42</v>
      </c>
      <c r="AK42" s="236" t="str">
        <f t="shared" ca="1" si="20"/>
        <v>BBB</v>
      </c>
      <c r="AL42" s="236">
        <f t="shared" ca="1" si="20"/>
        <v>18</v>
      </c>
      <c r="AM42" s="236" t="str">
        <f t="shared" ca="1" si="4"/>
        <v/>
      </c>
      <c r="AQ42" s="286" t="s">
        <v>53</v>
      </c>
      <c r="AR42" s="286" t="s">
        <v>28</v>
      </c>
      <c r="AS42" s="286">
        <v>18</v>
      </c>
      <c r="AT42" s="286" t="s">
        <v>318</v>
      </c>
      <c r="AV42" s="234">
        <f t="shared" si="21"/>
        <v>31</v>
      </c>
      <c r="AW42" s="234">
        <f>COUNTIF( AV$7:AV42, AV42 )</f>
        <v>12</v>
      </c>
      <c r="AX42" s="287">
        <f t="shared" si="22"/>
        <v>32.200000000000003</v>
      </c>
      <c r="AY42" s="234">
        <f t="shared" si="23"/>
        <v>42</v>
      </c>
      <c r="AZ42" s="236"/>
      <c r="BA42" s="236"/>
      <c r="BC42" s="234">
        <f t="shared" ca="1" si="24"/>
        <v>36</v>
      </c>
      <c r="BD42" s="288">
        <f t="shared" ca="1" si="6"/>
        <v>19</v>
      </c>
      <c r="BF42" s="240" t="str">
        <f t="shared" ca="1" si="25"/>
        <v>Entergy Corporation</v>
      </c>
      <c r="BG42" s="240" t="str">
        <f t="shared" ca="1" si="25"/>
        <v>BBB</v>
      </c>
      <c r="BH42" s="240">
        <f t="shared" ca="1" si="25"/>
        <v>18</v>
      </c>
      <c r="BI42" s="240" t="str">
        <f t="shared" ca="1" si="25"/>
        <v>ETR</v>
      </c>
    </row>
    <row r="43" spans="1:61" x14ac:dyDescent="0.2">
      <c r="A43" s="303" t="s">
        <v>11</v>
      </c>
      <c r="B43" s="304" t="s">
        <v>28</v>
      </c>
      <c r="C43" s="304">
        <v>18</v>
      </c>
      <c r="D43" s="304" t="s">
        <v>298</v>
      </c>
      <c r="E43" s="305" t="str">
        <f t="shared" ca="1" si="8"/>
        <v>MR</v>
      </c>
      <c r="F43" s="306"/>
      <c r="G43" s="307">
        <f t="shared" ca="1" si="1"/>
        <v>24</v>
      </c>
      <c r="H43" s="250"/>
      <c r="I43" s="321"/>
      <c r="J43" s="262"/>
      <c r="K43" s="321"/>
      <c r="L43" s="235"/>
      <c r="M43" s="235"/>
      <c r="N43" s="321"/>
      <c r="Q43" s="321"/>
      <c r="T43" s="321"/>
      <c r="W43" s="321"/>
      <c r="AF43" s="236">
        <f t="shared" si="2"/>
        <v>0</v>
      </c>
      <c r="AG43" s="236" t="str">
        <f t="shared" ca="1" si="3"/>
        <v/>
      </c>
      <c r="AH43" s="236" t="str">
        <f t="shared" ca="1" si="18"/>
        <v/>
      </c>
      <c r="AJ43" s="236">
        <f t="shared" ca="1" si="19"/>
        <v>43</v>
      </c>
      <c r="AK43" s="236" t="str">
        <f t="shared" ca="1" si="20"/>
        <v>BBB</v>
      </c>
      <c r="AL43" s="236">
        <f t="shared" ca="1" si="20"/>
        <v>18</v>
      </c>
      <c r="AM43" s="236" t="str">
        <f t="shared" ca="1" si="4"/>
        <v/>
      </c>
      <c r="AQ43" s="286" t="s">
        <v>41</v>
      </c>
      <c r="AR43" s="286" t="s">
        <v>10</v>
      </c>
      <c r="AS43" s="286">
        <v>20</v>
      </c>
      <c r="AT43" s="286" t="s">
        <v>322</v>
      </c>
      <c r="AV43" s="234">
        <f t="shared" si="21"/>
        <v>2</v>
      </c>
      <c r="AW43" s="234">
        <f>COUNTIF( AV$7:AV43, AV43 )</f>
        <v>9</v>
      </c>
      <c r="AX43" s="287">
        <f t="shared" si="22"/>
        <v>2.9</v>
      </c>
      <c r="AY43" s="234">
        <f t="shared" si="23"/>
        <v>10</v>
      </c>
      <c r="AZ43" s="236"/>
      <c r="BA43" s="236"/>
      <c r="BC43" s="234">
        <f t="shared" ca="1" si="24"/>
        <v>37</v>
      </c>
      <c r="BD43" s="288">
        <f t="shared" ca="1" si="6"/>
        <v>21</v>
      </c>
      <c r="BF43" s="240" t="str">
        <f t="shared" ca="1" si="25"/>
        <v>Exelon Corporation</v>
      </c>
      <c r="BG43" s="240" t="str">
        <f t="shared" ca="1" si="25"/>
        <v>BBB</v>
      </c>
      <c r="BH43" s="240">
        <f t="shared" ca="1" si="25"/>
        <v>18</v>
      </c>
      <c r="BI43" s="240" t="str">
        <f t="shared" ca="1" si="25"/>
        <v>EXC</v>
      </c>
    </row>
    <row r="44" spans="1:61" x14ac:dyDescent="0.2">
      <c r="A44" s="303" t="s">
        <v>452</v>
      </c>
      <c r="B44" s="304" t="s">
        <v>28</v>
      </c>
      <c r="C44" s="304">
        <v>18</v>
      </c>
      <c r="D44" s="304" t="s">
        <v>444</v>
      </c>
      <c r="E44" s="305" t="str">
        <f t="shared" ca="1" si="8"/>
        <v>R</v>
      </c>
      <c r="F44" s="306"/>
      <c r="G44" s="307">
        <f t="shared" ca="1" si="1"/>
        <v>57</v>
      </c>
      <c r="H44" s="250"/>
      <c r="I44" s="321"/>
      <c r="J44" s="262"/>
      <c r="K44" s="321"/>
      <c r="L44" s="235"/>
      <c r="M44" s="235"/>
      <c r="N44" s="321"/>
      <c r="Q44" s="321"/>
      <c r="T44" s="321"/>
      <c r="W44" s="321"/>
      <c r="AF44" s="236">
        <f t="shared" si="2"/>
        <v>0</v>
      </c>
      <c r="AG44" s="236" t="str">
        <f t="shared" ca="1" si="3"/>
        <v/>
      </c>
      <c r="AH44" s="236" t="str">
        <f t="shared" ca="1" si="18"/>
        <v/>
      </c>
      <c r="AJ44" s="236">
        <f t="shared" ca="1" si="19"/>
        <v>44</v>
      </c>
      <c r="AK44" s="236" t="str">
        <f t="shared" ca="1" si="20"/>
        <v>BBB</v>
      </c>
      <c r="AL44" s="236">
        <f t="shared" ca="1" si="20"/>
        <v>18</v>
      </c>
      <c r="AM44" s="236" t="str">
        <f t="shared" ca="1" si="4"/>
        <v/>
      </c>
      <c r="AQ44" s="286" t="s">
        <v>42</v>
      </c>
      <c r="AR44" s="286" t="s">
        <v>28</v>
      </c>
      <c r="AS44" s="286">
        <v>18</v>
      </c>
      <c r="AT44" s="286" t="s">
        <v>321</v>
      </c>
      <c r="AV44" s="234">
        <f t="shared" si="21"/>
        <v>31</v>
      </c>
      <c r="AW44" s="234">
        <f>COUNTIF( AV$7:AV44, AV44 )</f>
        <v>13</v>
      </c>
      <c r="AX44" s="287">
        <f t="shared" si="22"/>
        <v>32.299999999999997</v>
      </c>
      <c r="AY44" s="234">
        <f t="shared" si="23"/>
        <v>43</v>
      </c>
      <c r="AZ44" s="236"/>
      <c r="BA44" s="236"/>
      <c r="BC44" s="234">
        <f t="shared" ca="1" si="24"/>
        <v>38</v>
      </c>
      <c r="BD44" s="288">
        <f t="shared" ca="1" si="6"/>
        <v>25</v>
      </c>
      <c r="BF44" s="240" t="str">
        <f t="shared" ca="1" si="25"/>
        <v>Iberdrola USA</v>
      </c>
      <c r="BG44" s="240" t="str">
        <f t="shared" ca="1" si="25"/>
        <v>BBB</v>
      </c>
      <c r="BH44" s="240">
        <f t="shared" ca="1" si="25"/>
        <v>18</v>
      </c>
      <c r="BI44" s="240" t="str">
        <f t="shared" ca="1" si="25"/>
        <v>**EAST</v>
      </c>
    </row>
    <row r="45" spans="1:61" x14ac:dyDescent="0.2">
      <c r="A45" s="303" t="s">
        <v>20</v>
      </c>
      <c r="B45" s="304" t="s">
        <v>28</v>
      </c>
      <c r="C45" s="304">
        <v>18</v>
      </c>
      <c r="D45" s="304" t="s">
        <v>303</v>
      </c>
      <c r="E45" s="305" t="str">
        <f t="shared" ca="1" si="8"/>
        <v>R</v>
      </c>
      <c r="F45" s="306"/>
      <c r="G45" s="307">
        <f t="shared" ca="1" si="1"/>
        <v>28</v>
      </c>
      <c r="H45" s="250"/>
      <c r="I45" s="321"/>
      <c r="J45" s="262"/>
      <c r="K45" s="321"/>
      <c r="L45" s="235"/>
      <c r="M45" s="235"/>
      <c r="N45" s="321"/>
      <c r="Q45" s="321"/>
      <c r="T45" s="321"/>
      <c r="W45" s="321"/>
      <c r="AF45" s="236">
        <f t="shared" si="2"/>
        <v>0</v>
      </c>
      <c r="AG45" s="236" t="str">
        <f t="shared" ca="1" si="3"/>
        <v/>
      </c>
      <c r="AH45" s="236" t="str">
        <f t="shared" ca="1" si="18"/>
        <v/>
      </c>
      <c r="AJ45" s="236">
        <f t="shared" ca="1" si="19"/>
        <v>45</v>
      </c>
      <c r="AK45" s="236" t="str">
        <f t="shared" ca="1" si="20"/>
        <v>BBB</v>
      </c>
      <c r="AL45" s="236">
        <f t="shared" ca="1" si="20"/>
        <v>18</v>
      </c>
      <c r="AM45" s="236" t="str">
        <f t="shared" ca="1" si="4"/>
        <v/>
      </c>
      <c r="AQ45" s="286" t="s">
        <v>24</v>
      </c>
      <c r="AR45" s="286" t="s">
        <v>28</v>
      </c>
      <c r="AS45" s="286">
        <v>18</v>
      </c>
      <c r="AT45" s="286" t="s">
        <v>324</v>
      </c>
      <c r="AV45" s="234">
        <f t="shared" si="21"/>
        <v>31</v>
      </c>
      <c r="AW45" s="234">
        <f>COUNTIF( AV$7:AV45, AV45 )</f>
        <v>14</v>
      </c>
      <c r="AX45" s="287">
        <f t="shared" si="22"/>
        <v>32.4</v>
      </c>
      <c r="AY45" s="234">
        <f t="shared" si="23"/>
        <v>44</v>
      </c>
      <c r="AZ45" s="236"/>
      <c r="BA45" s="236"/>
      <c r="BC45" s="234">
        <f t="shared" ca="1" si="24"/>
        <v>39</v>
      </c>
      <c r="BD45" s="288">
        <f t="shared" ca="1" si="6"/>
        <v>26</v>
      </c>
      <c r="BF45" s="240" t="str">
        <f t="shared" ca="1" si="25"/>
        <v>IDACORP, Inc.</v>
      </c>
      <c r="BG45" s="240" t="str">
        <f t="shared" ca="1" si="25"/>
        <v>BBB</v>
      </c>
      <c r="BH45" s="240">
        <f t="shared" ca="1" si="25"/>
        <v>18</v>
      </c>
      <c r="BI45" s="240" t="str">
        <f t="shared" ca="1" si="25"/>
        <v>IDA</v>
      </c>
    </row>
    <row r="46" spans="1:61" x14ac:dyDescent="0.2">
      <c r="A46" s="303" t="s">
        <v>66</v>
      </c>
      <c r="B46" s="304" t="s">
        <v>28</v>
      </c>
      <c r="C46" s="304">
        <v>18</v>
      </c>
      <c r="D46" s="304" t="s">
        <v>315</v>
      </c>
      <c r="E46" s="305" t="str">
        <f t="shared" ca="1" si="8"/>
        <v>R</v>
      </c>
      <c r="F46" s="306"/>
      <c r="G46" s="307">
        <f t="shared" ca="1" si="1"/>
        <v>35</v>
      </c>
      <c r="H46" s="250"/>
      <c r="I46" s="262"/>
      <c r="K46" s="262"/>
      <c r="N46" s="257"/>
      <c r="W46" s="262"/>
      <c r="AF46" s="236">
        <f t="shared" si="2"/>
        <v>0</v>
      </c>
      <c r="AG46" s="236" t="str">
        <f t="shared" ca="1" si="3"/>
        <v/>
      </c>
      <c r="AH46" s="236" t="str">
        <f t="shared" ca="1" si="18"/>
        <v/>
      </c>
      <c r="AJ46" s="236">
        <f t="shared" ca="1" si="19"/>
        <v>46</v>
      </c>
      <c r="AK46" s="236" t="str">
        <f t="shared" ca="1" si="20"/>
        <v>BBB</v>
      </c>
      <c r="AL46" s="236">
        <f t="shared" ca="1" si="20"/>
        <v>18</v>
      </c>
      <c r="AM46" s="236" t="str">
        <f t="shared" ca="1" si="4"/>
        <v/>
      </c>
      <c r="AQ46" s="286" t="s">
        <v>43</v>
      </c>
      <c r="AR46" s="286" t="s">
        <v>28</v>
      </c>
      <c r="AS46" s="286">
        <v>18</v>
      </c>
      <c r="AT46" s="286" t="s">
        <v>325</v>
      </c>
      <c r="AV46" s="234">
        <f t="shared" si="21"/>
        <v>31</v>
      </c>
      <c r="AW46" s="234">
        <f>COUNTIF( AV$7:AV46, AV46 )</f>
        <v>15</v>
      </c>
      <c r="AX46" s="287">
        <f t="shared" si="22"/>
        <v>32.5</v>
      </c>
      <c r="AY46" s="234">
        <f t="shared" si="23"/>
        <v>45</v>
      </c>
      <c r="AZ46" s="236"/>
      <c r="BA46" s="236"/>
      <c r="BC46" s="234">
        <f t="shared" ca="1" si="24"/>
        <v>40</v>
      </c>
      <c r="BD46" s="288">
        <f t="shared" ca="1" si="6"/>
        <v>32</v>
      </c>
      <c r="BF46" s="240" t="str">
        <f t="shared" ca="1" si="25"/>
        <v>NorthWestern Corporation</v>
      </c>
      <c r="BG46" s="240" t="str">
        <f t="shared" ca="1" si="25"/>
        <v>BBB</v>
      </c>
      <c r="BH46" s="240">
        <f t="shared" ca="1" si="25"/>
        <v>18</v>
      </c>
      <c r="BI46" s="240" t="str">
        <f t="shared" ca="1" si="25"/>
        <v>NWE</v>
      </c>
    </row>
    <row r="47" spans="1:61" x14ac:dyDescent="0.2">
      <c r="A47" s="303" t="s">
        <v>22</v>
      </c>
      <c r="B47" s="304" t="s">
        <v>28</v>
      </c>
      <c r="C47" s="304">
        <v>18</v>
      </c>
      <c r="D47" s="304" t="s">
        <v>317</v>
      </c>
      <c r="E47" s="305" t="str">
        <f t="shared" ca="1" si="8"/>
        <v>R</v>
      </c>
      <c r="F47" s="306"/>
      <c r="G47" s="307">
        <f t="shared" ca="1" si="1"/>
        <v>37</v>
      </c>
      <c r="H47" s="250"/>
      <c r="I47" s="250"/>
      <c r="J47" s="258" t="s">
        <v>268</v>
      </c>
      <c r="K47" s="262"/>
      <c r="M47" s="253"/>
      <c r="N47" s="253"/>
      <c r="AF47" s="236">
        <f t="shared" si="2"/>
        <v>0</v>
      </c>
      <c r="AG47" s="236" t="str">
        <f t="shared" ca="1" si="3"/>
        <v/>
      </c>
      <c r="AH47" s="236" t="str">
        <f t="shared" ca="1" si="18"/>
        <v/>
      </c>
      <c r="AJ47" s="236">
        <f t="shared" ca="1" si="19"/>
        <v>47</v>
      </c>
      <c r="AK47" s="236" t="str">
        <f t="shared" ca="1" si="20"/>
        <v>BBB</v>
      </c>
      <c r="AL47" s="236">
        <f t="shared" ca="1" si="20"/>
        <v>18</v>
      </c>
      <c r="AM47" s="236" t="str">
        <f t="shared" ca="1" si="4"/>
        <v/>
      </c>
      <c r="AQ47" s="286" t="s">
        <v>45</v>
      </c>
      <c r="AR47" s="286" t="s">
        <v>16</v>
      </c>
      <c r="AS47" s="286">
        <v>19</v>
      </c>
      <c r="AT47" s="286" t="s">
        <v>319</v>
      </c>
      <c r="AV47" s="234">
        <f t="shared" si="21"/>
        <v>14</v>
      </c>
      <c r="AW47" s="234">
        <f>COUNTIF( AV$7:AV47, AV47 )</f>
        <v>12</v>
      </c>
      <c r="AX47" s="287">
        <f t="shared" si="22"/>
        <v>15.2</v>
      </c>
      <c r="AY47" s="234">
        <f t="shared" si="23"/>
        <v>25</v>
      </c>
      <c r="AZ47" s="236"/>
      <c r="BA47" s="236"/>
      <c r="BC47" s="234">
        <f t="shared" ca="1" si="24"/>
        <v>41</v>
      </c>
      <c r="BD47" s="288">
        <f t="shared" ca="1" si="6"/>
        <v>34</v>
      </c>
      <c r="BF47" s="240" t="str">
        <f t="shared" ca="1" si="25"/>
        <v>Otter Tail Corporation</v>
      </c>
      <c r="BG47" s="240" t="str">
        <f t="shared" ca="1" si="25"/>
        <v>BBB</v>
      </c>
      <c r="BH47" s="240">
        <f t="shared" ca="1" si="25"/>
        <v>18</v>
      </c>
      <c r="BI47" s="240" t="str">
        <f t="shared" ca="1" si="25"/>
        <v>OTTR</v>
      </c>
    </row>
    <row r="48" spans="1:61" x14ac:dyDescent="0.2">
      <c r="A48" s="303" t="s">
        <v>53</v>
      </c>
      <c r="B48" s="304" t="s">
        <v>28</v>
      </c>
      <c r="C48" s="304">
        <v>18</v>
      </c>
      <c r="D48" s="304" t="s">
        <v>318</v>
      </c>
      <c r="E48" s="305" t="str">
        <f t="shared" ca="1" si="8"/>
        <v>R</v>
      </c>
      <c r="F48" s="306"/>
      <c r="G48" s="307">
        <f t="shared" ca="1" si="1"/>
        <v>39</v>
      </c>
      <c r="H48" s="250"/>
      <c r="I48" s="250"/>
      <c r="K48" s="262"/>
      <c r="M48" s="253"/>
      <c r="N48" s="253"/>
      <c r="AF48" s="236">
        <f t="shared" si="2"/>
        <v>0</v>
      </c>
      <c r="AG48" s="236" t="str">
        <f t="shared" ca="1" si="3"/>
        <v/>
      </c>
      <c r="AH48" s="236" t="str">
        <f t="shared" ca="1" si="18"/>
        <v/>
      </c>
      <c r="AJ48" s="236">
        <f t="shared" ca="1" si="19"/>
        <v>48</v>
      </c>
      <c r="AK48" s="236" t="str">
        <f t="shared" ca="1" si="20"/>
        <v>BBB</v>
      </c>
      <c r="AL48" s="236">
        <f t="shared" ca="1" si="20"/>
        <v>18</v>
      </c>
      <c r="AM48" s="236" t="str">
        <f t="shared" ca="1" si="4"/>
        <v/>
      </c>
      <c r="AQ48" s="286" t="s">
        <v>54</v>
      </c>
      <c r="AR48" s="286" t="s">
        <v>49</v>
      </c>
      <c r="AS48" s="286">
        <v>17</v>
      </c>
      <c r="AT48" s="286" t="s">
        <v>449</v>
      </c>
      <c r="AV48" s="234">
        <f t="shared" si="21"/>
        <v>47</v>
      </c>
      <c r="AW48" s="234">
        <f>COUNTIF( AV$7:AV48, AV48 )</f>
        <v>4</v>
      </c>
      <c r="AX48" s="287">
        <f t="shared" si="22"/>
        <v>47.4</v>
      </c>
      <c r="AY48" s="234">
        <f t="shared" si="23"/>
        <v>50</v>
      </c>
      <c r="AZ48" s="236"/>
      <c r="BA48" s="236"/>
      <c r="BC48" s="234">
        <f t="shared" ca="1" si="24"/>
        <v>42</v>
      </c>
      <c r="BD48" s="288">
        <f t="shared" ca="1" si="6"/>
        <v>36</v>
      </c>
      <c r="BF48" s="240" t="str">
        <f t="shared" ca="1" si="25"/>
        <v>PG&amp;E Corporation</v>
      </c>
      <c r="BG48" s="240" t="str">
        <f t="shared" ca="1" si="25"/>
        <v>BBB</v>
      </c>
      <c r="BH48" s="240">
        <f t="shared" ca="1" si="25"/>
        <v>18</v>
      </c>
      <c r="BI48" s="240" t="str">
        <f t="shared" ca="1" si="25"/>
        <v>PCG</v>
      </c>
    </row>
    <row r="49" spans="1:61" x14ac:dyDescent="0.2">
      <c r="A49" s="303" t="s">
        <v>42</v>
      </c>
      <c r="B49" s="304" t="s">
        <v>28</v>
      </c>
      <c r="C49" s="304">
        <v>18</v>
      </c>
      <c r="D49" s="304" t="s">
        <v>321</v>
      </c>
      <c r="E49" s="305" t="str">
        <f t="shared" ca="1" si="8"/>
        <v>R</v>
      </c>
      <c r="F49" s="306"/>
      <c r="G49" s="307">
        <f t="shared" ca="1" si="1"/>
        <v>41</v>
      </c>
      <c r="H49" s="250"/>
      <c r="I49" s="250"/>
      <c r="J49" s="262"/>
      <c r="K49" s="262"/>
      <c r="M49" s="253"/>
      <c r="N49" s="253"/>
      <c r="AF49" s="236">
        <f t="shared" si="2"/>
        <v>0</v>
      </c>
      <c r="AG49" s="236" t="str">
        <f t="shared" ca="1" si="3"/>
        <v/>
      </c>
      <c r="AH49" s="236" t="str">
        <f t="shared" ca="1" si="18"/>
        <v/>
      </c>
      <c r="AJ49" s="236">
        <f t="shared" ca="1" si="19"/>
        <v>49</v>
      </c>
      <c r="AK49" s="236" t="str">
        <f t="shared" ca="1" si="20"/>
        <v>BBB</v>
      </c>
      <c r="AL49" s="236">
        <f t="shared" ca="1" si="20"/>
        <v>18</v>
      </c>
      <c r="AM49" s="236" t="str">
        <f t="shared" ca="1" si="4"/>
        <v/>
      </c>
      <c r="AQ49" s="286" t="s">
        <v>13</v>
      </c>
      <c r="AR49" s="286" t="s">
        <v>16</v>
      </c>
      <c r="AS49" s="286">
        <v>19</v>
      </c>
      <c r="AT49" s="286" t="s">
        <v>327</v>
      </c>
      <c r="AV49" s="234">
        <f t="shared" si="21"/>
        <v>14</v>
      </c>
      <c r="AW49" s="234">
        <f>COUNTIF( AV$7:AV49, AV49 )</f>
        <v>13</v>
      </c>
      <c r="AX49" s="287">
        <f t="shared" si="22"/>
        <v>15.3</v>
      </c>
      <c r="AY49" s="234">
        <f t="shared" si="23"/>
        <v>26</v>
      </c>
      <c r="AZ49" s="236"/>
      <c r="BA49" s="236"/>
      <c r="BC49" s="234">
        <f t="shared" ca="1" si="24"/>
        <v>43</v>
      </c>
      <c r="BD49" s="288">
        <f t="shared" ca="1" si="6"/>
        <v>38</v>
      </c>
      <c r="BF49" s="240" t="str">
        <f t="shared" ca="1" si="25"/>
        <v>PNM Resources, Inc.</v>
      </c>
      <c r="BG49" s="240" t="str">
        <f t="shared" ca="1" si="25"/>
        <v>BBB</v>
      </c>
      <c r="BH49" s="240">
        <f t="shared" ca="1" si="25"/>
        <v>18</v>
      </c>
      <c r="BI49" s="240" t="str">
        <f t="shared" ca="1" si="25"/>
        <v>PNM</v>
      </c>
    </row>
    <row r="50" spans="1:61" x14ac:dyDescent="0.2">
      <c r="A50" s="303" t="s">
        <v>24</v>
      </c>
      <c r="B50" s="304" t="s">
        <v>28</v>
      </c>
      <c r="C50" s="304">
        <v>18</v>
      </c>
      <c r="D50" s="304" t="s">
        <v>324</v>
      </c>
      <c r="E50" s="305" t="str">
        <f t="shared" ca="1" si="8"/>
        <v>R</v>
      </c>
      <c r="F50" s="306"/>
      <c r="G50" s="307">
        <f t="shared" ca="1" si="1"/>
        <v>42</v>
      </c>
      <c r="H50" s="250"/>
      <c r="I50" s="250"/>
      <c r="J50" s="262"/>
      <c r="K50" s="262"/>
      <c r="L50" s="235"/>
      <c r="M50" s="257"/>
      <c r="N50" s="257"/>
      <c r="AF50" s="236">
        <f t="shared" si="2"/>
        <v>0</v>
      </c>
      <c r="AG50" s="236" t="str">
        <f t="shared" ca="1" si="3"/>
        <v/>
      </c>
      <c r="AH50" s="236" t="str">
        <f t="shared" ca="1" si="18"/>
        <v/>
      </c>
      <c r="AJ50" s="236">
        <f t="shared" ca="1" si="19"/>
        <v>50</v>
      </c>
      <c r="AK50" s="236" t="str">
        <f t="shared" ca="1" si="20"/>
        <v>BBB</v>
      </c>
      <c r="AL50" s="236">
        <f t="shared" ca="1" si="20"/>
        <v>18</v>
      </c>
      <c r="AM50" s="236" t="str">
        <f t="shared" ca="1" si="4"/>
        <v/>
      </c>
      <c r="AQ50" s="286" t="s">
        <v>25</v>
      </c>
      <c r="AR50" s="286" t="s">
        <v>16</v>
      </c>
      <c r="AS50" s="286">
        <v>19</v>
      </c>
      <c r="AT50" s="286" t="s">
        <v>329</v>
      </c>
      <c r="AV50" s="234">
        <f t="shared" si="21"/>
        <v>14</v>
      </c>
      <c r="AW50" s="234">
        <f>COUNTIF( AV$7:AV50, AV50 )</f>
        <v>14</v>
      </c>
      <c r="AX50" s="287">
        <f t="shared" si="22"/>
        <v>15.4</v>
      </c>
      <c r="AY50" s="234">
        <f t="shared" si="23"/>
        <v>27</v>
      </c>
      <c r="AZ50" s="236"/>
      <c r="BA50" s="236"/>
      <c r="BC50" s="234">
        <f t="shared" ca="1" si="24"/>
        <v>44</v>
      </c>
      <c r="BD50" s="288">
        <f t="shared" ca="1" si="6"/>
        <v>39</v>
      </c>
      <c r="BF50" s="240" t="str">
        <f t="shared" ca="1" si="25"/>
        <v>Portland General Electric Company</v>
      </c>
      <c r="BG50" s="240" t="str">
        <f t="shared" ca="1" si="25"/>
        <v>BBB</v>
      </c>
      <c r="BH50" s="240">
        <f t="shared" ca="1" si="25"/>
        <v>18</v>
      </c>
      <c r="BI50" s="240" t="str">
        <f t="shared" ca="1" si="25"/>
        <v>POR</v>
      </c>
    </row>
    <row r="51" spans="1:61" x14ac:dyDescent="0.2">
      <c r="A51" s="303" t="s">
        <v>43</v>
      </c>
      <c r="B51" s="304" t="s">
        <v>28</v>
      </c>
      <c r="C51" s="304">
        <v>18</v>
      </c>
      <c r="D51" s="304" t="s">
        <v>325</v>
      </c>
      <c r="E51" s="305" t="str">
        <f t="shared" ca="1" si="8"/>
        <v>MR</v>
      </c>
      <c r="F51" s="306"/>
      <c r="G51" s="307">
        <f t="shared" ca="1" si="1"/>
        <v>43</v>
      </c>
      <c r="H51" s="250"/>
      <c r="I51" s="250"/>
      <c r="J51" s="262"/>
      <c r="K51" s="262"/>
      <c r="L51" s="235"/>
      <c r="M51" s="257"/>
      <c r="N51" s="257"/>
      <c r="AF51" s="236">
        <f t="shared" si="2"/>
        <v>0</v>
      </c>
      <c r="AG51" s="236" t="str">
        <f t="shared" ca="1" si="3"/>
        <v/>
      </c>
      <c r="AH51" s="236" t="str">
        <f t="shared" ca="1" si="18"/>
        <v/>
      </c>
      <c r="AJ51" s="236">
        <f t="shared" ca="1" si="19"/>
        <v>51</v>
      </c>
      <c r="AK51" s="236" t="str">
        <f t="shared" ca="1" si="20"/>
        <v>BBB</v>
      </c>
      <c r="AL51" s="236">
        <f t="shared" ca="1" si="20"/>
        <v>18</v>
      </c>
      <c r="AM51" s="236" t="str">
        <f t="shared" ca="1" si="4"/>
        <v/>
      </c>
      <c r="AQ51" s="286" t="s">
        <v>7</v>
      </c>
      <c r="AR51" s="286" t="s">
        <v>2</v>
      </c>
      <c r="AS51" s="286">
        <v>21</v>
      </c>
      <c r="AT51" s="286" t="s">
        <v>328</v>
      </c>
      <c r="AV51" s="234">
        <f t="shared" si="21"/>
        <v>1</v>
      </c>
      <c r="AW51" s="234">
        <f>COUNTIF( AV$7:AV51, AV51 )</f>
        <v>1</v>
      </c>
      <c r="AX51" s="287">
        <f t="shared" si="22"/>
        <v>1.1000000000000001</v>
      </c>
      <c r="AY51" s="234">
        <f t="shared" si="23"/>
        <v>1</v>
      </c>
      <c r="AZ51" s="236"/>
      <c r="BA51" s="236"/>
      <c r="BC51" s="234">
        <f t="shared" ca="1" si="24"/>
        <v>45</v>
      </c>
      <c r="BD51" s="288">
        <f t="shared" ca="1" si="6"/>
        <v>40</v>
      </c>
      <c r="BF51" s="240" t="str">
        <f t="shared" ca="1" si="25"/>
        <v>PPL Corporation</v>
      </c>
      <c r="BG51" s="240" t="str">
        <f t="shared" ca="1" si="25"/>
        <v>BBB</v>
      </c>
      <c r="BH51" s="240">
        <f t="shared" ca="1" si="25"/>
        <v>18</v>
      </c>
      <c r="BI51" s="240" t="str">
        <f t="shared" ca="1" si="25"/>
        <v>PPL</v>
      </c>
    </row>
    <row r="52" spans="1:61" x14ac:dyDescent="0.2">
      <c r="A52" s="303" t="s">
        <v>75</v>
      </c>
      <c r="B52" s="304" t="s">
        <v>28</v>
      </c>
      <c r="C52" s="304">
        <v>18</v>
      </c>
      <c r="D52" s="304" t="s">
        <v>332</v>
      </c>
      <c r="E52" s="305" t="str">
        <f t="shared" ca="1" si="8"/>
        <v>R</v>
      </c>
      <c r="F52" s="306"/>
      <c r="G52" s="307">
        <f t="shared" ca="1" si="1"/>
        <v>49</v>
      </c>
      <c r="H52" s="250"/>
      <c r="I52" s="250"/>
      <c r="J52" s="262"/>
      <c r="K52" s="262"/>
      <c r="AF52" s="236">
        <f t="shared" si="2"/>
        <v>0</v>
      </c>
      <c r="AG52" s="236" t="str">
        <f t="shared" ca="1" si="3"/>
        <v/>
      </c>
      <c r="AH52" s="236" t="str">
        <f t="shared" ca="1" si="18"/>
        <v/>
      </c>
      <c r="AJ52" s="236">
        <f t="shared" ca="1" si="19"/>
        <v>52</v>
      </c>
      <c r="AK52" s="236" t="str">
        <f t="shared" ca="1" si="20"/>
        <v>BBB</v>
      </c>
      <c r="AL52" s="236">
        <f t="shared" ca="1" si="20"/>
        <v>18</v>
      </c>
      <c r="AM52" s="236" t="str">
        <f t="shared" ca="1" si="4"/>
        <v/>
      </c>
      <c r="AQ52" s="286" t="s">
        <v>62</v>
      </c>
      <c r="AR52" s="286" t="s">
        <v>16</v>
      </c>
      <c r="AS52" s="286">
        <v>19</v>
      </c>
      <c r="AT52" s="286" t="s">
        <v>330</v>
      </c>
      <c r="AV52" s="234">
        <f t="shared" si="21"/>
        <v>14</v>
      </c>
      <c r="AW52" s="234">
        <f>COUNTIF( AV$7:AV52, AV52 )</f>
        <v>15</v>
      </c>
      <c r="AX52" s="287">
        <f t="shared" si="22"/>
        <v>15.5</v>
      </c>
      <c r="AY52" s="234">
        <f t="shared" si="23"/>
        <v>28</v>
      </c>
      <c r="AZ52" s="236"/>
      <c r="BA52" s="236"/>
      <c r="BC52" s="234">
        <f t="shared" ca="1" si="24"/>
        <v>46</v>
      </c>
      <c r="BD52" s="288">
        <f t="shared" ca="1" si="6"/>
        <v>47</v>
      </c>
      <c r="BF52" s="240" t="str">
        <f t="shared" ca="1" si="25"/>
        <v>UIL Holdings Corporation</v>
      </c>
      <c r="BG52" s="240" t="str">
        <f t="shared" ca="1" si="25"/>
        <v>BBB</v>
      </c>
      <c r="BH52" s="240">
        <f t="shared" ca="1" si="25"/>
        <v>18</v>
      </c>
      <c r="BI52" s="240" t="str">
        <f t="shared" ca="1" si="25"/>
        <v>UIL</v>
      </c>
    </row>
    <row r="53" spans="1:61" x14ac:dyDescent="0.2">
      <c r="A53" s="303" t="s">
        <v>51</v>
      </c>
      <c r="B53" s="304" t="s">
        <v>49</v>
      </c>
      <c r="C53" s="304">
        <v>17</v>
      </c>
      <c r="D53" s="304" t="s">
        <v>299</v>
      </c>
      <c r="E53" s="305" t="str">
        <f t="shared" ca="1" si="8"/>
        <v>MR</v>
      </c>
      <c r="F53" s="306"/>
      <c r="G53" s="307">
        <f t="shared" ca="1" si="1"/>
        <v>25</v>
      </c>
      <c r="H53" s="250"/>
      <c r="I53" s="250"/>
      <c r="J53" s="262"/>
      <c r="K53" s="262"/>
      <c r="AF53" s="236">
        <f t="shared" si="2"/>
        <v>1</v>
      </c>
      <c r="AG53" s="236" t="str">
        <f t="shared" ca="1" si="3"/>
        <v/>
      </c>
      <c r="AH53" s="236" t="str">
        <f t="shared" ca="1" si="18"/>
        <v/>
      </c>
      <c r="AJ53" s="236">
        <f t="shared" ca="1" si="19"/>
        <v>53</v>
      </c>
      <c r="AK53" s="236" t="str">
        <f t="shared" ca="1" si="20"/>
        <v>BBB-</v>
      </c>
      <c r="AL53" s="236">
        <f t="shared" ca="1" si="20"/>
        <v>17</v>
      </c>
      <c r="AM53" s="236" t="str">
        <f t="shared" ca="1" si="4"/>
        <v/>
      </c>
      <c r="AQ53" s="286" t="s">
        <v>75</v>
      </c>
      <c r="AR53" s="286" t="s">
        <v>28</v>
      </c>
      <c r="AS53" s="286">
        <v>18</v>
      </c>
      <c r="AT53" s="286" t="s">
        <v>332</v>
      </c>
      <c r="AV53" s="234">
        <f t="shared" si="21"/>
        <v>31</v>
      </c>
      <c r="AW53" s="234">
        <f>COUNTIF( AV$7:AV53, AV53 )</f>
        <v>16</v>
      </c>
      <c r="AX53" s="287">
        <f t="shared" si="22"/>
        <v>32.6</v>
      </c>
      <c r="AY53" s="234">
        <f t="shared" si="23"/>
        <v>46</v>
      </c>
      <c r="AZ53" s="236"/>
      <c r="BA53" s="236"/>
      <c r="BC53" s="234">
        <f t="shared" ca="1" si="24"/>
        <v>47</v>
      </c>
      <c r="BD53" s="288">
        <f t="shared" ca="1" si="6"/>
        <v>22</v>
      </c>
      <c r="BF53" s="240" t="str">
        <f t="shared" ca="1" si="25"/>
        <v>FirstEnergy Corp.</v>
      </c>
      <c r="BG53" s="240" t="str">
        <f t="shared" ca="1" si="25"/>
        <v>BBB-</v>
      </c>
      <c r="BH53" s="240">
        <f t="shared" ca="1" si="25"/>
        <v>17</v>
      </c>
      <c r="BI53" s="240" t="str">
        <f t="shared" ca="1" si="25"/>
        <v>FE</v>
      </c>
    </row>
    <row r="54" spans="1:61" x14ac:dyDescent="0.2">
      <c r="A54" s="303" t="s">
        <v>39</v>
      </c>
      <c r="B54" s="304" t="s">
        <v>49</v>
      </c>
      <c r="C54" s="304">
        <v>17</v>
      </c>
      <c r="D54" s="304" t="s">
        <v>302</v>
      </c>
      <c r="E54" s="305" t="str">
        <f t="shared" ca="1" si="8"/>
        <v>D</v>
      </c>
      <c r="F54" s="306"/>
      <c r="G54" s="307">
        <f t="shared" ca="1" si="1"/>
        <v>27</v>
      </c>
      <c r="H54" s="250"/>
      <c r="I54" s="250"/>
      <c r="J54" s="262"/>
      <c r="K54" s="262"/>
      <c r="AF54" s="236">
        <f t="shared" si="2"/>
        <v>1</v>
      </c>
      <c r="AG54" s="236" t="str">
        <f t="shared" ca="1" si="3"/>
        <v/>
      </c>
      <c r="AH54" s="236" t="str">
        <f t="shared" ca="1" si="18"/>
        <v/>
      </c>
      <c r="AJ54" s="236">
        <f t="shared" ca="1" si="19"/>
        <v>54</v>
      </c>
      <c r="AK54" s="236" t="str">
        <f t="shared" ca="1" si="20"/>
        <v>BBB-</v>
      </c>
      <c r="AL54" s="236">
        <f t="shared" ca="1" si="20"/>
        <v>17</v>
      </c>
      <c r="AM54" s="236" t="str">
        <f t="shared" ca="1" si="4"/>
        <v/>
      </c>
      <c r="AQ54" s="286" t="s">
        <v>76</v>
      </c>
      <c r="AR54" s="286" t="s">
        <v>16</v>
      </c>
      <c r="AS54" s="286">
        <v>19</v>
      </c>
      <c r="AT54" s="289" t="s">
        <v>448</v>
      </c>
      <c r="AV54" s="234">
        <f t="shared" si="21"/>
        <v>14</v>
      </c>
      <c r="AW54" s="234">
        <f>COUNTIF( AV$7:AV54, AV54 )</f>
        <v>16</v>
      </c>
      <c r="AX54" s="287">
        <f t="shared" si="22"/>
        <v>15.6</v>
      </c>
      <c r="AY54" s="234">
        <f t="shared" si="23"/>
        <v>29</v>
      </c>
      <c r="AZ54" s="236"/>
      <c r="BA54" s="236"/>
      <c r="BC54" s="234">
        <f t="shared" ca="1" si="24"/>
        <v>48</v>
      </c>
      <c r="BD54" s="288">
        <f t="shared" ca="1" si="6"/>
        <v>24</v>
      </c>
      <c r="BF54" s="240" t="str">
        <f t="shared" ca="1" si="25"/>
        <v>Hawaiian Electric Industries, Inc.</v>
      </c>
      <c r="BG54" s="240" t="str">
        <f t="shared" ca="1" si="25"/>
        <v>BBB-</v>
      </c>
      <c r="BH54" s="240">
        <f t="shared" ca="1" si="25"/>
        <v>17</v>
      </c>
      <c r="BI54" s="240" t="str">
        <f t="shared" ca="1" si="25"/>
        <v>HE</v>
      </c>
    </row>
    <row r="55" spans="1:61" x14ac:dyDescent="0.2">
      <c r="A55" s="303" t="s">
        <v>40</v>
      </c>
      <c r="B55" s="304" t="s">
        <v>49</v>
      </c>
      <c r="C55" s="304">
        <v>17</v>
      </c>
      <c r="D55" s="304" t="s">
        <v>311</v>
      </c>
      <c r="E55" s="305" t="str">
        <f t="shared" ca="1" si="8"/>
        <v>MR</v>
      </c>
      <c r="F55" s="306"/>
      <c r="G55" s="307">
        <f t="shared" ca="1" si="1"/>
        <v>33</v>
      </c>
      <c r="H55" s="250"/>
      <c r="I55" s="250"/>
      <c r="J55" s="262"/>
      <c r="K55" s="262"/>
      <c r="AF55" s="236">
        <f t="shared" si="2"/>
        <v>1</v>
      </c>
      <c r="AG55" s="236" t="str">
        <f t="shared" ca="1" si="3"/>
        <v/>
      </c>
      <c r="AH55" s="236" t="str">
        <f t="shared" ca="1" si="18"/>
        <v/>
      </c>
      <c r="AJ55" s="236">
        <f t="shared" ca="1" si="19"/>
        <v>55</v>
      </c>
      <c r="AK55" s="236" t="str">
        <f t="shared" ca="1" si="20"/>
        <v>BBB-</v>
      </c>
      <c r="AL55" s="236">
        <f t="shared" ca="1" si="20"/>
        <v>17</v>
      </c>
      <c r="AM55" s="236" t="str">
        <f t="shared" ca="1" si="4"/>
        <v/>
      </c>
      <c r="AQ55" s="286" t="s">
        <v>14</v>
      </c>
      <c r="AR55" s="286" t="s">
        <v>10</v>
      </c>
      <c r="AS55" s="286">
        <v>20</v>
      </c>
      <c r="AT55" s="286" t="s">
        <v>335</v>
      </c>
      <c r="AV55" s="234">
        <f t="shared" si="21"/>
        <v>2</v>
      </c>
      <c r="AW55" s="234">
        <f>COUNTIF( AV$7:AV55, AV55 )</f>
        <v>10</v>
      </c>
      <c r="AX55" s="287">
        <f t="shared" si="22"/>
        <v>3</v>
      </c>
      <c r="AY55" s="234">
        <f t="shared" si="23"/>
        <v>11</v>
      </c>
      <c r="AZ55" s="236"/>
      <c r="BA55" s="236"/>
      <c r="BC55" s="234">
        <f t="shared" ca="1" si="24"/>
        <v>49</v>
      </c>
      <c r="BD55" s="288">
        <f t="shared" ca="1" si="6"/>
        <v>31</v>
      </c>
      <c r="BF55" s="240" t="str">
        <f t="shared" ca="1" si="25"/>
        <v>NiSource Inc.</v>
      </c>
      <c r="BG55" s="240" t="str">
        <f t="shared" ca="1" si="25"/>
        <v>BBB-</v>
      </c>
      <c r="BH55" s="240">
        <f t="shared" ca="1" si="25"/>
        <v>17</v>
      </c>
      <c r="BI55" s="240" t="str">
        <f t="shared" ca="1" si="25"/>
        <v>NI</v>
      </c>
    </row>
    <row r="56" spans="1:61" x14ac:dyDescent="0.2">
      <c r="A56" s="303" t="s">
        <v>54</v>
      </c>
      <c r="B56" s="304" t="s">
        <v>49</v>
      </c>
      <c r="C56" s="304">
        <v>17</v>
      </c>
      <c r="D56" s="304" t="s">
        <v>449</v>
      </c>
      <c r="E56" s="305" t="str">
        <f t="shared" ca="1" si="8"/>
        <v>R</v>
      </c>
      <c r="F56" s="306"/>
      <c r="G56" s="307">
        <f t="shared" ca="1" si="1"/>
        <v>62</v>
      </c>
      <c r="H56" s="250"/>
      <c r="I56" s="250"/>
      <c r="J56" s="262"/>
      <c r="K56" s="262"/>
      <c r="AF56" s="236">
        <f t="shared" si="2"/>
        <v>1</v>
      </c>
      <c r="AG56" s="236" t="str">
        <f t="shared" ca="1" si="3"/>
        <v/>
      </c>
      <c r="AH56" s="236" t="str">
        <f t="shared" ca="1" si="18"/>
        <v/>
      </c>
      <c r="AJ56" s="236">
        <f t="shared" ca="1" si="19"/>
        <v>56</v>
      </c>
      <c r="AK56" s="236" t="str">
        <f t="shared" ca="1" si="20"/>
        <v>BBB-</v>
      </c>
      <c r="AL56" s="236">
        <f t="shared" ca="1" si="20"/>
        <v>17</v>
      </c>
      <c r="AM56" s="236" t="str">
        <f t="shared" ca="1" si="4"/>
        <v/>
      </c>
      <c r="AQ56" s="286" t="s">
        <v>59</v>
      </c>
      <c r="AR56" s="286" t="s">
        <v>16</v>
      </c>
      <c r="AS56" s="286">
        <v>19</v>
      </c>
      <c r="AT56" s="286" t="s">
        <v>337</v>
      </c>
      <c r="AV56" s="234">
        <f t="shared" si="21"/>
        <v>14</v>
      </c>
      <c r="AW56" s="234">
        <f>COUNTIF( AV$7:AV56, AV56 )</f>
        <v>17</v>
      </c>
      <c r="AX56" s="287">
        <f t="shared" si="22"/>
        <v>15.7</v>
      </c>
      <c r="AY56" s="234">
        <f t="shared" si="23"/>
        <v>30</v>
      </c>
      <c r="AZ56" s="236"/>
      <c r="BA56" s="236"/>
      <c r="BC56" s="234">
        <f t="shared" ca="1" si="24"/>
        <v>50</v>
      </c>
      <c r="BD56" s="288">
        <f t="shared" ca="1" si="6"/>
        <v>42</v>
      </c>
      <c r="BF56" s="240" t="str">
        <f t="shared" ca="1" si="25"/>
        <v>Puget Energy, Inc.</v>
      </c>
      <c r="BG56" s="240" t="str">
        <f t="shared" ca="1" si="25"/>
        <v>BBB-</v>
      </c>
      <c r="BH56" s="240">
        <f t="shared" ca="1" si="25"/>
        <v>17</v>
      </c>
      <c r="BI56" s="240" t="str">
        <f t="shared" ca="1" si="25"/>
        <v>**PSD</v>
      </c>
    </row>
    <row r="57" spans="1:61" x14ac:dyDescent="0.2">
      <c r="A57" s="303" t="s">
        <v>58</v>
      </c>
      <c r="B57" s="304" t="s">
        <v>56</v>
      </c>
      <c r="C57" s="304">
        <v>16</v>
      </c>
      <c r="D57" s="304" t="s">
        <v>446</v>
      </c>
      <c r="E57" s="305" t="str">
        <f t="shared" ca="1" si="8"/>
        <v>R</v>
      </c>
      <c r="F57" s="306"/>
      <c r="G57" s="307">
        <f t="shared" ca="1" si="1"/>
        <v>60</v>
      </c>
      <c r="H57" s="250"/>
      <c r="I57" s="250"/>
      <c r="J57" s="262"/>
      <c r="K57" s="262"/>
      <c r="AF57" s="236">
        <f t="shared" si="2"/>
        <v>0</v>
      </c>
      <c r="AG57" s="236" t="str">
        <f t="shared" ca="1" si="3"/>
        <v/>
      </c>
      <c r="AH57" s="236" t="str">
        <f t="shared" ca="1" si="18"/>
        <v/>
      </c>
      <c r="AJ57" s="236">
        <f t="shared" ca="1" si="19"/>
        <v>57</v>
      </c>
      <c r="AK57" s="236" t="str">
        <f t="shared" ca="1" si="20"/>
        <v>BB+</v>
      </c>
      <c r="AL57" s="236">
        <f t="shared" ca="1" si="20"/>
        <v>16</v>
      </c>
      <c r="AM57" s="236" t="str">
        <f t="shared" ca="1" si="4"/>
        <v/>
      </c>
      <c r="AQ57" s="286" t="s">
        <v>26</v>
      </c>
      <c r="AR57" s="286" t="s">
        <v>10</v>
      </c>
      <c r="AS57" s="286">
        <v>20</v>
      </c>
      <c r="AT57" s="286" t="s">
        <v>336</v>
      </c>
      <c r="AV57" s="234">
        <f t="shared" si="21"/>
        <v>2</v>
      </c>
      <c r="AW57" s="234">
        <f>COUNTIF( AV$7:AV57, AV57 )</f>
        <v>11</v>
      </c>
      <c r="AX57" s="287">
        <f t="shared" si="22"/>
        <v>3.1</v>
      </c>
      <c r="AY57" s="234">
        <f t="shared" si="23"/>
        <v>12</v>
      </c>
      <c r="AZ57" s="236"/>
      <c r="BA57" s="236"/>
      <c r="BC57" s="234">
        <f t="shared" ca="1" si="24"/>
        <v>51</v>
      </c>
      <c r="BD57" s="288">
        <f t="shared" ca="1" si="6"/>
        <v>28</v>
      </c>
      <c r="BF57" s="240" t="str">
        <f t="shared" ca="1" si="25"/>
        <v>IPALCO Enterprises, Inc.</v>
      </c>
      <c r="BG57" s="240" t="str">
        <f t="shared" ca="1" si="25"/>
        <v>BB+</v>
      </c>
      <c r="BH57" s="240">
        <f t="shared" ca="1" si="25"/>
        <v>16</v>
      </c>
      <c r="BI57" s="240" t="str">
        <f t="shared" ca="1" si="25"/>
        <v>**IPALCO</v>
      </c>
    </row>
    <row r="58" spans="1:61" x14ac:dyDescent="0.2">
      <c r="A58" s="303" t="s">
        <v>64</v>
      </c>
      <c r="B58" s="304" t="s">
        <v>61</v>
      </c>
      <c r="C58" s="304">
        <v>15</v>
      </c>
      <c r="D58" s="304" t="s">
        <v>443</v>
      </c>
      <c r="E58" s="305" t="str">
        <f t="shared" ca="1" si="8"/>
        <v>R</v>
      </c>
      <c r="F58" s="306"/>
      <c r="G58" s="307">
        <f t="shared" ca="1" si="1"/>
        <v>58</v>
      </c>
      <c r="H58" s="250"/>
      <c r="I58" s="250"/>
      <c r="J58" s="262"/>
      <c r="K58" s="262"/>
      <c r="AF58" s="236">
        <f t="shared" si="2"/>
        <v>1</v>
      </c>
      <c r="AG58" s="236" t="str">
        <f t="shared" ca="1" si="3"/>
        <v/>
      </c>
      <c r="AH58" s="236" t="str">
        <f t="shared" ca="1" si="18"/>
        <v/>
      </c>
      <c r="AJ58" s="236">
        <f t="shared" ca="1" si="19"/>
        <v>58</v>
      </c>
      <c r="AK58" s="236" t="str">
        <f t="shared" ca="1" si="20"/>
        <v>BB</v>
      </c>
      <c r="AL58" s="236">
        <f t="shared" ca="1" si="20"/>
        <v>15</v>
      </c>
      <c r="AM58" s="236" t="str">
        <f t="shared" ca="1" si="4"/>
        <v/>
      </c>
      <c r="AQ58" s="286" t="s">
        <v>258</v>
      </c>
      <c r="AR58" s="286" t="s">
        <v>10</v>
      </c>
      <c r="AS58" s="286">
        <v>20</v>
      </c>
      <c r="AT58" s="286" t="s">
        <v>338</v>
      </c>
      <c r="AV58" s="234">
        <f t="shared" si="21"/>
        <v>2</v>
      </c>
      <c r="AW58" s="234">
        <f>COUNTIF( AV$7:AV58, AV58 )</f>
        <v>12</v>
      </c>
      <c r="AX58" s="287">
        <f t="shared" si="22"/>
        <v>3.2</v>
      </c>
      <c r="AY58" s="234">
        <f t="shared" si="23"/>
        <v>13</v>
      </c>
      <c r="AZ58" s="236"/>
      <c r="BA58" s="236"/>
      <c r="BC58" s="234">
        <f t="shared" ca="1" si="24"/>
        <v>52</v>
      </c>
      <c r="BD58" s="288">
        <f t="shared" ca="1" si="6"/>
        <v>13</v>
      </c>
      <c r="BF58" s="240" t="str">
        <f t="shared" ca="1" si="25"/>
        <v>DPL Inc.</v>
      </c>
      <c r="BG58" s="240" t="str">
        <f t="shared" ca="1" si="25"/>
        <v>BB</v>
      </c>
      <c r="BH58" s="240">
        <f t="shared" ca="1" si="25"/>
        <v>15</v>
      </c>
      <c r="BI58" s="240" t="str">
        <f t="shared" ca="1" si="25"/>
        <v>**DPL</v>
      </c>
    </row>
    <row r="59" spans="1:61" x14ac:dyDescent="0.2">
      <c r="A59" s="303"/>
      <c r="B59" s="304"/>
      <c r="C59" s="304"/>
      <c r="D59" s="304"/>
      <c r="E59" s="305" t="str">
        <f t="shared" ca="1" si="8"/>
        <v/>
      </c>
      <c r="F59" s="306"/>
      <c r="G59" s="307" t="str">
        <f t="shared" ca="1" si="1"/>
        <v/>
      </c>
      <c r="H59" s="250"/>
      <c r="I59" s="250"/>
      <c r="J59" s="262"/>
      <c r="K59" s="262"/>
      <c r="AF59" s="236">
        <f t="shared" si="2"/>
        <v>0</v>
      </c>
      <c r="AG59" s="236" t="str">
        <f t="shared" si="3"/>
        <v/>
      </c>
      <c r="AH59" s="236" t="str">
        <f t="shared" si="18"/>
        <v/>
      </c>
      <c r="AJ59" s="236" t="e">
        <f t="shared" ca="1" si="19"/>
        <v>#N/A</v>
      </c>
      <c r="AK59" s="236" t="str">
        <f t="shared" ca="1" si="20"/>
        <v/>
      </c>
      <c r="AL59" s="236" t="str">
        <f t="shared" ca="1" si="20"/>
        <v/>
      </c>
      <c r="AM59" s="236" t="str">
        <f t="shared" ca="1" si="4"/>
        <v/>
      </c>
      <c r="AQ59" s="286"/>
      <c r="AR59" s="286"/>
      <c r="AS59" s="286"/>
      <c r="AT59" s="286"/>
      <c r="AV59" s="234">
        <f t="shared" si="21"/>
        <v>99</v>
      </c>
      <c r="AW59" s="234">
        <f>COUNTIF( AV$7:AV59, AV59 )</f>
        <v>1</v>
      </c>
      <c r="AX59" s="287">
        <f t="shared" si="22"/>
        <v>99.1</v>
      </c>
      <c r="AY59" s="234">
        <f t="shared" si="23"/>
        <v>53</v>
      </c>
      <c r="AZ59" s="236"/>
      <c r="BA59" s="236"/>
      <c r="BC59" s="234">
        <f t="shared" ca="1" si="24"/>
        <v>53</v>
      </c>
      <c r="BD59" s="288">
        <f t="shared" ca="1" si="6"/>
        <v>53</v>
      </c>
      <c r="BF59" s="240">
        <f t="shared" ca="1" si="25"/>
        <v>0</v>
      </c>
      <c r="BG59" s="240">
        <f t="shared" ca="1" si="25"/>
        <v>0</v>
      </c>
      <c r="BH59" s="240">
        <f t="shared" ca="1" si="25"/>
        <v>0</v>
      </c>
      <c r="BI59" s="240">
        <f t="shared" ca="1" si="25"/>
        <v>0</v>
      </c>
    </row>
    <row r="60" spans="1:61" ht="13.5" thickBot="1" x14ac:dyDescent="0.25">
      <c r="A60" s="265"/>
      <c r="B60" s="266"/>
      <c r="C60" s="266"/>
      <c r="D60" s="266"/>
      <c r="E60" s="267" t="str">
        <f t="shared" ca="1" si="8"/>
        <v/>
      </c>
      <c r="F60" s="250"/>
      <c r="G60" s="251" t="str">
        <f t="shared" ca="1" si="1"/>
        <v/>
      </c>
      <c r="H60" s="250"/>
      <c r="I60" s="250"/>
      <c r="AF60" s="236">
        <f t="shared" si="2"/>
        <v>0</v>
      </c>
      <c r="AG60" s="236" t="str">
        <f t="shared" si="3"/>
        <v/>
      </c>
      <c r="AH60" s="236" t="str">
        <f t="shared" si="18"/>
        <v/>
      </c>
      <c r="AJ60" s="236" t="e">
        <f t="shared" ca="1" si="19"/>
        <v>#N/A</v>
      </c>
      <c r="AK60" s="236" t="str">
        <f t="shared" ca="1" si="20"/>
        <v/>
      </c>
      <c r="AL60" s="236" t="str">
        <f t="shared" ca="1" si="20"/>
        <v/>
      </c>
      <c r="AM60" s="236" t="str">
        <f t="shared" ca="1" si="4"/>
        <v/>
      </c>
      <c r="AQ60" s="286"/>
      <c r="AR60" s="286"/>
      <c r="AS60" s="286"/>
      <c r="AT60" s="286"/>
      <c r="AV60" s="234">
        <f t="shared" si="21"/>
        <v>99</v>
      </c>
      <c r="AW60" s="234">
        <f>COUNTIF( AV$7:AV60, AV60 )</f>
        <v>2</v>
      </c>
      <c r="AX60" s="287">
        <f t="shared" si="22"/>
        <v>99.2</v>
      </c>
      <c r="AY60" s="234">
        <f t="shared" si="23"/>
        <v>54</v>
      </c>
      <c r="AZ60" s="236"/>
      <c r="BA60" s="236"/>
      <c r="BC60" s="234">
        <f t="shared" ca="1" si="24"/>
        <v>54</v>
      </c>
      <c r="BD60" s="288">
        <f t="shared" ca="1" si="6"/>
        <v>54</v>
      </c>
      <c r="BF60" s="240">
        <f t="shared" ca="1" si="25"/>
        <v>0</v>
      </c>
      <c r="BG60" s="240">
        <f t="shared" ca="1" si="25"/>
        <v>0</v>
      </c>
      <c r="BH60" s="240">
        <f t="shared" ca="1" si="25"/>
        <v>0</v>
      </c>
      <c r="BI60" s="240">
        <f t="shared" ca="1" si="25"/>
        <v>0</v>
      </c>
    </row>
    <row r="61" spans="1:61" x14ac:dyDescent="0.2">
      <c r="A61" s="308" t="s">
        <v>474</v>
      </c>
      <c r="B61" s="309" t="s">
        <v>108</v>
      </c>
      <c r="C61" s="309">
        <v>23</v>
      </c>
      <c r="D61" s="309" t="s">
        <v>440</v>
      </c>
      <c r="E61" s="310" t="str">
        <f t="shared" ca="1" si="8"/>
        <v>MR</v>
      </c>
      <c r="F61" s="311"/>
      <c r="G61" s="312">
        <f t="shared" ca="1" si="1"/>
        <v>31</v>
      </c>
      <c r="H61" s="250"/>
      <c r="I61" s="250"/>
      <c r="AF61" s="236">
        <f t="shared" si="2"/>
        <v>1</v>
      </c>
      <c r="AG61" s="236" t="str">
        <f t="shared" ca="1" si="3"/>
        <v/>
      </c>
      <c r="AH61" s="236" t="str">
        <f t="shared" ca="1" si="18"/>
        <v/>
      </c>
      <c r="AJ61" s="236">
        <f t="shared" ca="1" si="19"/>
        <v>61</v>
      </c>
      <c r="AK61" s="236" t="str">
        <f t="shared" ca="1" si="20"/>
        <v>AA-</v>
      </c>
      <c r="AL61" s="236">
        <f t="shared" ca="1" si="20"/>
        <v>23</v>
      </c>
      <c r="AM61" s="236" t="str">
        <f t="shared" ca="1" si="4"/>
        <v/>
      </c>
      <c r="AQ61" s="286"/>
      <c r="AR61" s="286"/>
      <c r="AS61" s="286"/>
      <c r="AT61" s="286"/>
      <c r="AV61" s="234">
        <f t="shared" si="21"/>
        <v>99</v>
      </c>
      <c r="AW61" s="234">
        <f>COUNTIF( AV$7:AV61, AV61 )</f>
        <v>3</v>
      </c>
      <c r="AX61" s="287">
        <f t="shared" si="22"/>
        <v>99.3</v>
      </c>
      <c r="AY61" s="234">
        <f t="shared" si="23"/>
        <v>55</v>
      </c>
      <c r="AZ61" s="236"/>
      <c r="BA61" s="236"/>
      <c r="BC61" s="234">
        <f t="shared" ca="1" si="24"/>
        <v>55</v>
      </c>
      <c r="BD61" s="288">
        <f t="shared" ca="1" si="6"/>
        <v>55</v>
      </c>
      <c r="BF61" s="240">
        <f t="shared" ca="1" si="25"/>
        <v>0</v>
      </c>
      <c r="BG61" s="240">
        <f t="shared" ca="1" si="25"/>
        <v>0</v>
      </c>
      <c r="BH61" s="240">
        <f t="shared" ca="1" si="25"/>
        <v>0</v>
      </c>
      <c r="BI61" s="240">
        <f t="shared" ca="1" si="25"/>
        <v>0</v>
      </c>
    </row>
    <row r="62" spans="1:61" x14ac:dyDescent="0.2">
      <c r="A62" s="303" t="s">
        <v>249</v>
      </c>
      <c r="B62" s="304"/>
      <c r="C62" s="304"/>
      <c r="D62" s="304" t="s">
        <v>445</v>
      </c>
      <c r="E62" s="305" t="str">
        <f t="shared" ca="1" si="8"/>
        <v>D</v>
      </c>
      <c r="F62" s="306"/>
      <c r="G62" s="307">
        <f t="shared" ca="1" si="1"/>
        <v>59</v>
      </c>
      <c r="H62" s="250"/>
      <c r="I62" s="250"/>
      <c r="AF62" s="236">
        <f t="shared" si="2"/>
        <v>0</v>
      </c>
      <c r="AG62" s="236" t="str">
        <f t="shared" si="3"/>
        <v/>
      </c>
      <c r="AH62" s="236" t="str">
        <f t="shared" si="18"/>
        <v/>
      </c>
      <c r="AJ62" s="236">
        <f t="shared" ca="1" si="19"/>
        <v>62</v>
      </c>
      <c r="AK62" s="236">
        <f t="shared" ca="1" si="20"/>
        <v>0</v>
      </c>
      <c r="AL62" s="236">
        <f t="shared" ca="1" si="20"/>
        <v>0</v>
      </c>
      <c r="AM62" s="236" t="str">
        <f t="shared" ca="1" si="4"/>
        <v/>
      </c>
      <c r="AQ62" s="286"/>
      <c r="AR62" s="286"/>
      <c r="AS62" s="286"/>
      <c r="AT62" s="286"/>
      <c r="AV62" s="234">
        <f t="shared" si="21"/>
        <v>99</v>
      </c>
      <c r="AW62" s="234">
        <f>COUNTIF( AV$7:AV62, AV62 )</f>
        <v>4</v>
      </c>
      <c r="AX62" s="287">
        <f t="shared" si="22"/>
        <v>99.4</v>
      </c>
      <c r="AY62" s="234">
        <f t="shared" si="23"/>
        <v>56</v>
      </c>
      <c r="AZ62" s="236"/>
      <c r="BA62" s="236"/>
      <c r="BC62" s="234">
        <f t="shared" ca="1" si="24"/>
        <v>56</v>
      </c>
      <c r="BD62" s="288">
        <f t="shared" ca="1" si="6"/>
        <v>56</v>
      </c>
      <c r="BF62" s="240">
        <f t="shared" ca="1" si="25"/>
        <v>0</v>
      </c>
      <c r="BG62" s="240">
        <f t="shared" ca="1" si="25"/>
        <v>0</v>
      </c>
      <c r="BH62" s="240">
        <f t="shared" ca="1" si="25"/>
        <v>0</v>
      </c>
      <c r="BI62" s="240">
        <f t="shared" ca="1" si="25"/>
        <v>0</v>
      </c>
    </row>
    <row r="63" spans="1:61" x14ac:dyDescent="0.2">
      <c r="A63" s="303"/>
      <c r="B63" s="313"/>
      <c r="C63" s="304"/>
      <c r="D63" s="304"/>
      <c r="E63" s="305"/>
      <c r="F63" s="306"/>
      <c r="G63" s="307"/>
      <c r="H63" s="250"/>
      <c r="I63" s="250"/>
      <c r="AF63" s="236">
        <f t="shared" si="2"/>
        <v>0</v>
      </c>
      <c r="AG63" s="236" t="str">
        <f t="shared" si="3"/>
        <v/>
      </c>
      <c r="AH63" s="236" t="str">
        <f t="shared" si="18"/>
        <v/>
      </c>
      <c r="AJ63" s="236" t="e">
        <f t="shared" ca="1" si="19"/>
        <v>#N/A</v>
      </c>
      <c r="AK63" s="236" t="str">
        <f t="shared" ca="1" si="20"/>
        <v/>
      </c>
      <c r="AL63" s="236" t="str">
        <f t="shared" ca="1" si="20"/>
        <v/>
      </c>
      <c r="AM63" s="236" t="str">
        <f t="shared" ca="1" si="4"/>
        <v/>
      </c>
      <c r="AQ63" s="286"/>
      <c r="AR63" s="286"/>
      <c r="AS63" s="286"/>
      <c r="AT63" s="286"/>
      <c r="AU63" s="286"/>
      <c r="AV63" s="234">
        <f t="shared" si="21"/>
        <v>99</v>
      </c>
      <c r="AW63" s="234">
        <f>COUNTIF( AV$7:AV63, AV63 )</f>
        <v>5</v>
      </c>
      <c r="AX63" s="287">
        <f t="shared" si="22"/>
        <v>99.5</v>
      </c>
      <c r="AY63" s="234">
        <f t="shared" si="23"/>
        <v>57</v>
      </c>
      <c r="AZ63" s="236"/>
      <c r="BA63" s="236"/>
      <c r="BC63" s="234">
        <f t="shared" ca="1" si="24"/>
        <v>57</v>
      </c>
      <c r="BD63" s="288">
        <f ca="1">MATCH( BC63, $AY$7:$AY$63, 0 )</f>
        <v>57</v>
      </c>
      <c r="BF63" s="240">
        <f t="shared" ca="1" si="25"/>
        <v>0</v>
      </c>
      <c r="BG63" s="240">
        <f t="shared" ca="1" si="25"/>
        <v>0</v>
      </c>
      <c r="BH63" s="240">
        <f t="shared" ca="1" si="25"/>
        <v>0</v>
      </c>
      <c r="BI63" s="240">
        <f t="shared" ca="1" si="25"/>
        <v>0</v>
      </c>
    </row>
    <row r="64" spans="1:61" x14ac:dyDescent="0.2">
      <c r="A64" s="303"/>
      <c r="B64" s="313"/>
      <c r="C64" s="304"/>
      <c r="D64" s="304"/>
      <c r="E64" s="305"/>
      <c r="F64" s="306"/>
      <c r="G64" s="307"/>
      <c r="H64" s="250"/>
      <c r="I64" s="250"/>
      <c r="AF64" s="236">
        <f t="shared" si="2"/>
        <v>0</v>
      </c>
      <c r="AG64" s="236" t="str">
        <f t="shared" si="3"/>
        <v/>
      </c>
      <c r="AH64" s="236" t="str">
        <f t="shared" si="18"/>
        <v/>
      </c>
      <c r="AJ64" s="236" t="e">
        <f t="shared" ca="1" si="19"/>
        <v>#N/A</v>
      </c>
      <c r="AK64" s="236" t="str">
        <f t="shared" ca="1" si="20"/>
        <v/>
      </c>
      <c r="AL64" s="236" t="str">
        <f t="shared" ca="1" si="20"/>
        <v/>
      </c>
      <c r="AM64" s="236" t="str">
        <f t="shared" ca="1" si="4"/>
        <v/>
      </c>
      <c r="AQ64" s="286" t="s">
        <v>74</v>
      </c>
      <c r="AR64" s="286" t="s">
        <v>108</v>
      </c>
      <c r="AS64" s="286">
        <v>23</v>
      </c>
      <c r="AT64" s="286" t="s">
        <v>440</v>
      </c>
      <c r="AU64" s="286"/>
      <c r="AZ64" s="236"/>
      <c r="BA64" s="236"/>
      <c r="BF64" s="236"/>
    </row>
    <row r="65" spans="1:58" x14ac:dyDescent="0.2">
      <c r="A65" s="303"/>
      <c r="B65" s="313"/>
      <c r="C65" s="304"/>
      <c r="D65" s="304"/>
      <c r="E65" s="305"/>
      <c r="F65" s="306"/>
      <c r="G65" s="307"/>
      <c r="H65" s="250"/>
      <c r="I65" s="250"/>
      <c r="N65" s="234" t="s">
        <v>73</v>
      </c>
      <c r="AF65" s="236">
        <f t="shared" si="2"/>
        <v>0</v>
      </c>
      <c r="AG65" s="236" t="str">
        <f>IF( LEN( $C65 ) = 0, "", IF( $C65 &gt; $AL65, 1, "" ) )</f>
        <v/>
      </c>
      <c r="AH65" s="236" t="str">
        <f t="shared" si="18"/>
        <v/>
      </c>
      <c r="AJ65" s="236" t="e">
        <f t="shared" ca="1" si="19"/>
        <v>#N/A</v>
      </c>
      <c r="AK65" s="236" t="str">
        <f t="shared" ca="1" si="20"/>
        <v/>
      </c>
      <c r="AL65" s="236" t="str">
        <f t="shared" ca="1" si="20"/>
        <v/>
      </c>
      <c r="AM65" s="236" t="str">
        <f t="shared" ca="1" si="4"/>
        <v/>
      </c>
      <c r="AQ65" s="286" t="s">
        <v>249</v>
      </c>
      <c r="AR65" s="286"/>
      <c r="AS65" s="286"/>
      <c r="AT65" s="286" t="s">
        <v>445</v>
      </c>
      <c r="AU65" s="286"/>
      <c r="AZ65" s="236"/>
      <c r="BA65" s="236"/>
      <c r="BF65" s="236"/>
    </row>
    <row r="66" spans="1:58" x14ac:dyDescent="0.2">
      <c r="A66" s="268"/>
      <c r="B66" s="269"/>
      <c r="C66" s="270"/>
      <c r="D66" s="270"/>
      <c r="E66" s="249"/>
      <c r="F66" s="250"/>
      <c r="H66" s="250"/>
      <c r="I66" s="250"/>
      <c r="AF66" s="236">
        <f t="shared" si="2"/>
        <v>0</v>
      </c>
      <c r="AG66" s="236" t="str">
        <f t="shared" ref="AG66:AG67" si="26">IF( LEN( $C66 ) = 0, "", IF( $C66 &gt; $AL66, 1, "" ) )</f>
        <v/>
      </c>
      <c r="AH66" s="236" t="str">
        <f t="shared" si="18"/>
        <v/>
      </c>
      <c r="AJ66" s="236" t="e">
        <f t="shared" ca="1" si="19"/>
        <v>#N/A</v>
      </c>
      <c r="AK66" s="236" t="str">
        <f t="shared" ca="1" si="20"/>
        <v/>
      </c>
      <c r="AL66" s="236" t="str">
        <f t="shared" ca="1" si="20"/>
        <v/>
      </c>
      <c r="AM66" s="236" t="str">
        <f t="shared" ca="1" si="4"/>
        <v/>
      </c>
      <c r="AU66" s="286"/>
      <c r="AX66" s="287"/>
      <c r="AZ66" s="236"/>
      <c r="BA66" s="236"/>
      <c r="BD66" s="288"/>
      <c r="BF66" s="236"/>
    </row>
    <row r="67" spans="1:58" ht="13.5" thickBot="1" x14ac:dyDescent="0.25">
      <c r="A67" s="271"/>
      <c r="B67" s="272"/>
      <c r="C67" s="337"/>
      <c r="D67" s="272"/>
      <c r="E67" s="273"/>
      <c r="F67" s="250"/>
      <c r="H67" s="250"/>
      <c r="I67" s="250"/>
      <c r="AF67" s="236">
        <f t="shared" si="2"/>
        <v>0</v>
      </c>
      <c r="AG67" s="236" t="str">
        <f t="shared" si="26"/>
        <v/>
      </c>
      <c r="AH67" s="236" t="str">
        <f t="shared" si="18"/>
        <v/>
      </c>
      <c r="AJ67" s="236" t="e">
        <f t="shared" ca="1" si="19"/>
        <v>#N/A</v>
      </c>
      <c r="AK67" s="236" t="str">
        <f t="shared" ca="1" si="20"/>
        <v/>
      </c>
      <c r="AL67" s="236" t="str">
        <f t="shared" ca="1" si="20"/>
        <v/>
      </c>
      <c r="AM67" s="236" t="str">
        <f t="shared" ca="1" si="4"/>
        <v/>
      </c>
      <c r="AX67" s="287"/>
      <c r="AZ67" s="236"/>
      <c r="BA67" s="236"/>
      <c r="BD67" s="288"/>
      <c r="BF67" s="236"/>
    </row>
    <row r="68" spans="1:58" x14ac:dyDescent="0.2">
      <c r="A68" s="274" t="s">
        <v>135</v>
      </c>
      <c r="B68" s="275" t="str">
        <f ca="1">OFFSET( Scale!$H$5, ROUND( C68, 0 ) - 1, 1 )</f>
        <v>BBB+</v>
      </c>
      <c r="C68" s="276">
        <f>AVERAGE(C7:C65)</f>
        <v>18.754716981132077</v>
      </c>
      <c r="D68" s="276"/>
      <c r="E68" s="276"/>
      <c r="F68" s="250"/>
      <c r="H68" s="250"/>
      <c r="I68" s="250"/>
      <c r="J68" s="253"/>
      <c r="K68" s="253"/>
      <c r="AX68" s="287"/>
      <c r="AZ68" s="236"/>
      <c r="BA68" s="236"/>
      <c r="BD68" s="288"/>
      <c r="BF68" s="236"/>
    </row>
    <row r="69" spans="1:58" x14ac:dyDescent="0.2">
      <c r="A69" s="277"/>
      <c r="B69" s="278"/>
      <c r="F69" s="250"/>
      <c r="H69" s="250"/>
      <c r="I69" s="250"/>
      <c r="AX69" s="287"/>
      <c r="AZ69" s="236"/>
      <c r="BA69" s="236"/>
      <c r="BD69" s="288"/>
      <c r="BF69" s="236"/>
    </row>
    <row r="70" spans="1:58" x14ac:dyDescent="0.2">
      <c r="A70" s="277"/>
      <c r="B70" s="278"/>
      <c r="F70" s="240"/>
      <c r="H70" s="240"/>
      <c r="I70" s="240"/>
      <c r="J70" s="253"/>
      <c r="K70" s="253"/>
    </row>
    <row r="71" spans="1:58" x14ac:dyDescent="0.2">
      <c r="A71" s="279" t="s">
        <v>267</v>
      </c>
      <c r="F71" s="240"/>
      <c r="H71" s="240"/>
      <c r="I71" s="240"/>
    </row>
    <row r="72" spans="1:58" x14ac:dyDescent="0.2">
      <c r="A72" s="279" t="s">
        <v>366</v>
      </c>
      <c r="B72" s="240"/>
      <c r="D72" s="264"/>
      <c r="E72" s="264"/>
      <c r="F72" s="280"/>
      <c r="H72" s="280"/>
      <c r="I72" s="280"/>
    </row>
    <row r="73" spans="1:58" x14ac:dyDescent="0.2">
      <c r="A73" s="281" t="s">
        <v>357</v>
      </c>
      <c r="B73" s="240"/>
      <c r="D73" s="264"/>
      <c r="E73" s="264"/>
      <c r="F73" s="280"/>
      <c r="H73" s="280"/>
      <c r="I73" s="280"/>
    </row>
    <row r="74" spans="1:58" x14ac:dyDescent="0.2">
      <c r="A74" s="279" t="s">
        <v>359</v>
      </c>
      <c r="D74" s="280"/>
      <c r="E74" s="234"/>
      <c r="F74" s="282"/>
      <c r="H74" s="282"/>
      <c r="I74" s="282"/>
      <c r="AQ74" s="286"/>
      <c r="AR74" s="286"/>
      <c r="AS74" s="286"/>
    </row>
    <row r="75" spans="1:58" x14ac:dyDescent="0.2">
      <c r="A75" s="279" t="s">
        <v>507</v>
      </c>
      <c r="D75" s="280"/>
      <c r="E75" s="234"/>
      <c r="F75" s="282"/>
      <c r="H75" s="282"/>
      <c r="I75" s="282"/>
      <c r="AQ75" s="286"/>
      <c r="AR75" s="286"/>
      <c r="AS75" s="286"/>
    </row>
    <row r="76" spans="1:58" x14ac:dyDescent="0.2">
      <c r="A76" s="279"/>
      <c r="AQ76" s="286"/>
      <c r="AR76" s="286"/>
      <c r="AS76" s="286"/>
    </row>
    <row r="77" spans="1:58" x14ac:dyDescent="0.2">
      <c r="C77" s="339">
        <f>SUMPRODUCT( L8:L13, Y8:Y13 ) / L14</f>
        <v>18.735849056603772</v>
      </c>
      <c r="E77" s="283"/>
      <c r="G77" s="251"/>
      <c r="J77" s="240"/>
      <c r="K77" s="240"/>
      <c r="AQ77" s="286"/>
      <c r="AR77" s="286"/>
      <c r="AS77" s="286"/>
    </row>
    <row r="78" spans="1:58" s="240" customFormat="1" x14ac:dyDescent="0.2">
      <c r="A78" s="284"/>
      <c r="B78" s="285"/>
      <c r="C78" s="285"/>
      <c r="D78" s="285"/>
      <c r="E78" s="249"/>
      <c r="F78" s="234"/>
      <c r="G78" s="236"/>
      <c r="H78" s="234"/>
      <c r="I78" s="234"/>
      <c r="Q78" s="234"/>
      <c r="T78" s="236"/>
      <c r="U78" s="236"/>
      <c r="V78" s="236"/>
      <c r="AF78" s="236"/>
      <c r="AG78" s="236"/>
      <c r="AH78" s="236"/>
      <c r="AJ78" s="236"/>
      <c r="AK78" s="236"/>
      <c r="AL78" s="236"/>
      <c r="AM78" s="236"/>
      <c r="AN78" s="236"/>
      <c r="AQ78" s="286"/>
      <c r="AR78" s="286"/>
      <c r="AS78" s="286"/>
    </row>
  </sheetData>
  <sortState ref="AQ7:AT59">
    <sortCondition ref="AQ7"/>
  </sortState>
  <mergeCells count="9">
    <mergeCell ref="L16:M16"/>
    <mergeCell ref="O16:P16"/>
    <mergeCell ref="R16:S16"/>
    <mergeCell ref="U16:V16"/>
    <mergeCell ref="J5:J6"/>
    <mergeCell ref="L5:M6"/>
    <mergeCell ref="O5:P6"/>
    <mergeCell ref="R5:S6"/>
    <mergeCell ref="U5:V6"/>
  </mergeCells>
  <conditionalFormatting sqref="A60:E61 E62:E65 E7:E59">
    <cfRule type="expression" dxfId="575" priority="28" stopIfTrue="1">
      <formula>IF( $AH7 = 1, TRUE, FALSE )</formula>
    </cfRule>
    <cfRule type="expression" dxfId="574" priority="29" stopIfTrue="1">
      <formula>IF( $AG7 = 1, TRUE, FALSE )</formula>
    </cfRule>
    <cfRule type="expression" dxfId="573" priority="30" stopIfTrue="1">
      <formula>IF( $AF7 = 1, TRUE, FALSE )</formula>
    </cfRule>
  </conditionalFormatting>
  <conditionalFormatting sqref="A67:E67">
    <cfRule type="expression" dxfId="572" priority="31" stopIfTrue="1">
      <formula>IF( $AH67 = 1, TRUE, FALSE )</formula>
    </cfRule>
    <cfRule type="expression" dxfId="571" priority="32" stopIfTrue="1">
      <formula>IF( $AG67 = 1, TRUE, FALSE )</formula>
    </cfRule>
    <cfRule type="expression" dxfId="570" priority="33" stopIfTrue="1">
      <formula>IF( $AF67 = 1, TRUE, FALSE )</formula>
    </cfRule>
  </conditionalFormatting>
  <conditionalFormatting sqref="A66:E66">
    <cfRule type="expression" dxfId="569" priority="25" stopIfTrue="1">
      <formula>IF( $AH66 = 1, TRUE, FALSE )</formula>
    </cfRule>
    <cfRule type="expression" dxfId="568" priority="26" stopIfTrue="1">
      <formula>IF( $AG66 = 1, TRUE, FALSE )</formula>
    </cfRule>
    <cfRule type="expression" dxfId="567" priority="27" stopIfTrue="1">
      <formula>IF( $AF66 = 1, TRUE, FALSE )</formula>
    </cfRule>
  </conditionalFormatting>
  <conditionalFormatting sqref="A8:D58 B7:D7">
    <cfRule type="expression" dxfId="566" priority="22" stopIfTrue="1">
      <formula>IF( $AH7 = 1, TRUE, FALSE )</formula>
    </cfRule>
    <cfRule type="expression" dxfId="565" priority="23" stopIfTrue="1">
      <formula>IF( $AG7 = 1, TRUE, FALSE )</formula>
    </cfRule>
    <cfRule type="expression" dxfId="564" priority="24" stopIfTrue="1">
      <formula>IF( $AF7 = 1, TRUE, FALSE )</formula>
    </cfRule>
  </conditionalFormatting>
  <conditionalFormatting sqref="A59:D59">
    <cfRule type="expression" dxfId="563" priority="19" stopIfTrue="1">
      <formula>IF( $AH59 = 1, TRUE, FALSE )</formula>
    </cfRule>
    <cfRule type="expression" dxfId="562" priority="20" stopIfTrue="1">
      <formula>IF( $AG59 = 1, TRUE, FALSE )</formula>
    </cfRule>
    <cfRule type="expression" dxfId="561" priority="21" stopIfTrue="1">
      <formula>IF( $AF59 = 1, TRUE, FALSE )</formula>
    </cfRule>
  </conditionalFormatting>
  <conditionalFormatting sqref="A61:D65">
    <cfRule type="expression" dxfId="560" priority="16" stopIfTrue="1">
      <formula>IF( $AH61 = 1, TRUE, FALSE )</formula>
    </cfRule>
    <cfRule type="expression" dxfId="559" priority="17" stopIfTrue="1">
      <formula>IF( $AG61 = 1, TRUE, FALSE )</formula>
    </cfRule>
    <cfRule type="expression" dxfId="558" priority="18" stopIfTrue="1">
      <formula>IF( $AF61 = 1, TRUE, FALSE )</formula>
    </cfRule>
  </conditionalFormatting>
  <conditionalFormatting sqref="U8:U12">
    <cfRule type="cellIs" dxfId="557" priority="15" operator="equal">
      <formula>0</formula>
    </cfRule>
  </conditionalFormatting>
  <conditionalFormatting sqref="O8:O12 Q8:Q12">
    <cfRule type="cellIs" dxfId="556" priority="14" operator="equal">
      <formula>0</formula>
    </cfRule>
  </conditionalFormatting>
  <conditionalFormatting sqref="V8:V12">
    <cfRule type="cellIs" dxfId="555" priority="13" operator="equal">
      <formula>0</formula>
    </cfRule>
  </conditionalFormatting>
  <conditionalFormatting sqref="S8:S12">
    <cfRule type="cellIs" dxfId="554" priority="11" operator="equal">
      <formula>0</formula>
    </cfRule>
  </conditionalFormatting>
  <conditionalFormatting sqref="R8:R12">
    <cfRule type="cellIs" dxfId="553" priority="12" operator="equal">
      <formula>0</formula>
    </cfRule>
  </conditionalFormatting>
  <conditionalFormatting sqref="P8:P12">
    <cfRule type="cellIs" dxfId="552" priority="10" operator="equal">
      <formula>0</formula>
    </cfRule>
  </conditionalFormatting>
  <conditionalFormatting sqref="M8:M12">
    <cfRule type="cellIs" dxfId="551" priority="9" operator="equal">
      <formula>0</formula>
    </cfRule>
  </conditionalFormatting>
  <conditionalFormatting sqref="T8:T12">
    <cfRule type="cellIs" dxfId="550" priority="8" operator="equal">
      <formula>0</formula>
    </cfRule>
  </conditionalFormatting>
  <conditionalFormatting sqref="N8:N12">
    <cfRule type="cellIs" dxfId="549" priority="7" operator="equal">
      <formula>0</formula>
    </cfRule>
  </conditionalFormatting>
  <conditionalFormatting sqref="K8:K12">
    <cfRule type="cellIs" dxfId="548" priority="6" operator="equal">
      <formula>0</formula>
    </cfRule>
  </conditionalFormatting>
  <conditionalFormatting sqref="I8:I12">
    <cfRule type="cellIs" dxfId="547" priority="5" operator="equal">
      <formula>0</formula>
    </cfRule>
  </conditionalFormatting>
  <conditionalFormatting sqref="W8:W12">
    <cfRule type="cellIs" dxfId="546" priority="4" operator="equal">
      <formula>0</formula>
    </cfRule>
  </conditionalFormatting>
  <conditionalFormatting sqref="A7">
    <cfRule type="expression" dxfId="545" priority="1" stopIfTrue="1">
      <formula>IF( $AH7 = 1, TRUE, FALSE )</formula>
    </cfRule>
    <cfRule type="expression" dxfId="544" priority="2" stopIfTrue="1">
      <formula>IF( $AG7 = 1, TRUE, FALSE )</formula>
    </cfRule>
    <cfRule type="expression" dxfId="543" priority="3" stopIfTrue="1">
      <formula>IF( $AF7 = 1, TRUE, FALSE )</formula>
    </cfRule>
  </conditionalFormatting>
  <pageMargins left="0.17" right="0.18" top="0.28000000000000003" bottom="0.17" header="0.3" footer="0.3"/>
  <pageSetup scale="19" orientation="portrait" horizontalDpi="1200" verticalDpi="12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BJ78"/>
  <sheetViews>
    <sheetView showGridLines="0" zoomScale="85" zoomScaleNormal="85" workbookViewId="0">
      <pane ySplit="6" topLeftCell="A7" activePane="bottomLeft" state="frozen"/>
      <selection activeCell="A7" sqref="A7"/>
      <selection pane="bottomLeft" activeCell="A7" sqref="A7"/>
    </sheetView>
  </sheetViews>
  <sheetFormatPr defaultColWidth="9.140625" defaultRowHeight="12.75" outlineLevelRow="1" outlineLevelCol="2" x14ac:dyDescent="0.2"/>
  <cols>
    <col min="1" max="1" width="35.140625" style="234" customWidth="1"/>
    <col min="2" max="2" width="9.140625" style="234"/>
    <col min="3" max="3" width="9.42578125" style="263" customWidth="1"/>
    <col min="4" max="4" width="9.140625" style="235" customWidth="1" outlineLevel="1"/>
    <col min="5" max="5" width="12.5703125" style="235" customWidth="1" outlineLevel="1"/>
    <col min="6" max="6" width="3.42578125" style="234" customWidth="1" outlineLevel="1"/>
    <col min="7" max="7" width="17.7109375" style="236" hidden="1" customWidth="1" outlineLevel="2"/>
    <col min="8" max="8" width="3.42578125" style="234" hidden="1" customWidth="1" outlineLevel="2" collapsed="1"/>
    <col min="9" max="9" width="3.28515625" style="234" customWidth="1" outlineLevel="1" collapsed="1"/>
    <col min="10" max="10" width="22" style="234" customWidth="1"/>
    <col min="11" max="11" width="2" style="234" customWidth="1"/>
    <col min="12" max="13" width="10.42578125" style="234" customWidth="1"/>
    <col min="14" max="14" width="2" style="234" customWidth="1"/>
    <col min="15" max="16" width="10.42578125" style="234" customWidth="1"/>
    <col min="17" max="17" width="2" style="234" customWidth="1"/>
    <col min="18" max="19" width="10.42578125" style="234" customWidth="1"/>
    <col min="20" max="20" width="2" style="236" customWidth="1"/>
    <col min="21" max="22" width="10.42578125" style="236" customWidth="1"/>
    <col min="23" max="23" width="2" style="234" customWidth="1"/>
    <col min="24" max="24" width="4.140625" style="234" customWidth="1"/>
    <col min="25" max="25" width="5.5703125" style="234" customWidth="1"/>
    <col min="26" max="26" width="2.42578125" style="234" customWidth="1"/>
    <col min="27" max="27" width="4.28515625" style="234" customWidth="1"/>
    <col min="28" max="30" width="2.42578125" style="234" hidden="1" customWidth="1" outlineLevel="1"/>
    <col min="31" max="31" width="4.42578125" style="234" hidden="1" customWidth="1" outlineLevel="1"/>
    <col min="32" max="32" width="6.5703125" style="236" hidden="1" customWidth="1" outlineLevel="1" collapsed="1"/>
    <col min="33" max="34" width="6.5703125" style="236" hidden="1" customWidth="1" outlineLevel="1"/>
    <col min="35" max="35" width="3.140625" style="234" hidden="1" customWidth="1" outlineLevel="1"/>
    <col min="36" max="36" width="15.85546875" style="236" hidden="1" customWidth="1" outlineLevel="1" collapsed="1"/>
    <col min="37" max="38" width="15.85546875" style="236" hidden="1" customWidth="1" outlineLevel="1"/>
    <col min="39" max="39" width="8.42578125" style="236" hidden="1" customWidth="1" outlineLevel="1"/>
    <col min="40" max="40" width="11.85546875" style="236" hidden="1" customWidth="1" outlineLevel="1"/>
    <col min="41" max="41" width="3.42578125" style="234" customWidth="1" collapsed="1"/>
    <col min="42" max="42" width="3.42578125" style="234" customWidth="1"/>
    <col min="43" max="43" width="29.7109375" style="234" hidden="1" customWidth="1" outlineLevel="1"/>
    <col min="44" max="44" width="6.42578125" style="234" hidden="1" customWidth="1" outlineLevel="1"/>
    <col min="45" max="45" width="6.7109375" style="234" hidden="1" customWidth="1" outlineLevel="1"/>
    <col min="46" max="46" width="8.7109375" style="234" hidden="1" customWidth="1" outlineLevel="1"/>
    <col min="47" max="47" width="3.140625" style="234" hidden="1" customWidth="1" outlineLevel="1"/>
    <col min="48" max="56" width="9.140625" style="234" hidden="1" customWidth="1" outlineLevel="2"/>
    <col min="57" max="57" width="5.42578125" style="234" hidden="1" customWidth="1" outlineLevel="1" collapsed="1"/>
    <col min="58" max="58" width="36.85546875" style="234" hidden="1" customWidth="1" outlineLevel="1"/>
    <col min="59" max="59" width="6.42578125" style="234" hidden="1" customWidth="1" outlineLevel="1"/>
    <col min="60" max="60" width="3.42578125" style="234" hidden="1" customWidth="1" outlineLevel="1"/>
    <col min="61" max="61" width="9.140625" style="234" hidden="1" customWidth="1" outlineLevel="1"/>
    <col min="62" max="62" width="9.140625" style="234" collapsed="1"/>
    <col min="63" max="16384" width="9.140625" style="234"/>
  </cols>
  <sheetData>
    <row r="1" spans="1:61" ht="18.75" x14ac:dyDescent="0.2">
      <c r="A1" s="323" t="str">
        <f>"I.  S&amp;P Utility Credit Ratings Distribution -- " &amp; B6</f>
        <v>I.  S&amp;P Utility Credit Ratings Distribution -- 2014 Q4</v>
      </c>
      <c r="G1" s="242" t="s">
        <v>506</v>
      </c>
      <c r="AF1" s="237" t="s">
        <v>420</v>
      </c>
      <c r="AG1" s="237" t="s">
        <v>421</v>
      </c>
      <c r="AH1" s="237" t="s">
        <v>422</v>
      </c>
      <c r="AJ1" s="237" t="s">
        <v>424</v>
      </c>
      <c r="AK1" s="237" t="s">
        <v>426</v>
      </c>
      <c r="AL1" s="237" t="s">
        <v>426</v>
      </c>
      <c r="AM1" s="237" t="s">
        <v>424</v>
      </c>
      <c r="AN1" s="237"/>
      <c r="AQ1" s="237" t="s">
        <v>497</v>
      </c>
    </row>
    <row r="2" spans="1:61" ht="18.75" hidden="1" outlineLevel="1" x14ac:dyDescent="0.2">
      <c r="A2" s="233"/>
      <c r="E2" s="238" t="str">
        <f>G2</f>
        <v>Reg_Percent_2013</v>
      </c>
      <c r="G2" s="239" t="s">
        <v>505</v>
      </c>
      <c r="AJ2" s="240" t="str">
        <f>AJ4 &amp; AJ3</f>
        <v>'Credit_2014Q3'!d:d</v>
      </c>
      <c r="AK2" s="240" t="str">
        <f>AK4 &amp; AK3</f>
        <v>'Credit_2014Q3'!b1</v>
      </c>
      <c r="AL2" s="240" t="str">
        <f>AL4 &amp; AL3</f>
        <v>'Credit_2014Q3'!c1</v>
      </c>
      <c r="AQ2" s="236"/>
    </row>
    <row r="3" spans="1:61" ht="18.75" hidden="1" outlineLevel="1" x14ac:dyDescent="0.2">
      <c r="A3" s="233"/>
      <c r="E3" s="241" t="str">
        <f>"'" &amp; E2 &amp; "'!"</f>
        <v>'Reg_Percent_2013'!</v>
      </c>
      <c r="G3" s="234" t="str">
        <f>"'" &amp; G2 &amp; "'!"</f>
        <v>'Reg_Percent_2013'!</v>
      </c>
      <c r="O3" s="242" t="s">
        <v>371</v>
      </c>
      <c r="P3" s="242"/>
      <c r="Q3" s="242"/>
      <c r="R3" s="242" t="s">
        <v>372</v>
      </c>
      <c r="T3" s="234"/>
      <c r="U3" s="242" t="s">
        <v>86</v>
      </c>
      <c r="V3" s="234"/>
      <c r="X3" s="242"/>
      <c r="Y3" s="242"/>
      <c r="Z3" s="242"/>
      <c r="AA3" s="242"/>
      <c r="AJ3" s="210" t="s">
        <v>438</v>
      </c>
      <c r="AK3" s="210" t="s">
        <v>427</v>
      </c>
      <c r="AL3" s="210" t="s">
        <v>453</v>
      </c>
      <c r="AQ3" s="236"/>
    </row>
    <row r="4" spans="1:61" ht="18.75" hidden="1" outlineLevel="1" x14ac:dyDescent="0.2">
      <c r="A4" s="233"/>
      <c r="E4" s="242" t="s">
        <v>439</v>
      </c>
      <c r="G4" s="242" t="s">
        <v>438</v>
      </c>
      <c r="O4" s="236"/>
      <c r="P4" s="236"/>
      <c r="Q4" s="236"/>
      <c r="T4" s="234"/>
      <c r="U4" s="234"/>
      <c r="V4" s="234"/>
      <c r="AJ4" s="236" t="str">
        <f>$AQ$5</f>
        <v>'Credit_2014Q3'!</v>
      </c>
      <c r="AK4" s="236" t="str">
        <f t="shared" ref="AK4:AL4" si="0">$AQ$5</f>
        <v>'Credit_2014Q3'!</v>
      </c>
      <c r="AL4" s="236" t="str">
        <f t="shared" si="0"/>
        <v>'Credit_2014Q3'!</v>
      </c>
      <c r="AQ4" s="236"/>
    </row>
    <row r="5" spans="1:61" collapsed="1" x14ac:dyDescent="0.2">
      <c r="E5" s="243" t="s">
        <v>436</v>
      </c>
      <c r="G5" s="237" t="s">
        <v>424</v>
      </c>
      <c r="I5" s="314"/>
      <c r="J5" s="466" t="s">
        <v>77</v>
      </c>
      <c r="K5" s="314"/>
      <c r="L5" s="468" t="str">
        <f>"All Companies" &amp; CHAR( 10 ) &amp; "("&amp; L14 &amp; ")"</f>
        <v>All Companies
(53)</v>
      </c>
      <c r="M5" s="468"/>
      <c r="N5" s="314"/>
      <c r="O5" s="466" t="str">
        <f ca="1">"Regulated" &amp; CHAR( 10 ) &amp; "(" &amp; O14 &amp; ")"</f>
        <v>Regulated
(38)</v>
      </c>
      <c r="P5" s="470"/>
      <c r="Q5" s="314"/>
      <c r="R5" s="466" t="str">
        <f ca="1">"Mostly Regulated" &amp; CHAR( 10 ) &amp; "(" &amp; R14 &amp; ")"</f>
        <v>Mostly Regulated
(13)</v>
      </c>
      <c r="S5" s="470"/>
      <c r="T5" s="314"/>
      <c r="U5" s="466" t="str">
        <f ca="1">"Diversified" &amp; CHAR( 10 ) &amp; "(" &amp; U14 &amp; ")"</f>
        <v>Diversified
(2)</v>
      </c>
      <c r="V5" s="470"/>
      <c r="W5" s="314"/>
      <c r="AE5" s="244"/>
      <c r="AF5" s="234"/>
      <c r="AG5" s="234"/>
      <c r="AH5" s="234"/>
      <c r="AJ5" s="234"/>
      <c r="AK5" s="234"/>
      <c r="AL5" s="234"/>
      <c r="AM5" s="234"/>
      <c r="AN5" s="234"/>
      <c r="AQ5" s="432" t="s">
        <v>509</v>
      </c>
    </row>
    <row r="6" spans="1:61" ht="28.5" customHeight="1" x14ac:dyDescent="0.2">
      <c r="A6" s="299" t="s">
        <v>0</v>
      </c>
      <c r="B6" s="300" t="s">
        <v>504</v>
      </c>
      <c r="C6" s="338" t="s">
        <v>471</v>
      </c>
      <c r="D6" s="301"/>
      <c r="E6" s="302">
        <f ca="1">INDIRECT( E3 &amp; G1 )</f>
        <v>41639</v>
      </c>
      <c r="I6" s="315"/>
      <c r="J6" s="467"/>
      <c r="K6" s="315"/>
      <c r="L6" s="469"/>
      <c r="M6" s="469"/>
      <c r="N6" s="315"/>
      <c r="O6" s="467"/>
      <c r="P6" s="467"/>
      <c r="Q6" s="315"/>
      <c r="R6" s="467" t="s">
        <v>137</v>
      </c>
      <c r="S6" s="467"/>
      <c r="T6" s="315"/>
      <c r="U6" s="467"/>
      <c r="V6" s="467"/>
      <c r="W6" s="315"/>
      <c r="AE6" s="245"/>
      <c r="AJ6" s="246"/>
    </row>
    <row r="7" spans="1:61" x14ac:dyDescent="0.2">
      <c r="A7" s="303" t="s">
        <v>7</v>
      </c>
      <c r="B7" s="304" t="s">
        <v>2</v>
      </c>
      <c r="C7" s="304">
        <v>21</v>
      </c>
      <c r="D7" s="304" t="s">
        <v>328</v>
      </c>
      <c r="E7" s="305" t="str">
        <f ca="1">IF( LEN( $G7 ) = 0, "", OFFSET( INDIRECT( E$3 &amp; E$4 ), $G7 - 1, 0 ) )</f>
        <v>R</v>
      </c>
      <c r="F7" s="306"/>
      <c r="G7" s="307">
        <f t="shared" ref="G7:G62" ca="1" si="1">IF( LEN( $D7 ) = 0, "", MATCH( $D7, INDIRECT( G$3 &amp; G$4 ), 0 ) )</f>
        <v>47</v>
      </c>
      <c r="H7" s="250"/>
      <c r="I7" s="316"/>
      <c r="J7" s="252"/>
      <c r="K7" s="316"/>
      <c r="L7" s="252" t="s">
        <v>81</v>
      </c>
      <c r="M7" s="252" t="s">
        <v>82</v>
      </c>
      <c r="N7" s="316"/>
      <c r="O7" s="252" t="s">
        <v>81</v>
      </c>
      <c r="P7" s="252" t="s">
        <v>82</v>
      </c>
      <c r="Q7" s="316"/>
      <c r="R7" s="252" t="s">
        <v>81</v>
      </c>
      <c r="S7" s="252" t="s">
        <v>82</v>
      </c>
      <c r="T7" s="316"/>
      <c r="U7" s="252" t="s">
        <v>81</v>
      </c>
      <c r="V7" s="252" t="s">
        <v>82</v>
      </c>
      <c r="W7" s="316"/>
      <c r="AE7" s="254"/>
      <c r="AF7" s="236">
        <f t="shared" ref="AF7:AF67" si="2">IF( LEN( C7 ) = 0, 0, IF( C7 = C6, AF6, IF( AF6 = 1, 0, 1 ) ) )</f>
        <v>1</v>
      </c>
      <c r="AG7" s="236" t="str">
        <f t="shared" ref="AG7:AG64" ca="1" si="3">IF( LEN( $C7 ) = 0, "", IF( $C7 &gt; $AL7, 1, "" ) )</f>
        <v/>
      </c>
      <c r="AH7" s="236" t="str">
        <f ca="1">IF( LEN( $C7 ) = 0, "", IF( $C7 &lt; $AL7, 1, "" ) )</f>
        <v/>
      </c>
      <c r="AJ7" s="236">
        <f ca="1">MATCH( $D7, INDIRECT( AJ$2 ), 0 )</f>
        <v>7</v>
      </c>
      <c r="AK7" s="236" t="str">
        <f ca="1">IF( ISNA( $AJ7 ), "", OFFSET( INDIRECT( AK$2 ), $AJ7-1, 0 ) )</f>
        <v>A</v>
      </c>
      <c r="AL7" s="236">
        <f ca="1">IF( ISNA( $AJ7 ), "", OFFSET( INDIRECT( AL$2 ), $AJ7-1, 0 ) )</f>
        <v>21</v>
      </c>
      <c r="AM7" s="236" t="str">
        <f t="shared" ref="AM7:AM67" ca="1" si="4">IF( B7 = AK7, "", "Change" )</f>
        <v/>
      </c>
      <c r="AQ7" s="286" t="s">
        <v>15</v>
      </c>
      <c r="AR7" s="286" t="s">
        <v>16</v>
      </c>
      <c r="AS7" s="286">
        <v>19</v>
      </c>
      <c r="AT7" s="286" t="s">
        <v>277</v>
      </c>
      <c r="AV7" s="234">
        <f>IF( LEN( AS7 ) = 0, 99, RANK( AS7, $AS$7:$AS$63 ) )</f>
        <v>14</v>
      </c>
      <c r="AW7" s="234">
        <f>COUNTIF( AV7:AV$7, AV7 )</f>
        <v>1</v>
      </c>
      <c r="AX7" s="287">
        <f>AV7 + AW7 / 10</f>
        <v>14.1</v>
      </c>
      <c r="AY7" s="234">
        <f>RANK( AX7, $AX$7:$AX$63, 1 )</f>
        <v>14</v>
      </c>
      <c r="AZ7" s="236"/>
      <c r="BA7" s="236"/>
      <c r="BC7" s="234">
        <f t="shared" ref="BC7" ca="1" si="5">OFFSET( BC7, -1, 0 ) + 1</f>
        <v>1</v>
      </c>
      <c r="BD7" s="288">
        <f t="shared" ref="BD7:BD62" ca="1" si="6">MATCH( BC7, $AY$7:$AY$63, 0 )</f>
        <v>45</v>
      </c>
      <c r="BF7" s="240" t="str">
        <f t="shared" ref="BF7:BI38" ca="1" si="7">OFFSET( AQ$6, $BD7, 0 )</f>
        <v>Southern Company</v>
      </c>
      <c r="BG7" s="240" t="str">
        <f t="shared" ca="1" si="7"/>
        <v>A</v>
      </c>
      <c r="BH7" s="240">
        <f t="shared" ca="1" si="7"/>
        <v>21</v>
      </c>
      <c r="BI7" s="240" t="str">
        <f t="shared" ca="1" si="7"/>
        <v>SO</v>
      </c>
    </row>
    <row r="8" spans="1:61" x14ac:dyDescent="0.2">
      <c r="A8" s="303" t="s">
        <v>17</v>
      </c>
      <c r="B8" s="304" t="s">
        <v>10</v>
      </c>
      <c r="C8" s="304">
        <v>20</v>
      </c>
      <c r="D8" s="304" t="s">
        <v>307</v>
      </c>
      <c r="E8" s="305" t="str">
        <f t="shared" ref="E8:E62" ca="1" si="8">IF( LEN( $G8 ) = 0, "", OFFSET( INDIRECT( E$3 &amp; E$4 ), $G8 - 1, 0 ) )</f>
        <v>R</v>
      </c>
      <c r="F8" s="306"/>
      <c r="G8" s="307">
        <f t="shared" ca="1" si="1"/>
        <v>8</v>
      </c>
      <c r="H8" s="250"/>
      <c r="I8" s="317"/>
      <c r="J8" s="293" t="s">
        <v>138</v>
      </c>
      <c r="K8" s="317"/>
      <c r="L8" s="293">
        <f t="shared" ref="L8:L13" si="9">COUNTIF($C$7:$C$67,$X8)</f>
        <v>2</v>
      </c>
      <c r="M8" s="294">
        <f t="shared" ref="M8:M13" si="10">IF( L8 = 0, "", L8/L$14 )</f>
        <v>3.7735849056603772E-2</v>
      </c>
      <c r="N8" s="317"/>
      <c r="O8" s="293">
        <f t="shared" ref="O8:O13" ca="1" si="11">COUNTIFS( $E$7:$E$66, O$3, $C$7:$C$66, $X8 )</f>
        <v>1</v>
      </c>
      <c r="P8" s="294">
        <f t="shared" ref="P8:P13" ca="1" si="12">IF( O8 = 0, "", O8/O$14 )</f>
        <v>2.6315789473684209E-2</v>
      </c>
      <c r="Q8" s="317"/>
      <c r="R8" s="293">
        <f t="shared" ref="R8:R13" ca="1" si="13">COUNTIFS( $E$7:$E$66, R$3, $C$7:$C$66, $X8 )</f>
        <v>1</v>
      </c>
      <c r="S8" s="294">
        <f t="shared" ref="S8:S13" ca="1" si="14">IF( R8 = 0, "", R8/R$14 )</f>
        <v>7.6923076923076927E-2</v>
      </c>
      <c r="T8" s="317"/>
      <c r="U8" s="293">
        <f t="shared" ref="U8:U13" ca="1" si="15">COUNTIFS( $E$7:$E$66, U$3, $C$7:$C$66, $X8 )</f>
        <v>0</v>
      </c>
      <c r="V8" s="294" t="str">
        <f t="shared" ref="V8:V13" ca="1" si="16">IF( U8 = 0, "", U8/U$14 )</f>
        <v/>
      </c>
      <c r="W8" s="317"/>
      <c r="X8" s="256" t="s">
        <v>464</v>
      </c>
      <c r="Y8" s="256">
        <v>21</v>
      </c>
      <c r="Z8" s="256">
        <v>1</v>
      </c>
      <c r="AA8" s="255">
        <f t="shared" ref="AA8:AA13" ca="1" si="17">SUM(O8, R8, U8)</f>
        <v>2</v>
      </c>
      <c r="AC8" s="257"/>
      <c r="AE8" s="254"/>
      <c r="AF8" s="236">
        <f t="shared" si="2"/>
        <v>0</v>
      </c>
      <c r="AG8" s="236" t="str">
        <f t="shared" ca="1" si="3"/>
        <v/>
      </c>
      <c r="AH8" s="236" t="str">
        <f t="shared" ref="AH8:AH67" ca="1" si="18">IF( LEN( $C8 ) = 0, "", IF( $C8 &lt; $AL8, 1, "" ) )</f>
        <v/>
      </c>
      <c r="AJ8" s="236">
        <f t="shared" ref="AJ8:AJ67" ca="1" si="19">MATCH( $D8, INDIRECT( AJ$2 ), 0 )</f>
        <v>8</v>
      </c>
      <c r="AK8" s="236" t="str">
        <f t="shared" ref="AK8:AL67" ca="1" si="20">IF( ISNA( $AJ8 ), "", OFFSET( INDIRECT( AK$2 ), $AJ8-1, 0 ) )</f>
        <v>A-</v>
      </c>
      <c r="AL8" s="236">
        <f t="shared" ca="1" si="20"/>
        <v>20</v>
      </c>
      <c r="AM8" s="236" t="str">
        <f t="shared" ca="1" si="4"/>
        <v/>
      </c>
      <c r="AQ8" s="286" t="s">
        <v>17</v>
      </c>
      <c r="AR8" s="286" t="s">
        <v>10</v>
      </c>
      <c r="AS8" s="286">
        <v>20</v>
      </c>
      <c r="AT8" s="286" t="s">
        <v>307</v>
      </c>
      <c r="AV8" s="234">
        <f t="shared" ref="AV8:AV63" si="21">IF( LEN( AS8 ) = 0, 99, RANK( AS8, $AS$7:$AS$63 ) )</f>
        <v>2</v>
      </c>
      <c r="AW8" s="234">
        <f>COUNTIF( AV$7:AV8, AV8 )</f>
        <v>1</v>
      </c>
      <c r="AX8" s="287">
        <f t="shared" ref="AX8:AX63" si="22">AV8 + AW8 / 10</f>
        <v>2.1</v>
      </c>
      <c r="AY8" s="234">
        <f t="shared" ref="AY8:AY63" si="23">RANK( AX8, $AX$7:$AX$63, 1 )</f>
        <v>2</v>
      </c>
      <c r="AZ8" s="236"/>
      <c r="BA8" s="236"/>
      <c r="BC8" s="234">
        <f ca="1">OFFSET( BC8, -1, 0 ) + 1</f>
        <v>2</v>
      </c>
      <c r="BD8" s="288">
        <f t="shared" ca="1" si="6"/>
        <v>2</v>
      </c>
      <c r="BF8" s="240" t="str">
        <f t="shared" ca="1" si="7"/>
        <v>Alliant Energy Corporation</v>
      </c>
      <c r="BG8" s="240" t="str">
        <f t="shared" ca="1" si="7"/>
        <v>A-</v>
      </c>
      <c r="BH8" s="240">
        <f t="shared" ca="1" si="7"/>
        <v>20</v>
      </c>
      <c r="BI8" s="240" t="str">
        <f t="shared" ca="1" si="7"/>
        <v>LNT</v>
      </c>
    </row>
    <row r="9" spans="1:61" x14ac:dyDescent="0.2">
      <c r="A9" s="303" t="s">
        <v>29</v>
      </c>
      <c r="B9" s="304" t="s">
        <v>10</v>
      </c>
      <c r="C9" s="304">
        <v>20</v>
      </c>
      <c r="D9" s="304" t="s">
        <v>286</v>
      </c>
      <c r="E9" s="305" t="str">
        <f t="shared" ca="1" si="8"/>
        <v>MR</v>
      </c>
      <c r="F9" s="306"/>
      <c r="G9" s="307">
        <f t="shared" ca="1" si="1"/>
        <v>13</v>
      </c>
      <c r="H9" s="250"/>
      <c r="I9" s="318"/>
      <c r="J9" s="295" t="s">
        <v>10</v>
      </c>
      <c r="K9" s="318"/>
      <c r="L9" s="295">
        <f t="shared" si="9"/>
        <v>12</v>
      </c>
      <c r="M9" s="296">
        <f t="shared" si="10"/>
        <v>0.22641509433962265</v>
      </c>
      <c r="N9" s="318"/>
      <c r="O9" s="295">
        <f t="shared" ca="1" si="11"/>
        <v>8</v>
      </c>
      <c r="P9" s="296">
        <f t="shared" ca="1" si="12"/>
        <v>0.21052631578947367</v>
      </c>
      <c r="Q9" s="318"/>
      <c r="R9" s="295">
        <f t="shared" ca="1" si="13"/>
        <v>4</v>
      </c>
      <c r="S9" s="296">
        <f t="shared" ca="1" si="14"/>
        <v>0.30769230769230771</v>
      </c>
      <c r="T9" s="318"/>
      <c r="U9" s="295">
        <f t="shared" ca="1" si="15"/>
        <v>0</v>
      </c>
      <c r="V9" s="296" t="str">
        <f t="shared" ca="1" si="16"/>
        <v/>
      </c>
      <c r="W9" s="318"/>
      <c r="X9" s="256" t="s">
        <v>465</v>
      </c>
      <c r="Y9" s="256">
        <v>20</v>
      </c>
      <c r="Z9" s="256">
        <v>1</v>
      </c>
      <c r="AA9" s="255">
        <f t="shared" ca="1" si="17"/>
        <v>12</v>
      </c>
      <c r="AC9" s="253"/>
      <c r="AE9" s="254"/>
      <c r="AF9" s="236">
        <f t="shared" si="2"/>
        <v>0</v>
      </c>
      <c r="AG9" s="236" t="str">
        <f t="shared" ca="1" si="3"/>
        <v/>
      </c>
      <c r="AH9" s="236" t="str">
        <f t="shared" ca="1" si="18"/>
        <v/>
      </c>
      <c r="AJ9" s="236">
        <f t="shared" ca="1" si="19"/>
        <v>9</v>
      </c>
      <c r="AK9" s="236" t="str">
        <f t="shared" ca="1" si="20"/>
        <v>A-</v>
      </c>
      <c r="AL9" s="236">
        <f t="shared" ca="1" si="20"/>
        <v>20</v>
      </c>
      <c r="AM9" s="236" t="str">
        <f t="shared" ca="1" si="4"/>
        <v/>
      </c>
      <c r="AQ9" s="286" t="s">
        <v>9</v>
      </c>
      <c r="AR9" s="286" t="s">
        <v>16</v>
      </c>
      <c r="AS9" s="286">
        <v>19</v>
      </c>
      <c r="AT9" s="286" t="s">
        <v>274</v>
      </c>
      <c r="AV9" s="234">
        <f t="shared" si="21"/>
        <v>14</v>
      </c>
      <c r="AW9" s="234">
        <f>COUNTIF( AV$7:AV9, AV9 )</f>
        <v>2</v>
      </c>
      <c r="AX9" s="287">
        <f t="shared" si="22"/>
        <v>14.2</v>
      </c>
      <c r="AY9" s="234">
        <f t="shared" si="23"/>
        <v>15</v>
      </c>
      <c r="AZ9" s="236"/>
      <c r="BA9" s="236"/>
      <c r="BC9" s="234">
        <f t="shared" ref="BC9:BC63" ca="1" si="24">OFFSET( BC9, -1, 0 ) + 1</f>
        <v>3</v>
      </c>
      <c r="BD9" s="288">
        <f t="shared" ca="1" si="6"/>
        <v>8</v>
      </c>
      <c r="BF9" s="240" t="str">
        <f t="shared" ca="1" si="7"/>
        <v>CenterPoint Energy, Inc.</v>
      </c>
      <c r="BG9" s="240" t="str">
        <f t="shared" ca="1" si="7"/>
        <v>A-</v>
      </c>
      <c r="BH9" s="240">
        <f t="shared" ca="1" si="7"/>
        <v>20</v>
      </c>
      <c r="BI9" s="240" t="str">
        <f t="shared" ca="1" si="7"/>
        <v>CNP</v>
      </c>
    </row>
    <row r="10" spans="1:61" x14ac:dyDescent="0.2">
      <c r="A10" s="303" t="s">
        <v>3</v>
      </c>
      <c r="B10" s="304" t="s">
        <v>10</v>
      </c>
      <c r="C10" s="304">
        <v>20</v>
      </c>
      <c r="D10" s="304" t="s">
        <v>292</v>
      </c>
      <c r="E10" s="305" t="str">
        <f t="shared" ca="1" si="8"/>
        <v>R</v>
      </c>
      <c r="F10" s="306"/>
      <c r="G10" s="307">
        <f t="shared" ca="1" si="1"/>
        <v>16</v>
      </c>
      <c r="H10" s="250"/>
      <c r="I10" s="318"/>
      <c r="J10" s="295" t="s">
        <v>16</v>
      </c>
      <c r="K10" s="318"/>
      <c r="L10" s="295">
        <f t="shared" si="9"/>
        <v>17</v>
      </c>
      <c r="M10" s="296">
        <f t="shared" si="10"/>
        <v>0.32075471698113206</v>
      </c>
      <c r="N10" s="318"/>
      <c r="O10" s="295">
        <f t="shared" ca="1" si="11"/>
        <v>12</v>
      </c>
      <c r="P10" s="296">
        <f t="shared" ca="1" si="12"/>
        <v>0.31578947368421051</v>
      </c>
      <c r="Q10" s="318"/>
      <c r="R10" s="295">
        <f t="shared" ca="1" si="13"/>
        <v>4</v>
      </c>
      <c r="S10" s="296">
        <f t="shared" ca="1" si="14"/>
        <v>0.30769230769230771</v>
      </c>
      <c r="T10" s="318"/>
      <c r="U10" s="295">
        <f t="shared" ca="1" si="15"/>
        <v>1</v>
      </c>
      <c r="V10" s="296">
        <f t="shared" ca="1" si="16"/>
        <v>0.5</v>
      </c>
      <c r="W10" s="318"/>
      <c r="X10" s="256" t="s">
        <v>466</v>
      </c>
      <c r="Y10" s="256">
        <v>19</v>
      </c>
      <c r="Z10" s="256">
        <v>1</v>
      </c>
      <c r="AA10" s="255">
        <f t="shared" ca="1" si="17"/>
        <v>17</v>
      </c>
      <c r="AE10" s="254"/>
      <c r="AF10" s="236">
        <f t="shared" si="2"/>
        <v>0</v>
      </c>
      <c r="AG10" s="236" t="str">
        <f t="shared" ca="1" si="3"/>
        <v/>
      </c>
      <c r="AH10" s="236" t="str">
        <f t="shared" ca="1" si="18"/>
        <v/>
      </c>
      <c r="AJ10" s="236">
        <f t="shared" ca="1" si="19"/>
        <v>10</v>
      </c>
      <c r="AK10" s="236" t="str">
        <f t="shared" ca="1" si="20"/>
        <v>A-</v>
      </c>
      <c r="AL10" s="236">
        <f t="shared" ca="1" si="20"/>
        <v>20</v>
      </c>
      <c r="AM10" s="236" t="str">
        <f t="shared" ca="1" si="4"/>
        <v/>
      </c>
      <c r="AQ10" s="286" t="s">
        <v>259</v>
      </c>
      <c r="AR10" s="286" t="s">
        <v>28</v>
      </c>
      <c r="AS10" s="286">
        <v>18</v>
      </c>
      <c r="AT10" s="286" t="s">
        <v>275</v>
      </c>
      <c r="AV10" s="234">
        <f t="shared" si="21"/>
        <v>31</v>
      </c>
      <c r="AW10" s="234">
        <f>COUNTIF( AV$7:AV10, AV10 )</f>
        <v>1</v>
      </c>
      <c r="AX10" s="287">
        <f t="shared" si="22"/>
        <v>31.1</v>
      </c>
      <c r="AY10" s="234">
        <f t="shared" si="23"/>
        <v>31</v>
      </c>
      <c r="AZ10" s="236"/>
      <c r="BA10" s="236"/>
      <c r="BC10" s="234">
        <f t="shared" ca="1" si="24"/>
        <v>4</v>
      </c>
      <c r="BD10" s="288">
        <f t="shared" ca="1" si="6"/>
        <v>11</v>
      </c>
      <c r="BF10" s="240" t="str">
        <f t="shared" ca="1" si="7"/>
        <v>Consolidated Edison, Inc.</v>
      </c>
      <c r="BG10" s="240" t="str">
        <f t="shared" ca="1" si="7"/>
        <v>A-</v>
      </c>
      <c r="BH10" s="240">
        <f t="shared" ca="1" si="7"/>
        <v>20</v>
      </c>
      <c r="BI10" s="240" t="str">
        <f t="shared" ca="1" si="7"/>
        <v>ED</v>
      </c>
    </row>
    <row r="11" spans="1:61" x14ac:dyDescent="0.2">
      <c r="A11" s="303" t="s">
        <v>18</v>
      </c>
      <c r="B11" s="304" t="s">
        <v>10</v>
      </c>
      <c r="C11" s="304">
        <v>20</v>
      </c>
      <c r="D11" s="304" t="s">
        <v>86</v>
      </c>
      <c r="E11" s="305" t="str">
        <f t="shared" ca="1" si="8"/>
        <v>MR</v>
      </c>
      <c r="F11" s="306"/>
      <c r="G11" s="307">
        <f t="shared" ca="1" si="1"/>
        <v>17</v>
      </c>
      <c r="H11" s="250"/>
      <c r="I11" s="318"/>
      <c r="J11" s="295" t="s">
        <v>28</v>
      </c>
      <c r="K11" s="318"/>
      <c r="L11" s="295">
        <f t="shared" si="9"/>
        <v>16</v>
      </c>
      <c r="M11" s="296">
        <f t="shared" si="10"/>
        <v>0.30188679245283018</v>
      </c>
      <c r="N11" s="318"/>
      <c r="O11" s="295">
        <f t="shared" ca="1" si="11"/>
        <v>14</v>
      </c>
      <c r="P11" s="296">
        <f t="shared" ca="1" si="12"/>
        <v>0.36842105263157893</v>
      </c>
      <c r="Q11" s="318"/>
      <c r="R11" s="295">
        <f t="shared" ca="1" si="13"/>
        <v>2</v>
      </c>
      <c r="S11" s="296">
        <f t="shared" ca="1" si="14"/>
        <v>0.15384615384615385</v>
      </c>
      <c r="T11" s="318"/>
      <c r="U11" s="295">
        <f t="shared" ca="1" si="15"/>
        <v>0</v>
      </c>
      <c r="V11" s="296" t="str">
        <f t="shared" ca="1" si="16"/>
        <v/>
      </c>
      <c r="W11" s="318"/>
      <c r="X11" s="256" t="s">
        <v>467</v>
      </c>
      <c r="Y11" s="256">
        <v>18</v>
      </c>
      <c r="Z11" s="256">
        <v>1</v>
      </c>
      <c r="AA11" s="255">
        <f t="shared" ca="1" si="17"/>
        <v>16</v>
      </c>
      <c r="AE11" s="254"/>
      <c r="AF11" s="236">
        <f t="shared" si="2"/>
        <v>0</v>
      </c>
      <c r="AG11" s="236" t="str">
        <f t="shared" ca="1" si="3"/>
        <v/>
      </c>
      <c r="AH11" s="236" t="str">
        <f t="shared" ca="1" si="18"/>
        <v/>
      </c>
      <c r="AJ11" s="236">
        <f t="shared" ca="1" si="19"/>
        <v>11</v>
      </c>
      <c r="AK11" s="236" t="str">
        <f t="shared" ca="1" si="20"/>
        <v>A-</v>
      </c>
      <c r="AL11" s="236">
        <f t="shared" ca="1" si="20"/>
        <v>20</v>
      </c>
      <c r="AM11" s="236" t="str">
        <f t="shared" ca="1" si="4"/>
        <v/>
      </c>
      <c r="AQ11" s="286" t="s">
        <v>55</v>
      </c>
      <c r="AR11" s="286" t="s">
        <v>28</v>
      </c>
      <c r="AS11" s="286">
        <v>18</v>
      </c>
      <c r="AT11" s="286" t="s">
        <v>278</v>
      </c>
      <c r="AV11" s="234">
        <f t="shared" si="21"/>
        <v>31</v>
      </c>
      <c r="AW11" s="234">
        <f>COUNTIF( AV$7:AV11, AV11 )</f>
        <v>2</v>
      </c>
      <c r="AX11" s="287">
        <f t="shared" si="22"/>
        <v>31.2</v>
      </c>
      <c r="AY11" s="234">
        <f t="shared" si="23"/>
        <v>32</v>
      </c>
      <c r="AZ11" s="236"/>
      <c r="BA11" s="236"/>
      <c r="BC11" s="234">
        <f t="shared" ca="1" si="24"/>
        <v>5</v>
      </c>
      <c r="BD11" s="288">
        <f t="shared" ca="1" si="6"/>
        <v>12</v>
      </c>
      <c r="BF11" s="240" t="str">
        <f t="shared" ca="1" si="7"/>
        <v>Dominion Resources, Inc.</v>
      </c>
      <c r="BG11" s="240" t="str">
        <f t="shared" ca="1" si="7"/>
        <v>A-</v>
      </c>
      <c r="BH11" s="240">
        <f t="shared" ca="1" si="7"/>
        <v>20</v>
      </c>
      <c r="BI11" s="240" t="str">
        <f t="shared" ca="1" si="7"/>
        <v>D</v>
      </c>
    </row>
    <row r="12" spans="1:61" x14ac:dyDescent="0.2">
      <c r="A12" s="303" t="s">
        <v>513</v>
      </c>
      <c r="B12" s="304" t="s">
        <v>10</v>
      </c>
      <c r="C12" s="304">
        <v>20</v>
      </c>
      <c r="D12" s="304" t="s">
        <v>512</v>
      </c>
      <c r="E12" s="305" t="str">
        <f t="shared" ca="1" si="8"/>
        <v>R</v>
      </c>
      <c r="F12" s="306"/>
      <c r="G12" s="307">
        <f t="shared" ca="1" si="1"/>
        <v>34</v>
      </c>
      <c r="H12" s="250"/>
      <c r="I12" s="318"/>
      <c r="J12" s="295" t="s">
        <v>49</v>
      </c>
      <c r="K12" s="318"/>
      <c r="L12" s="295">
        <f t="shared" si="9"/>
        <v>4</v>
      </c>
      <c r="M12" s="296">
        <f t="shared" si="10"/>
        <v>7.5471698113207544E-2</v>
      </c>
      <c r="N12" s="318"/>
      <c r="O12" s="295">
        <f t="shared" ca="1" si="11"/>
        <v>1</v>
      </c>
      <c r="P12" s="296">
        <f t="shared" ca="1" si="12"/>
        <v>2.6315789473684209E-2</v>
      </c>
      <c r="Q12" s="318"/>
      <c r="R12" s="295">
        <f t="shared" ca="1" si="13"/>
        <v>2</v>
      </c>
      <c r="S12" s="296">
        <f t="shared" ca="1" si="14"/>
        <v>0.15384615384615385</v>
      </c>
      <c r="T12" s="318"/>
      <c r="U12" s="295">
        <f t="shared" ca="1" si="15"/>
        <v>1</v>
      </c>
      <c r="V12" s="296">
        <f t="shared" ca="1" si="16"/>
        <v>0.5</v>
      </c>
      <c r="W12" s="318"/>
      <c r="X12" s="256" t="s">
        <v>468</v>
      </c>
      <c r="Y12" s="256">
        <v>17</v>
      </c>
      <c r="Z12" s="256">
        <v>1</v>
      </c>
      <c r="AA12" s="255">
        <f t="shared" ca="1" si="17"/>
        <v>4</v>
      </c>
      <c r="AE12" s="254"/>
      <c r="AF12" s="236">
        <f t="shared" si="2"/>
        <v>0</v>
      </c>
      <c r="AG12" s="236" t="str">
        <f t="shared" ca="1" si="3"/>
        <v/>
      </c>
      <c r="AH12" s="236" t="str">
        <f t="shared" ca="1" si="18"/>
        <v/>
      </c>
      <c r="AJ12" s="236">
        <f t="shared" ca="1" si="19"/>
        <v>14</v>
      </c>
      <c r="AK12" s="236" t="str">
        <f t="shared" ca="1" si="20"/>
        <v>A-</v>
      </c>
      <c r="AL12" s="236">
        <f t="shared" ca="1" si="20"/>
        <v>20</v>
      </c>
      <c r="AM12" s="236" t="str">
        <f t="shared" ca="1" si="4"/>
        <v/>
      </c>
      <c r="AQ12" s="286" t="s">
        <v>501</v>
      </c>
      <c r="AR12" s="286" t="s">
        <v>16</v>
      </c>
      <c r="AS12" s="286">
        <v>19</v>
      </c>
      <c r="AT12" s="286" t="s">
        <v>447</v>
      </c>
      <c r="AV12" s="234">
        <f t="shared" si="21"/>
        <v>14</v>
      </c>
      <c r="AW12" s="234">
        <f>COUNTIF( AV$7:AV12, AV12 )</f>
        <v>3</v>
      </c>
      <c r="AX12" s="287">
        <f t="shared" si="22"/>
        <v>14.3</v>
      </c>
      <c r="AY12" s="234">
        <f t="shared" si="23"/>
        <v>16</v>
      </c>
      <c r="AZ12" s="236"/>
      <c r="BA12" s="236"/>
      <c r="BC12" s="234">
        <f t="shared" ca="1" si="24"/>
        <v>6</v>
      </c>
      <c r="BD12" s="288">
        <f t="shared" ca="1" si="6"/>
        <v>20</v>
      </c>
      <c r="BF12" s="240" t="str">
        <f t="shared" ca="1" si="7"/>
        <v>Eversource</v>
      </c>
      <c r="BG12" s="240" t="str">
        <f t="shared" ca="1" si="7"/>
        <v>A-</v>
      </c>
      <c r="BH12" s="240">
        <f t="shared" ca="1" si="7"/>
        <v>20</v>
      </c>
      <c r="BI12" s="240" t="str">
        <f t="shared" ca="1" si="7"/>
        <v>ES</v>
      </c>
    </row>
    <row r="13" spans="1:61" x14ac:dyDescent="0.2">
      <c r="A13" s="303" t="s">
        <v>254</v>
      </c>
      <c r="B13" s="304" t="s">
        <v>10</v>
      </c>
      <c r="C13" s="304">
        <v>20</v>
      </c>
      <c r="D13" s="304" t="s">
        <v>331</v>
      </c>
      <c r="E13" s="305" t="str">
        <f t="shared" ca="1" si="8"/>
        <v>R</v>
      </c>
      <c r="F13" s="306"/>
      <c r="G13" s="307">
        <f t="shared" ca="1" si="1"/>
        <v>29</v>
      </c>
      <c r="H13" s="250"/>
      <c r="I13" s="319"/>
      <c r="J13" s="297" t="s">
        <v>79</v>
      </c>
      <c r="K13" s="319"/>
      <c r="L13" s="297">
        <f t="shared" si="9"/>
        <v>2</v>
      </c>
      <c r="M13" s="298">
        <f t="shared" si="10"/>
        <v>3.7735849056603772E-2</v>
      </c>
      <c r="N13" s="319"/>
      <c r="O13" s="297">
        <f t="shared" ca="1" si="11"/>
        <v>2</v>
      </c>
      <c r="P13" s="298">
        <f t="shared" ca="1" si="12"/>
        <v>5.2631578947368418E-2</v>
      </c>
      <c r="Q13" s="319"/>
      <c r="R13" s="297">
        <f t="shared" ca="1" si="13"/>
        <v>0</v>
      </c>
      <c r="S13" s="298" t="str">
        <f t="shared" ca="1" si="14"/>
        <v/>
      </c>
      <c r="T13" s="319"/>
      <c r="U13" s="297">
        <f t="shared" ca="1" si="15"/>
        <v>0</v>
      </c>
      <c r="V13" s="298" t="str">
        <f t="shared" ca="1" si="16"/>
        <v/>
      </c>
      <c r="W13" s="319"/>
      <c r="X13" s="256" t="s">
        <v>469</v>
      </c>
      <c r="Y13" s="256">
        <v>16</v>
      </c>
      <c r="Z13" s="256">
        <v>1</v>
      </c>
      <c r="AA13" s="259">
        <f t="shared" ca="1" si="17"/>
        <v>2</v>
      </c>
      <c r="AE13" s="254"/>
      <c r="AF13" s="236">
        <f t="shared" si="2"/>
        <v>0</v>
      </c>
      <c r="AG13" s="236" t="str">
        <f t="shared" ca="1" si="3"/>
        <v/>
      </c>
      <c r="AH13" s="236" t="str">
        <f t="shared" ca="1" si="18"/>
        <v/>
      </c>
      <c r="AJ13" s="236">
        <f t="shared" ca="1" si="19"/>
        <v>12</v>
      </c>
      <c r="AK13" s="236" t="str">
        <f t="shared" ca="1" si="20"/>
        <v>A-</v>
      </c>
      <c r="AL13" s="236">
        <f t="shared" ca="1" si="20"/>
        <v>20</v>
      </c>
      <c r="AM13" s="236" t="str">
        <f t="shared" ca="1" si="4"/>
        <v/>
      </c>
      <c r="AQ13" s="286" t="s">
        <v>48</v>
      </c>
      <c r="AR13" s="286" t="s">
        <v>28</v>
      </c>
      <c r="AS13" s="286">
        <v>18</v>
      </c>
      <c r="AT13" s="286" t="s">
        <v>280</v>
      </c>
      <c r="AV13" s="234">
        <f t="shared" si="21"/>
        <v>31</v>
      </c>
      <c r="AW13" s="234">
        <f>COUNTIF( AV$7:AV13, AV13 )</f>
        <v>3</v>
      </c>
      <c r="AX13" s="287">
        <f t="shared" si="22"/>
        <v>31.3</v>
      </c>
      <c r="AY13" s="234">
        <f t="shared" si="23"/>
        <v>33</v>
      </c>
      <c r="AZ13" s="236"/>
      <c r="BA13" s="236"/>
      <c r="BC13" s="234">
        <f t="shared" ca="1" si="24"/>
        <v>7</v>
      </c>
      <c r="BD13" s="288">
        <f t="shared" ca="1" si="6"/>
        <v>27</v>
      </c>
      <c r="BF13" s="240" t="str">
        <f t="shared" ca="1" si="7"/>
        <v>Integrys Energy Group, Inc.</v>
      </c>
      <c r="BG13" s="240" t="str">
        <f t="shared" ca="1" si="7"/>
        <v>A-</v>
      </c>
      <c r="BH13" s="240">
        <f t="shared" ca="1" si="7"/>
        <v>20</v>
      </c>
      <c r="BI13" s="240" t="str">
        <f t="shared" ca="1" si="7"/>
        <v>TEG</v>
      </c>
    </row>
    <row r="14" spans="1:61" x14ac:dyDescent="0.2">
      <c r="A14" s="303" t="s">
        <v>370</v>
      </c>
      <c r="B14" s="304" t="s">
        <v>10</v>
      </c>
      <c r="C14" s="304">
        <v>20</v>
      </c>
      <c r="D14" s="304" t="s">
        <v>369</v>
      </c>
      <c r="E14" s="305" t="str">
        <f t="shared" ca="1" si="8"/>
        <v>MR</v>
      </c>
      <c r="F14" s="306"/>
      <c r="G14" s="307">
        <f t="shared" ca="1" si="1"/>
        <v>32</v>
      </c>
      <c r="H14" s="250"/>
      <c r="I14" s="320"/>
      <c r="J14" s="291" t="s">
        <v>80</v>
      </c>
      <c r="K14" s="320"/>
      <c r="L14" s="291">
        <f>SUM(L8:L13)</f>
        <v>53</v>
      </c>
      <c r="M14" s="292">
        <f>L14/L$14</f>
        <v>1</v>
      </c>
      <c r="N14" s="320"/>
      <c r="O14" s="291">
        <f ca="1">SUM(O8:O13)</f>
        <v>38</v>
      </c>
      <c r="P14" s="292">
        <f ca="1">O14/O$14</f>
        <v>1</v>
      </c>
      <c r="Q14" s="320"/>
      <c r="R14" s="291">
        <f ca="1">SUM(R8:R13)</f>
        <v>13</v>
      </c>
      <c r="S14" s="292">
        <f ca="1">R14/R$14</f>
        <v>1</v>
      </c>
      <c r="T14" s="320"/>
      <c r="U14" s="291">
        <f ca="1">SUM(U8:U13)</f>
        <v>2</v>
      </c>
      <c r="V14" s="292">
        <f ca="1">U14/U$14</f>
        <v>1</v>
      </c>
      <c r="W14" s="320"/>
      <c r="Y14" s="261">
        <f>SUMPRODUCT( L8:L13, Y8:Y13 ) / L14</f>
        <v>18.735849056603772</v>
      </c>
      <c r="Z14" s="261"/>
      <c r="AA14" s="436">
        <f ca="1">SUM(AA8:AA13)</f>
        <v>53</v>
      </c>
      <c r="AE14" s="254"/>
      <c r="AF14" s="236">
        <f t="shared" si="2"/>
        <v>0</v>
      </c>
      <c r="AG14" s="236" t="str">
        <f t="shared" ca="1" si="3"/>
        <v/>
      </c>
      <c r="AH14" s="236" t="str">
        <f t="shared" ca="1" si="18"/>
        <v/>
      </c>
      <c r="AJ14" s="236">
        <f t="shared" ca="1" si="19"/>
        <v>13</v>
      </c>
      <c r="AK14" s="236" t="str">
        <f t="shared" ca="1" si="20"/>
        <v>A-</v>
      </c>
      <c r="AL14" s="236">
        <f t="shared" ca="1" si="20"/>
        <v>20</v>
      </c>
      <c r="AM14" s="236" t="str">
        <f t="shared" ca="1" si="4"/>
        <v/>
      </c>
      <c r="AQ14" s="286" t="s">
        <v>29</v>
      </c>
      <c r="AR14" s="286" t="s">
        <v>10</v>
      </c>
      <c r="AS14" s="286">
        <v>20</v>
      </c>
      <c r="AT14" s="286" t="s">
        <v>286</v>
      </c>
      <c r="AV14" s="234">
        <f>IF( LEN( AS14 ) = 0, 99, RANK( AS14, $AS$7:$AS$63 ) )</f>
        <v>2</v>
      </c>
      <c r="AW14" s="234">
        <f>COUNTIF( AV$7:AV14, AV14 )</f>
        <v>2</v>
      </c>
      <c r="AX14" s="287">
        <f t="shared" si="22"/>
        <v>2.2000000000000002</v>
      </c>
      <c r="AY14" s="234">
        <f t="shared" si="23"/>
        <v>3</v>
      </c>
      <c r="AZ14" s="236"/>
      <c r="BA14" s="236"/>
      <c r="BC14" s="234">
        <f t="shared" ca="1" si="24"/>
        <v>8</v>
      </c>
      <c r="BD14" s="288">
        <f t="shared" ca="1" si="6"/>
        <v>30</v>
      </c>
      <c r="BF14" s="240" t="str">
        <f t="shared" ca="1" si="7"/>
        <v>NextEra Energy, Inc.</v>
      </c>
      <c r="BG14" s="240" t="str">
        <f t="shared" ca="1" si="7"/>
        <v>A-</v>
      </c>
      <c r="BH14" s="240">
        <f t="shared" ca="1" si="7"/>
        <v>20</v>
      </c>
      <c r="BI14" s="240" t="str">
        <f t="shared" ca="1" si="7"/>
        <v>NEE</v>
      </c>
    </row>
    <row r="15" spans="1:61" x14ac:dyDescent="0.2">
      <c r="A15" s="303" t="s">
        <v>21</v>
      </c>
      <c r="B15" s="304" t="s">
        <v>10</v>
      </c>
      <c r="C15" s="304">
        <v>20</v>
      </c>
      <c r="D15" s="304" t="s">
        <v>316</v>
      </c>
      <c r="E15" s="305" t="str">
        <f t="shared" ca="1" si="8"/>
        <v>R</v>
      </c>
      <c r="F15" s="306"/>
      <c r="G15" s="307">
        <f t="shared" ca="1" si="1"/>
        <v>36</v>
      </c>
      <c r="H15" s="250"/>
      <c r="I15" s="321"/>
      <c r="K15" s="321"/>
      <c r="N15" s="321"/>
      <c r="Q15" s="321"/>
      <c r="T15" s="321"/>
      <c r="W15" s="321"/>
      <c r="X15" s="240"/>
      <c r="AA15" s="240"/>
      <c r="AE15" s="254"/>
      <c r="AF15" s="236">
        <f t="shared" si="2"/>
        <v>0</v>
      </c>
      <c r="AG15" s="236" t="str">
        <f t="shared" ca="1" si="3"/>
        <v/>
      </c>
      <c r="AH15" s="236" t="str">
        <f t="shared" ca="1" si="18"/>
        <v/>
      </c>
      <c r="AJ15" s="236">
        <f t="shared" ca="1" si="19"/>
        <v>15</v>
      </c>
      <c r="AK15" s="236" t="str">
        <f t="shared" ca="1" si="20"/>
        <v>A-</v>
      </c>
      <c r="AL15" s="236">
        <f t="shared" ca="1" si="20"/>
        <v>20</v>
      </c>
      <c r="AM15" s="236" t="str">
        <f t="shared" ca="1" si="4"/>
        <v/>
      </c>
      <c r="AQ15" s="286" t="s">
        <v>30</v>
      </c>
      <c r="AR15" s="286" t="s">
        <v>16</v>
      </c>
      <c r="AS15" s="286">
        <v>19</v>
      </c>
      <c r="AT15" s="286" t="s">
        <v>285</v>
      </c>
      <c r="AV15" s="234">
        <f t="shared" si="21"/>
        <v>14</v>
      </c>
      <c r="AW15" s="234">
        <f>COUNTIF( AV$7:AV15, AV15 )</f>
        <v>4</v>
      </c>
      <c r="AX15" s="287">
        <f t="shared" si="22"/>
        <v>14.4</v>
      </c>
      <c r="AY15" s="234">
        <f t="shared" si="23"/>
        <v>17</v>
      </c>
      <c r="AZ15" s="236"/>
      <c r="BA15" s="236"/>
      <c r="BC15" s="234">
        <f t="shared" ca="1" si="24"/>
        <v>9</v>
      </c>
      <c r="BD15" s="288">
        <f t="shared" ca="1" si="6"/>
        <v>33</v>
      </c>
      <c r="BF15" s="240" t="str">
        <f t="shared" ca="1" si="7"/>
        <v>OGE Energy Corp.</v>
      </c>
      <c r="BG15" s="240" t="str">
        <f t="shared" ca="1" si="7"/>
        <v>A-</v>
      </c>
      <c r="BH15" s="240">
        <f t="shared" ca="1" si="7"/>
        <v>20</v>
      </c>
      <c r="BI15" s="240" t="str">
        <f t="shared" ca="1" si="7"/>
        <v>OGE</v>
      </c>
    </row>
    <row r="16" spans="1:61" x14ac:dyDescent="0.2">
      <c r="A16" s="303" t="s">
        <v>41</v>
      </c>
      <c r="B16" s="304" t="s">
        <v>10</v>
      </c>
      <c r="C16" s="304">
        <v>20</v>
      </c>
      <c r="D16" s="304" t="s">
        <v>322</v>
      </c>
      <c r="E16" s="305" t="str">
        <f t="shared" ca="1" si="8"/>
        <v>R</v>
      </c>
      <c r="F16" s="306"/>
      <c r="G16" s="307">
        <f t="shared" ca="1" si="1"/>
        <v>40</v>
      </c>
      <c r="H16" s="250"/>
      <c r="I16" s="316"/>
      <c r="J16" s="290" t="s">
        <v>450</v>
      </c>
      <c r="K16" s="316"/>
      <c r="L16" s="463">
        <f t="array" ref="L16">SUM( IF( LEN( $C$7:$C$65 ) = 0, 0, $C$7:$C$65 ) ) / SUM( IF( LEN( $C$7:$C$65 ) = 0, 0, 1  ) )</f>
        <v>18.754716981132077</v>
      </c>
      <c r="M16" s="464"/>
      <c r="N16" s="316"/>
      <c r="O16" s="463">
        <f t="array" aca="1" ref="O16" ca="1">SUM( IF( LEN( $C$7:$C$65 ) = 0, 0, IF( $E$7:$E$65 = O3, $C$7:$C$65, 0 ) ) ) / SUM( IF( LEN( $C$7:$C$65 ) = 0, 0, IF( $E$7:$E$65 = O3, 1, 0 ) ) )</f>
        <v>18.657894736842106</v>
      </c>
      <c r="P16" s="464"/>
      <c r="Q16" s="316"/>
      <c r="R16" s="463">
        <f t="array" aca="1" ref="R16" ca="1">SUM( IF( LEN( $C$7:$C$65 ) = 0, 0, IF( $E$7:$E$65 = R3, $C$7:$C$65, 0 ) ) ) / SUM( IF( LEN( $C$7:$C$65 ) = 0, 0, IF( $E$7:$E$65 = R3, 1, 0 ) ) )</f>
        <v>19.153846153846153</v>
      </c>
      <c r="S16" s="464"/>
      <c r="T16" s="316"/>
      <c r="U16" s="463">
        <f t="array" aca="1" ref="U16" ca="1">SUM( IF( LEN( $C$7:$C$65 ) = 0, 0, IF( $E$7:$E$65 = U3, $C$7:$C$65, 0 ) ) ) / SUM( IF( LEN( $C$7:$C$65 ) = 0, 0, IF( $E$7:$E$65 = U3, 1, 0 ) ) )</f>
        <v>18</v>
      </c>
      <c r="V16" s="465"/>
      <c r="W16" s="316"/>
      <c r="AE16" s="254"/>
      <c r="AF16" s="236">
        <f t="shared" si="2"/>
        <v>0</v>
      </c>
      <c r="AG16" s="236" t="str">
        <f t="shared" ca="1" si="3"/>
        <v/>
      </c>
      <c r="AH16" s="236" t="str">
        <f t="shared" ca="1" si="18"/>
        <v/>
      </c>
      <c r="AJ16" s="236">
        <f t="shared" ca="1" si="19"/>
        <v>16</v>
      </c>
      <c r="AK16" s="236" t="str">
        <f t="shared" ca="1" si="20"/>
        <v>A-</v>
      </c>
      <c r="AL16" s="236">
        <f t="shared" ca="1" si="20"/>
        <v>20</v>
      </c>
      <c r="AM16" s="236" t="str">
        <f t="shared" ca="1" si="4"/>
        <v/>
      </c>
      <c r="AQ16" s="286" t="s">
        <v>60</v>
      </c>
      <c r="AR16" s="286" t="s">
        <v>16</v>
      </c>
      <c r="AS16" s="286">
        <v>19</v>
      </c>
      <c r="AT16" s="286" t="s">
        <v>284</v>
      </c>
      <c r="AV16" s="234">
        <f t="shared" si="21"/>
        <v>14</v>
      </c>
      <c r="AW16" s="234">
        <f>COUNTIF( AV$7:AV16, AV16 )</f>
        <v>5</v>
      </c>
      <c r="AX16" s="287">
        <f t="shared" si="22"/>
        <v>14.5</v>
      </c>
      <c r="AY16" s="234">
        <f t="shared" si="23"/>
        <v>18</v>
      </c>
      <c r="AZ16" s="236"/>
      <c r="BA16" s="236"/>
      <c r="BC16" s="234">
        <f t="shared" ca="1" si="24"/>
        <v>10</v>
      </c>
      <c r="BD16" s="288">
        <f t="shared" ca="1" si="6"/>
        <v>37</v>
      </c>
      <c r="BF16" s="240" t="str">
        <f t="shared" ca="1" si="7"/>
        <v>Pinnacle West Capital Corporation</v>
      </c>
      <c r="BG16" s="240" t="str">
        <f t="shared" ca="1" si="7"/>
        <v>A-</v>
      </c>
      <c r="BH16" s="240">
        <f t="shared" ca="1" si="7"/>
        <v>20</v>
      </c>
      <c r="BI16" s="240" t="str">
        <f t="shared" ca="1" si="7"/>
        <v>PNW</v>
      </c>
    </row>
    <row r="17" spans="1:61" x14ac:dyDescent="0.2">
      <c r="A17" s="303" t="s">
        <v>14</v>
      </c>
      <c r="B17" s="304" t="s">
        <v>10</v>
      </c>
      <c r="C17" s="304">
        <v>20</v>
      </c>
      <c r="D17" s="304" t="s">
        <v>335</v>
      </c>
      <c r="E17" s="305" t="str">
        <f t="shared" ca="1" si="8"/>
        <v>MR</v>
      </c>
      <c r="F17" s="306"/>
      <c r="G17" s="307">
        <f t="shared" ca="1" si="1"/>
        <v>52</v>
      </c>
      <c r="H17" s="250"/>
      <c r="I17" s="321"/>
      <c r="K17" s="321"/>
      <c r="N17" s="321"/>
      <c r="O17" s="240"/>
      <c r="Q17" s="321"/>
      <c r="T17" s="321"/>
      <c r="W17" s="321"/>
      <c r="AE17" s="245"/>
      <c r="AF17" s="236">
        <f t="shared" si="2"/>
        <v>0</v>
      </c>
      <c r="AG17" s="236" t="str">
        <f t="shared" ca="1" si="3"/>
        <v/>
      </c>
      <c r="AH17" s="236" t="str">
        <f t="shared" ca="1" si="18"/>
        <v/>
      </c>
      <c r="AJ17" s="236">
        <f t="shared" ca="1" si="19"/>
        <v>17</v>
      </c>
      <c r="AK17" s="236" t="str">
        <f t="shared" ca="1" si="20"/>
        <v>A-</v>
      </c>
      <c r="AL17" s="236">
        <f t="shared" ca="1" si="20"/>
        <v>20</v>
      </c>
      <c r="AM17" s="236" t="str">
        <f t="shared" ca="1" si="4"/>
        <v/>
      </c>
      <c r="AQ17" s="286" t="s">
        <v>3</v>
      </c>
      <c r="AR17" s="286" t="s">
        <v>10</v>
      </c>
      <c r="AS17" s="286">
        <v>20</v>
      </c>
      <c r="AT17" s="286" t="s">
        <v>292</v>
      </c>
      <c r="AV17" s="234">
        <f t="shared" si="21"/>
        <v>2</v>
      </c>
      <c r="AW17" s="234">
        <f>COUNTIF( AV$7:AV17, AV17 )</f>
        <v>3</v>
      </c>
      <c r="AX17" s="287">
        <f t="shared" si="22"/>
        <v>2.2999999999999998</v>
      </c>
      <c r="AY17" s="234">
        <f t="shared" si="23"/>
        <v>4</v>
      </c>
      <c r="AZ17" s="236"/>
      <c r="BA17" s="236"/>
      <c r="BC17" s="234">
        <f t="shared" ca="1" si="24"/>
        <v>11</v>
      </c>
      <c r="BD17" s="288">
        <f t="shared" ca="1" si="6"/>
        <v>49</v>
      </c>
      <c r="BF17" s="240" t="str">
        <f t="shared" ca="1" si="7"/>
        <v>Vectren Corporation</v>
      </c>
      <c r="BG17" s="240" t="str">
        <f t="shared" ca="1" si="7"/>
        <v>A-</v>
      </c>
      <c r="BH17" s="240">
        <f t="shared" ca="1" si="7"/>
        <v>20</v>
      </c>
      <c r="BI17" s="240" t="str">
        <f t="shared" ca="1" si="7"/>
        <v>VVC</v>
      </c>
    </row>
    <row r="18" spans="1:61" x14ac:dyDescent="0.2">
      <c r="A18" s="303" t="s">
        <v>26</v>
      </c>
      <c r="B18" s="304" t="s">
        <v>10</v>
      </c>
      <c r="C18" s="304">
        <v>20</v>
      </c>
      <c r="D18" s="304" t="s">
        <v>336</v>
      </c>
      <c r="E18" s="305" t="str">
        <f t="shared" ca="1" si="8"/>
        <v>R</v>
      </c>
      <c r="F18" s="306"/>
      <c r="G18" s="307">
        <f t="shared" ca="1" si="1"/>
        <v>54</v>
      </c>
      <c r="H18" s="250"/>
      <c r="I18" s="321"/>
      <c r="K18" s="321"/>
      <c r="N18" s="321"/>
      <c r="O18" s="240"/>
      <c r="Q18" s="321"/>
      <c r="T18" s="321"/>
      <c r="W18" s="321"/>
      <c r="AE18" s="254"/>
      <c r="AF18" s="236">
        <f t="shared" si="2"/>
        <v>0</v>
      </c>
      <c r="AG18" s="236" t="str">
        <f t="shared" ca="1" si="3"/>
        <v/>
      </c>
      <c r="AH18" s="236" t="str">
        <f t="shared" ca="1" si="18"/>
        <v/>
      </c>
      <c r="AJ18" s="236">
        <f t="shared" ca="1" si="19"/>
        <v>18</v>
      </c>
      <c r="AK18" s="236" t="str">
        <f t="shared" ca="1" si="20"/>
        <v>A-</v>
      </c>
      <c r="AL18" s="236">
        <f t="shared" ca="1" si="20"/>
        <v>20</v>
      </c>
      <c r="AM18" s="236" t="str">
        <f t="shared" ca="1" si="4"/>
        <v/>
      </c>
      <c r="AQ18" s="286" t="s">
        <v>18</v>
      </c>
      <c r="AR18" s="286" t="s">
        <v>10</v>
      </c>
      <c r="AS18" s="286">
        <v>20</v>
      </c>
      <c r="AT18" s="286" t="s">
        <v>86</v>
      </c>
      <c r="AV18" s="234">
        <f t="shared" si="21"/>
        <v>2</v>
      </c>
      <c r="AW18" s="234">
        <f>COUNTIF( AV$7:AV18, AV18 )</f>
        <v>4</v>
      </c>
      <c r="AX18" s="287">
        <f t="shared" si="22"/>
        <v>2.4</v>
      </c>
      <c r="AY18" s="234">
        <f t="shared" si="23"/>
        <v>5</v>
      </c>
      <c r="AZ18" s="236"/>
      <c r="BA18" s="236"/>
      <c r="BC18" s="234">
        <f t="shared" ca="1" si="24"/>
        <v>12</v>
      </c>
      <c r="BD18" s="288">
        <f t="shared" ca="1" si="6"/>
        <v>51</v>
      </c>
      <c r="BF18" s="240" t="str">
        <f t="shared" ca="1" si="7"/>
        <v>Wisconsin Energy Corporation</v>
      </c>
      <c r="BG18" s="240" t="str">
        <f t="shared" ca="1" si="7"/>
        <v>A-</v>
      </c>
      <c r="BH18" s="240">
        <f t="shared" ca="1" si="7"/>
        <v>20</v>
      </c>
      <c r="BI18" s="240" t="str">
        <f t="shared" ca="1" si="7"/>
        <v>WEC</v>
      </c>
    </row>
    <row r="19" spans="1:61" x14ac:dyDescent="0.2">
      <c r="A19" s="303" t="s">
        <v>258</v>
      </c>
      <c r="B19" s="304" t="s">
        <v>10</v>
      </c>
      <c r="C19" s="304">
        <v>20</v>
      </c>
      <c r="D19" s="304" t="s">
        <v>338</v>
      </c>
      <c r="E19" s="305" t="str">
        <f t="shared" ca="1" si="8"/>
        <v>R</v>
      </c>
      <c r="F19" s="306"/>
      <c r="G19" s="307">
        <f t="shared" ca="1" si="1"/>
        <v>55</v>
      </c>
      <c r="H19" s="250"/>
      <c r="I19" s="321"/>
      <c r="K19" s="321"/>
      <c r="N19" s="321"/>
      <c r="O19" s="240"/>
      <c r="Q19" s="321"/>
      <c r="T19" s="321"/>
      <c r="W19" s="321"/>
      <c r="AE19" s="254"/>
      <c r="AF19" s="236">
        <f t="shared" si="2"/>
        <v>0</v>
      </c>
      <c r="AG19" s="236" t="str">
        <f t="shared" ca="1" si="3"/>
        <v/>
      </c>
      <c r="AH19" s="236" t="str">
        <f t="shared" ca="1" si="18"/>
        <v/>
      </c>
      <c r="AJ19" s="236">
        <f t="shared" ca="1" si="19"/>
        <v>19</v>
      </c>
      <c r="AK19" s="236" t="str">
        <f t="shared" ca="1" si="20"/>
        <v>A-</v>
      </c>
      <c r="AL19" s="236">
        <f t="shared" ca="1" si="20"/>
        <v>20</v>
      </c>
      <c r="AM19" s="236" t="str">
        <f t="shared" ca="1" si="4"/>
        <v/>
      </c>
      <c r="AQ19" s="286" t="s">
        <v>64</v>
      </c>
      <c r="AR19" s="286" t="s">
        <v>61</v>
      </c>
      <c r="AS19" s="286">
        <v>15</v>
      </c>
      <c r="AT19" s="286" t="s">
        <v>443</v>
      </c>
      <c r="AV19" s="234">
        <f t="shared" si="21"/>
        <v>52</v>
      </c>
      <c r="AW19" s="234">
        <f>COUNTIF( AV$7:AV19, AV19 )</f>
        <v>1</v>
      </c>
      <c r="AX19" s="287">
        <f t="shared" si="22"/>
        <v>52.1</v>
      </c>
      <c r="AY19" s="234">
        <f t="shared" si="23"/>
        <v>52</v>
      </c>
      <c r="AZ19" s="236"/>
      <c r="BA19" s="236"/>
      <c r="BC19" s="234">
        <f t="shared" ca="1" si="24"/>
        <v>13</v>
      </c>
      <c r="BD19" s="288">
        <f t="shared" ca="1" si="6"/>
        <v>52</v>
      </c>
      <c r="BF19" s="240" t="str">
        <f t="shared" ca="1" si="7"/>
        <v>Xcel Energy Inc.</v>
      </c>
      <c r="BG19" s="240" t="str">
        <f t="shared" ca="1" si="7"/>
        <v>A-</v>
      </c>
      <c r="BH19" s="240">
        <f t="shared" ca="1" si="7"/>
        <v>20</v>
      </c>
      <c r="BI19" s="240" t="str">
        <f t="shared" ca="1" si="7"/>
        <v>XEL</v>
      </c>
    </row>
    <row r="20" spans="1:61" x14ac:dyDescent="0.2">
      <c r="A20" s="303" t="s">
        <v>15</v>
      </c>
      <c r="B20" s="304" t="s">
        <v>16</v>
      </c>
      <c r="C20" s="304">
        <v>19</v>
      </c>
      <c r="D20" s="304" t="s">
        <v>277</v>
      </c>
      <c r="E20" s="305" t="str">
        <f t="shared" ca="1" si="8"/>
        <v>R</v>
      </c>
      <c r="F20" s="306"/>
      <c r="G20" s="307">
        <f t="shared" ca="1" si="1"/>
        <v>7</v>
      </c>
      <c r="H20" s="250"/>
      <c r="I20" s="322"/>
      <c r="K20" s="322"/>
      <c r="N20" s="322"/>
      <c r="O20" s="240"/>
      <c r="Q20" s="322"/>
      <c r="T20" s="322"/>
      <c r="W20" s="322"/>
      <c r="AE20" s="254"/>
      <c r="AF20" s="236">
        <f t="shared" si="2"/>
        <v>1</v>
      </c>
      <c r="AG20" s="236" t="str">
        <f t="shared" ca="1" si="3"/>
        <v/>
      </c>
      <c r="AH20" s="236" t="str">
        <f t="shared" ca="1" si="18"/>
        <v/>
      </c>
      <c r="AJ20" s="236">
        <f t="shared" ca="1" si="19"/>
        <v>20</v>
      </c>
      <c r="AK20" s="236" t="str">
        <f t="shared" ca="1" si="20"/>
        <v>BBB+</v>
      </c>
      <c r="AL20" s="236">
        <f t="shared" ca="1" si="20"/>
        <v>19</v>
      </c>
      <c r="AM20" s="236" t="str">
        <f t="shared" ca="1" si="4"/>
        <v/>
      </c>
      <c r="AQ20" s="286" t="s">
        <v>31</v>
      </c>
      <c r="AR20" s="286" t="s">
        <v>16</v>
      </c>
      <c r="AS20" s="286">
        <v>19</v>
      </c>
      <c r="AT20" s="286" t="s">
        <v>289</v>
      </c>
      <c r="AV20" s="234">
        <f t="shared" si="21"/>
        <v>14</v>
      </c>
      <c r="AW20" s="234">
        <f>COUNTIF( AV$7:AV20, AV20 )</f>
        <v>6</v>
      </c>
      <c r="AX20" s="287">
        <f t="shared" si="22"/>
        <v>14.6</v>
      </c>
      <c r="AY20" s="234">
        <f t="shared" si="23"/>
        <v>19</v>
      </c>
      <c r="AZ20" s="236"/>
      <c r="BA20" s="236"/>
      <c r="BC20" s="234">
        <f t="shared" ca="1" si="24"/>
        <v>14</v>
      </c>
      <c r="BD20" s="288">
        <f t="shared" ca="1" si="6"/>
        <v>1</v>
      </c>
      <c r="BF20" s="240" t="str">
        <f t="shared" ca="1" si="7"/>
        <v>ALLETE, Inc.</v>
      </c>
      <c r="BG20" s="240" t="str">
        <f t="shared" ca="1" si="7"/>
        <v>BBB+</v>
      </c>
      <c r="BH20" s="240">
        <f t="shared" ca="1" si="7"/>
        <v>19</v>
      </c>
      <c r="BI20" s="240" t="str">
        <f t="shared" ca="1" si="7"/>
        <v>ALE</v>
      </c>
    </row>
    <row r="21" spans="1:61" x14ac:dyDescent="0.2">
      <c r="A21" s="303" t="s">
        <v>9</v>
      </c>
      <c r="B21" s="304" t="s">
        <v>16</v>
      </c>
      <c r="C21" s="304">
        <v>19</v>
      </c>
      <c r="D21" s="304" t="s">
        <v>274</v>
      </c>
      <c r="E21" s="305" t="str">
        <f t="shared" ca="1" si="8"/>
        <v>R</v>
      </c>
      <c r="F21" s="306"/>
      <c r="G21" s="307">
        <f t="shared" ca="1" si="1"/>
        <v>9</v>
      </c>
      <c r="H21" s="250"/>
      <c r="I21" s="321"/>
      <c r="K21" s="321"/>
      <c r="N21" s="321"/>
      <c r="Q21" s="321"/>
      <c r="T21" s="321"/>
      <c r="W21" s="321"/>
      <c r="AE21" s="254"/>
      <c r="AF21" s="236">
        <f t="shared" si="2"/>
        <v>1</v>
      </c>
      <c r="AG21" s="236" t="str">
        <f t="shared" ca="1" si="3"/>
        <v/>
      </c>
      <c r="AH21" s="236" t="str">
        <f t="shared" ca="1" si="18"/>
        <v/>
      </c>
      <c r="AJ21" s="236">
        <f t="shared" ca="1" si="19"/>
        <v>21</v>
      </c>
      <c r="AK21" s="236" t="str">
        <f t="shared" ca="1" si="20"/>
        <v>BBB+</v>
      </c>
      <c r="AL21" s="236">
        <f t="shared" ca="1" si="20"/>
        <v>19</v>
      </c>
      <c r="AM21" s="236" t="str">
        <f t="shared" ca="1" si="4"/>
        <v/>
      </c>
      <c r="AQ21" s="286" t="s">
        <v>32</v>
      </c>
      <c r="AR21" s="286" t="s">
        <v>16</v>
      </c>
      <c r="AS21" s="286">
        <v>19</v>
      </c>
      <c r="AT21" s="286" t="s">
        <v>290</v>
      </c>
      <c r="AV21" s="234">
        <f t="shared" si="21"/>
        <v>14</v>
      </c>
      <c r="AW21" s="234">
        <f>COUNTIF( AV$7:AV21, AV21 )</f>
        <v>7</v>
      </c>
      <c r="AX21" s="287">
        <f t="shared" si="22"/>
        <v>14.7</v>
      </c>
      <c r="AY21" s="234">
        <f t="shared" si="23"/>
        <v>20</v>
      </c>
      <c r="AZ21" s="236"/>
      <c r="BA21" s="236"/>
      <c r="BC21" s="234">
        <f t="shared" ca="1" si="24"/>
        <v>15</v>
      </c>
      <c r="BD21" s="288">
        <f t="shared" ca="1" si="6"/>
        <v>3</v>
      </c>
      <c r="BF21" s="240" t="str">
        <f t="shared" ca="1" si="7"/>
        <v>Ameren Corporation</v>
      </c>
      <c r="BG21" s="240" t="str">
        <f t="shared" ca="1" si="7"/>
        <v>BBB+</v>
      </c>
      <c r="BH21" s="240">
        <f t="shared" ca="1" si="7"/>
        <v>19</v>
      </c>
      <c r="BI21" s="240" t="str">
        <f t="shared" ca="1" si="7"/>
        <v>AEE</v>
      </c>
    </row>
    <row r="22" spans="1:61" x14ac:dyDescent="0.2">
      <c r="A22" s="303" t="s">
        <v>501</v>
      </c>
      <c r="B22" s="304" t="s">
        <v>16</v>
      </c>
      <c r="C22" s="304">
        <v>19</v>
      </c>
      <c r="D22" s="304" t="s">
        <v>447</v>
      </c>
      <c r="E22" s="305" t="str">
        <f t="shared" ca="1" si="8"/>
        <v>MR</v>
      </c>
      <c r="F22" s="306"/>
      <c r="G22" s="307">
        <f t="shared" ca="1" si="1"/>
        <v>61</v>
      </c>
      <c r="H22" s="250"/>
      <c r="I22" s="321"/>
      <c r="K22" s="321"/>
      <c r="N22" s="321"/>
      <c r="Q22" s="321"/>
      <c r="T22" s="321"/>
      <c r="W22" s="321"/>
      <c r="AE22" s="254"/>
      <c r="AF22" s="236">
        <f t="shared" si="2"/>
        <v>1</v>
      </c>
      <c r="AG22" s="236" t="str">
        <f t="shared" ca="1" si="3"/>
        <v/>
      </c>
      <c r="AH22" s="236" t="str">
        <f t="shared" ca="1" si="18"/>
        <v/>
      </c>
      <c r="AJ22" s="236">
        <f t="shared" ca="1" si="19"/>
        <v>22</v>
      </c>
      <c r="AK22" s="236" t="str">
        <f t="shared" ca="1" si="20"/>
        <v>BBB+</v>
      </c>
      <c r="AL22" s="236">
        <f t="shared" ca="1" si="20"/>
        <v>19</v>
      </c>
      <c r="AM22" s="236" t="str">
        <f t="shared" ca="1" si="4"/>
        <v/>
      </c>
      <c r="AQ22" s="286" t="s">
        <v>57</v>
      </c>
      <c r="AR22" s="286" t="s">
        <v>16</v>
      </c>
      <c r="AS22" s="286">
        <v>19</v>
      </c>
      <c r="AT22" s="289" t="s">
        <v>296</v>
      </c>
      <c r="AV22" s="234">
        <f t="shared" si="21"/>
        <v>14</v>
      </c>
      <c r="AW22" s="234">
        <f>COUNTIF( AV$7:AV22, AV22 )</f>
        <v>8</v>
      </c>
      <c r="AX22" s="287">
        <f t="shared" si="22"/>
        <v>14.8</v>
      </c>
      <c r="AY22" s="234">
        <f t="shared" si="23"/>
        <v>21</v>
      </c>
      <c r="AZ22" s="236"/>
      <c r="BA22" s="236"/>
      <c r="BC22" s="234">
        <f t="shared" ca="1" si="24"/>
        <v>16</v>
      </c>
      <c r="BD22" s="288">
        <f t="shared" ca="1" si="6"/>
        <v>6</v>
      </c>
      <c r="BF22" s="240" t="str">
        <f t="shared" ca="1" si="7"/>
        <v>Berkshire Energy Holdings Company</v>
      </c>
      <c r="BG22" s="240" t="str">
        <f t="shared" ca="1" si="7"/>
        <v>BBB+</v>
      </c>
      <c r="BH22" s="240">
        <f t="shared" ca="1" si="7"/>
        <v>19</v>
      </c>
      <c r="BI22" s="240" t="str">
        <f t="shared" ca="1" si="7"/>
        <v>**BRK</v>
      </c>
    </row>
    <row r="23" spans="1:61" x14ac:dyDescent="0.2">
      <c r="A23" s="303" t="s">
        <v>30</v>
      </c>
      <c r="B23" s="304" t="s">
        <v>16</v>
      </c>
      <c r="C23" s="304">
        <v>19</v>
      </c>
      <c r="D23" s="304" t="s">
        <v>285</v>
      </c>
      <c r="E23" s="305" t="str">
        <f t="shared" ca="1" si="8"/>
        <v>R</v>
      </c>
      <c r="F23" s="306"/>
      <c r="G23" s="307">
        <f t="shared" ca="1" si="1"/>
        <v>14</v>
      </c>
      <c r="H23" s="250"/>
      <c r="I23" s="321"/>
      <c r="K23" s="321"/>
      <c r="N23" s="321"/>
      <c r="Q23" s="321"/>
      <c r="T23" s="321"/>
      <c r="W23" s="321"/>
      <c r="AE23" s="254"/>
      <c r="AF23" s="236">
        <f t="shared" si="2"/>
        <v>1</v>
      </c>
      <c r="AG23" s="236" t="str">
        <f t="shared" ca="1" si="3"/>
        <v/>
      </c>
      <c r="AH23" s="236" t="str">
        <f t="shared" ca="1" si="18"/>
        <v/>
      </c>
      <c r="AJ23" s="236">
        <f t="shared" ca="1" si="19"/>
        <v>23</v>
      </c>
      <c r="AK23" s="236" t="str">
        <f t="shared" ca="1" si="20"/>
        <v>BBB+</v>
      </c>
      <c r="AL23" s="236">
        <f t="shared" ca="1" si="20"/>
        <v>19</v>
      </c>
      <c r="AM23" s="236" t="str">
        <f t="shared" ca="1" si="4"/>
        <v/>
      </c>
      <c r="AQ23" s="286" t="s">
        <v>34</v>
      </c>
      <c r="AR23" s="286" t="s">
        <v>28</v>
      </c>
      <c r="AS23" s="286">
        <v>18</v>
      </c>
      <c r="AT23" s="286" t="s">
        <v>294</v>
      </c>
      <c r="AV23" s="234">
        <f t="shared" si="21"/>
        <v>31</v>
      </c>
      <c r="AW23" s="234">
        <f>COUNTIF( AV$7:AV23, AV23 )</f>
        <v>4</v>
      </c>
      <c r="AX23" s="287">
        <f t="shared" si="22"/>
        <v>31.4</v>
      </c>
      <c r="AY23" s="234">
        <f t="shared" si="23"/>
        <v>34</v>
      </c>
      <c r="AZ23" s="236"/>
      <c r="BA23" s="236"/>
      <c r="BC23" s="234">
        <f t="shared" ca="1" si="24"/>
        <v>17</v>
      </c>
      <c r="BD23" s="288">
        <f t="shared" ca="1" si="6"/>
        <v>9</v>
      </c>
      <c r="BF23" s="240" t="str">
        <f t="shared" ca="1" si="7"/>
        <v>Cleco Corporation</v>
      </c>
      <c r="BG23" s="240" t="str">
        <f t="shared" ca="1" si="7"/>
        <v>BBB+</v>
      </c>
      <c r="BH23" s="240">
        <f t="shared" ca="1" si="7"/>
        <v>19</v>
      </c>
      <c r="BI23" s="240" t="str">
        <f t="shared" ca="1" si="7"/>
        <v>CNL</v>
      </c>
    </row>
    <row r="24" spans="1:61" x14ac:dyDescent="0.2">
      <c r="A24" s="303" t="s">
        <v>60</v>
      </c>
      <c r="B24" s="304" t="s">
        <v>16</v>
      </c>
      <c r="C24" s="304">
        <v>19</v>
      </c>
      <c r="D24" s="304" t="s">
        <v>284</v>
      </c>
      <c r="E24" s="305" t="str">
        <f t="shared" ca="1" si="8"/>
        <v>R</v>
      </c>
      <c r="F24" s="306"/>
      <c r="G24" s="307">
        <f t="shared" ca="1" si="1"/>
        <v>15</v>
      </c>
      <c r="H24" s="250"/>
      <c r="I24" s="321"/>
      <c r="J24" s="262"/>
      <c r="K24" s="321"/>
      <c r="N24" s="321"/>
      <c r="Q24" s="321"/>
      <c r="T24" s="321"/>
      <c r="W24" s="321"/>
      <c r="AE24" s="254"/>
      <c r="AF24" s="236">
        <f t="shared" si="2"/>
        <v>1</v>
      </c>
      <c r="AG24" s="236">
        <f t="shared" ca="1" si="3"/>
        <v>1</v>
      </c>
      <c r="AH24" s="236" t="str">
        <f t="shared" ca="1" si="18"/>
        <v/>
      </c>
      <c r="AJ24" s="236">
        <f t="shared" ca="1" si="19"/>
        <v>38</v>
      </c>
      <c r="AK24" s="236" t="str">
        <f t="shared" ca="1" si="20"/>
        <v>BBB</v>
      </c>
      <c r="AL24" s="236">
        <f t="shared" ca="1" si="20"/>
        <v>18</v>
      </c>
      <c r="AM24" s="236" t="str">
        <f t="shared" ca="1" si="4"/>
        <v>Change</v>
      </c>
      <c r="AQ24" s="286" t="s">
        <v>35</v>
      </c>
      <c r="AR24" s="286" t="s">
        <v>28</v>
      </c>
      <c r="AS24" s="286">
        <v>18</v>
      </c>
      <c r="AT24" s="286" t="s">
        <v>293</v>
      </c>
      <c r="AV24" s="234">
        <f t="shared" si="21"/>
        <v>31</v>
      </c>
      <c r="AW24" s="234">
        <f>COUNTIF( AV$7:AV24, AV24 )</f>
        <v>5</v>
      </c>
      <c r="AX24" s="287">
        <f t="shared" si="22"/>
        <v>31.5</v>
      </c>
      <c r="AY24" s="234">
        <f t="shared" si="23"/>
        <v>35</v>
      </c>
      <c r="AZ24" s="236"/>
      <c r="BA24" s="236"/>
      <c r="BC24" s="234">
        <f t="shared" ca="1" si="24"/>
        <v>18</v>
      </c>
      <c r="BD24" s="288">
        <f t="shared" ca="1" si="6"/>
        <v>10</v>
      </c>
      <c r="BF24" s="240" t="str">
        <f t="shared" ca="1" si="7"/>
        <v>CMS Energy Corporation</v>
      </c>
      <c r="BG24" s="240" t="str">
        <f t="shared" ca="1" si="7"/>
        <v>BBB+</v>
      </c>
      <c r="BH24" s="240">
        <f t="shared" ca="1" si="7"/>
        <v>19</v>
      </c>
      <c r="BI24" s="240" t="str">
        <f t="shared" ca="1" si="7"/>
        <v>CMS</v>
      </c>
    </row>
    <row r="25" spans="1:61" x14ac:dyDescent="0.2">
      <c r="A25" s="303" t="s">
        <v>31</v>
      </c>
      <c r="B25" s="304" t="s">
        <v>16</v>
      </c>
      <c r="C25" s="304">
        <v>19</v>
      </c>
      <c r="D25" s="304" t="s">
        <v>289</v>
      </c>
      <c r="E25" s="305" t="str">
        <f t="shared" ca="1" si="8"/>
        <v>R</v>
      </c>
      <c r="F25" s="306"/>
      <c r="G25" s="307">
        <f t="shared" ca="1" si="1"/>
        <v>18</v>
      </c>
      <c r="H25" s="250"/>
      <c r="I25" s="321"/>
      <c r="J25" s="262"/>
      <c r="K25" s="321"/>
      <c r="N25" s="321"/>
      <c r="Q25" s="321"/>
      <c r="T25" s="321"/>
      <c r="W25" s="321"/>
      <c r="AE25" s="254"/>
      <c r="AF25" s="236">
        <f t="shared" si="2"/>
        <v>1</v>
      </c>
      <c r="AG25" s="236" t="str">
        <f t="shared" ca="1" si="3"/>
        <v/>
      </c>
      <c r="AH25" s="236" t="str">
        <f t="shared" ca="1" si="18"/>
        <v/>
      </c>
      <c r="AJ25" s="236">
        <f t="shared" ca="1" si="19"/>
        <v>24</v>
      </c>
      <c r="AK25" s="236" t="str">
        <f t="shared" ca="1" si="20"/>
        <v>BBB+</v>
      </c>
      <c r="AL25" s="236">
        <f t="shared" ca="1" si="20"/>
        <v>19</v>
      </c>
      <c r="AM25" s="236" t="str">
        <f t="shared" ca="1" si="4"/>
        <v/>
      </c>
      <c r="AQ25" s="286" t="s">
        <v>36</v>
      </c>
      <c r="AR25" s="286" t="s">
        <v>28</v>
      </c>
      <c r="AS25" s="286">
        <v>18</v>
      </c>
      <c r="AT25" s="286" t="s">
        <v>297</v>
      </c>
      <c r="AV25" s="234">
        <f t="shared" si="21"/>
        <v>31</v>
      </c>
      <c r="AW25" s="234">
        <f>COUNTIF( AV$7:AV25, AV25 )</f>
        <v>6</v>
      </c>
      <c r="AX25" s="287">
        <f t="shared" si="22"/>
        <v>31.6</v>
      </c>
      <c r="AY25" s="234">
        <f t="shared" si="23"/>
        <v>36</v>
      </c>
      <c r="AZ25" s="236"/>
      <c r="BA25" s="236"/>
      <c r="BC25" s="234">
        <f t="shared" ca="1" si="24"/>
        <v>19</v>
      </c>
      <c r="BD25" s="288">
        <f t="shared" ca="1" si="6"/>
        <v>14</v>
      </c>
      <c r="BF25" s="240" t="str">
        <f t="shared" ca="1" si="7"/>
        <v>DTE Energy Company</v>
      </c>
      <c r="BG25" s="240" t="str">
        <f t="shared" ca="1" si="7"/>
        <v>BBB+</v>
      </c>
      <c r="BH25" s="240">
        <f t="shared" ca="1" si="7"/>
        <v>19</v>
      </c>
      <c r="BI25" s="240" t="str">
        <f t="shared" ca="1" si="7"/>
        <v>DTE</v>
      </c>
    </row>
    <row r="26" spans="1:61" x14ac:dyDescent="0.2">
      <c r="A26" s="303" t="s">
        <v>32</v>
      </c>
      <c r="B26" s="304" t="s">
        <v>16</v>
      </c>
      <c r="C26" s="304">
        <v>19</v>
      </c>
      <c r="D26" s="304" t="s">
        <v>290</v>
      </c>
      <c r="E26" s="305" t="str">
        <f t="shared" ca="1" si="8"/>
        <v>R</v>
      </c>
      <c r="F26" s="306"/>
      <c r="G26" s="307">
        <f t="shared" ca="1" si="1"/>
        <v>19</v>
      </c>
      <c r="H26" s="250"/>
      <c r="I26" s="321"/>
      <c r="J26" s="262"/>
      <c r="K26" s="321"/>
      <c r="N26" s="321"/>
      <c r="Q26" s="321"/>
      <c r="T26" s="321"/>
      <c r="W26" s="321"/>
      <c r="AE26" s="254"/>
      <c r="AF26" s="236">
        <f t="shared" si="2"/>
        <v>1</v>
      </c>
      <c r="AG26" s="236" t="str">
        <f t="shared" ca="1" si="3"/>
        <v/>
      </c>
      <c r="AH26" s="236" t="str">
        <f t="shared" ca="1" si="18"/>
        <v/>
      </c>
      <c r="AJ26" s="236">
        <f t="shared" ca="1" si="19"/>
        <v>25</v>
      </c>
      <c r="AK26" s="236" t="str">
        <f t="shared" ca="1" si="20"/>
        <v>BBB+</v>
      </c>
      <c r="AL26" s="236">
        <f t="shared" ca="1" si="20"/>
        <v>19</v>
      </c>
      <c r="AM26" s="236" t="str">
        <f t="shared" ca="1" si="4"/>
        <v/>
      </c>
      <c r="AQ26" s="286" t="s">
        <v>513</v>
      </c>
      <c r="AR26" s="286" t="s">
        <v>10</v>
      </c>
      <c r="AS26" s="286">
        <v>20</v>
      </c>
      <c r="AT26" s="286" t="s">
        <v>512</v>
      </c>
      <c r="AV26" s="234">
        <f t="shared" si="21"/>
        <v>2</v>
      </c>
      <c r="AW26" s="234">
        <f>COUNTIF( AV$7:AV26, AV26 )</f>
        <v>5</v>
      </c>
      <c r="AX26" s="287">
        <f t="shared" si="22"/>
        <v>2.5</v>
      </c>
      <c r="AY26" s="234">
        <f t="shared" si="23"/>
        <v>6</v>
      </c>
      <c r="AZ26" s="236"/>
      <c r="BA26" s="236"/>
      <c r="BC26" s="234">
        <f t="shared" ca="1" si="24"/>
        <v>20</v>
      </c>
      <c r="BD26" s="288">
        <f t="shared" ca="1" si="6"/>
        <v>15</v>
      </c>
      <c r="BF26" s="240" t="str">
        <f t="shared" ca="1" si="7"/>
        <v>Duke Energy Corporation</v>
      </c>
      <c r="BG26" s="240" t="str">
        <f t="shared" ca="1" si="7"/>
        <v>BBB+</v>
      </c>
      <c r="BH26" s="240">
        <f t="shared" ca="1" si="7"/>
        <v>19</v>
      </c>
      <c r="BI26" s="240" t="str">
        <f t="shared" ca="1" si="7"/>
        <v>DUK</v>
      </c>
    </row>
    <row r="27" spans="1:61" x14ac:dyDescent="0.2">
      <c r="A27" s="303" t="s">
        <v>57</v>
      </c>
      <c r="B27" s="304" t="s">
        <v>16</v>
      </c>
      <c r="C27" s="304">
        <v>19</v>
      </c>
      <c r="D27" s="304" t="s">
        <v>296</v>
      </c>
      <c r="E27" s="305" t="str">
        <f t="shared" ca="1" si="8"/>
        <v>R</v>
      </c>
      <c r="F27" s="306"/>
      <c r="G27" s="307">
        <f t="shared" ca="1" si="1"/>
        <v>20</v>
      </c>
      <c r="H27" s="250"/>
      <c r="I27" s="321"/>
      <c r="J27" s="262"/>
      <c r="K27" s="321"/>
      <c r="N27" s="321"/>
      <c r="Q27" s="321"/>
      <c r="T27" s="321"/>
      <c r="W27" s="321"/>
      <c r="AE27" s="254"/>
      <c r="AF27" s="236">
        <f t="shared" si="2"/>
        <v>1</v>
      </c>
      <c r="AG27" s="236" t="str">
        <f t="shared" ca="1" si="3"/>
        <v/>
      </c>
      <c r="AH27" s="236" t="str">
        <f t="shared" ca="1" si="18"/>
        <v/>
      </c>
      <c r="AJ27" s="236">
        <f t="shared" ca="1" si="19"/>
        <v>26</v>
      </c>
      <c r="AK27" s="236" t="str">
        <f t="shared" ca="1" si="20"/>
        <v>BBB+</v>
      </c>
      <c r="AL27" s="236">
        <f t="shared" ca="1" si="20"/>
        <v>19</v>
      </c>
      <c r="AM27" s="236" t="str">
        <f t="shared" ca="1" si="4"/>
        <v/>
      </c>
      <c r="AQ27" s="286" t="s">
        <v>11</v>
      </c>
      <c r="AR27" s="286" t="s">
        <v>28</v>
      </c>
      <c r="AS27" s="286">
        <v>18</v>
      </c>
      <c r="AT27" s="286" t="s">
        <v>298</v>
      </c>
      <c r="AV27" s="234">
        <f t="shared" si="21"/>
        <v>31</v>
      </c>
      <c r="AW27" s="234">
        <f>COUNTIF( AV$7:AV27, AV27 )</f>
        <v>7</v>
      </c>
      <c r="AX27" s="287">
        <f t="shared" si="22"/>
        <v>31.7</v>
      </c>
      <c r="AY27" s="234">
        <f t="shared" si="23"/>
        <v>37</v>
      </c>
      <c r="AZ27" s="236"/>
      <c r="BA27" s="236"/>
      <c r="BC27" s="234">
        <f t="shared" ca="1" si="24"/>
        <v>21</v>
      </c>
      <c r="BD27" s="288">
        <f t="shared" ca="1" si="6"/>
        <v>16</v>
      </c>
      <c r="BF27" s="240" t="str">
        <f t="shared" ca="1" si="7"/>
        <v>Edison International</v>
      </c>
      <c r="BG27" s="240" t="str">
        <f t="shared" ca="1" si="7"/>
        <v>BBB+</v>
      </c>
      <c r="BH27" s="240">
        <f t="shared" ca="1" si="7"/>
        <v>19</v>
      </c>
      <c r="BI27" s="240" t="str">
        <f t="shared" ca="1" si="7"/>
        <v>EIX</v>
      </c>
    </row>
    <row r="28" spans="1:61" x14ac:dyDescent="0.2">
      <c r="A28" s="303" t="s">
        <v>261</v>
      </c>
      <c r="B28" s="304" t="s">
        <v>16</v>
      </c>
      <c r="C28" s="304">
        <v>19</v>
      </c>
      <c r="D28" s="304" t="s">
        <v>301</v>
      </c>
      <c r="E28" s="305" t="str">
        <f t="shared" ca="1" si="8"/>
        <v>R</v>
      </c>
      <c r="F28" s="306"/>
      <c r="G28" s="307">
        <f t="shared" ca="1" si="1"/>
        <v>26</v>
      </c>
      <c r="H28" s="250"/>
      <c r="I28" s="321"/>
      <c r="J28" s="262"/>
      <c r="K28" s="321"/>
      <c r="N28" s="321"/>
      <c r="Q28" s="321"/>
      <c r="T28" s="321"/>
      <c r="W28" s="321"/>
      <c r="AE28" s="245"/>
      <c r="AF28" s="236">
        <f t="shared" si="2"/>
        <v>1</v>
      </c>
      <c r="AG28" s="236" t="str">
        <f t="shared" ca="1" si="3"/>
        <v/>
      </c>
      <c r="AH28" s="236" t="str">
        <f t="shared" ca="1" si="18"/>
        <v/>
      </c>
      <c r="AJ28" s="236">
        <f t="shared" ca="1" si="19"/>
        <v>27</v>
      </c>
      <c r="AK28" s="236" t="str">
        <f t="shared" ca="1" si="20"/>
        <v>BBB+</v>
      </c>
      <c r="AL28" s="236">
        <f t="shared" ca="1" si="20"/>
        <v>19</v>
      </c>
      <c r="AM28" s="236" t="str">
        <f t="shared" ca="1" si="4"/>
        <v/>
      </c>
      <c r="AQ28" s="286" t="s">
        <v>51</v>
      </c>
      <c r="AR28" s="286" t="s">
        <v>49</v>
      </c>
      <c r="AS28" s="286">
        <v>17</v>
      </c>
      <c r="AT28" s="286" t="s">
        <v>299</v>
      </c>
      <c r="AV28" s="234">
        <f t="shared" si="21"/>
        <v>47</v>
      </c>
      <c r="AW28" s="234">
        <f>COUNTIF( AV$7:AV28, AV28 )</f>
        <v>1</v>
      </c>
      <c r="AX28" s="287">
        <f t="shared" si="22"/>
        <v>47.1</v>
      </c>
      <c r="AY28" s="234">
        <f t="shared" si="23"/>
        <v>47</v>
      </c>
      <c r="AZ28" s="236"/>
      <c r="BA28" s="236"/>
      <c r="BC28" s="234">
        <f t="shared" ca="1" si="24"/>
        <v>22</v>
      </c>
      <c r="BD28" s="288">
        <f t="shared" ca="1" si="6"/>
        <v>23</v>
      </c>
      <c r="BF28" s="240" t="str">
        <f t="shared" ca="1" si="7"/>
        <v>Great Plains Energy Inc.</v>
      </c>
      <c r="BG28" s="240" t="str">
        <f t="shared" ca="1" si="7"/>
        <v>BBB+</v>
      </c>
      <c r="BH28" s="240">
        <f t="shared" ca="1" si="7"/>
        <v>19</v>
      </c>
      <c r="BI28" s="240" t="str">
        <f t="shared" ca="1" si="7"/>
        <v>GXP</v>
      </c>
    </row>
    <row r="29" spans="1:61" x14ac:dyDescent="0.2">
      <c r="A29" s="303" t="s">
        <v>12</v>
      </c>
      <c r="B29" s="304" t="s">
        <v>16</v>
      </c>
      <c r="C29" s="304">
        <v>19</v>
      </c>
      <c r="D29" s="304" t="s">
        <v>309</v>
      </c>
      <c r="E29" s="305" t="str">
        <f t="shared" ca="1" si="8"/>
        <v>D</v>
      </c>
      <c r="F29" s="306"/>
      <c r="G29" s="307">
        <f t="shared" ca="1" si="1"/>
        <v>30</v>
      </c>
      <c r="H29" s="250"/>
      <c r="I29" s="321"/>
      <c r="J29" s="262"/>
      <c r="K29" s="321"/>
      <c r="N29" s="321"/>
      <c r="Q29" s="321"/>
      <c r="T29" s="321"/>
      <c r="W29" s="321"/>
      <c r="AF29" s="236">
        <f t="shared" si="2"/>
        <v>1</v>
      </c>
      <c r="AG29" s="236" t="str">
        <f t="shared" ca="1" si="3"/>
        <v/>
      </c>
      <c r="AH29" s="236" t="str">
        <f t="shared" ca="1" si="18"/>
        <v/>
      </c>
      <c r="AJ29" s="236">
        <f t="shared" ca="1" si="19"/>
        <v>28</v>
      </c>
      <c r="AK29" s="236" t="str">
        <f t="shared" ca="1" si="20"/>
        <v>BBB+</v>
      </c>
      <c r="AL29" s="236">
        <f t="shared" ca="1" si="20"/>
        <v>19</v>
      </c>
      <c r="AM29" s="236" t="str">
        <f t="shared" ca="1" si="4"/>
        <v/>
      </c>
      <c r="AQ29" s="286" t="s">
        <v>261</v>
      </c>
      <c r="AR29" s="286" t="s">
        <v>16</v>
      </c>
      <c r="AS29" s="286">
        <v>19</v>
      </c>
      <c r="AT29" s="289" t="s">
        <v>301</v>
      </c>
      <c r="AV29" s="234">
        <f t="shared" si="21"/>
        <v>14</v>
      </c>
      <c r="AW29" s="234">
        <f>COUNTIF( AV$7:AV29, AV29 )</f>
        <v>9</v>
      </c>
      <c r="AX29" s="287">
        <f t="shared" si="22"/>
        <v>14.9</v>
      </c>
      <c r="AY29" s="234">
        <f t="shared" si="23"/>
        <v>22</v>
      </c>
      <c r="AZ29" s="236"/>
      <c r="BA29" s="236"/>
      <c r="BC29" s="234">
        <f t="shared" ca="1" si="24"/>
        <v>23</v>
      </c>
      <c r="BD29" s="288">
        <f t="shared" ca="1" si="6"/>
        <v>29</v>
      </c>
      <c r="BF29" s="240" t="str">
        <f t="shared" ca="1" si="7"/>
        <v>MDU Resources Group, Inc.</v>
      </c>
      <c r="BG29" s="240" t="str">
        <f t="shared" ca="1" si="7"/>
        <v>BBB+</v>
      </c>
      <c r="BH29" s="240">
        <f t="shared" ca="1" si="7"/>
        <v>19</v>
      </c>
      <c r="BI29" s="240" t="str">
        <f t="shared" ca="1" si="7"/>
        <v>MDU</v>
      </c>
    </row>
    <row r="30" spans="1:61" x14ac:dyDescent="0.2">
      <c r="A30" s="303" t="s">
        <v>23</v>
      </c>
      <c r="B30" s="304" t="s">
        <v>16</v>
      </c>
      <c r="C30" s="304">
        <v>19</v>
      </c>
      <c r="D30" s="304" t="s">
        <v>323</v>
      </c>
      <c r="E30" s="305" t="str">
        <f t="shared" ca="1" si="8"/>
        <v>R</v>
      </c>
      <c r="F30" s="306"/>
      <c r="G30" s="307">
        <f t="shared" ca="1" si="1"/>
        <v>38</v>
      </c>
      <c r="H30" s="250"/>
      <c r="I30" s="321"/>
      <c r="J30" s="262"/>
      <c r="K30" s="321"/>
      <c r="N30" s="321"/>
      <c r="Q30" s="321"/>
      <c r="T30" s="321"/>
      <c r="W30" s="321"/>
      <c r="AF30" s="236">
        <f t="shared" si="2"/>
        <v>1</v>
      </c>
      <c r="AG30" s="236" t="str">
        <f t="shared" ca="1" si="3"/>
        <v/>
      </c>
      <c r="AH30" s="236" t="str">
        <f t="shared" ca="1" si="18"/>
        <v/>
      </c>
      <c r="AJ30" s="236">
        <f t="shared" ca="1" si="19"/>
        <v>29</v>
      </c>
      <c r="AK30" s="236" t="str">
        <f t="shared" ca="1" si="20"/>
        <v>BBB+</v>
      </c>
      <c r="AL30" s="236">
        <f t="shared" ca="1" si="20"/>
        <v>19</v>
      </c>
      <c r="AM30" s="236" t="str">
        <f t="shared" ca="1" si="4"/>
        <v/>
      </c>
      <c r="AQ30" s="286" t="s">
        <v>39</v>
      </c>
      <c r="AR30" s="286" t="s">
        <v>49</v>
      </c>
      <c r="AS30" s="286">
        <v>17</v>
      </c>
      <c r="AT30" s="289" t="s">
        <v>302</v>
      </c>
      <c r="AV30" s="234">
        <f t="shared" si="21"/>
        <v>47</v>
      </c>
      <c r="AW30" s="234">
        <f>COUNTIF( AV$7:AV30, AV30 )</f>
        <v>2</v>
      </c>
      <c r="AX30" s="287">
        <f t="shared" si="22"/>
        <v>47.2</v>
      </c>
      <c r="AY30" s="234">
        <f t="shared" si="23"/>
        <v>48</v>
      </c>
      <c r="AZ30" s="236"/>
      <c r="BA30" s="236"/>
      <c r="BC30" s="234">
        <f t="shared" ca="1" si="24"/>
        <v>24</v>
      </c>
      <c r="BD30" s="288">
        <f t="shared" ca="1" si="6"/>
        <v>35</v>
      </c>
      <c r="BF30" s="240" t="str">
        <f t="shared" ca="1" si="7"/>
        <v>Pepco Holdings, Inc.</v>
      </c>
      <c r="BG30" s="240" t="str">
        <f t="shared" ca="1" si="7"/>
        <v>BBB+</v>
      </c>
      <c r="BH30" s="240">
        <f t="shared" ca="1" si="7"/>
        <v>19</v>
      </c>
      <c r="BI30" s="240" t="str">
        <f t="shared" ca="1" si="7"/>
        <v>POM</v>
      </c>
    </row>
    <row r="31" spans="1:61" x14ac:dyDescent="0.2">
      <c r="A31" s="303" t="s">
        <v>45</v>
      </c>
      <c r="B31" s="304" t="s">
        <v>16</v>
      </c>
      <c r="C31" s="304">
        <v>19</v>
      </c>
      <c r="D31" s="304" t="s">
        <v>319</v>
      </c>
      <c r="E31" s="305" t="str">
        <f t="shared" ca="1" si="8"/>
        <v>MR</v>
      </c>
      <c r="F31" s="306"/>
      <c r="G31" s="307">
        <f t="shared" ca="1" si="1"/>
        <v>44</v>
      </c>
      <c r="H31" s="250"/>
      <c r="I31" s="321"/>
      <c r="J31" s="262"/>
      <c r="K31" s="321"/>
      <c r="N31" s="321"/>
      <c r="O31" s="253"/>
      <c r="Q31" s="321"/>
      <c r="T31" s="321"/>
      <c r="W31" s="321"/>
      <c r="AF31" s="236">
        <f t="shared" si="2"/>
        <v>1</v>
      </c>
      <c r="AG31" s="236" t="str">
        <f t="shared" ca="1" si="3"/>
        <v/>
      </c>
      <c r="AH31" s="236" t="str">
        <f t="shared" ca="1" si="18"/>
        <v/>
      </c>
      <c r="AJ31" s="236">
        <f t="shared" ca="1" si="19"/>
        <v>30</v>
      </c>
      <c r="AK31" s="236" t="str">
        <f t="shared" ca="1" si="20"/>
        <v>BBB+</v>
      </c>
      <c r="AL31" s="236">
        <f t="shared" ca="1" si="20"/>
        <v>19</v>
      </c>
      <c r="AM31" s="236" t="str">
        <f t="shared" ca="1" si="4"/>
        <v/>
      </c>
      <c r="AQ31" s="286" t="s">
        <v>452</v>
      </c>
      <c r="AR31" s="286" t="s">
        <v>28</v>
      </c>
      <c r="AS31" s="286">
        <v>18</v>
      </c>
      <c r="AT31" s="286" t="s">
        <v>444</v>
      </c>
      <c r="AV31" s="234">
        <f t="shared" si="21"/>
        <v>31</v>
      </c>
      <c r="AW31" s="234">
        <f>COUNTIF( AV$7:AV31, AV31 )</f>
        <v>8</v>
      </c>
      <c r="AX31" s="287">
        <f t="shared" si="22"/>
        <v>31.8</v>
      </c>
      <c r="AY31" s="234">
        <f t="shared" si="23"/>
        <v>38</v>
      </c>
      <c r="AZ31" s="236"/>
      <c r="BA31" s="236"/>
      <c r="BC31" s="234">
        <f t="shared" ca="1" si="24"/>
        <v>25</v>
      </c>
      <c r="BD31" s="288">
        <f t="shared" ca="1" si="6"/>
        <v>41</v>
      </c>
      <c r="BF31" s="240" t="str">
        <f t="shared" ca="1" si="7"/>
        <v>Public Service Enterprise Group Incorporated</v>
      </c>
      <c r="BG31" s="240" t="str">
        <f t="shared" ca="1" si="7"/>
        <v>BBB+</v>
      </c>
      <c r="BH31" s="240">
        <f t="shared" ca="1" si="7"/>
        <v>19</v>
      </c>
      <c r="BI31" s="240" t="str">
        <f t="shared" ca="1" si="7"/>
        <v>PEG</v>
      </c>
    </row>
    <row r="32" spans="1:61" x14ac:dyDescent="0.2">
      <c r="A32" s="303" t="s">
        <v>13</v>
      </c>
      <c r="B32" s="304" t="s">
        <v>16</v>
      </c>
      <c r="C32" s="304">
        <v>19</v>
      </c>
      <c r="D32" s="304" t="s">
        <v>327</v>
      </c>
      <c r="E32" s="305" t="str">
        <f t="shared" ca="1" si="8"/>
        <v>MR</v>
      </c>
      <c r="F32" s="306"/>
      <c r="G32" s="307">
        <f t="shared" ca="1" si="1"/>
        <v>45</v>
      </c>
      <c r="H32" s="250"/>
      <c r="I32" s="321"/>
      <c r="J32" s="262"/>
      <c r="K32" s="321"/>
      <c r="N32" s="321"/>
      <c r="Q32" s="321"/>
      <c r="T32" s="321"/>
      <c r="W32" s="321"/>
      <c r="AF32" s="236">
        <f t="shared" si="2"/>
        <v>1</v>
      </c>
      <c r="AG32" s="236" t="str">
        <f t="shared" ca="1" si="3"/>
        <v/>
      </c>
      <c r="AH32" s="236" t="str">
        <f t="shared" ca="1" si="18"/>
        <v/>
      </c>
      <c r="AJ32" s="236">
        <f t="shared" ca="1" si="19"/>
        <v>31</v>
      </c>
      <c r="AK32" s="236" t="str">
        <f t="shared" ca="1" si="20"/>
        <v>BBB+</v>
      </c>
      <c r="AL32" s="236">
        <f t="shared" ca="1" si="20"/>
        <v>19</v>
      </c>
      <c r="AM32" s="236" t="str">
        <f t="shared" ca="1" si="4"/>
        <v/>
      </c>
      <c r="AQ32" s="286" t="s">
        <v>20</v>
      </c>
      <c r="AR32" s="286" t="s">
        <v>28</v>
      </c>
      <c r="AS32" s="286">
        <v>18</v>
      </c>
      <c r="AT32" s="286" t="s">
        <v>303</v>
      </c>
      <c r="AV32" s="234">
        <f t="shared" si="21"/>
        <v>31</v>
      </c>
      <c r="AW32" s="234">
        <f>COUNTIF( AV$7:AV32, AV32 )</f>
        <v>9</v>
      </c>
      <c r="AX32" s="287">
        <f t="shared" si="22"/>
        <v>31.9</v>
      </c>
      <c r="AY32" s="234">
        <f t="shared" si="23"/>
        <v>39</v>
      </c>
      <c r="AZ32" s="236"/>
      <c r="BA32" s="236"/>
      <c r="BC32" s="234">
        <f t="shared" ca="1" si="24"/>
        <v>26</v>
      </c>
      <c r="BD32" s="288">
        <f t="shared" ca="1" si="6"/>
        <v>43</v>
      </c>
      <c r="BF32" s="240" t="str">
        <f t="shared" ca="1" si="7"/>
        <v>SCANA Corporation</v>
      </c>
      <c r="BG32" s="240" t="str">
        <f t="shared" ca="1" si="7"/>
        <v>BBB+</v>
      </c>
      <c r="BH32" s="240">
        <f t="shared" ca="1" si="7"/>
        <v>19</v>
      </c>
      <c r="BI32" s="240" t="str">
        <f t="shared" ca="1" si="7"/>
        <v>SCG</v>
      </c>
    </row>
    <row r="33" spans="1:61" x14ac:dyDescent="0.2">
      <c r="A33" s="303" t="s">
        <v>25</v>
      </c>
      <c r="B33" s="304" t="s">
        <v>16</v>
      </c>
      <c r="C33" s="304">
        <v>19</v>
      </c>
      <c r="D33" s="304" t="s">
        <v>329</v>
      </c>
      <c r="E33" s="305" t="str">
        <f t="shared" ca="1" si="8"/>
        <v>MR</v>
      </c>
      <c r="F33" s="306"/>
      <c r="G33" s="307">
        <f t="shared" ca="1" si="1"/>
        <v>46</v>
      </c>
      <c r="H33" s="250"/>
      <c r="I33" s="321"/>
      <c r="J33" s="262"/>
      <c r="K33" s="321"/>
      <c r="N33" s="321"/>
      <c r="Q33" s="321"/>
      <c r="T33" s="321"/>
      <c r="W33" s="321"/>
      <c r="AF33" s="236">
        <f t="shared" si="2"/>
        <v>1</v>
      </c>
      <c r="AG33" s="236" t="str">
        <f t="shared" ca="1" si="3"/>
        <v/>
      </c>
      <c r="AH33" s="236" t="str">
        <f t="shared" ca="1" si="18"/>
        <v/>
      </c>
      <c r="AJ33" s="236">
        <f t="shared" ca="1" si="19"/>
        <v>32</v>
      </c>
      <c r="AK33" s="236" t="str">
        <f t="shared" ca="1" si="20"/>
        <v>BBB+</v>
      </c>
      <c r="AL33" s="236">
        <f t="shared" ca="1" si="20"/>
        <v>19</v>
      </c>
      <c r="AM33" s="236" t="str">
        <f t="shared" ca="1" si="4"/>
        <v/>
      </c>
      <c r="AQ33" s="286" t="s">
        <v>254</v>
      </c>
      <c r="AR33" s="286" t="s">
        <v>10</v>
      </c>
      <c r="AS33" s="286">
        <v>20</v>
      </c>
      <c r="AT33" s="286" t="s">
        <v>331</v>
      </c>
      <c r="AV33" s="234">
        <f t="shared" si="21"/>
        <v>2</v>
      </c>
      <c r="AW33" s="234">
        <f>COUNTIF( AV$7:AV33, AV33 )</f>
        <v>6</v>
      </c>
      <c r="AX33" s="287">
        <f t="shared" si="22"/>
        <v>2.6</v>
      </c>
      <c r="AY33" s="234">
        <f t="shared" si="23"/>
        <v>7</v>
      </c>
      <c r="AZ33" s="236"/>
      <c r="BA33" s="236"/>
      <c r="BC33" s="234">
        <f t="shared" ca="1" si="24"/>
        <v>27</v>
      </c>
      <c r="BD33" s="288">
        <f t="shared" ca="1" si="6"/>
        <v>44</v>
      </c>
      <c r="BF33" s="240" t="str">
        <f t="shared" ca="1" si="7"/>
        <v>Sempra Energy</v>
      </c>
      <c r="BG33" s="240" t="str">
        <f t="shared" ca="1" si="7"/>
        <v>BBB+</v>
      </c>
      <c r="BH33" s="240">
        <f t="shared" ca="1" si="7"/>
        <v>19</v>
      </c>
      <c r="BI33" s="240" t="str">
        <f t="shared" ca="1" si="7"/>
        <v>SRE</v>
      </c>
    </row>
    <row r="34" spans="1:61" x14ac:dyDescent="0.2">
      <c r="A34" s="303" t="s">
        <v>62</v>
      </c>
      <c r="B34" s="304" t="s">
        <v>16</v>
      </c>
      <c r="C34" s="304">
        <v>19</v>
      </c>
      <c r="D34" s="304" t="s">
        <v>330</v>
      </c>
      <c r="E34" s="305" t="str">
        <f t="shared" ca="1" si="8"/>
        <v>R</v>
      </c>
      <c r="F34" s="306"/>
      <c r="G34" s="307">
        <f t="shared" ca="1" si="1"/>
        <v>48</v>
      </c>
      <c r="H34" s="250"/>
      <c r="I34" s="321"/>
      <c r="J34" s="262"/>
      <c r="K34" s="321"/>
      <c r="L34" s="235"/>
      <c r="M34" s="235"/>
      <c r="N34" s="321"/>
      <c r="Q34" s="321"/>
      <c r="T34" s="321"/>
      <c r="W34" s="321"/>
      <c r="AF34" s="236">
        <f t="shared" si="2"/>
        <v>1</v>
      </c>
      <c r="AG34" s="236" t="str">
        <f t="shared" ca="1" si="3"/>
        <v/>
      </c>
      <c r="AH34" s="236" t="str">
        <f t="shared" ca="1" si="18"/>
        <v/>
      </c>
      <c r="AJ34" s="236">
        <f t="shared" ca="1" si="19"/>
        <v>33</v>
      </c>
      <c r="AK34" s="236" t="str">
        <f t="shared" ca="1" si="20"/>
        <v>BBB+</v>
      </c>
      <c r="AL34" s="236">
        <f t="shared" ca="1" si="20"/>
        <v>19</v>
      </c>
      <c r="AM34" s="236" t="str">
        <f t="shared" ca="1" si="4"/>
        <v/>
      </c>
      <c r="AQ34" s="286" t="s">
        <v>58</v>
      </c>
      <c r="AR34" s="286" t="s">
        <v>56</v>
      </c>
      <c r="AS34" s="286">
        <v>16</v>
      </c>
      <c r="AT34" s="286" t="s">
        <v>446</v>
      </c>
      <c r="AV34" s="234">
        <f t="shared" si="21"/>
        <v>51</v>
      </c>
      <c r="AW34" s="234">
        <f>COUNTIF( AV$7:AV34, AV34 )</f>
        <v>1</v>
      </c>
      <c r="AX34" s="287">
        <f t="shared" si="22"/>
        <v>51.1</v>
      </c>
      <c r="AY34" s="234">
        <f t="shared" si="23"/>
        <v>51</v>
      </c>
      <c r="AZ34" s="236"/>
      <c r="BA34" s="236"/>
      <c r="BC34" s="234">
        <f t="shared" ca="1" si="24"/>
        <v>28</v>
      </c>
      <c r="BD34" s="288">
        <f t="shared" ca="1" si="6"/>
        <v>46</v>
      </c>
      <c r="BF34" s="240" t="str">
        <f t="shared" ca="1" si="7"/>
        <v>TECO Energy, Inc.</v>
      </c>
      <c r="BG34" s="240" t="str">
        <f t="shared" ca="1" si="7"/>
        <v>BBB+</v>
      </c>
      <c r="BH34" s="240">
        <f t="shared" ca="1" si="7"/>
        <v>19</v>
      </c>
      <c r="BI34" s="240" t="str">
        <f t="shared" ca="1" si="7"/>
        <v>TE</v>
      </c>
    </row>
    <row r="35" spans="1:61" x14ac:dyDescent="0.2">
      <c r="A35" s="303" t="s">
        <v>76</v>
      </c>
      <c r="B35" s="304" t="s">
        <v>16</v>
      </c>
      <c r="C35" s="304">
        <v>19</v>
      </c>
      <c r="D35" s="304" t="s">
        <v>334</v>
      </c>
      <c r="E35" s="305" t="str">
        <f t="shared" ca="1" si="8"/>
        <v>R</v>
      </c>
      <c r="F35" s="306"/>
      <c r="G35" s="307">
        <f t="shared" ca="1" si="1"/>
        <v>50</v>
      </c>
      <c r="H35" s="250"/>
      <c r="I35" s="321"/>
      <c r="K35" s="321"/>
      <c r="L35" s="235"/>
      <c r="M35" s="235"/>
      <c r="N35" s="321"/>
      <c r="Q35" s="321"/>
      <c r="T35" s="321"/>
      <c r="W35" s="321"/>
      <c r="AF35" s="236">
        <f t="shared" si="2"/>
        <v>1</v>
      </c>
      <c r="AG35" s="236" t="str">
        <f t="shared" ca="1" si="3"/>
        <v/>
      </c>
      <c r="AH35" s="236">
        <f t="shared" ca="1" si="18"/>
        <v>1</v>
      </c>
      <c r="AJ35" s="236" t="e">
        <f t="shared" ca="1" si="19"/>
        <v>#N/A</v>
      </c>
      <c r="AK35" s="236" t="str">
        <f t="shared" ca="1" si="20"/>
        <v/>
      </c>
      <c r="AL35" s="236" t="str">
        <f t="shared" ca="1" si="20"/>
        <v/>
      </c>
      <c r="AM35" s="236" t="str">
        <f t="shared" ca="1" si="4"/>
        <v>Change</v>
      </c>
      <c r="AQ35" s="286" t="s">
        <v>12</v>
      </c>
      <c r="AR35" s="286" t="s">
        <v>16</v>
      </c>
      <c r="AS35" s="286">
        <v>19</v>
      </c>
      <c r="AT35" s="286" t="s">
        <v>309</v>
      </c>
      <c r="AV35" s="234">
        <f t="shared" si="21"/>
        <v>14</v>
      </c>
      <c r="AW35" s="234">
        <f>COUNTIF( AV$7:AV35, AV35 )</f>
        <v>10</v>
      </c>
      <c r="AX35" s="287">
        <f t="shared" si="22"/>
        <v>15</v>
      </c>
      <c r="AY35" s="234">
        <f t="shared" si="23"/>
        <v>23</v>
      </c>
      <c r="AZ35" s="236"/>
      <c r="BA35" s="236"/>
      <c r="BC35" s="234">
        <f t="shared" ca="1" si="24"/>
        <v>29</v>
      </c>
      <c r="BD35" s="288">
        <f t="shared" ca="1" si="6"/>
        <v>48</v>
      </c>
      <c r="BF35" s="240" t="str">
        <f t="shared" ca="1" si="7"/>
        <v>Unitil Corporation</v>
      </c>
      <c r="BG35" s="240" t="str">
        <f t="shared" ca="1" si="7"/>
        <v>BBB+</v>
      </c>
      <c r="BH35" s="240">
        <f t="shared" ca="1" si="7"/>
        <v>19</v>
      </c>
      <c r="BI35" s="240" t="str">
        <f t="shared" ca="1" si="7"/>
        <v>UTL</v>
      </c>
    </row>
    <row r="36" spans="1:61" x14ac:dyDescent="0.2">
      <c r="A36" s="303" t="s">
        <v>59</v>
      </c>
      <c r="B36" s="304" t="s">
        <v>16</v>
      </c>
      <c r="C36" s="304">
        <v>19</v>
      </c>
      <c r="D36" s="304" t="s">
        <v>337</v>
      </c>
      <c r="E36" s="305" t="str">
        <f t="shared" ca="1" si="8"/>
        <v>R</v>
      </c>
      <c r="F36" s="306"/>
      <c r="G36" s="307">
        <f t="shared" ca="1" si="1"/>
        <v>53</v>
      </c>
      <c r="H36" s="250"/>
      <c r="I36" s="321"/>
      <c r="J36" s="262"/>
      <c r="K36" s="321"/>
      <c r="L36" s="263"/>
      <c r="M36" s="263"/>
      <c r="N36" s="321"/>
      <c r="Q36" s="321"/>
      <c r="T36" s="321"/>
      <c r="W36" s="321"/>
      <c r="AF36" s="236">
        <f t="shared" si="2"/>
        <v>1</v>
      </c>
      <c r="AG36" s="236" t="str">
        <f t="shared" ca="1" si="3"/>
        <v/>
      </c>
      <c r="AH36" s="236" t="str">
        <f t="shared" ca="1" si="18"/>
        <v/>
      </c>
      <c r="AJ36" s="236">
        <f t="shared" ca="1" si="19"/>
        <v>34</v>
      </c>
      <c r="AK36" s="236" t="str">
        <f t="shared" ca="1" si="20"/>
        <v>BBB+</v>
      </c>
      <c r="AL36" s="236">
        <f t="shared" ca="1" si="20"/>
        <v>19</v>
      </c>
      <c r="AM36" s="236" t="str">
        <f t="shared" ca="1" si="4"/>
        <v/>
      </c>
      <c r="AQ36" s="286" t="s">
        <v>370</v>
      </c>
      <c r="AR36" s="286" t="s">
        <v>10</v>
      </c>
      <c r="AS36" s="286">
        <v>20</v>
      </c>
      <c r="AT36" s="286" t="s">
        <v>369</v>
      </c>
      <c r="AV36" s="234">
        <f t="shared" si="21"/>
        <v>2</v>
      </c>
      <c r="AW36" s="234">
        <f>COUNTIF( AV$7:AV36, AV36 )</f>
        <v>7</v>
      </c>
      <c r="AX36" s="287">
        <f t="shared" si="22"/>
        <v>2.7</v>
      </c>
      <c r="AY36" s="234">
        <f t="shared" si="23"/>
        <v>8</v>
      </c>
      <c r="AZ36" s="236"/>
      <c r="BA36" s="236"/>
      <c r="BC36" s="234">
        <f t="shared" ca="1" si="24"/>
        <v>30</v>
      </c>
      <c r="BD36" s="288">
        <f t="shared" ca="1" si="6"/>
        <v>50</v>
      </c>
      <c r="BF36" s="240" t="str">
        <f t="shared" ca="1" si="7"/>
        <v>Westar Energy, Inc.</v>
      </c>
      <c r="BG36" s="240" t="str">
        <f t="shared" ca="1" si="7"/>
        <v>BBB+</v>
      </c>
      <c r="BH36" s="240">
        <f t="shared" ca="1" si="7"/>
        <v>19</v>
      </c>
      <c r="BI36" s="240" t="str">
        <f t="shared" ca="1" si="7"/>
        <v>WR</v>
      </c>
    </row>
    <row r="37" spans="1:61" x14ac:dyDescent="0.2">
      <c r="A37" s="303" t="s">
        <v>259</v>
      </c>
      <c r="B37" s="304" t="s">
        <v>28</v>
      </c>
      <c r="C37" s="304">
        <v>18</v>
      </c>
      <c r="D37" s="304" t="s">
        <v>275</v>
      </c>
      <c r="E37" s="305" t="str">
        <f t="shared" ca="1" si="8"/>
        <v>R</v>
      </c>
      <c r="F37" s="306"/>
      <c r="G37" s="307">
        <f t="shared" ca="1" si="1"/>
        <v>10</v>
      </c>
      <c r="H37" s="250"/>
      <c r="I37" s="321"/>
      <c r="K37" s="321"/>
      <c r="L37" s="264"/>
      <c r="M37" s="235"/>
      <c r="N37" s="321"/>
      <c r="Q37" s="321"/>
      <c r="T37" s="321"/>
      <c r="W37" s="321"/>
      <c r="AF37" s="236">
        <f t="shared" si="2"/>
        <v>0</v>
      </c>
      <c r="AG37" s="236" t="str">
        <f t="shared" ca="1" si="3"/>
        <v/>
      </c>
      <c r="AH37" s="236" t="str">
        <f t="shared" ca="1" si="18"/>
        <v/>
      </c>
      <c r="AJ37" s="236">
        <f t="shared" ca="1" si="19"/>
        <v>35</v>
      </c>
      <c r="AK37" s="236" t="str">
        <f t="shared" ca="1" si="20"/>
        <v>BBB</v>
      </c>
      <c r="AL37" s="236">
        <f t="shared" ca="1" si="20"/>
        <v>18</v>
      </c>
      <c r="AM37" s="236" t="str">
        <f t="shared" ca="1" si="4"/>
        <v/>
      </c>
      <c r="AQ37" s="286" t="s">
        <v>40</v>
      </c>
      <c r="AR37" s="286" t="s">
        <v>49</v>
      </c>
      <c r="AS37" s="286">
        <v>17</v>
      </c>
      <c r="AT37" s="286" t="s">
        <v>311</v>
      </c>
      <c r="AV37" s="234">
        <f t="shared" si="21"/>
        <v>47</v>
      </c>
      <c r="AW37" s="234">
        <f>COUNTIF( AV$7:AV37, AV37 )</f>
        <v>3</v>
      </c>
      <c r="AX37" s="287">
        <f t="shared" si="22"/>
        <v>47.3</v>
      </c>
      <c r="AY37" s="234">
        <f t="shared" si="23"/>
        <v>49</v>
      </c>
      <c r="AZ37" s="236"/>
      <c r="BA37" s="236"/>
      <c r="BC37" s="234">
        <f t="shared" ca="1" si="24"/>
        <v>31</v>
      </c>
      <c r="BD37" s="288">
        <f t="shared" ca="1" si="6"/>
        <v>4</v>
      </c>
      <c r="BF37" s="240" t="str">
        <f t="shared" ca="1" si="7"/>
        <v>American Electric Power Company, Inc.</v>
      </c>
      <c r="BG37" s="240" t="str">
        <f t="shared" ca="1" si="7"/>
        <v>BBB</v>
      </c>
      <c r="BH37" s="240">
        <f t="shared" ca="1" si="7"/>
        <v>18</v>
      </c>
      <c r="BI37" s="240" t="str">
        <f t="shared" ca="1" si="7"/>
        <v>AEP</v>
      </c>
    </row>
    <row r="38" spans="1:61" x14ac:dyDescent="0.2">
      <c r="A38" s="303" t="s">
        <v>55</v>
      </c>
      <c r="B38" s="304" t="s">
        <v>28</v>
      </c>
      <c r="C38" s="304">
        <v>18</v>
      </c>
      <c r="D38" s="304" t="s">
        <v>278</v>
      </c>
      <c r="E38" s="305" t="str">
        <f t="shared" ca="1" si="8"/>
        <v>R</v>
      </c>
      <c r="F38" s="306"/>
      <c r="G38" s="307">
        <f t="shared" ca="1" si="1"/>
        <v>11</v>
      </c>
      <c r="H38" s="250"/>
      <c r="I38" s="321"/>
      <c r="J38" s="262"/>
      <c r="K38" s="321"/>
      <c r="L38" s="264"/>
      <c r="M38" s="235"/>
      <c r="N38" s="321"/>
      <c r="Q38" s="321"/>
      <c r="T38" s="321"/>
      <c r="W38" s="321"/>
      <c r="AF38" s="236">
        <f t="shared" si="2"/>
        <v>0</v>
      </c>
      <c r="AG38" s="236" t="str">
        <f t="shared" ca="1" si="3"/>
        <v/>
      </c>
      <c r="AH38" s="236" t="str">
        <f t="shared" ca="1" si="18"/>
        <v/>
      </c>
      <c r="AJ38" s="236">
        <f t="shared" ca="1" si="19"/>
        <v>36</v>
      </c>
      <c r="AK38" s="236" t="str">
        <f t="shared" ca="1" si="20"/>
        <v>BBB</v>
      </c>
      <c r="AL38" s="236">
        <f t="shared" ca="1" si="20"/>
        <v>18</v>
      </c>
      <c r="AM38" s="236" t="str">
        <f t="shared" ca="1" si="4"/>
        <v/>
      </c>
      <c r="AQ38" s="286" t="s">
        <v>66</v>
      </c>
      <c r="AR38" s="286" t="s">
        <v>28</v>
      </c>
      <c r="AS38" s="286">
        <v>18</v>
      </c>
      <c r="AT38" s="286" t="s">
        <v>315</v>
      </c>
      <c r="AV38" s="234">
        <f t="shared" si="21"/>
        <v>31</v>
      </c>
      <c r="AW38" s="234">
        <f>COUNTIF( AV$7:AV38, AV38 )</f>
        <v>10</v>
      </c>
      <c r="AX38" s="287">
        <f t="shared" si="22"/>
        <v>32</v>
      </c>
      <c r="AY38" s="234">
        <f t="shared" si="23"/>
        <v>40</v>
      </c>
      <c r="AZ38" s="236"/>
      <c r="BA38" s="236"/>
      <c r="BC38" s="234">
        <f t="shared" ca="1" si="24"/>
        <v>32</v>
      </c>
      <c r="BD38" s="288">
        <f t="shared" ca="1" si="6"/>
        <v>5</v>
      </c>
      <c r="BF38" s="240" t="str">
        <f t="shared" ca="1" si="7"/>
        <v>Avista Corporation</v>
      </c>
      <c r="BG38" s="240" t="str">
        <f t="shared" ca="1" si="7"/>
        <v>BBB</v>
      </c>
      <c r="BH38" s="240">
        <f t="shared" ca="1" si="7"/>
        <v>18</v>
      </c>
      <c r="BI38" s="240" t="str">
        <f t="shared" ca="1" si="7"/>
        <v>AVA</v>
      </c>
    </row>
    <row r="39" spans="1:61" x14ac:dyDescent="0.2">
      <c r="A39" s="303" t="s">
        <v>48</v>
      </c>
      <c r="B39" s="304" t="s">
        <v>28</v>
      </c>
      <c r="C39" s="304">
        <v>18</v>
      </c>
      <c r="D39" s="304" t="s">
        <v>280</v>
      </c>
      <c r="E39" s="305" t="str">
        <f t="shared" ca="1" si="8"/>
        <v>R</v>
      </c>
      <c r="F39" s="306"/>
      <c r="G39" s="307">
        <f t="shared" ca="1" si="1"/>
        <v>12</v>
      </c>
      <c r="H39" s="250"/>
      <c r="I39" s="321"/>
      <c r="K39" s="321"/>
      <c r="L39" s="264"/>
      <c r="M39" s="235"/>
      <c r="N39" s="321"/>
      <c r="Q39" s="321"/>
      <c r="T39" s="321"/>
      <c r="W39" s="321"/>
      <c r="AF39" s="236">
        <f t="shared" si="2"/>
        <v>0</v>
      </c>
      <c r="AG39" s="236" t="str">
        <f t="shared" ca="1" si="3"/>
        <v/>
      </c>
      <c r="AH39" s="236" t="str">
        <f t="shared" ca="1" si="18"/>
        <v/>
      </c>
      <c r="AJ39" s="236">
        <f t="shared" ca="1" si="19"/>
        <v>37</v>
      </c>
      <c r="AK39" s="236" t="str">
        <f t="shared" ca="1" si="20"/>
        <v>BBB</v>
      </c>
      <c r="AL39" s="236">
        <f t="shared" ca="1" si="20"/>
        <v>18</v>
      </c>
      <c r="AM39" s="236" t="str">
        <f t="shared" ca="1" si="4"/>
        <v/>
      </c>
      <c r="AQ39" s="286" t="s">
        <v>21</v>
      </c>
      <c r="AR39" s="286" t="s">
        <v>10</v>
      </c>
      <c r="AS39" s="286">
        <v>20</v>
      </c>
      <c r="AT39" s="286" t="s">
        <v>316</v>
      </c>
      <c r="AV39" s="234">
        <f t="shared" si="21"/>
        <v>2</v>
      </c>
      <c r="AW39" s="234">
        <f>COUNTIF( AV$7:AV39, AV39 )</f>
        <v>8</v>
      </c>
      <c r="AX39" s="287">
        <f t="shared" si="22"/>
        <v>2.8</v>
      </c>
      <c r="AY39" s="234">
        <f t="shared" si="23"/>
        <v>9</v>
      </c>
      <c r="AZ39" s="236"/>
      <c r="BA39" s="236"/>
      <c r="BC39" s="234">
        <f t="shared" ca="1" si="24"/>
        <v>33</v>
      </c>
      <c r="BD39" s="288">
        <f t="shared" ca="1" si="6"/>
        <v>7</v>
      </c>
      <c r="BF39" s="240" t="str">
        <f t="shared" ref="BF39:BI63" ca="1" si="25">OFFSET( AQ$6, $BD39, 0 )</f>
        <v>Black Hills Corporation</v>
      </c>
      <c r="BG39" s="240" t="str">
        <f t="shared" ca="1" si="25"/>
        <v>BBB</v>
      </c>
      <c r="BH39" s="240">
        <f t="shared" ca="1" si="25"/>
        <v>18</v>
      </c>
      <c r="BI39" s="240" t="str">
        <f t="shared" ca="1" si="25"/>
        <v>BKH</v>
      </c>
    </row>
    <row r="40" spans="1:61" x14ac:dyDescent="0.2">
      <c r="A40" s="303" t="s">
        <v>34</v>
      </c>
      <c r="B40" s="304" t="s">
        <v>28</v>
      </c>
      <c r="C40" s="304">
        <v>18</v>
      </c>
      <c r="D40" s="304" t="s">
        <v>294</v>
      </c>
      <c r="E40" s="305" t="str">
        <f t="shared" ca="1" si="8"/>
        <v>R</v>
      </c>
      <c r="F40" s="306"/>
      <c r="G40" s="307">
        <f t="shared" ca="1" si="1"/>
        <v>21</v>
      </c>
      <c r="H40" s="250"/>
      <c r="I40" s="321"/>
      <c r="J40" s="262"/>
      <c r="K40" s="321"/>
      <c r="L40" s="264"/>
      <c r="M40" s="235"/>
      <c r="N40" s="321"/>
      <c r="Q40" s="321"/>
      <c r="T40" s="321"/>
      <c r="W40" s="321"/>
      <c r="AF40" s="236">
        <f t="shared" si="2"/>
        <v>0</v>
      </c>
      <c r="AG40" s="236" t="str">
        <f t="shared" ca="1" si="3"/>
        <v/>
      </c>
      <c r="AH40" s="236" t="str">
        <f t="shared" ca="1" si="18"/>
        <v/>
      </c>
      <c r="AJ40" s="236">
        <f t="shared" ca="1" si="19"/>
        <v>39</v>
      </c>
      <c r="AK40" s="236" t="str">
        <f t="shared" ca="1" si="20"/>
        <v>BBB</v>
      </c>
      <c r="AL40" s="236">
        <f t="shared" ca="1" si="20"/>
        <v>18</v>
      </c>
      <c r="AM40" s="236" t="str">
        <f t="shared" ca="1" si="4"/>
        <v/>
      </c>
      <c r="AQ40" s="286" t="s">
        <v>22</v>
      </c>
      <c r="AR40" s="286" t="s">
        <v>28</v>
      </c>
      <c r="AS40" s="286">
        <v>18</v>
      </c>
      <c r="AT40" s="286" t="s">
        <v>317</v>
      </c>
      <c r="AV40" s="234">
        <f t="shared" si="21"/>
        <v>31</v>
      </c>
      <c r="AW40" s="234">
        <f>COUNTIF( AV$7:AV40, AV40 )</f>
        <v>11</v>
      </c>
      <c r="AX40" s="287">
        <f t="shared" si="22"/>
        <v>32.1</v>
      </c>
      <c r="AY40" s="234">
        <f t="shared" si="23"/>
        <v>41</v>
      </c>
      <c r="AZ40" s="236"/>
      <c r="BA40" s="236"/>
      <c r="BC40" s="234">
        <f t="shared" ca="1" si="24"/>
        <v>34</v>
      </c>
      <c r="BD40" s="288">
        <f t="shared" ca="1" si="6"/>
        <v>17</v>
      </c>
      <c r="BF40" s="240" t="str">
        <f t="shared" ca="1" si="25"/>
        <v>El Paso Electric Company</v>
      </c>
      <c r="BG40" s="240" t="str">
        <f t="shared" ca="1" si="25"/>
        <v>BBB</v>
      </c>
      <c r="BH40" s="240">
        <f t="shared" ca="1" si="25"/>
        <v>18</v>
      </c>
      <c r="BI40" s="240" t="str">
        <f t="shared" ca="1" si="25"/>
        <v>EE</v>
      </c>
    </row>
    <row r="41" spans="1:61" x14ac:dyDescent="0.2">
      <c r="A41" s="303" t="s">
        <v>35</v>
      </c>
      <c r="B41" s="304" t="s">
        <v>28</v>
      </c>
      <c r="C41" s="304">
        <v>18</v>
      </c>
      <c r="D41" s="304" t="s">
        <v>293</v>
      </c>
      <c r="E41" s="305" t="str">
        <f t="shared" ca="1" si="8"/>
        <v>R</v>
      </c>
      <c r="F41" s="306"/>
      <c r="G41" s="307">
        <f t="shared" ca="1" si="1"/>
        <v>22</v>
      </c>
      <c r="H41" s="250"/>
      <c r="I41" s="321"/>
      <c r="J41" s="262"/>
      <c r="K41" s="321"/>
      <c r="L41" s="264"/>
      <c r="M41" s="235"/>
      <c r="N41" s="321"/>
      <c r="Q41" s="321"/>
      <c r="T41" s="321"/>
      <c r="W41" s="321"/>
      <c r="AF41" s="236">
        <f t="shared" si="2"/>
        <v>0</v>
      </c>
      <c r="AG41" s="236" t="str">
        <f t="shared" ca="1" si="3"/>
        <v/>
      </c>
      <c r="AH41" s="236" t="str">
        <f t="shared" ca="1" si="18"/>
        <v/>
      </c>
      <c r="AJ41" s="236">
        <f t="shared" ca="1" si="19"/>
        <v>40</v>
      </c>
      <c r="AK41" s="236" t="str">
        <f t="shared" ca="1" si="20"/>
        <v>BBB</v>
      </c>
      <c r="AL41" s="236">
        <f t="shared" ca="1" si="20"/>
        <v>18</v>
      </c>
      <c r="AM41" s="236" t="str">
        <f t="shared" ca="1" si="4"/>
        <v/>
      </c>
      <c r="AQ41" s="286" t="s">
        <v>23</v>
      </c>
      <c r="AR41" s="286" t="s">
        <v>16</v>
      </c>
      <c r="AS41" s="286">
        <v>19</v>
      </c>
      <c r="AT41" s="286" t="s">
        <v>323</v>
      </c>
      <c r="AV41" s="234">
        <f t="shared" si="21"/>
        <v>14</v>
      </c>
      <c r="AW41" s="234">
        <f>COUNTIF( AV$7:AV41, AV41 )</f>
        <v>11</v>
      </c>
      <c r="AX41" s="287">
        <f t="shared" si="22"/>
        <v>15.1</v>
      </c>
      <c r="AY41" s="234">
        <f t="shared" si="23"/>
        <v>24</v>
      </c>
      <c r="AZ41" s="236"/>
      <c r="BA41" s="236"/>
      <c r="BC41" s="234">
        <f t="shared" ca="1" si="24"/>
        <v>35</v>
      </c>
      <c r="BD41" s="288">
        <f t="shared" ca="1" si="6"/>
        <v>18</v>
      </c>
      <c r="BF41" s="240" t="str">
        <f t="shared" ca="1" si="25"/>
        <v>Empire District Electric Company</v>
      </c>
      <c r="BG41" s="240" t="str">
        <f t="shared" ca="1" si="25"/>
        <v>BBB</v>
      </c>
      <c r="BH41" s="240">
        <f t="shared" ca="1" si="25"/>
        <v>18</v>
      </c>
      <c r="BI41" s="240" t="str">
        <f t="shared" ca="1" si="25"/>
        <v>EDE</v>
      </c>
    </row>
    <row r="42" spans="1:61" x14ac:dyDescent="0.2">
      <c r="A42" s="303" t="s">
        <v>36</v>
      </c>
      <c r="B42" s="304" t="s">
        <v>28</v>
      </c>
      <c r="C42" s="304">
        <v>18</v>
      </c>
      <c r="D42" s="304" t="s">
        <v>297</v>
      </c>
      <c r="E42" s="305" t="str">
        <f t="shared" ca="1" si="8"/>
        <v>R</v>
      </c>
      <c r="F42" s="306"/>
      <c r="G42" s="307">
        <f t="shared" ca="1" si="1"/>
        <v>23</v>
      </c>
      <c r="H42" s="250"/>
      <c r="I42" s="321"/>
      <c r="J42" s="262"/>
      <c r="K42" s="321"/>
      <c r="L42" s="264"/>
      <c r="M42" s="235"/>
      <c r="N42" s="321"/>
      <c r="Q42" s="321"/>
      <c r="T42" s="321"/>
      <c r="W42" s="321"/>
      <c r="AF42" s="236">
        <f t="shared" si="2"/>
        <v>0</v>
      </c>
      <c r="AG42" s="236" t="str">
        <f t="shared" ca="1" si="3"/>
        <v/>
      </c>
      <c r="AH42" s="236" t="str">
        <f t="shared" ca="1" si="18"/>
        <v/>
      </c>
      <c r="AJ42" s="236">
        <f t="shared" ca="1" si="19"/>
        <v>41</v>
      </c>
      <c r="AK42" s="236" t="str">
        <f t="shared" ca="1" si="20"/>
        <v>BBB</v>
      </c>
      <c r="AL42" s="236">
        <f t="shared" ca="1" si="20"/>
        <v>18</v>
      </c>
      <c r="AM42" s="236" t="str">
        <f t="shared" ca="1" si="4"/>
        <v/>
      </c>
      <c r="AQ42" s="286" t="s">
        <v>53</v>
      </c>
      <c r="AR42" s="286" t="s">
        <v>28</v>
      </c>
      <c r="AS42" s="286">
        <v>18</v>
      </c>
      <c r="AT42" s="286" t="s">
        <v>318</v>
      </c>
      <c r="AV42" s="234">
        <f t="shared" si="21"/>
        <v>31</v>
      </c>
      <c r="AW42" s="234">
        <f>COUNTIF( AV$7:AV42, AV42 )</f>
        <v>12</v>
      </c>
      <c r="AX42" s="287">
        <f t="shared" si="22"/>
        <v>32.200000000000003</v>
      </c>
      <c r="AY42" s="234">
        <f t="shared" si="23"/>
        <v>42</v>
      </c>
      <c r="AZ42" s="236"/>
      <c r="BA42" s="236"/>
      <c r="BC42" s="234">
        <f t="shared" ca="1" si="24"/>
        <v>36</v>
      </c>
      <c r="BD42" s="288">
        <f t="shared" ca="1" si="6"/>
        <v>19</v>
      </c>
      <c r="BF42" s="240" t="str">
        <f t="shared" ca="1" si="25"/>
        <v>Entergy Corporation</v>
      </c>
      <c r="BG42" s="240" t="str">
        <f t="shared" ca="1" si="25"/>
        <v>BBB</v>
      </c>
      <c r="BH42" s="240">
        <f t="shared" ca="1" si="25"/>
        <v>18</v>
      </c>
      <c r="BI42" s="240" t="str">
        <f t="shared" ca="1" si="25"/>
        <v>ETR</v>
      </c>
    </row>
    <row r="43" spans="1:61" x14ac:dyDescent="0.2">
      <c r="A43" s="303" t="s">
        <v>11</v>
      </c>
      <c r="B43" s="304" t="s">
        <v>28</v>
      </c>
      <c r="C43" s="304">
        <v>18</v>
      </c>
      <c r="D43" s="304" t="s">
        <v>298</v>
      </c>
      <c r="E43" s="305" t="str">
        <f t="shared" ca="1" si="8"/>
        <v>MR</v>
      </c>
      <c r="F43" s="306"/>
      <c r="G43" s="307">
        <f t="shared" ca="1" si="1"/>
        <v>24</v>
      </c>
      <c r="H43" s="250"/>
      <c r="I43" s="321"/>
      <c r="J43" s="262"/>
      <c r="K43" s="321"/>
      <c r="L43" s="235"/>
      <c r="M43" s="235"/>
      <c r="N43" s="321"/>
      <c r="Q43" s="321"/>
      <c r="T43" s="321"/>
      <c r="W43" s="321"/>
      <c r="AF43" s="236">
        <f t="shared" si="2"/>
        <v>0</v>
      </c>
      <c r="AG43" s="236" t="str">
        <f t="shared" ca="1" si="3"/>
        <v/>
      </c>
      <c r="AH43" s="236" t="str">
        <f t="shared" ca="1" si="18"/>
        <v/>
      </c>
      <c r="AJ43" s="236">
        <f t="shared" ca="1" si="19"/>
        <v>42</v>
      </c>
      <c r="AK43" s="236" t="str">
        <f t="shared" ca="1" si="20"/>
        <v>BBB</v>
      </c>
      <c r="AL43" s="236">
        <f t="shared" ca="1" si="20"/>
        <v>18</v>
      </c>
      <c r="AM43" s="236" t="str">
        <f t="shared" ca="1" si="4"/>
        <v/>
      </c>
      <c r="AQ43" s="286" t="s">
        <v>41</v>
      </c>
      <c r="AR43" s="286" t="s">
        <v>10</v>
      </c>
      <c r="AS43" s="286">
        <v>20</v>
      </c>
      <c r="AT43" s="286" t="s">
        <v>322</v>
      </c>
      <c r="AV43" s="234">
        <f t="shared" si="21"/>
        <v>2</v>
      </c>
      <c r="AW43" s="234">
        <f>COUNTIF( AV$7:AV43, AV43 )</f>
        <v>9</v>
      </c>
      <c r="AX43" s="287">
        <f t="shared" si="22"/>
        <v>2.9</v>
      </c>
      <c r="AY43" s="234">
        <f t="shared" si="23"/>
        <v>10</v>
      </c>
      <c r="AZ43" s="236"/>
      <c r="BA43" s="236"/>
      <c r="BC43" s="234">
        <f t="shared" ca="1" si="24"/>
        <v>37</v>
      </c>
      <c r="BD43" s="288">
        <f t="shared" ca="1" si="6"/>
        <v>21</v>
      </c>
      <c r="BF43" s="240" t="str">
        <f t="shared" ca="1" si="25"/>
        <v>Exelon Corporation</v>
      </c>
      <c r="BG43" s="240" t="str">
        <f t="shared" ca="1" si="25"/>
        <v>BBB</v>
      </c>
      <c r="BH43" s="240">
        <f t="shared" ca="1" si="25"/>
        <v>18</v>
      </c>
      <c r="BI43" s="240" t="str">
        <f t="shared" ca="1" si="25"/>
        <v>EXC</v>
      </c>
    </row>
    <row r="44" spans="1:61" x14ac:dyDescent="0.2">
      <c r="A44" s="303" t="s">
        <v>452</v>
      </c>
      <c r="B44" s="304" t="s">
        <v>28</v>
      </c>
      <c r="C44" s="304">
        <v>18</v>
      </c>
      <c r="D44" s="304" t="s">
        <v>444</v>
      </c>
      <c r="E44" s="305" t="str">
        <f t="shared" ca="1" si="8"/>
        <v>R</v>
      </c>
      <c r="F44" s="306"/>
      <c r="G44" s="307">
        <f t="shared" ca="1" si="1"/>
        <v>57</v>
      </c>
      <c r="H44" s="250"/>
      <c r="I44" s="321"/>
      <c r="J44" s="262"/>
      <c r="K44" s="321"/>
      <c r="L44" s="235"/>
      <c r="M44" s="235"/>
      <c r="N44" s="321"/>
      <c r="Q44" s="321"/>
      <c r="T44" s="321"/>
      <c r="W44" s="321"/>
      <c r="AF44" s="236">
        <f t="shared" si="2"/>
        <v>0</v>
      </c>
      <c r="AG44" s="236" t="str">
        <f t="shared" ca="1" si="3"/>
        <v/>
      </c>
      <c r="AH44" s="236" t="str">
        <f t="shared" ca="1" si="18"/>
        <v/>
      </c>
      <c r="AJ44" s="236">
        <f t="shared" ca="1" si="19"/>
        <v>43</v>
      </c>
      <c r="AK44" s="236" t="str">
        <f t="shared" ca="1" si="20"/>
        <v>BBB</v>
      </c>
      <c r="AL44" s="236">
        <f t="shared" ca="1" si="20"/>
        <v>18</v>
      </c>
      <c r="AM44" s="236" t="str">
        <f t="shared" ca="1" si="4"/>
        <v/>
      </c>
      <c r="AQ44" s="286" t="s">
        <v>42</v>
      </c>
      <c r="AR44" s="286" t="s">
        <v>28</v>
      </c>
      <c r="AS44" s="286">
        <v>18</v>
      </c>
      <c r="AT44" s="286" t="s">
        <v>321</v>
      </c>
      <c r="AV44" s="234">
        <f t="shared" si="21"/>
        <v>31</v>
      </c>
      <c r="AW44" s="234">
        <f>COUNTIF( AV$7:AV44, AV44 )</f>
        <v>13</v>
      </c>
      <c r="AX44" s="287">
        <f t="shared" si="22"/>
        <v>32.299999999999997</v>
      </c>
      <c r="AY44" s="234">
        <f t="shared" si="23"/>
        <v>43</v>
      </c>
      <c r="AZ44" s="236"/>
      <c r="BA44" s="236"/>
      <c r="BC44" s="234">
        <f t="shared" ca="1" si="24"/>
        <v>38</v>
      </c>
      <c r="BD44" s="288">
        <f t="shared" ca="1" si="6"/>
        <v>25</v>
      </c>
      <c r="BF44" s="240" t="str">
        <f t="shared" ca="1" si="25"/>
        <v>Iberdrola USA</v>
      </c>
      <c r="BG44" s="240" t="str">
        <f t="shared" ca="1" si="25"/>
        <v>BBB</v>
      </c>
      <c r="BH44" s="240">
        <f t="shared" ca="1" si="25"/>
        <v>18</v>
      </c>
      <c r="BI44" s="240" t="str">
        <f t="shared" ca="1" si="25"/>
        <v>**EAST</v>
      </c>
    </row>
    <row r="45" spans="1:61" x14ac:dyDescent="0.2">
      <c r="A45" s="303" t="s">
        <v>20</v>
      </c>
      <c r="B45" s="304" t="s">
        <v>28</v>
      </c>
      <c r="C45" s="304">
        <v>18</v>
      </c>
      <c r="D45" s="304" t="s">
        <v>303</v>
      </c>
      <c r="E45" s="305" t="str">
        <f t="shared" ca="1" si="8"/>
        <v>R</v>
      </c>
      <c r="F45" s="306"/>
      <c r="G45" s="307">
        <f t="shared" ca="1" si="1"/>
        <v>28</v>
      </c>
      <c r="H45" s="250"/>
      <c r="I45" s="321"/>
      <c r="J45" s="262"/>
      <c r="K45" s="321"/>
      <c r="L45" s="235"/>
      <c r="M45" s="235"/>
      <c r="N45" s="321"/>
      <c r="Q45" s="321"/>
      <c r="T45" s="321"/>
      <c r="W45" s="321"/>
      <c r="AF45" s="236">
        <f t="shared" si="2"/>
        <v>0</v>
      </c>
      <c r="AG45" s="236" t="str">
        <f t="shared" ca="1" si="3"/>
        <v/>
      </c>
      <c r="AH45" s="236" t="str">
        <f t="shared" ca="1" si="18"/>
        <v/>
      </c>
      <c r="AJ45" s="236">
        <f t="shared" ca="1" si="19"/>
        <v>44</v>
      </c>
      <c r="AK45" s="236" t="str">
        <f t="shared" ca="1" si="20"/>
        <v>BBB</v>
      </c>
      <c r="AL45" s="236">
        <f t="shared" ca="1" si="20"/>
        <v>18</v>
      </c>
      <c r="AM45" s="236" t="str">
        <f t="shared" ca="1" si="4"/>
        <v/>
      </c>
      <c r="AQ45" s="286" t="s">
        <v>24</v>
      </c>
      <c r="AR45" s="286" t="s">
        <v>28</v>
      </c>
      <c r="AS45" s="286">
        <v>18</v>
      </c>
      <c r="AT45" s="286" t="s">
        <v>324</v>
      </c>
      <c r="AV45" s="234">
        <f t="shared" si="21"/>
        <v>31</v>
      </c>
      <c r="AW45" s="234">
        <f>COUNTIF( AV$7:AV45, AV45 )</f>
        <v>14</v>
      </c>
      <c r="AX45" s="287">
        <f t="shared" si="22"/>
        <v>32.4</v>
      </c>
      <c r="AY45" s="234">
        <f t="shared" si="23"/>
        <v>44</v>
      </c>
      <c r="AZ45" s="236"/>
      <c r="BA45" s="236"/>
      <c r="BC45" s="234">
        <f t="shared" ca="1" si="24"/>
        <v>39</v>
      </c>
      <c r="BD45" s="288">
        <f t="shared" ca="1" si="6"/>
        <v>26</v>
      </c>
      <c r="BF45" s="240" t="str">
        <f t="shared" ca="1" si="25"/>
        <v>IDACORP, Inc.</v>
      </c>
      <c r="BG45" s="240" t="str">
        <f t="shared" ca="1" si="25"/>
        <v>BBB</v>
      </c>
      <c r="BH45" s="240">
        <f t="shared" ca="1" si="25"/>
        <v>18</v>
      </c>
      <c r="BI45" s="240" t="str">
        <f t="shared" ca="1" si="25"/>
        <v>IDA</v>
      </c>
    </row>
    <row r="46" spans="1:61" x14ac:dyDescent="0.2">
      <c r="A46" s="303" t="s">
        <v>66</v>
      </c>
      <c r="B46" s="304" t="s">
        <v>28</v>
      </c>
      <c r="C46" s="304">
        <v>18</v>
      </c>
      <c r="D46" s="304" t="s">
        <v>315</v>
      </c>
      <c r="E46" s="305" t="str">
        <f t="shared" ca="1" si="8"/>
        <v>R</v>
      </c>
      <c r="F46" s="306"/>
      <c r="G46" s="307">
        <f t="shared" ca="1" si="1"/>
        <v>35</v>
      </c>
      <c r="H46" s="250"/>
      <c r="I46" s="262"/>
      <c r="K46" s="262"/>
      <c r="N46" s="257"/>
      <c r="W46" s="262"/>
      <c r="AF46" s="236">
        <f t="shared" si="2"/>
        <v>0</v>
      </c>
      <c r="AG46" s="236" t="str">
        <f t="shared" ca="1" si="3"/>
        <v/>
      </c>
      <c r="AH46" s="236" t="str">
        <f t="shared" ca="1" si="18"/>
        <v/>
      </c>
      <c r="AJ46" s="236">
        <f t="shared" ca="1" si="19"/>
        <v>45</v>
      </c>
      <c r="AK46" s="236" t="str">
        <f t="shared" ca="1" si="20"/>
        <v>BBB</v>
      </c>
      <c r="AL46" s="236">
        <f t="shared" ca="1" si="20"/>
        <v>18</v>
      </c>
      <c r="AM46" s="236" t="str">
        <f t="shared" ca="1" si="4"/>
        <v/>
      </c>
      <c r="AQ46" s="286" t="s">
        <v>43</v>
      </c>
      <c r="AR46" s="286" t="s">
        <v>28</v>
      </c>
      <c r="AS46" s="286">
        <v>18</v>
      </c>
      <c r="AT46" s="286" t="s">
        <v>325</v>
      </c>
      <c r="AV46" s="234">
        <f t="shared" si="21"/>
        <v>31</v>
      </c>
      <c r="AW46" s="234">
        <f>COUNTIF( AV$7:AV46, AV46 )</f>
        <v>15</v>
      </c>
      <c r="AX46" s="287">
        <f t="shared" si="22"/>
        <v>32.5</v>
      </c>
      <c r="AY46" s="234">
        <f t="shared" si="23"/>
        <v>45</v>
      </c>
      <c r="AZ46" s="236"/>
      <c r="BA46" s="236"/>
      <c r="BC46" s="234">
        <f t="shared" ca="1" si="24"/>
        <v>40</v>
      </c>
      <c r="BD46" s="288">
        <f t="shared" ca="1" si="6"/>
        <v>32</v>
      </c>
      <c r="BF46" s="240" t="str">
        <f t="shared" ca="1" si="25"/>
        <v>NorthWestern Corporation</v>
      </c>
      <c r="BG46" s="240" t="str">
        <f t="shared" ca="1" si="25"/>
        <v>BBB</v>
      </c>
      <c r="BH46" s="240">
        <f t="shared" ca="1" si="25"/>
        <v>18</v>
      </c>
      <c r="BI46" s="240" t="str">
        <f t="shared" ca="1" si="25"/>
        <v>NWE</v>
      </c>
    </row>
    <row r="47" spans="1:61" x14ac:dyDescent="0.2">
      <c r="A47" s="303" t="s">
        <v>22</v>
      </c>
      <c r="B47" s="304" t="s">
        <v>28</v>
      </c>
      <c r="C47" s="304">
        <v>18</v>
      </c>
      <c r="D47" s="304" t="s">
        <v>317</v>
      </c>
      <c r="E47" s="305" t="str">
        <f t="shared" ca="1" si="8"/>
        <v>R</v>
      </c>
      <c r="F47" s="306"/>
      <c r="G47" s="307">
        <f t="shared" ca="1" si="1"/>
        <v>37</v>
      </c>
      <c r="H47" s="250"/>
      <c r="I47" s="250"/>
      <c r="J47" s="258" t="s">
        <v>268</v>
      </c>
      <c r="K47" s="262"/>
      <c r="M47" s="253"/>
      <c r="N47" s="253"/>
      <c r="AF47" s="236">
        <f t="shared" si="2"/>
        <v>0</v>
      </c>
      <c r="AG47" s="236" t="str">
        <f t="shared" ca="1" si="3"/>
        <v/>
      </c>
      <c r="AH47" s="236" t="str">
        <f t="shared" ca="1" si="18"/>
        <v/>
      </c>
      <c r="AJ47" s="236">
        <f t="shared" ca="1" si="19"/>
        <v>46</v>
      </c>
      <c r="AK47" s="236" t="str">
        <f t="shared" ca="1" si="20"/>
        <v>BBB</v>
      </c>
      <c r="AL47" s="236">
        <f t="shared" ca="1" si="20"/>
        <v>18</v>
      </c>
      <c r="AM47" s="236" t="str">
        <f t="shared" ca="1" si="4"/>
        <v/>
      </c>
      <c r="AQ47" s="286" t="s">
        <v>45</v>
      </c>
      <c r="AR47" s="286" t="s">
        <v>16</v>
      </c>
      <c r="AS47" s="286">
        <v>19</v>
      </c>
      <c r="AT47" s="286" t="s">
        <v>319</v>
      </c>
      <c r="AV47" s="234">
        <f t="shared" si="21"/>
        <v>14</v>
      </c>
      <c r="AW47" s="234">
        <f>COUNTIF( AV$7:AV47, AV47 )</f>
        <v>12</v>
      </c>
      <c r="AX47" s="287">
        <f t="shared" si="22"/>
        <v>15.2</v>
      </c>
      <c r="AY47" s="234">
        <f t="shared" si="23"/>
        <v>25</v>
      </c>
      <c r="AZ47" s="236"/>
      <c r="BA47" s="236"/>
      <c r="BC47" s="234">
        <f t="shared" ca="1" si="24"/>
        <v>41</v>
      </c>
      <c r="BD47" s="288">
        <f t="shared" ca="1" si="6"/>
        <v>34</v>
      </c>
      <c r="BF47" s="240" t="str">
        <f t="shared" ca="1" si="25"/>
        <v>Otter Tail Corporation</v>
      </c>
      <c r="BG47" s="240" t="str">
        <f t="shared" ca="1" si="25"/>
        <v>BBB</v>
      </c>
      <c r="BH47" s="240">
        <f t="shared" ca="1" si="25"/>
        <v>18</v>
      </c>
      <c r="BI47" s="240" t="str">
        <f t="shared" ca="1" si="25"/>
        <v>OTTR</v>
      </c>
    </row>
    <row r="48" spans="1:61" x14ac:dyDescent="0.2">
      <c r="A48" s="303" t="s">
        <v>53</v>
      </c>
      <c r="B48" s="304" t="s">
        <v>28</v>
      </c>
      <c r="C48" s="304">
        <v>18</v>
      </c>
      <c r="D48" s="304" t="s">
        <v>318</v>
      </c>
      <c r="E48" s="305" t="str">
        <f t="shared" ca="1" si="8"/>
        <v>R</v>
      </c>
      <c r="F48" s="306"/>
      <c r="G48" s="307">
        <f t="shared" ca="1" si="1"/>
        <v>39</v>
      </c>
      <c r="H48" s="250"/>
      <c r="I48" s="250"/>
      <c r="K48" s="262"/>
      <c r="M48" s="253"/>
      <c r="N48" s="253"/>
      <c r="AF48" s="236">
        <f t="shared" si="2"/>
        <v>0</v>
      </c>
      <c r="AG48" s="236" t="str">
        <f t="shared" ca="1" si="3"/>
        <v/>
      </c>
      <c r="AH48" s="236" t="str">
        <f t="shared" ca="1" si="18"/>
        <v/>
      </c>
      <c r="AJ48" s="236">
        <f t="shared" ca="1" si="19"/>
        <v>47</v>
      </c>
      <c r="AK48" s="236" t="str">
        <f t="shared" ca="1" si="20"/>
        <v>BBB</v>
      </c>
      <c r="AL48" s="236">
        <f t="shared" ca="1" si="20"/>
        <v>18</v>
      </c>
      <c r="AM48" s="236" t="str">
        <f t="shared" ca="1" si="4"/>
        <v/>
      </c>
      <c r="AQ48" s="286" t="s">
        <v>54</v>
      </c>
      <c r="AR48" s="286" t="s">
        <v>49</v>
      </c>
      <c r="AS48" s="286">
        <v>17</v>
      </c>
      <c r="AT48" s="286" t="s">
        <v>449</v>
      </c>
      <c r="AV48" s="234">
        <f t="shared" si="21"/>
        <v>47</v>
      </c>
      <c r="AW48" s="234">
        <f>COUNTIF( AV$7:AV48, AV48 )</f>
        <v>4</v>
      </c>
      <c r="AX48" s="287">
        <f t="shared" si="22"/>
        <v>47.4</v>
      </c>
      <c r="AY48" s="234">
        <f t="shared" si="23"/>
        <v>50</v>
      </c>
      <c r="AZ48" s="236"/>
      <c r="BA48" s="236"/>
      <c r="BC48" s="234">
        <f t="shared" ca="1" si="24"/>
        <v>42</v>
      </c>
      <c r="BD48" s="288">
        <f t="shared" ca="1" si="6"/>
        <v>36</v>
      </c>
      <c r="BF48" s="240" t="str">
        <f t="shared" ca="1" si="25"/>
        <v>PG&amp;E Corporation</v>
      </c>
      <c r="BG48" s="240" t="str">
        <f t="shared" ca="1" si="25"/>
        <v>BBB</v>
      </c>
      <c r="BH48" s="240">
        <f t="shared" ca="1" si="25"/>
        <v>18</v>
      </c>
      <c r="BI48" s="240" t="str">
        <f t="shared" ca="1" si="25"/>
        <v>PCG</v>
      </c>
    </row>
    <row r="49" spans="1:61" x14ac:dyDescent="0.2">
      <c r="A49" s="303" t="s">
        <v>42</v>
      </c>
      <c r="B49" s="304" t="s">
        <v>28</v>
      </c>
      <c r="C49" s="304">
        <v>18</v>
      </c>
      <c r="D49" s="304" t="s">
        <v>321</v>
      </c>
      <c r="E49" s="305" t="str">
        <f t="shared" ca="1" si="8"/>
        <v>R</v>
      </c>
      <c r="F49" s="306"/>
      <c r="G49" s="307">
        <f t="shared" ca="1" si="1"/>
        <v>41</v>
      </c>
      <c r="H49" s="250"/>
      <c r="I49" s="250"/>
      <c r="J49" s="262"/>
      <c r="K49" s="262"/>
      <c r="M49" s="253"/>
      <c r="N49" s="253"/>
      <c r="AF49" s="236">
        <f t="shared" si="2"/>
        <v>0</v>
      </c>
      <c r="AG49" s="236" t="str">
        <f t="shared" ca="1" si="3"/>
        <v/>
      </c>
      <c r="AH49" s="236" t="str">
        <f t="shared" ca="1" si="18"/>
        <v/>
      </c>
      <c r="AJ49" s="236">
        <f t="shared" ca="1" si="19"/>
        <v>48</v>
      </c>
      <c r="AK49" s="236" t="str">
        <f t="shared" ca="1" si="20"/>
        <v>BBB</v>
      </c>
      <c r="AL49" s="236">
        <f t="shared" ca="1" si="20"/>
        <v>18</v>
      </c>
      <c r="AM49" s="236" t="str">
        <f t="shared" ca="1" si="4"/>
        <v/>
      </c>
      <c r="AQ49" s="286" t="s">
        <v>13</v>
      </c>
      <c r="AR49" s="286" t="s">
        <v>16</v>
      </c>
      <c r="AS49" s="286">
        <v>19</v>
      </c>
      <c r="AT49" s="286" t="s">
        <v>327</v>
      </c>
      <c r="AV49" s="234">
        <f t="shared" si="21"/>
        <v>14</v>
      </c>
      <c r="AW49" s="234">
        <f>COUNTIF( AV$7:AV49, AV49 )</f>
        <v>13</v>
      </c>
      <c r="AX49" s="287">
        <f t="shared" si="22"/>
        <v>15.3</v>
      </c>
      <c r="AY49" s="234">
        <f t="shared" si="23"/>
        <v>26</v>
      </c>
      <c r="AZ49" s="236"/>
      <c r="BA49" s="236"/>
      <c r="BC49" s="234">
        <f t="shared" ca="1" si="24"/>
        <v>43</v>
      </c>
      <c r="BD49" s="288">
        <f t="shared" ca="1" si="6"/>
        <v>38</v>
      </c>
      <c r="BF49" s="240" t="str">
        <f t="shared" ca="1" si="25"/>
        <v>PNM Resources, Inc.</v>
      </c>
      <c r="BG49" s="240" t="str">
        <f t="shared" ca="1" si="25"/>
        <v>BBB</v>
      </c>
      <c r="BH49" s="240">
        <f t="shared" ca="1" si="25"/>
        <v>18</v>
      </c>
      <c r="BI49" s="240" t="str">
        <f t="shared" ca="1" si="25"/>
        <v>PNM</v>
      </c>
    </row>
    <row r="50" spans="1:61" x14ac:dyDescent="0.2">
      <c r="A50" s="303" t="s">
        <v>24</v>
      </c>
      <c r="B50" s="304" t="s">
        <v>28</v>
      </c>
      <c r="C50" s="304">
        <v>18</v>
      </c>
      <c r="D50" s="304" t="s">
        <v>324</v>
      </c>
      <c r="E50" s="305" t="str">
        <f t="shared" ca="1" si="8"/>
        <v>R</v>
      </c>
      <c r="F50" s="306"/>
      <c r="G50" s="307">
        <f t="shared" ca="1" si="1"/>
        <v>42</v>
      </c>
      <c r="H50" s="250"/>
      <c r="I50" s="250"/>
      <c r="J50" s="262"/>
      <c r="K50" s="262"/>
      <c r="L50" s="235"/>
      <c r="M50" s="257"/>
      <c r="N50" s="257"/>
      <c r="AF50" s="236">
        <f t="shared" si="2"/>
        <v>0</v>
      </c>
      <c r="AG50" s="236" t="str">
        <f t="shared" ca="1" si="3"/>
        <v/>
      </c>
      <c r="AH50" s="236" t="str">
        <f t="shared" ca="1" si="18"/>
        <v/>
      </c>
      <c r="AJ50" s="236">
        <f t="shared" ca="1" si="19"/>
        <v>49</v>
      </c>
      <c r="AK50" s="236" t="str">
        <f t="shared" ca="1" si="20"/>
        <v>BBB</v>
      </c>
      <c r="AL50" s="236">
        <f t="shared" ca="1" si="20"/>
        <v>18</v>
      </c>
      <c r="AM50" s="236" t="str">
        <f t="shared" ca="1" si="4"/>
        <v/>
      </c>
      <c r="AQ50" s="286" t="s">
        <v>25</v>
      </c>
      <c r="AR50" s="286" t="s">
        <v>16</v>
      </c>
      <c r="AS50" s="286">
        <v>19</v>
      </c>
      <c r="AT50" s="289" t="s">
        <v>329</v>
      </c>
      <c r="AV50" s="234">
        <f t="shared" si="21"/>
        <v>14</v>
      </c>
      <c r="AW50" s="234">
        <f>COUNTIF( AV$7:AV50, AV50 )</f>
        <v>14</v>
      </c>
      <c r="AX50" s="287">
        <f t="shared" si="22"/>
        <v>15.4</v>
      </c>
      <c r="AY50" s="234">
        <f t="shared" si="23"/>
        <v>27</v>
      </c>
      <c r="AZ50" s="236"/>
      <c r="BA50" s="236"/>
      <c r="BC50" s="234">
        <f t="shared" ca="1" si="24"/>
        <v>44</v>
      </c>
      <c r="BD50" s="288">
        <f t="shared" ca="1" si="6"/>
        <v>39</v>
      </c>
      <c r="BF50" s="240" t="str">
        <f t="shared" ca="1" si="25"/>
        <v>Portland General Electric Company</v>
      </c>
      <c r="BG50" s="240" t="str">
        <f t="shared" ca="1" si="25"/>
        <v>BBB</v>
      </c>
      <c r="BH50" s="240">
        <f t="shared" ca="1" si="25"/>
        <v>18</v>
      </c>
      <c r="BI50" s="240" t="str">
        <f t="shared" ca="1" si="25"/>
        <v>POR</v>
      </c>
    </row>
    <row r="51" spans="1:61" x14ac:dyDescent="0.2">
      <c r="A51" s="303" t="s">
        <v>43</v>
      </c>
      <c r="B51" s="304" t="s">
        <v>28</v>
      </c>
      <c r="C51" s="304">
        <v>18</v>
      </c>
      <c r="D51" s="304" t="s">
        <v>325</v>
      </c>
      <c r="E51" s="305" t="str">
        <f t="shared" ca="1" si="8"/>
        <v>MR</v>
      </c>
      <c r="F51" s="306"/>
      <c r="G51" s="307">
        <f t="shared" ca="1" si="1"/>
        <v>43</v>
      </c>
      <c r="H51" s="250"/>
      <c r="I51" s="250"/>
      <c r="J51" s="262"/>
      <c r="K51" s="262"/>
      <c r="L51" s="235"/>
      <c r="M51" s="257"/>
      <c r="N51" s="257"/>
      <c r="AF51" s="236">
        <f t="shared" si="2"/>
        <v>0</v>
      </c>
      <c r="AG51" s="236" t="str">
        <f t="shared" ca="1" si="3"/>
        <v/>
      </c>
      <c r="AH51" s="236" t="str">
        <f t="shared" ca="1" si="18"/>
        <v/>
      </c>
      <c r="AJ51" s="236">
        <f t="shared" ca="1" si="19"/>
        <v>50</v>
      </c>
      <c r="AK51" s="236" t="str">
        <f t="shared" ca="1" si="20"/>
        <v>BBB</v>
      </c>
      <c r="AL51" s="236">
        <f t="shared" ca="1" si="20"/>
        <v>18</v>
      </c>
      <c r="AM51" s="236" t="str">
        <f t="shared" ca="1" si="4"/>
        <v/>
      </c>
      <c r="AQ51" s="286" t="s">
        <v>7</v>
      </c>
      <c r="AR51" s="286" t="s">
        <v>2</v>
      </c>
      <c r="AS51" s="286">
        <v>21</v>
      </c>
      <c r="AT51" s="286" t="s">
        <v>328</v>
      </c>
      <c r="AV51" s="234">
        <f t="shared" si="21"/>
        <v>1</v>
      </c>
      <c r="AW51" s="234">
        <f>COUNTIF( AV$7:AV51, AV51 )</f>
        <v>1</v>
      </c>
      <c r="AX51" s="287">
        <f t="shared" si="22"/>
        <v>1.1000000000000001</v>
      </c>
      <c r="AY51" s="234">
        <f t="shared" si="23"/>
        <v>1</v>
      </c>
      <c r="AZ51" s="236"/>
      <c r="BA51" s="236"/>
      <c r="BC51" s="234">
        <f t="shared" ca="1" si="24"/>
        <v>45</v>
      </c>
      <c r="BD51" s="288">
        <f t="shared" ca="1" si="6"/>
        <v>40</v>
      </c>
      <c r="BF51" s="240" t="str">
        <f t="shared" ca="1" si="25"/>
        <v>PPL Corporation</v>
      </c>
      <c r="BG51" s="240" t="str">
        <f t="shared" ca="1" si="25"/>
        <v>BBB</v>
      </c>
      <c r="BH51" s="240">
        <f t="shared" ca="1" si="25"/>
        <v>18</v>
      </c>
      <c r="BI51" s="240" t="str">
        <f t="shared" ca="1" si="25"/>
        <v>PPL</v>
      </c>
    </row>
    <row r="52" spans="1:61" x14ac:dyDescent="0.2">
      <c r="A52" s="303" t="s">
        <v>75</v>
      </c>
      <c r="B52" s="304" t="s">
        <v>28</v>
      </c>
      <c r="C52" s="304">
        <v>18</v>
      </c>
      <c r="D52" s="304" t="s">
        <v>332</v>
      </c>
      <c r="E52" s="305" t="str">
        <f t="shared" ca="1" si="8"/>
        <v>R</v>
      </c>
      <c r="F52" s="306"/>
      <c r="G52" s="307">
        <f t="shared" ca="1" si="1"/>
        <v>49</v>
      </c>
      <c r="H52" s="250"/>
      <c r="I52" s="250"/>
      <c r="J52" s="262"/>
      <c r="K52" s="262"/>
      <c r="AF52" s="236">
        <f t="shared" si="2"/>
        <v>0</v>
      </c>
      <c r="AG52" s="236" t="str">
        <f t="shared" ca="1" si="3"/>
        <v/>
      </c>
      <c r="AH52" s="236" t="str">
        <f t="shared" ca="1" si="18"/>
        <v/>
      </c>
      <c r="AJ52" s="236">
        <f t="shared" ca="1" si="19"/>
        <v>51</v>
      </c>
      <c r="AK52" s="236" t="str">
        <f t="shared" ca="1" si="20"/>
        <v>BBB</v>
      </c>
      <c r="AL52" s="236">
        <f t="shared" ca="1" si="20"/>
        <v>18</v>
      </c>
      <c r="AM52" s="236" t="str">
        <f t="shared" ca="1" si="4"/>
        <v/>
      </c>
      <c r="AQ52" s="286" t="s">
        <v>62</v>
      </c>
      <c r="AR52" s="286" t="s">
        <v>16</v>
      </c>
      <c r="AS52" s="286">
        <v>19</v>
      </c>
      <c r="AT52" s="286" t="s">
        <v>330</v>
      </c>
      <c r="AV52" s="234">
        <f t="shared" si="21"/>
        <v>14</v>
      </c>
      <c r="AW52" s="234">
        <f>COUNTIF( AV$7:AV52, AV52 )</f>
        <v>15</v>
      </c>
      <c r="AX52" s="287">
        <f t="shared" si="22"/>
        <v>15.5</v>
      </c>
      <c r="AY52" s="234">
        <f t="shared" si="23"/>
        <v>28</v>
      </c>
      <c r="AZ52" s="236"/>
      <c r="BA52" s="236"/>
      <c r="BC52" s="234">
        <f t="shared" ca="1" si="24"/>
        <v>46</v>
      </c>
      <c r="BD52" s="288">
        <f t="shared" ca="1" si="6"/>
        <v>47</v>
      </c>
      <c r="BF52" s="240" t="str">
        <f t="shared" ca="1" si="25"/>
        <v>UIL Holdings Corporation</v>
      </c>
      <c r="BG52" s="240" t="str">
        <f t="shared" ca="1" si="25"/>
        <v>BBB</v>
      </c>
      <c r="BH52" s="240">
        <f t="shared" ca="1" si="25"/>
        <v>18</v>
      </c>
      <c r="BI52" s="240" t="str">
        <f t="shared" ca="1" si="25"/>
        <v>UIL</v>
      </c>
    </row>
    <row r="53" spans="1:61" x14ac:dyDescent="0.2">
      <c r="A53" s="303" t="s">
        <v>51</v>
      </c>
      <c r="B53" s="304" t="s">
        <v>49</v>
      </c>
      <c r="C53" s="304">
        <v>17</v>
      </c>
      <c r="D53" s="304" t="s">
        <v>299</v>
      </c>
      <c r="E53" s="305" t="str">
        <f t="shared" ca="1" si="8"/>
        <v>MR</v>
      </c>
      <c r="F53" s="306"/>
      <c r="G53" s="307">
        <f t="shared" ca="1" si="1"/>
        <v>25</v>
      </c>
      <c r="H53" s="250"/>
      <c r="I53" s="250"/>
      <c r="J53" s="262"/>
      <c r="K53" s="262"/>
      <c r="AF53" s="236">
        <f t="shared" si="2"/>
        <v>1</v>
      </c>
      <c r="AG53" s="236" t="str">
        <f t="shared" ca="1" si="3"/>
        <v/>
      </c>
      <c r="AH53" s="236" t="str">
        <f t="shared" ca="1" si="18"/>
        <v/>
      </c>
      <c r="AJ53" s="236">
        <f t="shared" ca="1" si="19"/>
        <v>52</v>
      </c>
      <c r="AK53" s="236" t="str">
        <f t="shared" ca="1" si="20"/>
        <v>BBB-</v>
      </c>
      <c r="AL53" s="236">
        <f t="shared" ca="1" si="20"/>
        <v>17</v>
      </c>
      <c r="AM53" s="236" t="str">
        <f t="shared" ca="1" si="4"/>
        <v/>
      </c>
      <c r="AQ53" s="286" t="s">
        <v>75</v>
      </c>
      <c r="AR53" s="286" t="s">
        <v>28</v>
      </c>
      <c r="AS53" s="286">
        <v>18</v>
      </c>
      <c r="AT53" s="286" t="s">
        <v>332</v>
      </c>
      <c r="AV53" s="234">
        <f t="shared" si="21"/>
        <v>31</v>
      </c>
      <c r="AW53" s="234">
        <f>COUNTIF( AV$7:AV53, AV53 )</f>
        <v>16</v>
      </c>
      <c r="AX53" s="287">
        <f t="shared" si="22"/>
        <v>32.6</v>
      </c>
      <c r="AY53" s="234">
        <f t="shared" si="23"/>
        <v>46</v>
      </c>
      <c r="AZ53" s="236"/>
      <c r="BA53" s="236"/>
      <c r="BC53" s="234">
        <f t="shared" ca="1" si="24"/>
        <v>47</v>
      </c>
      <c r="BD53" s="288">
        <f t="shared" ca="1" si="6"/>
        <v>22</v>
      </c>
      <c r="BF53" s="240" t="str">
        <f t="shared" ca="1" si="25"/>
        <v>FirstEnergy Corp.</v>
      </c>
      <c r="BG53" s="240" t="str">
        <f t="shared" ca="1" si="25"/>
        <v>BBB-</v>
      </c>
      <c r="BH53" s="240">
        <f t="shared" ca="1" si="25"/>
        <v>17</v>
      </c>
      <c r="BI53" s="240" t="str">
        <f t="shared" ca="1" si="25"/>
        <v>FE</v>
      </c>
    </row>
    <row r="54" spans="1:61" x14ac:dyDescent="0.2">
      <c r="A54" s="303" t="s">
        <v>39</v>
      </c>
      <c r="B54" s="304" t="s">
        <v>49</v>
      </c>
      <c r="C54" s="304">
        <v>17</v>
      </c>
      <c r="D54" s="304" t="s">
        <v>302</v>
      </c>
      <c r="E54" s="305" t="str">
        <f t="shared" ca="1" si="8"/>
        <v>D</v>
      </c>
      <c r="F54" s="306"/>
      <c r="G54" s="307">
        <f t="shared" ca="1" si="1"/>
        <v>27</v>
      </c>
      <c r="H54" s="250"/>
      <c r="I54" s="250"/>
      <c r="J54" s="262"/>
      <c r="K54" s="262"/>
      <c r="AF54" s="236">
        <f t="shared" si="2"/>
        <v>1</v>
      </c>
      <c r="AG54" s="236" t="str">
        <f t="shared" ca="1" si="3"/>
        <v/>
      </c>
      <c r="AH54" s="236" t="str">
        <f t="shared" ca="1" si="18"/>
        <v/>
      </c>
      <c r="AJ54" s="236">
        <f t="shared" ca="1" si="19"/>
        <v>53</v>
      </c>
      <c r="AK54" s="236" t="str">
        <f t="shared" ca="1" si="20"/>
        <v>BBB-</v>
      </c>
      <c r="AL54" s="236">
        <f t="shared" ca="1" si="20"/>
        <v>17</v>
      </c>
      <c r="AM54" s="236" t="str">
        <f t="shared" ca="1" si="4"/>
        <v/>
      </c>
      <c r="AQ54" s="286" t="s">
        <v>76</v>
      </c>
      <c r="AR54" s="286" t="s">
        <v>16</v>
      </c>
      <c r="AS54" s="286">
        <v>19</v>
      </c>
      <c r="AT54" s="286" t="s">
        <v>334</v>
      </c>
      <c r="AV54" s="234">
        <f t="shared" si="21"/>
        <v>14</v>
      </c>
      <c r="AW54" s="234">
        <f>COUNTIF( AV$7:AV54, AV54 )</f>
        <v>16</v>
      </c>
      <c r="AX54" s="287">
        <f t="shared" si="22"/>
        <v>15.6</v>
      </c>
      <c r="AY54" s="234">
        <f t="shared" si="23"/>
        <v>29</v>
      </c>
      <c r="AZ54" s="236"/>
      <c r="BA54" s="236"/>
      <c r="BC54" s="234">
        <f t="shared" ca="1" si="24"/>
        <v>48</v>
      </c>
      <c r="BD54" s="288">
        <f t="shared" ca="1" si="6"/>
        <v>24</v>
      </c>
      <c r="BF54" s="240" t="str">
        <f t="shared" ca="1" si="25"/>
        <v>Hawaiian Electric Industries, Inc.</v>
      </c>
      <c r="BG54" s="240" t="str">
        <f t="shared" ca="1" si="25"/>
        <v>BBB-</v>
      </c>
      <c r="BH54" s="240">
        <f t="shared" ca="1" si="25"/>
        <v>17</v>
      </c>
      <c r="BI54" s="240" t="str">
        <f t="shared" ca="1" si="25"/>
        <v>HE</v>
      </c>
    </row>
    <row r="55" spans="1:61" x14ac:dyDescent="0.2">
      <c r="A55" s="303" t="s">
        <v>40</v>
      </c>
      <c r="B55" s="304" t="s">
        <v>49</v>
      </c>
      <c r="C55" s="304">
        <v>17</v>
      </c>
      <c r="D55" s="304" t="s">
        <v>311</v>
      </c>
      <c r="E55" s="305" t="str">
        <f t="shared" ca="1" si="8"/>
        <v>MR</v>
      </c>
      <c r="F55" s="306"/>
      <c r="G55" s="307">
        <f t="shared" ca="1" si="1"/>
        <v>33</v>
      </c>
      <c r="H55" s="250"/>
      <c r="I55" s="250"/>
      <c r="J55" s="262"/>
      <c r="K55" s="262"/>
      <c r="AF55" s="236">
        <f t="shared" si="2"/>
        <v>1</v>
      </c>
      <c r="AG55" s="236" t="str">
        <f t="shared" ca="1" si="3"/>
        <v/>
      </c>
      <c r="AH55" s="236" t="str">
        <f t="shared" ca="1" si="18"/>
        <v/>
      </c>
      <c r="AJ55" s="236">
        <f t="shared" ca="1" si="19"/>
        <v>54</v>
      </c>
      <c r="AK55" s="236" t="str">
        <f t="shared" ca="1" si="20"/>
        <v>BBB-</v>
      </c>
      <c r="AL55" s="236">
        <f t="shared" ca="1" si="20"/>
        <v>17</v>
      </c>
      <c r="AM55" s="236" t="str">
        <f t="shared" ca="1" si="4"/>
        <v/>
      </c>
      <c r="AQ55" s="286" t="s">
        <v>14</v>
      </c>
      <c r="AR55" s="286" t="s">
        <v>10</v>
      </c>
      <c r="AS55" s="286">
        <v>20</v>
      </c>
      <c r="AT55" s="286" t="s">
        <v>335</v>
      </c>
      <c r="AV55" s="234">
        <f t="shared" si="21"/>
        <v>2</v>
      </c>
      <c r="AW55" s="234">
        <f>COUNTIF( AV$7:AV55, AV55 )</f>
        <v>10</v>
      </c>
      <c r="AX55" s="287">
        <f t="shared" si="22"/>
        <v>3</v>
      </c>
      <c r="AY55" s="234">
        <f t="shared" si="23"/>
        <v>11</v>
      </c>
      <c r="AZ55" s="236"/>
      <c r="BA55" s="236"/>
      <c r="BC55" s="234">
        <f t="shared" ca="1" si="24"/>
        <v>49</v>
      </c>
      <c r="BD55" s="288">
        <f t="shared" ca="1" si="6"/>
        <v>31</v>
      </c>
      <c r="BF55" s="240" t="str">
        <f t="shared" ca="1" si="25"/>
        <v>NiSource Inc.</v>
      </c>
      <c r="BG55" s="240" t="str">
        <f t="shared" ca="1" si="25"/>
        <v>BBB-</v>
      </c>
      <c r="BH55" s="240">
        <f t="shared" ca="1" si="25"/>
        <v>17</v>
      </c>
      <c r="BI55" s="240" t="str">
        <f t="shared" ca="1" si="25"/>
        <v>NI</v>
      </c>
    </row>
    <row r="56" spans="1:61" x14ac:dyDescent="0.2">
      <c r="A56" s="303" t="s">
        <v>54</v>
      </c>
      <c r="B56" s="304" t="s">
        <v>49</v>
      </c>
      <c r="C56" s="304">
        <v>17</v>
      </c>
      <c r="D56" s="304" t="s">
        <v>449</v>
      </c>
      <c r="E56" s="305" t="str">
        <f t="shared" ca="1" si="8"/>
        <v>R</v>
      </c>
      <c r="F56" s="306"/>
      <c r="G56" s="307">
        <f t="shared" ca="1" si="1"/>
        <v>62</v>
      </c>
      <c r="H56" s="250"/>
      <c r="I56" s="250"/>
      <c r="J56" s="262"/>
      <c r="K56" s="262"/>
      <c r="AF56" s="236">
        <f t="shared" si="2"/>
        <v>1</v>
      </c>
      <c r="AG56" s="236" t="str">
        <f t="shared" ca="1" si="3"/>
        <v/>
      </c>
      <c r="AH56" s="236" t="str">
        <f t="shared" ca="1" si="18"/>
        <v/>
      </c>
      <c r="AJ56" s="236">
        <f t="shared" ca="1" si="19"/>
        <v>55</v>
      </c>
      <c r="AK56" s="236" t="str">
        <f t="shared" ca="1" si="20"/>
        <v>BBB-</v>
      </c>
      <c r="AL56" s="236">
        <f t="shared" ca="1" si="20"/>
        <v>17</v>
      </c>
      <c r="AM56" s="236" t="str">
        <f t="shared" ca="1" si="4"/>
        <v/>
      </c>
      <c r="AQ56" s="286" t="s">
        <v>59</v>
      </c>
      <c r="AR56" s="286" t="s">
        <v>16</v>
      </c>
      <c r="AS56" s="286">
        <v>19</v>
      </c>
      <c r="AT56" s="286" t="s">
        <v>337</v>
      </c>
      <c r="AV56" s="234">
        <f t="shared" si="21"/>
        <v>14</v>
      </c>
      <c r="AW56" s="234">
        <f>COUNTIF( AV$7:AV56, AV56 )</f>
        <v>17</v>
      </c>
      <c r="AX56" s="287">
        <f t="shared" si="22"/>
        <v>15.7</v>
      </c>
      <c r="AY56" s="234">
        <f t="shared" si="23"/>
        <v>30</v>
      </c>
      <c r="AZ56" s="236"/>
      <c r="BA56" s="236"/>
      <c r="BC56" s="234">
        <f t="shared" ca="1" si="24"/>
        <v>50</v>
      </c>
      <c r="BD56" s="288">
        <f t="shared" ca="1" si="6"/>
        <v>42</v>
      </c>
      <c r="BF56" s="240" t="str">
        <f t="shared" ca="1" si="25"/>
        <v>Puget Energy, Inc.</v>
      </c>
      <c r="BG56" s="240" t="str">
        <f t="shared" ca="1" si="25"/>
        <v>BBB-</v>
      </c>
      <c r="BH56" s="240">
        <f t="shared" ca="1" si="25"/>
        <v>17</v>
      </c>
      <c r="BI56" s="240" t="str">
        <f t="shared" ca="1" si="25"/>
        <v>**PSD</v>
      </c>
    </row>
    <row r="57" spans="1:61" x14ac:dyDescent="0.2">
      <c r="A57" s="303" t="s">
        <v>58</v>
      </c>
      <c r="B57" s="304" t="s">
        <v>56</v>
      </c>
      <c r="C57" s="304">
        <v>16</v>
      </c>
      <c r="D57" s="304" t="s">
        <v>446</v>
      </c>
      <c r="E57" s="305" t="str">
        <f t="shared" ca="1" si="8"/>
        <v>R</v>
      </c>
      <c r="F57" s="306"/>
      <c r="G57" s="307">
        <f t="shared" ca="1" si="1"/>
        <v>60</v>
      </c>
      <c r="H57" s="250"/>
      <c r="I57" s="250"/>
      <c r="J57" s="262"/>
      <c r="K57" s="262"/>
      <c r="AF57" s="236">
        <f t="shared" si="2"/>
        <v>0</v>
      </c>
      <c r="AG57" s="236" t="str">
        <f t="shared" ca="1" si="3"/>
        <v/>
      </c>
      <c r="AH57" s="236" t="str">
        <f t="shared" ca="1" si="18"/>
        <v/>
      </c>
      <c r="AJ57" s="236">
        <f t="shared" ca="1" si="19"/>
        <v>56</v>
      </c>
      <c r="AK57" s="236" t="str">
        <f t="shared" ca="1" si="20"/>
        <v>BB+</v>
      </c>
      <c r="AL57" s="236">
        <f t="shared" ca="1" si="20"/>
        <v>16</v>
      </c>
      <c r="AM57" s="236" t="str">
        <f t="shared" ca="1" si="4"/>
        <v/>
      </c>
      <c r="AQ57" s="286" t="s">
        <v>26</v>
      </c>
      <c r="AR57" s="286" t="s">
        <v>10</v>
      </c>
      <c r="AS57" s="286">
        <v>20</v>
      </c>
      <c r="AT57" s="286" t="s">
        <v>336</v>
      </c>
      <c r="AV57" s="234">
        <f t="shared" si="21"/>
        <v>2</v>
      </c>
      <c r="AW57" s="234">
        <f>COUNTIF( AV$7:AV57, AV57 )</f>
        <v>11</v>
      </c>
      <c r="AX57" s="287">
        <f t="shared" si="22"/>
        <v>3.1</v>
      </c>
      <c r="AY57" s="234">
        <f t="shared" si="23"/>
        <v>12</v>
      </c>
      <c r="AZ57" s="236"/>
      <c r="BA57" s="236"/>
      <c r="BC57" s="234">
        <f t="shared" ca="1" si="24"/>
        <v>51</v>
      </c>
      <c r="BD57" s="288">
        <f t="shared" ca="1" si="6"/>
        <v>28</v>
      </c>
      <c r="BF57" s="240" t="str">
        <f t="shared" ca="1" si="25"/>
        <v>IPALCO Enterprises, Inc.</v>
      </c>
      <c r="BG57" s="240" t="str">
        <f t="shared" ca="1" si="25"/>
        <v>BB+</v>
      </c>
      <c r="BH57" s="240">
        <f t="shared" ca="1" si="25"/>
        <v>16</v>
      </c>
      <c r="BI57" s="240" t="str">
        <f t="shared" ca="1" si="25"/>
        <v>**IPALCO</v>
      </c>
    </row>
    <row r="58" spans="1:61" x14ac:dyDescent="0.2">
      <c r="A58" s="303" t="s">
        <v>64</v>
      </c>
      <c r="B58" s="304" t="s">
        <v>61</v>
      </c>
      <c r="C58" s="304">
        <v>15</v>
      </c>
      <c r="D58" s="304" t="s">
        <v>443</v>
      </c>
      <c r="E58" s="305" t="str">
        <f t="shared" ca="1" si="8"/>
        <v>R</v>
      </c>
      <c r="F58" s="306"/>
      <c r="G58" s="307">
        <f t="shared" ca="1" si="1"/>
        <v>58</v>
      </c>
      <c r="H58" s="250"/>
      <c r="I58" s="250"/>
      <c r="J58" s="262"/>
      <c r="K58" s="262"/>
      <c r="AF58" s="236">
        <f t="shared" si="2"/>
        <v>1</v>
      </c>
      <c r="AG58" s="236" t="str">
        <f t="shared" ca="1" si="3"/>
        <v/>
      </c>
      <c r="AH58" s="236" t="str">
        <f t="shared" ca="1" si="18"/>
        <v/>
      </c>
      <c r="AJ58" s="236">
        <f t="shared" ca="1" si="19"/>
        <v>57</v>
      </c>
      <c r="AK58" s="236" t="str">
        <f t="shared" ca="1" si="20"/>
        <v>BB</v>
      </c>
      <c r="AL58" s="236">
        <f t="shared" ca="1" si="20"/>
        <v>15</v>
      </c>
      <c r="AM58" s="236" t="str">
        <f t="shared" ca="1" si="4"/>
        <v/>
      </c>
      <c r="AQ58" s="286" t="s">
        <v>258</v>
      </c>
      <c r="AR58" s="286" t="s">
        <v>10</v>
      </c>
      <c r="AS58" s="286">
        <v>20</v>
      </c>
      <c r="AT58" s="286" t="s">
        <v>338</v>
      </c>
      <c r="AV58" s="234">
        <f t="shared" si="21"/>
        <v>2</v>
      </c>
      <c r="AW58" s="234">
        <f>COUNTIF( AV$7:AV58, AV58 )</f>
        <v>12</v>
      </c>
      <c r="AX58" s="287">
        <f t="shared" si="22"/>
        <v>3.2</v>
      </c>
      <c r="AY58" s="234">
        <f t="shared" si="23"/>
        <v>13</v>
      </c>
      <c r="AZ58" s="236"/>
      <c r="BA58" s="236"/>
      <c r="BC58" s="234">
        <f t="shared" ca="1" si="24"/>
        <v>52</v>
      </c>
      <c r="BD58" s="288">
        <f t="shared" ca="1" si="6"/>
        <v>13</v>
      </c>
      <c r="BF58" s="240" t="str">
        <f t="shared" ca="1" si="25"/>
        <v>DPL Inc.</v>
      </c>
      <c r="BG58" s="240" t="str">
        <f t="shared" ca="1" si="25"/>
        <v>BB</v>
      </c>
      <c r="BH58" s="240">
        <f t="shared" ca="1" si="25"/>
        <v>15</v>
      </c>
      <c r="BI58" s="240" t="str">
        <f t="shared" ca="1" si="25"/>
        <v>**DPL</v>
      </c>
    </row>
    <row r="59" spans="1:61" x14ac:dyDescent="0.2">
      <c r="A59" s="303"/>
      <c r="B59" s="304"/>
      <c r="C59" s="304"/>
      <c r="D59" s="304"/>
      <c r="E59" s="305" t="str">
        <f t="shared" ca="1" si="8"/>
        <v/>
      </c>
      <c r="F59" s="306"/>
      <c r="G59" s="307" t="str">
        <f t="shared" ca="1" si="1"/>
        <v/>
      </c>
      <c r="H59" s="250"/>
      <c r="I59" s="250"/>
      <c r="J59" s="262"/>
      <c r="K59" s="262"/>
      <c r="AF59" s="236">
        <f t="shared" si="2"/>
        <v>0</v>
      </c>
      <c r="AG59" s="236" t="str">
        <f t="shared" si="3"/>
        <v/>
      </c>
      <c r="AH59" s="236" t="str">
        <f t="shared" si="18"/>
        <v/>
      </c>
      <c r="AJ59" s="236" t="e">
        <f t="shared" ca="1" si="19"/>
        <v>#N/A</v>
      </c>
      <c r="AK59" s="236" t="str">
        <f t="shared" ca="1" si="20"/>
        <v/>
      </c>
      <c r="AL59" s="236" t="str">
        <f t="shared" ca="1" si="20"/>
        <v/>
      </c>
      <c r="AM59" s="236" t="str">
        <f t="shared" ca="1" si="4"/>
        <v/>
      </c>
      <c r="AQ59" s="286"/>
      <c r="AR59" s="286"/>
      <c r="AS59" s="286"/>
      <c r="AT59" s="286"/>
      <c r="AV59" s="234">
        <f t="shared" si="21"/>
        <v>99</v>
      </c>
      <c r="AW59" s="234">
        <f>COUNTIF( AV$7:AV59, AV59 )</f>
        <v>1</v>
      </c>
      <c r="AX59" s="287">
        <f t="shared" si="22"/>
        <v>99.1</v>
      </c>
      <c r="AY59" s="234">
        <f t="shared" si="23"/>
        <v>53</v>
      </c>
      <c r="AZ59" s="236"/>
      <c r="BA59" s="236"/>
      <c r="BC59" s="234">
        <f t="shared" ca="1" si="24"/>
        <v>53</v>
      </c>
      <c r="BD59" s="288">
        <f t="shared" ca="1" si="6"/>
        <v>53</v>
      </c>
      <c r="BF59" s="240">
        <f t="shared" ca="1" si="25"/>
        <v>0</v>
      </c>
      <c r="BG59" s="240">
        <f t="shared" ca="1" si="25"/>
        <v>0</v>
      </c>
      <c r="BH59" s="240">
        <f t="shared" ca="1" si="25"/>
        <v>0</v>
      </c>
      <c r="BI59" s="240">
        <f t="shared" ca="1" si="25"/>
        <v>0</v>
      </c>
    </row>
    <row r="60" spans="1:61" ht="13.5" thickBot="1" x14ac:dyDescent="0.25">
      <c r="A60" s="265"/>
      <c r="B60" s="266"/>
      <c r="C60" s="266"/>
      <c r="D60" s="266"/>
      <c r="E60" s="267" t="str">
        <f t="shared" ca="1" si="8"/>
        <v/>
      </c>
      <c r="F60" s="250"/>
      <c r="G60" s="251" t="str">
        <f t="shared" ca="1" si="1"/>
        <v/>
      </c>
      <c r="H60" s="250"/>
      <c r="I60" s="250"/>
      <c r="AF60" s="236">
        <f t="shared" si="2"/>
        <v>0</v>
      </c>
      <c r="AG60" s="236" t="str">
        <f t="shared" si="3"/>
        <v/>
      </c>
      <c r="AH60" s="236" t="str">
        <f t="shared" si="18"/>
        <v/>
      </c>
      <c r="AJ60" s="236" t="e">
        <f t="shared" ca="1" si="19"/>
        <v>#N/A</v>
      </c>
      <c r="AK60" s="236" t="str">
        <f t="shared" ca="1" si="20"/>
        <v/>
      </c>
      <c r="AL60" s="236" t="str">
        <f t="shared" ca="1" si="20"/>
        <v/>
      </c>
      <c r="AM60" s="236" t="str">
        <f t="shared" ca="1" si="4"/>
        <v/>
      </c>
      <c r="AQ60" s="286"/>
      <c r="AR60" s="286"/>
      <c r="AS60" s="286"/>
      <c r="AT60" s="286"/>
      <c r="AV60" s="234">
        <f t="shared" si="21"/>
        <v>99</v>
      </c>
      <c r="AW60" s="234">
        <f>COUNTIF( AV$7:AV60, AV60 )</f>
        <v>2</v>
      </c>
      <c r="AX60" s="287">
        <f t="shared" si="22"/>
        <v>99.2</v>
      </c>
      <c r="AY60" s="234">
        <f t="shared" si="23"/>
        <v>54</v>
      </c>
      <c r="AZ60" s="236"/>
      <c r="BA60" s="236"/>
      <c r="BC60" s="234">
        <f t="shared" ca="1" si="24"/>
        <v>54</v>
      </c>
      <c r="BD60" s="288">
        <f t="shared" ca="1" si="6"/>
        <v>54</v>
      </c>
      <c r="BF60" s="240">
        <f t="shared" ca="1" si="25"/>
        <v>0</v>
      </c>
      <c r="BG60" s="240">
        <f t="shared" ca="1" si="25"/>
        <v>0</v>
      </c>
      <c r="BH60" s="240">
        <f t="shared" ca="1" si="25"/>
        <v>0</v>
      </c>
      <c r="BI60" s="240">
        <f t="shared" ca="1" si="25"/>
        <v>0</v>
      </c>
    </row>
    <row r="61" spans="1:61" x14ac:dyDescent="0.2">
      <c r="A61" s="308" t="s">
        <v>474</v>
      </c>
      <c r="B61" s="309" t="s">
        <v>108</v>
      </c>
      <c r="C61" s="309">
        <v>23</v>
      </c>
      <c r="D61" s="309" t="s">
        <v>440</v>
      </c>
      <c r="E61" s="310" t="str">
        <f t="shared" ca="1" si="8"/>
        <v>MR</v>
      </c>
      <c r="F61" s="311"/>
      <c r="G61" s="312">
        <f t="shared" ca="1" si="1"/>
        <v>31</v>
      </c>
      <c r="H61" s="250"/>
      <c r="I61" s="250"/>
      <c r="AF61" s="236">
        <f t="shared" si="2"/>
        <v>1</v>
      </c>
      <c r="AG61" s="236" t="str">
        <f t="shared" ca="1" si="3"/>
        <v/>
      </c>
      <c r="AH61" s="236" t="str">
        <f t="shared" ca="1" si="18"/>
        <v/>
      </c>
      <c r="AJ61" s="236">
        <f t="shared" ca="1" si="19"/>
        <v>61</v>
      </c>
      <c r="AK61" s="236" t="str">
        <f t="shared" ca="1" si="20"/>
        <v>AA-</v>
      </c>
      <c r="AL61" s="236">
        <f t="shared" ca="1" si="20"/>
        <v>23</v>
      </c>
      <c r="AM61" s="236" t="str">
        <f t="shared" ca="1" si="4"/>
        <v/>
      </c>
      <c r="AQ61" s="286"/>
      <c r="AR61" s="286"/>
      <c r="AS61" s="286"/>
      <c r="AT61" s="286"/>
      <c r="AV61" s="234">
        <f t="shared" si="21"/>
        <v>99</v>
      </c>
      <c r="AW61" s="234">
        <f>COUNTIF( AV$7:AV61, AV61 )</f>
        <v>3</v>
      </c>
      <c r="AX61" s="287">
        <f t="shared" si="22"/>
        <v>99.3</v>
      </c>
      <c r="AY61" s="234">
        <f t="shared" si="23"/>
        <v>55</v>
      </c>
      <c r="AZ61" s="236"/>
      <c r="BA61" s="236"/>
      <c r="BC61" s="234">
        <f t="shared" ca="1" si="24"/>
        <v>55</v>
      </c>
      <c r="BD61" s="288">
        <f t="shared" ca="1" si="6"/>
        <v>55</v>
      </c>
      <c r="BF61" s="240">
        <f t="shared" ca="1" si="25"/>
        <v>0</v>
      </c>
      <c r="BG61" s="240">
        <f t="shared" ca="1" si="25"/>
        <v>0</v>
      </c>
      <c r="BH61" s="240">
        <f t="shared" ca="1" si="25"/>
        <v>0</v>
      </c>
      <c r="BI61" s="240">
        <f t="shared" ca="1" si="25"/>
        <v>0</v>
      </c>
    </row>
    <row r="62" spans="1:61" x14ac:dyDescent="0.2">
      <c r="A62" s="303" t="s">
        <v>249</v>
      </c>
      <c r="B62" s="304"/>
      <c r="C62" s="304"/>
      <c r="D62" s="304" t="s">
        <v>445</v>
      </c>
      <c r="E62" s="305" t="str">
        <f t="shared" ca="1" si="8"/>
        <v>D</v>
      </c>
      <c r="F62" s="306"/>
      <c r="G62" s="307">
        <f t="shared" ca="1" si="1"/>
        <v>59</v>
      </c>
      <c r="H62" s="250"/>
      <c r="I62" s="250"/>
      <c r="AF62" s="236">
        <f t="shared" si="2"/>
        <v>0</v>
      </c>
      <c r="AG62" s="236" t="str">
        <f t="shared" si="3"/>
        <v/>
      </c>
      <c r="AH62" s="236" t="str">
        <f t="shared" si="18"/>
        <v/>
      </c>
      <c r="AJ62" s="236">
        <f t="shared" ca="1" si="19"/>
        <v>64</v>
      </c>
      <c r="AK62" s="236">
        <f t="shared" ca="1" si="20"/>
        <v>0</v>
      </c>
      <c r="AL62" s="236">
        <f t="shared" ca="1" si="20"/>
        <v>0</v>
      </c>
      <c r="AM62" s="236" t="str">
        <f t="shared" ca="1" si="4"/>
        <v/>
      </c>
      <c r="AQ62" s="286"/>
      <c r="AR62" s="286"/>
      <c r="AS62" s="286"/>
      <c r="AT62" s="286"/>
      <c r="AV62" s="234">
        <f t="shared" si="21"/>
        <v>99</v>
      </c>
      <c r="AW62" s="234">
        <f>COUNTIF( AV$7:AV62, AV62 )</f>
        <v>4</v>
      </c>
      <c r="AX62" s="287">
        <f t="shared" si="22"/>
        <v>99.4</v>
      </c>
      <c r="AY62" s="234">
        <f t="shared" si="23"/>
        <v>56</v>
      </c>
      <c r="AZ62" s="236"/>
      <c r="BA62" s="236"/>
      <c r="BC62" s="234">
        <f t="shared" ca="1" si="24"/>
        <v>56</v>
      </c>
      <c r="BD62" s="288">
        <f t="shared" ca="1" si="6"/>
        <v>56</v>
      </c>
      <c r="BF62" s="240">
        <f t="shared" ca="1" si="25"/>
        <v>0</v>
      </c>
      <c r="BG62" s="240">
        <f t="shared" ca="1" si="25"/>
        <v>0</v>
      </c>
      <c r="BH62" s="240">
        <f t="shared" ca="1" si="25"/>
        <v>0</v>
      </c>
      <c r="BI62" s="240">
        <f t="shared" ca="1" si="25"/>
        <v>0</v>
      </c>
    </row>
    <row r="63" spans="1:61" x14ac:dyDescent="0.2">
      <c r="A63" s="303"/>
      <c r="B63" s="313"/>
      <c r="C63" s="304"/>
      <c r="D63" s="304"/>
      <c r="E63" s="305"/>
      <c r="F63" s="306"/>
      <c r="G63" s="307"/>
      <c r="H63" s="250"/>
      <c r="I63" s="250"/>
      <c r="AF63" s="236">
        <f t="shared" si="2"/>
        <v>0</v>
      </c>
      <c r="AG63" s="236" t="str">
        <f t="shared" si="3"/>
        <v/>
      </c>
      <c r="AH63" s="236" t="str">
        <f t="shared" si="18"/>
        <v/>
      </c>
      <c r="AJ63" s="236" t="e">
        <f t="shared" ca="1" si="19"/>
        <v>#N/A</v>
      </c>
      <c r="AK63" s="236" t="str">
        <f t="shared" ca="1" si="20"/>
        <v/>
      </c>
      <c r="AL63" s="236" t="str">
        <f t="shared" ca="1" si="20"/>
        <v/>
      </c>
      <c r="AM63" s="236" t="str">
        <f t="shared" ca="1" si="4"/>
        <v/>
      </c>
      <c r="AQ63" s="286"/>
      <c r="AR63" s="286"/>
      <c r="AS63" s="286"/>
      <c r="AT63" s="286"/>
      <c r="AU63" s="286"/>
      <c r="AV63" s="234">
        <f t="shared" si="21"/>
        <v>99</v>
      </c>
      <c r="AW63" s="234">
        <f>COUNTIF( AV$7:AV63, AV63 )</f>
        <v>5</v>
      </c>
      <c r="AX63" s="287">
        <f t="shared" si="22"/>
        <v>99.5</v>
      </c>
      <c r="AY63" s="234">
        <f t="shared" si="23"/>
        <v>57</v>
      </c>
      <c r="AZ63" s="236"/>
      <c r="BA63" s="236"/>
      <c r="BC63" s="234">
        <f t="shared" ca="1" si="24"/>
        <v>57</v>
      </c>
      <c r="BD63" s="288">
        <f ca="1">MATCH( BC63, $AY$7:$AY$63, 0 )</f>
        <v>57</v>
      </c>
      <c r="BF63" s="240">
        <f t="shared" ca="1" si="25"/>
        <v>0</v>
      </c>
      <c r="BG63" s="240">
        <f t="shared" ca="1" si="25"/>
        <v>0</v>
      </c>
      <c r="BH63" s="240">
        <f t="shared" ca="1" si="25"/>
        <v>0</v>
      </c>
      <c r="BI63" s="240">
        <f t="shared" ca="1" si="25"/>
        <v>0</v>
      </c>
    </row>
    <row r="64" spans="1:61" x14ac:dyDescent="0.2">
      <c r="A64" s="303"/>
      <c r="B64" s="313"/>
      <c r="C64" s="304"/>
      <c r="D64" s="304"/>
      <c r="E64" s="305"/>
      <c r="F64" s="306"/>
      <c r="G64" s="307"/>
      <c r="H64" s="250"/>
      <c r="I64" s="250"/>
      <c r="AF64" s="236">
        <f t="shared" si="2"/>
        <v>0</v>
      </c>
      <c r="AG64" s="236" t="str">
        <f t="shared" si="3"/>
        <v/>
      </c>
      <c r="AH64" s="236" t="str">
        <f t="shared" si="18"/>
        <v/>
      </c>
      <c r="AJ64" s="236" t="e">
        <f t="shared" ca="1" si="19"/>
        <v>#N/A</v>
      </c>
      <c r="AK64" s="236" t="str">
        <f t="shared" ca="1" si="20"/>
        <v/>
      </c>
      <c r="AL64" s="236" t="str">
        <f t="shared" ca="1" si="20"/>
        <v/>
      </c>
      <c r="AM64" s="236" t="str">
        <f t="shared" ca="1" si="4"/>
        <v/>
      </c>
      <c r="AQ64" s="286" t="s">
        <v>74</v>
      </c>
      <c r="AR64" s="286" t="s">
        <v>108</v>
      </c>
      <c r="AS64" s="286">
        <v>23</v>
      </c>
      <c r="AT64" s="286" t="s">
        <v>440</v>
      </c>
      <c r="AU64" s="286"/>
      <c r="AZ64" s="236"/>
      <c r="BA64" s="236"/>
      <c r="BF64" s="236"/>
    </row>
    <row r="65" spans="1:58" x14ac:dyDescent="0.2">
      <c r="A65" s="303"/>
      <c r="B65" s="313"/>
      <c r="C65" s="304"/>
      <c r="D65" s="304"/>
      <c r="E65" s="305"/>
      <c r="F65" s="306"/>
      <c r="G65" s="307"/>
      <c r="H65" s="250"/>
      <c r="I65" s="250"/>
      <c r="N65" s="234" t="s">
        <v>73</v>
      </c>
      <c r="AF65" s="236">
        <f t="shared" si="2"/>
        <v>0</v>
      </c>
      <c r="AG65" s="236" t="str">
        <f>IF( LEN( $C65 ) = 0, "", IF( $C65 &gt; $AL65, 1, "" ) )</f>
        <v/>
      </c>
      <c r="AH65" s="236" t="str">
        <f t="shared" si="18"/>
        <v/>
      </c>
      <c r="AJ65" s="236" t="e">
        <f t="shared" ca="1" si="19"/>
        <v>#N/A</v>
      </c>
      <c r="AK65" s="236" t="str">
        <f t="shared" ca="1" si="20"/>
        <v/>
      </c>
      <c r="AL65" s="236" t="str">
        <f t="shared" ca="1" si="20"/>
        <v/>
      </c>
      <c r="AM65" s="236" t="str">
        <f t="shared" ca="1" si="4"/>
        <v/>
      </c>
      <c r="AQ65" s="286" t="s">
        <v>249</v>
      </c>
      <c r="AR65" s="286"/>
      <c r="AS65" s="286"/>
      <c r="AT65" s="286" t="s">
        <v>445</v>
      </c>
      <c r="AU65" s="286"/>
      <c r="AZ65" s="236"/>
      <c r="BA65" s="236"/>
      <c r="BF65" s="236"/>
    </row>
    <row r="66" spans="1:58" x14ac:dyDescent="0.2">
      <c r="A66" s="268"/>
      <c r="B66" s="269"/>
      <c r="C66" s="270"/>
      <c r="D66" s="270"/>
      <c r="E66" s="249"/>
      <c r="F66" s="250"/>
      <c r="H66" s="250"/>
      <c r="I66" s="250"/>
      <c r="AF66" s="236">
        <f t="shared" si="2"/>
        <v>0</v>
      </c>
      <c r="AG66" s="236" t="str">
        <f t="shared" ref="AG66:AG67" si="26">IF( LEN( $C66 ) = 0, "", IF( $C66 &gt; $AL66, 1, "" ) )</f>
        <v/>
      </c>
      <c r="AH66" s="236" t="str">
        <f t="shared" si="18"/>
        <v/>
      </c>
      <c r="AJ66" s="236" t="e">
        <f t="shared" ca="1" si="19"/>
        <v>#N/A</v>
      </c>
      <c r="AK66" s="236" t="str">
        <f t="shared" ca="1" si="20"/>
        <v/>
      </c>
      <c r="AL66" s="236" t="str">
        <f t="shared" ca="1" si="20"/>
        <v/>
      </c>
      <c r="AM66" s="236" t="str">
        <f t="shared" ca="1" si="4"/>
        <v/>
      </c>
      <c r="AU66" s="286"/>
      <c r="AX66" s="287"/>
      <c r="AZ66" s="236"/>
      <c r="BA66" s="236"/>
      <c r="BD66" s="288"/>
      <c r="BF66" s="236"/>
    </row>
    <row r="67" spans="1:58" ht="13.5" thickBot="1" x14ac:dyDescent="0.25">
      <c r="A67" s="271"/>
      <c r="B67" s="272"/>
      <c r="C67" s="337"/>
      <c r="D67" s="272"/>
      <c r="E67" s="273"/>
      <c r="F67" s="250"/>
      <c r="H67" s="250"/>
      <c r="I67" s="250"/>
      <c r="AF67" s="236">
        <f t="shared" si="2"/>
        <v>0</v>
      </c>
      <c r="AG67" s="236" t="str">
        <f t="shared" si="26"/>
        <v/>
      </c>
      <c r="AH67" s="236" t="str">
        <f t="shared" si="18"/>
        <v/>
      </c>
      <c r="AJ67" s="236" t="e">
        <f t="shared" ca="1" si="19"/>
        <v>#N/A</v>
      </c>
      <c r="AK67" s="236" t="str">
        <f t="shared" ca="1" si="20"/>
        <v/>
      </c>
      <c r="AL67" s="236" t="str">
        <f t="shared" ca="1" si="20"/>
        <v/>
      </c>
      <c r="AM67" s="236" t="str">
        <f t="shared" ca="1" si="4"/>
        <v/>
      </c>
      <c r="AX67" s="287"/>
      <c r="AZ67" s="236"/>
      <c r="BA67" s="236"/>
      <c r="BD67" s="288"/>
      <c r="BF67" s="236"/>
    </row>
    <row r="68" spans="1:58" x14ac:dyDescent="0.2">
      <c r="A68" s="274" t="s">
        <v>135</v>
      </c>
      <c r="B68" s="275" t="str">
        <f ca="1">OFFSET( Scale!$H$5, ROUND( C68, 0 ) - 1, 1 )</f>
        <v>BBB+</v>
      </c>
      <c r="C68" s="276">
        <f>AVERAGE(C7:C65)</f>
        <v>18.754716981132077</v>
      </c>
      <c r="D68" s="276"/>
      <c r="E68" s="276"/>
      <c r="F68" s="250"/>
      <c r="H68" s="250"/>
      <c r="I68" s="250"/>
      <c r="J68" s="253"/>
      <c r="K68" s="253"/>
      <c r="AX68" s="287"/>
      <c r="AZ68" s="236"/>
      <c r="BA68" s="236"/>
      <c r="BD68" s="288"/>
      <c r="BF68" s="236"/>
    </row>
    <row r="69" spans="1:58" x14ac:dyDescent="0.2">
      <c r="A69" s="277"/>
      <c r="B69" s="278"/>
      <c r="F69" s="250"/>
      <c r="H69" s="250"/>
      <c r="I69" s="250"/>
      <c r="AX69" s="287"/>
      <c r="AZ69" s="236"/>
      <c r="BA69" s="236"/>
      <c r="BD69" s="288"/>
      <c r="BF69" s="236"/>
    </row>
    <row r="70" spans="1:58" x14ac:dyDescent="0.2">
      <c r="A70" s="277"/>
      <c r="B70" s="278"/>
      <c r="F70" s="240"/>
      <c r="H70" s="240"/>
      <c r="I70" s="240"/>
      <c r="J70" s="253"/>
      <c r="K70" s="253"/>
    </row>
    <row r="71" spans="1:58" x14ac:dyDescent="0.2">
      <c r="A71" s="279" t="s">
        <v>267</v>
      </c>
      <c r="F71" s="240"/>
      <c r="H71" s="240"/>
      <c r="I71" s="240"/>
    </row>
    <row r="72" spans="1:58" x14ac:dyDescent="0.2">
      <c r="A72" s="279" t="s">
        <v>366</v>
      </c>
      <c r="B72" s="240"/>
      <c r="D72" s="264"/>
      <c r="E72" s="264"/>
      <c r="F72" s="280"/>
      <c r="H72" s="280"/>
      <c r="I72" s="280"/>
    </row>
    <row r="73" spans="1:58" x14ac:dyDescent="0.2">
      <c r="A73" s="281" t="s">
        <v>357</v>
      </c>
      <c r="B73" s="240"/>
      <c r="D73" s="264"/>
      <c r="E73" s="264"/>
      <c r="F73" s="280"/>
      <c r="H73" s="280"/>
      <c r="I73" s="280"/>
    </row>
    <row r="74" spans="1:58" x14ac:dyDescent="0.2">
      <c r="A74" s="279" t="s">
        <v>359</v>
      </c>
      <c r="D74" s="280"/>
      <c r="E74" s="234"/>
      <c r="F74" s="282"/>
      <c r="H74" s="282"/>
      <c r="I74" s="282"/>
      <c r="AQ74" s="286"/>
      <c r="AR74" s="286"/>
      <c r="AS74" s="286"/>
    </row>
    <row r="75" spans="1:58" x14ac:dyDescent="0.2">
      <c r="A75" s="279" t="s">
        <v>507</v>
      </c>
      <c r="D75" s="280"/>
      <c r="E75" s="234"/>
      <c r="F75" s="282"/>
      <c r="H75" s="282"/>
      <c r="I75" s="282"/>
      <c r="AQ75" s="286"/>
      <c r="AR75" s="286"/>
      <c r="AS75" s="286"/>
    </row>
    <row r="76" spans="1:58" x14ac:dyDescent="0.2">
      <c r="A76" s="279"/>
      <c r="AQ76" s="286"/>
      <c r="AR76" s="286"/>
      <c r="AS76" s="286"/>
    </row>
    <row r="77" spans="1:58" x14ac:dyDescent="0.2">
      <c r="C77" s="339">
        <f>SUMPRODUCT( L8:L13, Y8:Y13 ) / L14</f>
        <v>18.735849056603772</v>
      </c>
      <c r="E77" s="283"/>
      <c r="G77" s="251"/>
      <c r="J77" s="240"/>
      <c r="K77" s="240"/>
      <c r="AQ77" s="286"/>
      <c r="AR77" s="286"/>
      <c r="AS77" s="286"/>
    </row>
    <row r="78" spans="1:58" s="240" customFormat="1" x14ac:dyDescent="0.2">
      <c r="A78" s="284"/>
      <c r="B78" s="285"/>
      <c r="C78" s="285"/>
      <c r="D78" s="285"/>
      <c r="E78" s="249"/>
      <c r="F78" s="234"/>
      <c r="G78" s="236"/>
      <c r="H78" s="234"/>
      <c r="I78" s="234"/>
      <c r="Q78" s="234"/>
      <c r="T78" s="236"/>
      <c r="U78" s="236"/>
      <c r="V78" s="236"/>
      <c r="AF78" s="236"/>
      <c r="AG78" s="236"/>
      <c r="AH78" s="236"/>
      <c r="AJ78" s="236"/>
      <c r="AK78" s="236"/>
      <c r="AL78" s="236"/>
      <c r="AM78" s="236"/>
      <c r="AN78" s="236"/>
      <c r="AQ78" s="286"/>
      <c r="AR78" s="286"/>
      <c r="AS78" s="286"/>
    </row>
  </sheetData>
  <sortState ref="AQ7:AT58">
    <sortCondition ref="AQ7"/>
  </sortState>
  <mergeCells count="9">
    <mergeCell ref="L16:M16"/>
    <mergeCell ref="O16:P16"/>
    <mergeCell ref="R16:S16"/>
    <mergeCell ref="U16:V16"/>
    <mergeCell ref="J5:J6"/>
    <mergeCell ref="L5:M6"/>
    <mergeCell ref="O5:P6"/>
    <mergeCell ref="R5:S6"/>
    <mergeCell ref="U5:V6"/>
  </mergeCells>
  <conditionalFormatting sqref="E7:E59 A60:E61 E62:E65">
    <cfRule type="expression" dxfId="542" priority="28" stopIfTrue="1">
      <formula>IF( $AH7 = 1, TRUE, FALSE )</formula>
    </cfRule>
    <cfRule type="expression" dxfId="541" priority="29" stopIfTrue="1">
      <formula>IF( $AG7 = 1, TRUE, FALSE )</formula>
    </cfRule>
    <cfRule type="expression" dxfId="540" priority="30" stopIfTrue="1">
      <formula>IF( $AF7 = 1, TRUE, FALSE )</formula>
    </cfRule>
  </conditionalFormatting>
  <conditionalFormatting sqref="A67:E67">
    <cfRule type="expression" dxfId="539" priority="31" stopIfTrue="1">
      <formula>IF( $AH67 = 1, TRUE, FALSE )</formula>
    </cfRule>
    <cfRule type="expression" dxfId="538" priority="32" stopIfTrue="1">
      <formula>IF( $AG67 = 1, TRUE, FALSE )</formula>
    </cfRule>
    <cfRule type="expression" dxfId="537" priority="33" stopIfTrue="1">
      <formula>IF( $AF67 = 1, TRUE, FALSE )</formula>
    </cfRule>
  </conditionalFormatting>
  <conditionalFormatting sqref="A66:E66">
    <cfRule type="expression" dxfId="536" priority="25" stopIfTrue="1">
      <formula>IF( $AH66 = 1, TRUE, FALSE )</formula>
    </cfRule>
    <cfRule type="expression" dxfId="535" priority="26" stopIfTrue="1">
      <formula>IF( $AG66 = 1, TRUE, FALSE )</formula>
    </cfRule>
    <cfRule type="expression" dxfId="534" priority="27" stopIfTrue="1">
      <formula>IF( $AF66 = 1, TRUE, FALSE )</formula>
    </cfRule>
  </conditionalFormatting>
  <conditionalFormatting sqref="A8:D58 B7:D7">
    <cfRule type="expression" dxfId="533" priority="22" stopIfTrue="1">
      <formula>IF( $AH7 = 1, TRUE, FALSE )</formula>
    </cfRule>
    <cfRule type="expression" dxfId="532" priority="23" stopIfTrue="1">
      <formula>IF( $AG7 = 1, TRUE, FALSE )</formula>
    </cfRule>
    <cfRule type="expression" dxfId="531" priority="24" stopIfTrue="1">
      <formula>IF( $AF7 = 1, TRUE, FALSE )</formula>
    </cfRule>
  </conditionalFormatting>
  <conditionalFormatting sqref="A59:D59">
    <cfRule type="expression" dxfId="530" priority="19" stopIfTrue="1">
      <formula>IF( $AH59 = 1, TRUE, FALSE )</formula>
    </cfRule>
    <cfRule type="expression" dxfId="529" priority="20" stopIfTrue="1">
      <formula>IF( $AG59 = 1, TRUE, FALSE )</formula>
    </cfRule>
    <cfRule type="expression" dxfId="528" priority="21" stopIfTrue="1">
      <formula>IF( $AF59 = 1, TRUE, FALSE )</formula>
    </cfRule>
  </conditionalFormatting>
  <conditionalFormatting sqref="A61:D65">
    <cfRule type="expression" dxfId="527" priority="16" stopIfTrue="1">
      <formula>IF( $AH61 = 1, TRUE, FALSE )</formula>
    </cfRule>
    <cfRule type="expression" dxfId="526" priority="17" stopIfTrue="1">
      <formula>IF( $AG61 = 1, TRUE, FALSE )</formula>
    </cfRule>
    <cfRule type="expression" dxfId="525" priority="18" stopIfTrue="1">
      <formula>IF( $AF61 = 1, TRUE, FALSE )</formula>
    </cfRule>
  </conditionalFormatting>
  <conditionalFormatting sqref="U8:U12">
    <cfRule type="cellIs" dxfId="524" priority="15" operator="equal">
      <formula>0</formula>
    </cfRule>
  </conditionalFormatting>
  <conditionalFormatting sqref="O8:O12 Q8:Q12">
    <cfRule type="cellIs" dxfId="523" priority="14" operator="equal">
      <formula>0</formula>
    </cfRule>
  </conditionalFormatting>
  <conditionalFormatting sqref="V8:V12">
    <cfRule type="cellIs" dxfId="522" priority="13" operator="equal">
      <formula>0</formula>
    </cfRule>
  </conditionalFormatting>
  <conditionalFormatting sqref="S8:S12">
    <cfRule type="cellIs" dxfId="521" priority="11" operator="equal">
      <formula>0</formula>
    </cfRule>
  </conditionalFormatting>
  <conditionalFormatting sqref="R8:R12">
    <cfRule type="cellIs" dxfId="520" priority="12" operator="equal">
      <formula>0</formula>
    </cfRule>
  </conditionalFormatting>
  <conditionalFormatting sqref="P8:P12">
    <cfRule type="cellIs" dxfId="519" priority="10" operator="equal">
      <formula>0</formula>
    </cfRule>
  </conditionalFormatting>
  <conditionalFormatting sqref="M8:M12">
    <cfRule type="cellIs" dxfId="518" priority="9" operator="equal">
      <formula>0</formula>
    </cfRule>
  </conditionalFormatting>
  <conditionalFormatting sqref="T8:T12">
    <cfRule type="cellIs" dxfId="517" priority="8" operator="equal">
      <formula>0</formula>
    </cfRule>
  </conditionalFormatting>
  <conditionalFormatting sqref="N8:N12">
    <cfRule type="cellIs" dxfId="516" priority="7" operator="equal">
      <formula>0</formula>
    </cfRule>
  </conditionalFormatting>
  <conditionalFormatting sqref="K8:K12">
    <cfRule type="cellIs" dxfId="515" priority="6" operator="equal">
      <formula>0</formula>
    </cfRule>
  </conditionalFormatting>
  <conditionalFormatting sqref="I8:I12">
    <cfRule type="cellIs" dxfId="514" priority="5" operator="equal">
      <formula>0</formula>
    </cfRule>
  </conditionalFormatting>
  <conditionalFormatting sqref="W8:W12">
    <cfRule type="cellIs" dxfId="513" priority="4" operator="equal">
      <formula>0</formula>
    </cfRule>
  </conditionalFormatting>
  <conditionalFormatting sqref="A7">
    <cfRule type="expression" dxfId="512" priority="1" stopIfTrue="1">
      <formula>IF( $AH7 = 1, TRUE, FALSE )</formula>
    </cfRule>
    <cfRule type="expression" dxfId="511" priority="2" stopIfTrue="1">
      <formula>IF( $AG7 = 1, TRUE, FALSE )</formula>
    </cfRule>
    <cfRule type="expression" dxfId="510" priority="3" stopIfTrue="1">
      <formula>IF( $AF7 = 1, TRUE, FALSE )</formula>
    </cfRule>
  </conditionalFormatting>
  <pageMargins left="0.17" right="0.18" top="0.28000000000000003" bottom="0.17" header="0.3" footer="0.3"/>
  <pageSetup scale="19" orientation="portrait" horizontalDpi="1200" verticalDpi="12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BJ79"/>
  <sheetViews>
    <sheetView showGridLines="0" zoomScale="85" zoomScaleNormal="85" workbookViewId="0">
      <pane ySplit="6" topLeftCell="A7" activePane="bottomLeft" state="frozen"/>
      <selection activeCell="A7" sqref="A7"/>
      <selection pane="bottomLeft" activeCell="A7" sqref="A7"/>
    </sheetView>
  </sheetViews>
  <sheetFormatPr defaultColWidth="9.140625" defaultRowHeight="12.75" outlineLevelRow="1" outlineLevelCol="2" x14ac:dyDescent="0.2"/>
  <cols>
    <col min="1" max="1" width="35.140625" style="234" customWidth="1"/>
    <col min="2" max="2" width="9.140625" style="234"/>
    <col min="3" max="3" width="9.42578125" style="263" customWidth="1"/>
    <col min="4" max="4" width="9.140625" style="235" customWidth="1" outlineLevel="1"/>
    <col min="5" max="5" width="12.5703125" style="235" customWidth="1" outlineLevel="1"/>
    <col min="6" max="6" width="3.42578125" style="234" customWidth="1" outlineLevel="1"/>
    <col min="7" max="7" width="17.7109375" style="236" hidden="1" customWidth="1" outlineLevel="2"/>
    <col min="8" max="8" width="3.42578125" style="234" hidden="1" customWidth="1" outlineLevel="2" collapsed="1"/>
    <col min="9" max="9" width="3.28515625" style="234" customWidth="1" outlineLevel="1" collapsed="1"/>
    <col min="10" max="10" width="22" style="234" customWidth="1"/>
    <col min="11" max="11" width="2" style="234" customWidth="1"/>
    <col min="12" max="13" width="10.42578125" style="234" customWidth="1"/>
    <col min="14" max="14" width="2" style="234" customWidth="1"/>
    <col min="15" max="16" width="10.42578125" style="234" customWidth="1"/>
    <col min="17" max="17" width="2" style="234" customWidth="1"/>
    <col min="18" max="19" width="10.42578125" style="234" customWidth="1"/>
    <col min="20" max="20" width="2" style="236" customWidth="1"/>
    <col min="21" max="22" width="10.42578125" style="236" customWidth="1"/>
    <col min="23" max="23" width="2" style="234" customWidth="1"/>
    <col min="24" max="24" width="4.140625" style="234" customWidth="1"/>
    <col min="25" max="25" width="5.5703125" style="234" customWidth="1"/>
    <col min="26" max="26" width="2.42578125" style="234" customWidth="1"/>
    <col min="27" max="27" width="4.28515625" style="234" customWidth="1"/>
    <col min="28" max="30" width="2.42578125" style="234" hidden="1" customWidth="1" outlineLevel="1"/>
    <col min="31" max="31" width="4.42578125" style="234" hidden="1" customWidth="1" outlineLevel="1"/>
    <col min="32" max="32" width="6.5703125" style="236" hidden="1" customWidth="1" outlineLevel="1" collapsed="1"/>
    <col min="33" max="34" width="6.5703125" style="236" hidden="1" customWidth="1" outlineLevel="1"/>
    <col min="35" max="35" width="3.140625" style="234" hidden="1" customWidth="1" outlineLevel="1"/>
    <col min="36" max="36" width="15.85546875" style="236" hidden="1" customWidth="1" outlineLevel="1" collapsed="1"/>
    <col min="37" max="38" width="15.85546875" style="236" hidden="1" customWidth="1" outlineLevel="1"/>
    <col min="39" max="39" width="8.42578125" style="236" hidden="1" customWidth="1" outlineLevel="1"/>
    <col min="40" max="40" width="11.85546875" style="236" hidden="1" customWidth="1" outlineLevel="1"/>
    <col min="41" max="41" width="3.42578125" style="234" customWidth="1" collapsed="1"/>
    <col min="42" max="42" width="3.42578125" style="234" customWidth="1"/>
    <col min="43" max="43" width="29.7109375" style="234" hidden="1" customWidth="1" outlineLevel="1"/>
    <col min="44" max="44" width="6.42578125" style="234" hidden="1" customWidth="1" outlineLevel="1"/>
    <col min="45" max="45" width="6.7109375" style="234" hidden="1" customWidth="1" outlineLevel="1"/>
    <col min="46" max="46" width="8.7109375" style="234" hidden="1" customWidth="1" outlineLevel="1"/>
    <col min="47" max="47" width="3.140625" style="234" hidden="1" customWidth="1" outlineLevel="1"/>
    <col min="48" max="56" width="9.140625" style="234" hidden="1" customWidth="1" outlineLevel="2"/>
    <col min="57" max="57" width="5.42578125" style="234" hidden="1" customWidth="1" outlineLevel="1" collapsed="1"/>
    <col min="58" max="58" width="36.85546875" style="234" hidden="1" customWidth="1" outlineLevel="1"/>
    <col min="59" max="59" width="6.42578125" style="234" hidden="1" customWidth="1" outlineLevel="1"/>
    <col min="60" max="60" width="3.42578125" style="234" hidden="1" customWidth="1" outlineLevel="1"/>
    <col min="61" max="61" width="9.140625" style="234" hidden="1" customWidth="1" outlineLevel="1"/>
    <col min="62" max="62" width="9.140625" style="234" collapsed="1"/>
    <col min="63" max="16384" width="9.140625" style="234"/>
  </cols>
  <sheetData>
    <row r="1" spans="1:61" ht="18.75" x14ac:dyDescent="0.2">
      <c r="A1" s="323" t="str">
        <f>"I.  S&amp;P Utility Credit Ratings Distribution -- " &amp; B6</f>
        <v>I.  S&amp;P Utility Credit Ratings Distribution -- 2014 Q3</v>
      </c>
      <c r="G1" s="242" t="s">
        <v>506</v>
      </c>
      <c r="AF1" s="237" t="s">
        <v>420</v>
      </c>
      <c r="AG1" s="237" t="s">
        <v>421</v>
      </c>
      <c r="AH1" s="237" t="s">
        <v>422</v>
      </c>
      <c r="AJ1" s="237" t="s">
        <v>424</v>
      </c>
      <c r="AK1" s="237" t="s">
        <v>426</v>
      </c>
      <c r="AL1" s="237" t="s">
        <v>426</v>
      </c>
      <c r="AM1" s="237" t="s">
        <v>424</v>
      </c>
      <c r="AN1" s="237"/>
      <c r="AQ1" s="237" t="s">
        <v>497</v>
      </c>
    </row>
    <row r="2" spans="1:61" ht="18.75" hidden="1" outlineLevel="1" x14ac:dyDescent="0.2">
      <c r="A2" s="233"/>
      <c r="E2" s="238" t="str">
        <f>G2</f>
        <v>Reg_Percent_2013</v>
      </c>
      <c r="G2" s="239" t="s">
        <v>505</v>
      </c>
      <c r="AJ2" s="240" t="str">
        <f>AJ4 &amp; AJ3</f>
        <v>'Credit_2014Q2'!d:d</v>
      </c>
      <c r="AK2" s="240" t="str">
        <f>AK4 &amp; AK3</f>
        <v>'Credit_2014Q2'!b1</v>
      </c>
      <c r="AL2" s="240" t="str">
        <f>AL4 &amp; AL3</f>
        <v>'Credit_2014Q2'!c1</v>
      </c>
      <c r="AQ2" s="236"/>
    </row>
    <row r="3" spans="1:61" ht="18.75" hidden="1" outlineLevel="1" x14ac:dyDescent="0.2">
      <c r="A3" s="233"/>
      <c r="E3" s="241" t="str">
        <f>"'" &amp; E2 &amp; "'!"</f>
        <v>'Reg_Percent_2013'!</v>
      </c>
      <c r="G3" s="234" t="str">
        <f>"'" &amp; G2 &amp; "'!"</f>
        <v>'Reg_Percent_2013'!</v>
      </c>
      <c r="O3" s="242" t="s">
        <v>371</v>
      </c>
      <c r="P3" s="242"/>
      <c r="Q3" s="242"/>
      <c r="R3" s="242" t="s">
        <v>372</v>
      </c>
      <c r="T3" s="234"/>
      <c r="U3" s="242" t="s">
        <v>86</v>
      </c>
      <c r="V3" s="234"/>
      <c r="X3" s="242"/>
      <c r="Y3" s="242"/>
      <c r="Z3" s="242"/>
      <c r="AA3" s="242"/>
      <c r="AJ3" s="210" t="s">
        <v>438</v>
      </c>
      <c r="AK3" s="210" t="s">
        <v>427</v>
      </c>
      <c r="AL3" s="210" t="s">
        <v>453</v>
      </c>
      <c r="AQ3" s="236"/>
    </row>
    <row r="4" spans="1:61" ht="18.75" hidden="1" outlineLevel="1" x14ac:dyDescent="0.2">
      <c r="A4" s="233"/>
      <c r="E4" s="242" t="s">
        <v>439</v>
      </c>
      <c r="G4" s="242" t="s">
        <v>438</v>
      </c>
      <c r="O4" s="236"/>
      <c r="P4" s="236"/>
      <c r="Q4" s="236"/>
      <c r="T4" s="234"/>
      <c r="U4" s="234"/>
      <c r="V4" s="234"/>
      <c r="AJ4" s="236" t="str">
        <f>$AQ$5</f>
        <v>'Credit_2014Q2'!</v>
      </c>
      <c r="AK4" s="236" t="str">
        <f t="shared" ref="AK4:AL4" si="0">$AQ$5</f>
        <v>'Credit_2014Q2'!</v>
      </c>
      <c r="AL4" s="236" t="str">
        <f t="shared" si="0"/>
        <v>'Credit_2014Q2'!</v>
      </c>
      <c r="AQ4" s="236"/>
    </row>
    <row r="5" spans="1:61" collapsed="1" x14ac:dyDescent="0.2">
      <c r="E5" s="243" t="s">
        <v>436</v>
      </c>
      <c r="G5" s="237" t="s">
        <v>424</v>
      </c>
      <c r="I5" s="314"/>
      <c r="J5" s="466" t="s">
        <v>77</v>
      </c>
      <c r="K5" s="314"/>
      <c r="L5" s="468" t="str">
        <f>"All Companies" &amp; CHAR( 10 ) &amp; "("&amp; L14 &amp; ")"</f>
        <v>All Companies
(53)</v>
      </c>
      <c r="M5" s="468"/>
      <c r="N5" s="314"/>
      <c r="O5" s="466" t="str">
        <f ca="1">"Regulated" &amp; CHAR( 10 ) &amp; "(" &amp; O14 &amp; ")"</f>
        <v>Regulated
(38)</v>
      </c>
      <c r="P5" s="470"/>
      <c r="Q5" s="314"/>
      <c r="R5" s="466" t="str">
        <f ca="1">"Mostly Regulated" &amp; CHAR( 10 ) &amp; "(" &amp; R14 &amp; ")"</f>
        <v>Mostly Regulated
(13)</v>
      </c>
      <c r="S5" s="470"/>
      <c r="T5" s="314"/>
      <c r="U5" s="466" t="str">
        <f ca="1">"Diversified" &amp; CHAR( 10 ) &amp; "(" &amp; U14 &amp; ")"</f>
        <v>Diversified
(2)</v>
      </c>
      <c r="V5" s="470"/>
      <c r="W5" s="314"/>
      <c r="AE5" s="244"/>
      <c r="AF5" s="234"/>
      <c r="AG5" s="234"/>
      <c r="AH5" s="234"/>
      <c r="AJ5" s="234"/>
      <c r="AK5" s="234"/>
      <c r="AL5" s="234"/>
      <c r="AM5" s="234"/>
      <c r="AN5" s="234"/>
      <c r="AQ5" s="432" t="s">
        <v>508</v>
      </c>
    </row>
    <row r="6" spans="1:61" ht="28.5" customHeight="1" x14ac:dyDescent="0.2">
      <c r="A6" s="299" t="s">
        <v>0</v>
      </c>
      <c r="B6" s="300" t="s">
        <v>503</v>
      </c>
      <c r="C6" s="338" t="s">
        <v>471</v>
      </c>
      <c r="D6" s="301"/>
      <c r="E6" s="302">
        <f ca="1">INDIRECT( E3 &amp; G1 )</f>
        <v>41639</v>
      </c>
      <c r="I6" s="315"/>
      <c r="J6" s="467"/>
      <c r="K6" s="315"/>
      <c r="L6" s="469"/>
      <c r="M6" s="469"/>
      <c r="N6" s="315"/>
      <c r="O6" s="467"/>
      <c r="P6" s="467"/>
      <c r="Q6" s="315"/>
      <c r="R6" s="467" t="s">
        <v>137</v>
      </c>
      <c r="S6" s="467"/>
      <c r="T6" s="315"/>
      <c r="U6" s="467"/>
      <c r="V6" s="467"/>
      <c r="W6" s="315"/>
      <c r="AE6" s="245"/>
      <c r="AJ6" s="246"/>
    </row>
    <row r="7" spans="1:61" x14ac:dyDescent="0.2">
      <c r="A7" s="303" t="s">
        <v>7</v>
      </c>
      <c r="B7" s="304" t="s">
        <v>2</v>
      </c>
      <c r="C7" s="304">
        <v>21</v>
      </c>
      <c r="D7" s="304" t="s">
        <v>328</v>
      </c>
      <c r="E7" s="305" t="str">
        <f ca="1">IF( LEN( $G7 ) = 0, "", OFFSET( INDIRECT( E$3 &amp; E$4 ), $G7 - 1, 0 ) )</f>
        <v>R</v>
      </c>
      <c r="F7" s="306"/>
      <c r="G7" s="307">
        <f t="shared" ref="G7:G64" ca="1" si="1">IF( LEN( $D7 ) = 0, "", MATCH( $D7, INDIRECT( G$3 &amp; G$4 ), 0 ) )</f>
        <v>47</v>
      </c>
      <c r="H7" s="250"/>
      <c r="I7" s="316"/>
      <c r="J7" s="252"/>
      <c r="K7" s="316"/>
      <c r="L7" s="252" t="s">
        <v>81</v>
      </c>
      <c r="M7" s="252" t="s">
        <v>82</v>
      </c>
      <c r="N7" s="316"/>
      <c r="O7" s="252" t="s">
        <v>81</v>
      </c>
      <c r="P7" s="252" t="s">
        <v>82</v>
      </c>
      <c r="Q7" s="316"/>
      <c r="R7" s="252" t="s">
        <v>81</v>
      </c>
      <c r="S7" s="252" t="s">
        <v>82</v>
      </c>
      <c r="T7" s="316"/>
      <c r="U7" s="252" t="s">
        <v>81</v>
      </c>
      <c r="V7" s="252" t="s">
        <v>82</v>
      </c>
      <c r="W7" s="316"/>
      <c r="AE7" s="254"/>
      <c r="AF7" s="236">
        <f t="shared" ref="AF7:AF67" si="2">IF( LEN( C7 ) = 0, 0, IF( C7 = C6, AF6, IF( AF6 = 1, 0, 1 ) ) )</f>
        <v>1</v>
      </c>
      <c r="AG7" s="236" t="str">
        <f t="shared" ref="AG7:AG64" ca="1" si="3">IF( LEN( $C7 ) = 0, "", IF( $C7 &gt; $AL7, 1, "" ) )</f>
        <v/>
      </c>
      <c r="AH7" s="236" t="str">
        <f ca="1">IF( LEN( $C7 ) = 0, "", IF( $C7 &lt; $AL7, 1, "" ) )</f>
        <v/>
      </c>
      <c r="AJ7" s="236">
        <f ca="1">MATCH( $D7, INDIRECT( AJ$2 ), 0 )</f>
        <v>7</v>
      </c>
      <c r="AK7" s="236" t="str">
        <f ca="1">IF( ISNA( $AJ7 ), "", OFFSET( INDIRECT( AK$2 ), $AJ7-1, 0 ) )</f>
        <v>A</v>
      </c>
      <c r="AL7" s="236">
        <f ca="1">IF( ISNA( $AJ7 ), "", OFFSET( INDIRECT( AL$2 ), $AJ7-1, 0 ) )</f>
        <v>21</v>
      </c>
      <c r="AM7" s="236" t="str">
        <f t="shared" ref="AM7:AM67" ca="1" si="4">IF( B7 = AK7, "", "Change" )</f>
        <v/>
      </c>
      <c r="AQ7" s="286" t="s">
        <v>15</v>
      </c>
      <c r="AR7" s="286" t="s">
        <v>16</v>
      </c>
      <c r="AS7" s="286">
        <v>19</v>
      </c>
      <c r="AT7" s="286" t="s">
        <v>277</v>
      </c>
      <c r="AV7" s="234">
        <f>IF( LEN( AS7 ) = 0, 99, RANK( AS7, $AS$7:$AS$63 ) )</f>
        <v>14</v>
      </c>
      <c r="AW7" s="234">
        <f>COUNTIF( AV7:AV$7, AV7 )</f>
        <v>1</v>
      </c>
      <c r="AX7" s="287">
        <f>AV7 + AW7 / 10</f>
        <v>14.1</v>
      </c>
      <c r="AY7" s="234">
        <f>RANK( AX7, $AX$7:$AX$63, 1 )</f>
        <v>14</v>
      </c>
      <c r="AZ7" s="236"/>
      <c r="BA7" s="236"/>
      <c r="BC7" s="234">
        <f t="shared" ref="BC7" ca="1" si="5">OFFSET( BC7, -1, 0 ) + 1</f>
        <v>1</v>
      </c>
      <c r="BD7" s="288">
        <f t="shared" ref="BD7:BD62" ca="1" si="6">MATCH( BC7, $AY$7:$AY$63, 0 )</f>
        <v>45</v>
      </c>
      <c r="BF7" s="240" t="str">
        <f t="shared" ref="BF7:BI38" ca="1" si="7">OFFSET( AQ$6, $BD7, 0 )</f>
        <v>Southern Company</v>
      </c>
      <c r="BG7" s="240" t="str">
        <f t="shared" ca="1" si="7"/>
        <v>A</v>
      </c>
      <c r="BH7" s="240">
        <f t="shared" ca="1" si="7"/>
        <v>21</v>
      </c>
      <c r="BI7" s="240" t="str">
        <f t="shared" ca="1" si="7"/>
        <v>SO</v>
      </c>
    </row>
    <row r="8" spans="1:61" x14ac:dyDescent="0.2">
      <c r="A8" s="303" t="s">
        <v>17</v>
      </c>
      <c r="B8" s="304" t="s">
        <v>10</v>
      </c>
      <c r="C8" s="304">
        <v>20</v>
      </c>
      <c r="D8" s="304" t="s">
        <v>307</v>
      </c>
      <c r="E8" s="305" t="str">
        <f t="shared" ref="E8:E64" ca="1" si="8">IF( LEN( $G8 ) = 0, "", OFFSET( INDIRECT( E$3 &amp; E$4 ), $G8 - 1, 0 ) )</f>
        <v>R</v>
      </c>
      <c r="F8" s="306"/>
      <c r="G8" s="307">
        <f t="shared" ca="1" si="1"/>
        <v>8</v>
      </c>
      <c r="H8" s="250"/>
      <c r="I8" s="317"/>
      <c r="J8" s="293" t="s">
        <v>138</v>
      </c>
      <c r="K8" s="317"/>
      <c r="L8" s="293">
        <f t="shared" ref="L8:L13" si="9">COUNTIF($C$7:$C$67,$X8)</f>
        <v>2</v>
      </c>
      <c r="M8" s="294">
        <f t="shared" ref="M8:M13" si="10">IF( L8 = 0, "", L8/L$14 )</f>
        <v>3.7735849056603772E-2</v>
      </c>
      <c r="N8" s="317"/>
      <c r="O8" s="293">
        <f t="shared" ref="O8:O13" ca="1" si="11">COUNTIFS( $E$7:$E$66, O$3, $C$7:$C$66, $X8 )</f>
        <v>1</v>
      </c>
      <c r="P8" s="294">
        <f t="shared" ref="P8:P13" ca="1" si="12">IF( O8 = 0, "", O8/O$14 )</f>
        <v>2.6315789473684209E-2</v>
      </c>
      <c r="Q8" s="317"/>
      <c r="R8" s="293">
        <f t="shared" ref="R8:R13" ca="1" si="13">COUNTIFS( $E$7:$E$66, R$3, $C$7:$C$66, $X8 )</f>
        <v>1</v>
      </c>
      <c r="S8" s="294">
        <f t="shared" ref="S8:S13" ca="1" si="14">IF( R8 = 0, "", R8/R$14 )</f>
        <v>7.6923076923076927E-2</v>
      </c>
      <c r="T8" s="317"/>
      <c r="U8" s="293">
        <f t="shared" ref="U8:U13" ca="1" si="15">COUNTIFS( $E$7:$E$66, U$3, $C$7:$C$66, $X8 )</f>
        <v>0</v>
      </c>
      <c r="V8" s="294" t="str">
        <f t="shared" ref="V8:V13" ca="1" si="16">IF( U8 = 0, "", U8/U$14 )</f>
        <v/>
      </c>
      <c r="W8" s="317"/>
      <c r="X8" s="256" t="s">
        <v>464</v>
      </c>
      <c r="Y8" s="256">
        <v>21</v>
      </c>
      <c r="Z8" s="256">
        <v>1</v>
      </c>
      <c r="AA8" s="255">
        <f t="shared" ref="AA8:AA13" ca="1" si="17">SUM(O8, R8, U8)</f>
        <v>2</v>
      </c>
      <c r="AC8" s="257"/>
      <c r="AE8" s="254"/>
      <c r="AF8" s="236">
        <f t="shared" si="2"/>
        <v>0</v>
      </c>
      <c r="AG8" s="236" t="str">
        <f t="shared" ca="1" si="3"/>
        <v/>
      </c>
      <c r="AH8" s="236" t="str">
        <f t="shared" ref="AH8:AH67" ca="1" si="18">IF( LEN( $C8 ) = 0, "", IF( $C8 &lt; $AL8, 1, "" ) )</f>
        <v/>
      </c>
      <c r="AJ8" s="236">
        <f t="shared" ref="AJ8:AJ67" ca="1" si="19">MATCH( $D8, INDIRECT( AJ$2 ), 0 )</f>
        <v>8</v>
      </c>
      <c r="AK8" s="236" t="str">
        <f t="shared" ref="AK8:AL67" ca="1" si="20">IF( ISNA( $AJ8 ), "", OFFSET( INDIRECT( AK$2 ), $AJ8-1, 0 ) )</f>
        <v>A-</v>
      </c>
      <c r="AL8" s="236">
        <f t="shared" ca="1" si="20"/>
        <v>20</v>
      </c>
      <c r="AM8" s="236" t="str">
        <f t="shared" ca="1" si="4"/>
        <v/>
      </c>
      <c r="AQ8" s="286" t="s">
        <v>17</v>
      </c>
      <c r="AR8" s="286" t="s">
        <v>10</v>
      </c>
      <c r="AS8" s="286">
        <v>20</v>
      </c>
      <c r="AT8" s="286" t="s">
        <v>307</v>
      </c>
      <c r="AV8" s="234">
        <f t="shared" ref="AV8:AV63" si="21">IF( LEN( AS8 ) = 0, 99, RANK( AS8, $AS$7:$AS$63 ) )</f>
        <v>2</v>
      </c>
      <c r="AW8" s="234">
        <f>COUNTIF( AV$7:AV8, AV8 )</f>
        <v>1</v>
      </c>
      <c r="AX8" s="287">
        <f t="shared" ref="AX8:AX63" si="22">AV8 + AW8 / 10</f>
        <v>2.1</v>
      </c>
      <c r="AY8" s="234">
        <f t="shared" ref="AY8:AY63" si="23">RANK( AX8, $AX$7:$AX$63, 1 )</f>
        <v>2</v>
      </c>
      <c r="AZ8" s="236"/>
      <c r="BA8" s="236"/>
      <c r="BC8" s="234">
        <f ca="1">OFFSET( BC8, -1, 0 ) + 1</f>
        <v>2</v>
      </c>
      <c r="BD8" s="288">
        <f t="shared" ca="1" si="6"/>
        <v>2</v>
      </c>
      <c r="BF8" s="240" t="str">
        <f t="shared" ca="1" si="7"/>
        <v>Alliant Energy Corporation</v>
      </c>
      <c r="BG8" s="240" t="str">
        <f t="shared" ca="1" si="7"/>
        <v>A-</v>
      </c>
      <c r="BH8" s="240">
        <f t="shared" ca="1" si="7"/>
        <v>20</v>
      </c>
      <c r="BI8" s="240" t="str">
        <f t="shared" ca="1" si="7"/>
        <v>LNT</v>
      </c>
    </row>
    <row r="9" spans="1:61" x14ac:dyDescent="0.2">
      <c r="A9" s="303" t="s">
        <v>29</v>
      </c>
      <c r="B9" s="304" t="s">
        <v>10</v>
      </c>
      <c r="C9" s="304">
        <v>20</v>
      </c>
      <c r="D9" s="304" t="s">
        <v>286</v>
      </c>
      <c r="E9" s="305" t="str">
        <f t="shared" ca="1" si="8"/>
        <v>MR</v>
      </c>
      <c r="F9" s="306"/>
      <c r="G9" s="307">
        <f t="shared" ca="1" si="1"/>
        <v>13</v>
      </c>
      <c r="H9" s="250"/>
      <c r="I9" s="318"/>
      <c r="J9" s="295" t="s">
        <v>10</v>
      </c>
      <c r="K9" s="318"/>
      <c r="L9" s="295">
        <f t="shared" si="9"/>
        <v>12</v>
      </c>
      <c r="M9" s="296">
        <f t="shared" si="10"/>
        <v>0.22641509433962265</v>
      </c>
      <c r="N9" s="318"/>
      <c r="O9" s="295">
        <f t="shared" ca="1" si="11"/>
        <v>8</v>
      </c>
      <c r="P9" s="296">
        <f t="shared" ca="1" si="12"/>
        <v>0.21052631578947367</v>
      </c>
      <c r="Q9" s="318"/>
      <c r="R9" s="295">
        <f t="shared" ca="1" si="13"/>
        <v>4</v>
      </c>
      <c r="S9" s="296">
        <f t="shared" ca="1" si="14"/>
        <v>0.30769230769230771</v>
      </c>
      <c r="T9" s="318"/>
      <c r="U9" s="295">
        <f t="shared" ca="1" si="15"/>
        <v>0</v>
      </c>
      <c r="V9" s="296" t="str">
        <f t="shared" ca="1" si="16"/>
        <v/>
      </c>
      <c r="W9" s="318"/>
      <c r="X9" s="256" t="s">
        <v>465</v>
      </c>
      <c r="Y9" s="256">
        <v>20</v>
      </c>
      <c r="Z9" s="256">
        <v>1</v>
      </c>
      <c r="AA9" s="255">
        <f t="shared" ca="1" si="17"/>
        <v>12</v>
      </c>
      <c r="AC9" s="253"/>
      <c r="AE9" s="254"/>
      <c r="AF9" s="236">
        <f t="shared" si="2"/>
        <v>0</v>
      </c>
      <c r="AG9" s="236" t="str">
        <f t="shared" ca="1" si="3"/>
        <v/>
      </c>
      <c r="AH9" s="236" t="str">
        <f t="shared" ca="1" si="18"/>
        <v/>
      </c>
      <c r="AJ9" s="236">
        <f t="shared" ca="1" si="19"/>
        <v>9</v>
      </c>
      <c r="AK9" s="236" t="str">
        <f t="shared" ca="1" si="20"/>
        <v>A-</v>
      </c>
      <c r="AL9" s="236">
        <f t="shared" ca="1" si="20"/>
        <v>20</v>
      </c>
      <c r="AM9" s="236" t="str">
        <f t="shared" ca="1" si="4"/>
        <v/>
      </c>
      <c r="AQ9" s="286" t="s">
        <v>9</v>
      </c>
      <c r="AR9" s="286" t="s">
        <v>16</v>
      </c>
      <c r="AS9" s="286">
        <v>19</v>
      </c>
      <c r="AT9" s="286" t="s">
        <v>274</v>
      </c>
      <c r="AV9" s="234">
        <f t="shared" si="21"/>
        <v>14</v>
      </c>
      <c r="AW9" s="234">
        <f>COUNTIF( AV$7:AV9, AV9 )</f>
        <v>2</v>
      </c>
      <c r="AX9" s="287">
        <f t="shared" si="22"/>
        <v>14.2</v>
      </c>
      <c r="AY9" s="234">
        <f t="shared" si="23"/>
        <v>15</v>
      </c>
      <c r="AZ9" s="236"/>
      <c r="BA9" s="236"/>
      <c r="BC9" s="234">
        <f t="shared" ref="BC9:BC63" ca="1" si="24">OFFSET( BC9, -1, 0 ) + 1</f>
        <v>3</v>
      </c>
      <c r="BD9" s="288">
        <f t="shared" ca="1" si="6"/>
        <v>8</v>
      </c>
      <c r="BF9" s="240" t="str">
        <f t="shared" ca="1" si="7"/>
        <v>CenterPoint Energy, Inc.</v>
      </c>
      <c r="BG9" s="240" t="str">
        <f t="shared" ca="1" si="7"/>
        <v>A-</v>
      </c>
      <c r="BH9" s="240">
        <f t="shared" ca="1" si="7"/>
        <v>20</v>
      </c>
      <c r="BI9" s="240" t="str">
        <f t="shared" ca="1" si="7"/>
        <v>CNP</v>
      </c>
    </row>
    <row r="10" spans="1:61" x14ac:dyDescent="0.2">
      <c r="A10" s="303" t="s">
        <v>3</v>
      </c>
      <c r="B10" s="304" t="s">
        <v>10</v>
      </c>
      <c r="C10" s="304">
        <v>20</v>
      </c>
      <c r="D10" s="304" t="s">
        <v>292</v>
      </c>
      <c r="E10" s="305" t="str">
        <f t="shared" ca="1" si="8"/>
        <v>R</v>
      </c>
      <c r="F10" s="306"/>
      <c r="G10" s="307">
        <f t="shared" ca="1" si="1"/>
        <v>16</v>
      </c>
      <c r="H10" s="250"/>
      <c r="I10" s="318"/>
      <c r="J10" s="295" t="s">
        <v>16</v>
      </c>
      <c r="K10" s="318"/>
      <c r="L10" s="295">
        <f t="shared" si="9"/>
        <v>15</v>
      </c>
      <c r="M10" s="296">
        <f t="shared" si="10"/>
        <v>0.28301886792452829</v>
      </c>
      <c r="N10" s="318"/>
      <c r="O10" s="295">
        <f t="shared" ca="1" si="11"/>
        <v>10</v>
      </c>
      <c r="P10" s="296">
        <f t="shared" ca="1" si="12"/>
        <v>0.26315789473684209</v>
      </c>
      <c r="Q10" s="318"/>
      <c r="R10" s="295">
        <f t="shared" ca="1" si="13"/>
        <v>4</v>
      </c>
      <c r="S10" s="296">
        <f t="shared" ca="1" si="14"/>
        <v>0.30769230769230771</v>
      </c>
      <c r="T10" s="318"/>
      <c r="U10" s="295">
        <f t="shared" ca="1" si="15"/>
        <v>1</v>
      </c>
      <c r="V10" s="296">
        <f t="shared" ca="1" si="16"/>
        <v>0.5</v>
      </c>
      <c r="W10" s="318"/>
      <c r="X10" s="256" t="s">
        <v>466</v>
      </c>
      <c r="Y10" s="256">
        <v>19</v>
      </c>
      <c r="Z10" s="256">
        <v>1</v>
      </c>
      <c r="AA10" s="255">
        <f t="shared" ca="1" si="17"/>
        <v>15</v>
      </c>
      <c r="AE10" s="254"/>
      <c r="AF10" s="236">
        <f t="shared" si="2"/>
        <v>0</v>
      </c>
      <c r="AG10" s="236" t="str">
        <f t="shared" ca="1" si="3"/>
        <v/>
      </c>
      <c r="AH10" s="236" t="str">
        <f t="shared" ca="1" si="18"/>
        <v/>
      </c>
      <c r="AJ10" s="236">
        <f t="shared" ca="1" si="19"/>
        <v>10</v>
      </c>
      <c r="AK10" s="236" t="str">
        <f t="shared" ca="1" si="20"/>
        <v>A-</v>
      </c>
      <c r="AL10" s="236">
        <f t="shared" ca="1" si="20"/>
        <v>20</v>
      </c>
      <c r="AM10" s="236" t="str">
        <f t="shared" ca="1" si="4"/>
        <v/>
      </c>
      <c r="AQ10" s="286" t="s">
        <v>259</v>
      </c>
      <c r="AR10" s="286" t="s">
        <v>28</v>
      </c>
      <c r="AS10" s="286">
        <v>18</v>
      </c>
      <c r="AT10" s="286" t="s">
        <v>275</v>
      </c>
      <c r="AV10" s="234">
        <f t="shared" si="21"/>
        <v>29</v>
      </c>
      <c r="AW10" s="234">
        <f>COUNTIF( AV$7:AV10, AV10 )</f>
        <v>1</v>
      </c>
      <c r="AX10" s="287">
        <f t="shared" si="22"/>
        <v>29.1</v>
      </c>
      <c r="AY10" s="234">
        <f t="shared" si="23"/>
        <v>29</v>
      </c>
      <c r="AZ10" s="236"/>
      <c r="BA10" s="236"/>
      <c r="BC10" s="234">
        <f t="shared" ca="1" si="24"/>
        <v>4</v>
      </c>
      <c r="BD10" s="288">
        <f t="shared" ca="1" si="6"/>
        <v>11</v>
      </c>
      <c r="BF10" s="240" t="str">
        <f t="shared" ca="1" si="7"/>
        <v>Consolidated Edison, Inc.</v>
      </c>
      <c r="BG10" s="240" t="str">
        <f t="shared" ca="1" si="7"/>
        <v>A-</v>
      </c>
      <c r="BH10" s="240">
        <f t="shared" ca="1" si="7"/>
        <v>20</v>
      </c>
      <c r="BI10" s="240" t="str">
        <f t="shared" ca="1" si="7"/>
        <v>ED</v>
      </c>
    </row>
    <row r="11" spans="1:61" x14ac:dyDescent="0.2">
      <c r="A11" s="303" t="s">
        <v>18</v>
      </c>
      <c r="B11" s="304" t="s">
        <v>10</v>
      </c>
      <c r="C11" s="304">
        <v>20</v>
      </c>
      <c r="D11" s="304" t="s">
        <v>86</v>
      </c>
      <c r="E11" s="305" t="str">
        <f t="shared" ca="1" si="8"/>
        <v>MR</v>
      </c>
      <c r="F11" s="306"/>
      <c r="G11" s="307">
        <f t="shared" ca="1" si="1"/>
        <v>17</v>
      </c>
      <c r="H11" s="250"/>
      <c r="I11" s="318"/>
      <c r="J11" s="295" t="s">
        <v>28</v>
      </c>
      <c r="K11" s="318"/>
      <c r="L11" s="295">
        <f t="shared" si="9"/>
        <v>18</v>
      </c>
      <c r="M11" s="296">
        <f t="shared" si="10"/>
        <v>0.33962264150943394</v>
      </c>
      <c r="N11" s="318"/>
      <c r="O11" s="295">
        <f t="shared" ca="1" si="11"/>
        <v>16</v>
      </c>
      <c r="P11" s="296">
        <f t="shared" ca="1" si="12"/>
        <v>0.42105263157894735</v>
      </c>
      <c r="Q11" s="318"/>
      <c r="R11" s="295">
        <f t="shared" ca="1" si="13"/>
        <v>2</v>
      </c>
      <c r="S11" s="296">
        <f t="shared" ca="1" si="14"/>
        <v>0.15384615384615385</v>
      </c>
      <c r="T11" s="318"/>
      <c r="U11" s="295">
        <f t="shared" ca="1" si="15"/>
        <v>0</v>
      </c>
      <c r="V11" s="296" t="str">
        <f t="shared" ca="1" si="16"/>
        <v/>
      </c>
      <c r="W11" s="318"/>
      <c r="X11" s="256" t="s">
        <v>467</v>
      </c>
      <c r="Y11" s="256">
        <v>18</v>
      </c>
      <c r="Z11" s="256">
        <v>1</v>
      </c>
      <c r="AA11" s="255">
        <f t="shared" ca="1" si="17"/>
        <v>18</v>
      </c>
      <c r="AE11" s="254"/>
      <c r="AF11" s="236">
        <f t="shared" si="2"/>
        <v>0</v>
      </c>
      <c r="AG11" s="236" t="str">
        <f t="shared" ca="1" si="3"/>
        <v/>
      </c>
      <c r="AH11" s="236" t="str">
        <f t="shared" ca="1" si="18"/>
        <v/>
      </c>
      <c r="AJ11" s="236">
        <f t="shared" ca="1" si="19"/>
        <v>11</v>
      </c>
      <c r="AK11" s="236" t="str">
        <f t="shared" ca="1" si="20"/>
        <v>A-</v>
      </c>
      <c r="AL11" s="236">
        <f t="shared" ca="1" si="20"/>
        <v>20</v>
      </c>
      <c r="AM11" s="236" t="str">
        <f t="shared" ca="1" si="4"/>
        <v/>
      </c>
      <c r="AQ11" s="286" t="s">
        <v>55</v>
      </c>
      <c r="AR11" s="286" t="s">
        <v>28</v>
      </c>
      <c r="AS11" s="286">
        <v>18</v>
      </c>
      <c r="AT11" s="286" t="s">
        <v>278</v>
      </c>
      <c r="AV11" s="234">
        <f t="shared" si="21"/>
        <v>29</v>
      </c>
      <c r="AW11" s="234">
        <f>COUNTIF( AV$7:AV11, AV11 )</f>
        <v>2</v>
      </c>
      <c r="AX11" s="287">
        <f t="shared" si="22"/>
        <v>29.2</v>
      </c>
      <c r="AY11" s="234">
        <f t="shared" si="23"/>
        <v>30</v>
      </c>
      <c r="AZ11" s="236"/>
      <c r="BA11" s="236"/>
      <c r="BC11" s="234">
        <f t="shared" ca="1" si="24"/>
        <v>5</v>
      </c>
      <c r="BD11" s="288">
        <f t="shared" ca="1" si="6"/>
        <v>12</v>
      </c>
      <c r="BF11" s="240" t="str">
        <f t="shared" ca="1" si="7"/>
        <v>Dominion Resources, Inc.</v>
      </c>
      <c r="BG11" s="240" t="str">
        <f t="shared" ca="1" si="7"/>
        <v>A-</v>
      </c>
      <c r="BH11" s="240">
        <f t="shared" ca="1" si="7"/>
        <v>20</v>
      </c>
      <c r="BI11" s="240" t="str">
        <f t="shared" ca="1" si="7"/>
        <v>D</v>
      </c>
    </row>
    <row r="12" spans="1:61" x14ac:dyDescent="0.2">
      <c r="A12" s="303" t="s">
        <v>254</v>
      </c>
      <c r="B12" s="304" t="s">
        <v>10</v>
      </c>
      <c r="C12" s="304">
        <v>20</v>
      </c>
      <c r="D12" s="304" t="s">
        <v>331</v>
      </c>
      <c r="E12" s="305" t="str">
        <f t="shared" ca="1" si="8"/>
        <v>R</v>
      </c>
      <c r="F12" s="306"/>
      <c r="G12" s="307">
        <f t="shared" ca="1" si="1"/>
        <v>29</v>
      </c>
      <c r="H12" s="250"/>
      <c r="I12" s="318"/>
      <c r="J12" s="295" t="s">
        <v>49</v>
      </c>
      <c r="K12" s="318"/>
      <c r="L12" s="295">
        <f t="shared" si="9"/>
        <v>4</v>
      </c>
      <c r="M12" s="296">
        <f t="shared" si="10"/>
        <v>7.5471698113207544E-2</v>
      </c>
      <c r="N12" s="318"/>
      <c r="O12" s="295">
        <f t="shared" ca="1" si="11"/>
        <v>1</v>
      </c>
      <c r="P12" s="296">
        <f t="shared" ca="1" si="12"/>
        <v>2.6315789473684209E-2</v>
      </c>
      <c r="Q12" s="318"/>
      <c r="R12" s="295">
        <f t="shared" ca="1" si="13"/>
        <v>2</v>
      </c>
      <c r="S12" s="296">
        <f t="shared" ca="1" si="14"/>
        <v>0.15384615384615385</v>
      </c>
      <c r="T12" s="318"/>
      <c r="U12" s="295">
        <f t="shared" ca="1" si="15"/>
        <v>1</v>
      </c>
      <c r="V12" s="296">
        <f t="shared" ca="1" si="16"/>
        <v>0.5</v>
      </c>
      <c r="W12" s="318"/>
      <c r="X12" s="256" t="s">
        <v>468</v>
      </c>
      <c r="Y12" s="256">
        <v>17</v>
      </c>
      <c r="Z12" s="256">
        <v>1</v>
      </c>
      <c r="AA12" s="255">
        <f t="shared" ca="1" si="17"/>
        <v>4</v>
      </c>
      <c r="AE12" s="254"/>
      <c r="AF12" s="236">
        <f t="shared" si="2"/>
        <v>0</v>
      </c>
      <c r="AG12" s="236" t="str">
        <f t="shared" ca="1" si="3"/>
        <v/>
      </c>
      <c r="AH12" s="236" t="str">
        <f t="shared" ca="1" si="18"/>
        <v/>
      </c>
      <c r="AJ12" s="236">
        <f t="shared" ca="1" si="19"/>
        <v>12</v>
      </c>
      <c r="AK12" s="236" t="str">
        <f t="shared" ca="1" si="20"/>
        <v>A-</v>
      </c>
      <c r="AL12" s="236">
        <f t="shared" ca="1" si="20"/>
        <v>20</v>
      </c>
      <c r="AM12" s="236" t="str">
        <f t="shared" ca="1" si="4"/>
        <v/>
      </c>
      <c r="AQ12" s="286" t="s">
        <v>501</v>
      </c>
      <c r="AR12" s="286" t="s">
        <v>16</v>
      </c>
      <c r="AS12" s="286">
        <v>19</v>
      </c>
      <c r="AT12" s="286" t="s">
        <v>447</v>
      </c>
      <c r="AV12" s="234">
        <f t="shared" si="21"/>
        <v>14</v>
      </c>
      <c r="AW12" s="234">
        <f>COUNTIF( AV$7:AV12, AV12 )</f>
        <v>3</v>
      </c>
      <c r="AX12" s="287">
        <f t="shared" si="22"/>
        <v>14.3</v>
      </c>
      <c r="AY12" s="234">
        <f t="shared" si="23"/>
        <v>16</v>
      </c>
      <c r="AZ12" s="236"/>
      <c r="BA12" s="236"/>
      <c r="BC12" s="234">
        <f t="shared" ca="1" si="24"/>
        <v>6</v>
      </c>
      <c r="BD12" s="288">
        <f t="shared" ca="1" si="6"/>
        <v>26</v>
      </c>
      <c r="BF12" s="240" t="str">
        <f t="shared" ca="1" si="7"/>
        <v>Integrys Energy Group, Inc.</v>
      </c>
      <c r="BG12" s="240" t="str">
        <f t="shared" ca="1" si="7"/>
        <v>A-</v>
      </c>
      <c r="BH12" s="240">
        <f t="shared" ca="1" si="7"/>
        <v>20</v>
      </c>
      <c r="BI12" s="240" t="str">
        <f t="shared" ca="1" si="7"/>
        <v>TEG</v>
      </c>
    </row>
    <row r="13" spans="1:61" x14ac:dyDescent="0.2">
      <c r="A13" s="303" t="s">
        <v>370</v>
      </c>
      <c r="B13" s="304" t="s">
        <v>10</v>
      </c>
      <c r="C13" s="304">
        <v>20</v>
      </c>
      <c r="D13" s="304" t="s">
        <v>369</v>
      </c>
      <c r="E13" s="305" t="str">
        <f t="shared" ca="1" si="8"/>
        <v>MR</v>
      </c>
      <c r="F13" s="306"/>
      <c r="G13" s="307">
        <f t="shared" ca="1" si="1"/>
        <v>32</v>
      </c>
      <c r="H13" s="250"/>
      <c r="I13" s="319"/>
      <c r="J13" s="297" t="s">
        <v>79</v>
      </c>
      <c r="K13" s="319"/>
      <c r="L13" s="297">
        <f t="shared" si="9"/>
        <v>2</v>
      </c>
      <c r="M13" s="298">
        <f t="shared" si="10"/>
        <v>3.7735849056603772E-2</v>
      </c>
      <c r="N13" s="319"/>
      <c r="O13" s="297">
        <f t="shared" ca="1" si="11"/>
        <v>2</v>
      </c>
      <c r="P13" s="298">
        <f t="shared" ca="1" si="12"/>
        <v>5.2631578947368418E-2</v>
      </c>
      <c r="Q13" s="319"/>
      <c r="R13" s="297">
        <f t="shared" ca="1" si="13"/>
        <v>0</v>
      </c>
      <c r="S13" s="298" t="str">
        <f t="shared" ca="1" si="14"/>
        <v/>
      </c>
      <c r="T13" s="319"/>
      <c r="U13" s="297">
        <f t="shared" ca="1" si="15"/>
        <v>0</v>
      </c>
      <c r="V13" s="298" t="str">
        <f t="shared" ca="1" si="16"/>
        <v/>
      </c>
      <c r="W13" s="319"/>
      <c r="X13" s="256" t="s">
        <v>469</v>
      </c>
      <c r="Y13" s="256">
        <v>16</v>
      </c>
      <c r="Z13" s="256">
        <v>1</v>
      </c>
      <c r="AA13" s="259">
        <f t="shared" ca="1" si="17"/>
        <v>2</v>
      </c>
      <c r="AE13" s="254"/>
      <c r="AF13" s="236">
        <f t="shared" si="2"/>
        <v>0</v>
      </c>
      <c r="AG13" s="236" t="str">
        <f t="shared" ca="1" si="3"/>
        <v/>
      </c>
      <c r="AH13" s="236" t="str">
        <f t="shared" ca="1" si="18"/>
        <v/>
      </c>
      <c r="AJ13" s="236">
        <f t="shared" ca="1" si="19"/>
        <v>13</v>
      </c>
      <c r="AK13" s="236" t="str">
        <f t="shared" ca="1" si="20"/>
        <v>A-</v>
      </c>
      <c r="AL13" s="236">
        <f t="shared" ca="1" si="20"/>
        <v>20</v>
      </c>
      <c r="AM13" s="236" t="str">
        <f t="shared" ca="1" si="4"/>
        <v/>
      </c>
      <c r="AQ13" s="286" t="s">
        <v>48</v>
      </c>
      <c r="AR13" s="286" t="s">
        <v>28</v>
      </c>
      <c r="AS13" s="286">
        <v>18</v>
      </c>
      <c r="AT13" s="286" t="s">
        <v>280</v>
      </c>
      <c r="AV13" s="234">
        <f t="shared" si="21"/>
        <v>29</v>
      </c>
      <c r="AW13" s="234">
        <f>COUNTIF( AV$7:AV13, AV13 )</f>
        <v>3</v>
      </c>
      <c r="AX13" s="287">
        <f t="shared" si="22"/>
        <v>29.3</v>
      </c>
      <c r="AY13" s="234">
        <f t="shared" si="23"/>
        <v>31</v>
      </c>
      <c r="AZ13" s="236"/>
      <c r="BA13" s="236"/>
      <c r="BC13" s="234">
        <f t="shared" ca="1" si="24"/>
        <v>7</v>
      </c>
      <c r="BD13" s="288">
        <f t="shared" ca="1" si="6"/>
        <v>29</v>
      </c>
      <c r="BF13" s="240" t="str">
        <f t="shared" ca="1" si="7"/>
        <v>NextEra Energy, Inc.</v>
      </c>
      <c r="BG13" s="240" t="str">
        <f t="shared" ca="1" si="7"/>
        <v>A-</v>
      </c>
      <c r="BH13" s="240">
        <f t="shared" ca="1" si="7"/>
        <v>20</v>
      </c>
      <c r="BI13" s="240" t="str">
        <f t="shared" ca="1" si="7"/>
        <v>NEE</v>
      </c>
    </row>
    <row r="14" spans="1:61" x14ac:dyDescent="0.2">
      <c r="A14" s="303" t="s">
        <v>513</v>
      </c>
      <c r="B14" s="304" t="s">
        <v>10</v>
      </c>
      <c r="C14" s="304">
        <v>20</v>
      </c>
      <c r="D14" s="304" t="s">
        <v>512</v>
      </c>
      <c r="E14" s="305" t="str">
        <f t="shared" ca="1" si="8"/>
        <v>R</v>
      </c>
      <c r="F14" s="306"/>
      <c r="G14" s="307">
        <f t="shared" ca="1" si="1"/>
        <v>34</v>
      </c>
      <c r="H14" s="250"/>
      <c r="I14" s="320"/>
      <c r="J14" s="291" t="s">
        <v>80</v>
      </c>
      <c r="K14" s="320"/>
      <c r="L14" s="291">
        <f>SUM(L8:L13)</f>
        <v>53</v>
      </c>
      <c r="M14" s="292">
        <f>L14/L$14</f>
        <v>1</v>
      </c>
      <c r="N14" s="320"/>
      <c r="O14" s="291">
        <f ca="1">SUM(O8:O13)</f>
        <v>38</v>
      </c>
      <c r="P14" s="292">
        <f ca="1">O14/O$14</f>
        <v>1</v>
      </c>
      <c r="Q14" s="320"/>
      <c r="R14" s="291">
        <f ca="1">SUM(R8:R13)</f>
        <v>13</v>
      </c>
      <c r="S14" s="292">
        <f ca="1">R14/R$14</f>
        <v>1</v>
      </c>
      <c r="T14" s="320"/>
      <c r="U14" s="291">
        <f ca="1">SUM(U8:U13)</f>
        <v>2</v>
      </c>
      <c r="V14" s="292">
        <f ca="1">U14/U$14</f>
        <v>1</v>
      </c>
      <c r="W14" s="320"/>
      <c r="Y14" s="261">
        <f>SUMPRODUCT( L8:L13, Y8:Y13 ) / L14</f>
        <v>18.69811320754717</v>
      </c>
      <c r="Z14" s="261"/>
      <c r="AA14" s="435">
        <f ca="1">SUM(AA8:AA13)</f>
        <v>53</v>
      </c>
      <c r="AE14" s="254"/>
      <c r="AF14" s="236">
        <f t="shared" si="2"/>
        <v>0</v>
      </c>
      <c r="AG14" s="236" t="str">
        <f t="shared" ca="1" si="3"/>
        <v/>
      </c>
      <c r="AH14" s="236" t="str">
        <f t="shared" ca="1" si="18"/>
        <v/>
      </c>
      <c r="AJ14" s="236">
        <f t="shared" ca="1" si="19"/>
        <v>14</v>
      </c>
      <c r="AK14" s="236" t="str">
        <f t="shared" ca="1" si="20"/>
        <v>A-</v>
      </c>
      <c r="AL14" s="236">
        <f t="shared" ca="1" si="20"/>
        <v>20</v>
      </c>
      <c r="AM14" s="236" t="str">
        <f t="shared" ca="1" si="4"/>
        <v/>
      </c>
      <c r="AQ14" s="286" t="s">
        <v>29</v>
      </c>
      <c r="AR14" s="286" t="s">
        <v>10</v>
      </c>
      <c r="AS14" s="286">
        <v>20</v>
      </c>
      <c r="AT14" s="286" t="s">
        <v>286</v>
      </c>
      <c r="AV14" s="234">
        <f>IF( LEN( AS14 ) = 0, 99, RANK( AS14, $AS$7:$AS$63 ) )</f>
        <v>2</v>
      </c>
      <c r="AW14" s="234">
        <f>COUNTIF( AV$7:AV14, AV14 )</f>
        <v>2</v>
      </c>
      <c r="AX14" s="287">
        <f t="shared" si="22"/>
        <v>2.2000000000000002</v>
      </c>
      <c r="AY14" s="234">
        <f t="shared" si="23"/>
        <v>3</v>
      </c>
      <c r="AZ14" s="236"/>
      <c r="BA14" s="236"/>
      <c r="BC14" s="234">
        <f t="shared" ca="1" si="24"/>
        <v>8</v>
      </c>
      <c r="BD14" s="288">
        <f t="shared" ca="1" si="6"/>
        <v>31</v>
      </c>
      <c r="BF14" s="240" t="str">
        <f t="shared" ca="1" si="7"/>
        <v>Eversource</v>
      </c>
      <c r="BG14" s="240" t="str">
        <f t="shared" ca="1" si="7"/>
        <v>A-</v>
      </c>
      <c r="BH14" s="240">
        <f t="shared" ca="1" si="7"/>
        <v>20</v>
      </c>
      <c r="BI14" s="240" t="str">
        <f t="shared" ca="1" si="7"/>
        <v>ES</v>
      </c>
    </row>
    <row r="15" spans="1:61" x14ac:dyDescent="0.2">
      <c r="A15" s="303" t="s">
        <v>21</v>
      </c>
      <c r="B15" s="304" t="s">
        <v>10</v>
      </c>
      <c r="C15" s="304">
        <v>20</v>
      </c>
      <c r="D15" s="304" t="s">
        <v>316</v>
      </c>
      <c r="E15" s="305" t="str">
        <f t="shared" ca="1" si="8"/>
        <v>R</v>
      </c>
      <c r="F15" s="306"/>
      <c r="G15" s="307">
        <f t="shared" ca="1" si="1"/>
        <v>36</v>
      </c>
      <c r="H15" s="250"/>
      <c r="I15" s="321"/>
      <c r="K15" s="321"/>
      <c r="N15" s="321"/>
      <c r="Q15" s="321"/>
      <c r="T15" s="321"/>
      <c r="W15" s="321"/>
      <c r="X15" s="240"/>
      <c r="AA15" s="240"/>
      <c r="AE15" s="254"/>
      <c r="AF15" s="236">
        <f t="shared" si="2"/>
        <v>0</v>
      </c>
      <c r="AG15" s="236" t="str">
        <f t="shared" ca="1" si="3"/>
        <v/>
      </c>
      <c r="AH15" s="236" t="str">
        <f t="shared" ca="1" si="18"/>
        <v/>
      </c>
      <c r="AJ15" s="236">
        <f t="shared" ca="1" si="19"/>
        <v>15</v>
      </c>
      <c r="AK15" s="236" t="str">
        <f t="shared" ca="1" si="20"/>
        <v>A-</v>
      </c>
      <c r="AL15" s="236">
        <f t="shared" ca="1" si="20"/>
        <v>20</v>
      </c>
      <c r="AM15" s="236" t="str">
        <f t="shared" ca="1" si="4"/>
        <v/>
      </c>
      <c r="AQ15" s="286" t="s">
        <v>30</v>
      </c>
      <c r="AR15" s="286" t="s">
        <v>16</v>
      </c>
      <c r="AS15" s="286">
        <v>19</v>
      </c>
      <c r="AT15" s="286" t="s">
        <v>285</v>
      </c>
      <c r="AV15" s="234">
        <f t="shared" si="21"/>
        <v>14</v>
      </c>
      <c r="AW15" s="234">
        <f>COUNTIF( AV$7:AV15, AV15 )</f>
        <v>4</v>
      </c>
      <c r="AX15" s="287">
        <f t="shared" si="22"/>
        <v>14.4</v>
      </c>
      <c r="AY15" s="234">
        <f t="shared" si="23"/>
        <v>17</v>
      </c>
      <c r="AZ15" s="236"/>
      <c r="BA15" s="236"/>
      <c r="BC15" s="234">
        <f t="shared" ca="1" si="24"/>
        <v>9</v>
      </c>
      <c r="BD15" s="288">
        <f t="shared" ca="1" si="6"/>
        <v>33</v>
      </c>
      <c r="BF15" s="240" t="str">
        <f t="shared" ca="1" si="7"/>
        <v>OGE Energy Corp.</v>
      </c>
      <c r="BG15" s="240" t="str">
        <f t="shared" ca="1" si="7"/>
        <v>A-</v>
      </c>
      <c r="BH15" s="240">
        <f t="shared" ca="1" si="7"/>
        <v>20</v>
      </c>
      <c r="BI15" s="240" t="str">
        <f t="shared" ca="1" si="7"/>
        <v>OGE</v>
      </c>
    </row>
    <row r="16" spans="1:61" x14ac:dyDescent="0.2">
      <c r="A16" s="303" t="s">
        <v>41</v>
      </c>
      <c r="B16" s="304" t="s">
        <v>10</v>
      </c>
      <c r="C16" s="304">
        <v>20</v>
      </c>
      <c r="D16" s="304" t="s">
        <v>322</v>
      </c>
      <c r="E16" s="305" t="str">
        <f t="shared" ca="1" si="8"/>
        <v>R</v>
      </c>
      <c r="F16" s="306"/>
      <c r="G16" s="307">
        <f t="shared" ca="1" si="1"/>
        <v>40</v>
      </c>
      <c r="H16" s="250"/>
      <c r="I16" s="316"/>
      <c r="J16" s="290" t="s">
        <v>450</v>
      </c>
      <c r="K16" s="316"/>
      <c r="L16" s="463">
        <f t="array" ref="L16">SUM( IF( LEN( $C$7:$C$65 ) = 0, 0, $C$7:$C$65 ) ) / SUM( IF( LEN( $C$7:$C$65 ) = 0, 0, 1  ) )</f>
        <v>18.716981132075471</v>
      </c>
      <c r="M16" s="464"/>
      <c r="N16" s="316"/>
      <c r="O16" s="463">
        <f t="array" aca="1" ref="O16" ca="1">SUM( IF( LEN( $C$7:$C$65 ) = 0, 0, IF( $E$7:$E$65 = O3, $C$7:$C$65, 0 ) ) ) / SUM( IF( LEN( $C$7:$C$65 ) = 0, 0, IF( $E$7:$E$65 = O3, 1, 0 ) ) )</f>
        <v>18.605263157894736</v>
      </c>
      <c r="P16" s="464"/>
      <c r="Q16" s="316"/>
      <c r="R16" s="463">
        <f t="array" aca="1" ref="R16" ca="1">SUM( IF( LEN( $C$7:$C$65 ) = 0, 0, IF( $E$7:$E$65 = R3, $C$7:$C$65, 0 ) ) ) / SUM( IF( LEN( $C$7:$C$65 ) = 0, 0, IF( $E$7:$E$65 = R3, 1, 0 ) ) )</f>
        <v>19.153846153846153</v>
      </c>
      <c r="S16" s="464"/>
      <c r="T16" s="316"/>
      <c r="U16" s="463">
        <f t="array" aca="1" ref="U16" ca="1">SUM( IF( LEN( $C$7:$C$65 ) = 0, 0, IF( $E$7:$E$65 = U3, $C$7:$C$65, 0 ) ) ) / SUM( IF( LEN( $C$7:$C$65 ) = 0, 0, IF( $E$7:$E$65 = U3, 1, 0 ) ) )</f>
        <v>18</v>
      </c>
      <c r="V16" s="465"/>
      <c r="W16" s="316"/>
      <c r="AE16" s="254"/>
      <c r="AF16" s="236">
        <f t="shared" si="2"/>
        <v>0</v>
      </c>
      <c r="AG16" s="236" t="str">
        <f t="shared" ca="1" si="3"/>
        <v/>
      </c>
      <c r="AH16" s="236" t="str">
        <f t="shared" ca="1" si="18"/>
        <v/>
      </c>
      <c r="AJ16" s="236">
        <f t="shared" ca="1" si="19"/>
        <v>16</v>
      </c>
      <c r="AK16" s="236" t="str">
        <f t="shared" ca="1" si="20"/>
        <v>A-</v>
      </c>
      <c r="AL16" s="236">
        <f t="shared" ca="1" si="20"/>
        <v>20</v>
      </c>
      <c r="AM16" s="236" t="str">
        <f t="shared" ca="1" si="4"/>
        <v/>
      </c>
      <c r="AQ16" s="286" t="s">
        <v>60</v>
      </c>
      <c r="AR16" s="286" t="s">
        <v>28</v>
      </c>
      <c r="AS16" s="286">
        <v>18</v>
      </c>
      <c r="AT16" s="286" t="s">
        <v>284</v>
      </c>
      <c r="AV16" s="234">
        <f t="shared" si="21"/>
        <v>29</v>
      </c>
      <c r="AW16" s="234">
        <f>COUNTIF( AV$7:AV16, AV16 )</f>
        <v>4</v>
      </c>
      <c r="AX16" s="287">
        <f t="shared" si="22"/>
        <v>29.4</v>
      </c>
      <c r="AY16" s="234">
        <f t="shared" si="23"/>
        <v>32</v>
      </c>
      <c r="AZ16" s="236"/>
      <c r="BA16" s="236"/>
      <c r="BC16" s="234">
        <f t="shared" ca="1" si="24"/>
        <v>10</v>
      </c>
      <c r="BD16" s="288">
        <f t="shared" ca="1" si="6"/>
        <v>37</v>
      </c>
      <c r="BF16" s="240" t="str">
        <f t="shared" ca="1" si="7"/>
        <v>Pinnacle West Capital Corporation</v>
      </c>
      <c r="BG16" s="240" t="str">
        <f t="shared" ca="1" si="7"/>
        <v>A-</v>
      </c>
      <c r="BH16" s="240">
        <f t="shared" ca="1" si="7"/>
        <v>20</v>
      </c>
      <c r="BI16" s="240" t="str">
        <f t="shared" ca="1" si="7"/>
        <v>PNW</v>
      </c>
    </row>
    <row r="17" spans="1:61" x14ac:dyDescent="0.2">
      <c r="A17" s="303" t="s">
        <v>14</v>
      </c>
      <c r="B17" s="304" t="s">
        <v>10</v>
      </c>
      <c r="C17" s="304">
        <v>20</v>
      </c>
      <c r="D17" s="304" t="s">
        <v>335</v>
      </c>
      <c r="E17" s="305" t="str">
        <f t="shared" ca="1" si="8"/>
        <v>MR</v>
      </c>
      <c r="F17" s="306"/>
      <c r="G17" s="307">
        <f t="shared" ca="1" si="1"/>
        <v>52</v>
      </c>
      <c r="H17" s="250"/>
      <c r="I17" s="321"/>
      <c r="K17" s="321"/>
      <c r="N17" s="321"/>
      <c r="O17" s="240"/>
      <c r="Q17" s="321"/>
      <c r="T17" s="321"/>
      <c r="W17" s="321"/>
      <c r="AE17" s="245"/>
      <c r="AF17" s="236">
        <f t="shared" si="2"/>
        <v>0</v>
      </c>
      <c r="AG17" s="236" t="str">
        <f t="shared" ca="1" si="3"/>
        <v/>
      </c>
      <c r="AH17" s="236" t="str">
        <f t="shared" ca="1" si="18"/>
        <v/>
      </c>
      <c r="AJ17" s="236">
        <f t="shared" ca="1" si="19"/>
        <v>17</v>
      </c>
      <c r="AK17" s="236" t="str">
        <f t="shared" ca="1" si="20"/>
        <v>A-</v>
      </c>
      <c r="AL17" s="236">
        <f t="shared" ca="1" si="20"/>
        <v>20</v>
      </c>
      <c r="AM17" s="236" t="str">
        <f t="shared" ca="1" si="4"/>
        <v/>
      </c>
      <c r="AQ17" s="286" t="s">
        <v>3</v>
      </c>
      <c r="AR17" s="286" t="s">
        <v>10</v>
      </c>
      <c r="AS17" s="286">
        <v>20</v>
      </c>
      <c r="AT17" s="286" t="s">
        <v>292</v>
      </c>
      <c r="AV17" s="234">
        <f t="shared" si="21"/>
        <v>2</v>
      </c>
      <c r="AW17" s="234">
        <f>COUNTIF( AV$7:AV17, AV17 )</f>
        <v>3</v>
      </c>
      <c r="AX17" s="287">
        <f t="shared" si="22"/>
        <v>2.2999999999999998</v>
      </c>
      <c r="AY17" s="234">
        <f t="shared" si="23"/>
        <v>4</v>
      </c>
      <c r="AZ17" s="236"/>
      <c r="BA17" s="236"/>
      <c r="BC17" s="234">
        <f t="shared" ca="1" si="24"/>
        <v>11</v>
      </c>
      <c r="BD17" s="288">
        <f t="shared" ca="1" si="6"/>
        <v>48</v>
      </c>
      <c r="BF17" s="240" t="str">
        <f t="shared" ca="1" si="7"/>
        <v>Vectren Corporation</v>
      </c>
      <c r="BG17" s="240" t="str">
        <f t="shared" ca="1" si="7"/>
        <v>A-</v>
      </c>
      <c r="BH17" s="240">
        <f t="shared" ca="1" si="7"/>
        <v>20</v>
      </c>
      <c r="BI17" s="240" t="str">
        <f t="shared" ca="1" si="7"/>
        <v>VVC</v>
      </c>
    </row>
    <row r="18" spans="1:61" x14ac:dyDescent="0.2">
      <c r="A18" s="303" t="s">
        <v>26</v>
      </c>
      <c r="B18" s="304" t="s">
        <v>10</v>
      </c>
      <c r="C18" s="304">
        <v>20</v>
      </c>
      <c r="D18" s="304" t="s">
        <v>336</v>
      </c>
      <c r="E18" s="305" t="str">
        <f t="shared" ca="1" si="8"/>
        <v>R</v>
      </c>
      <c r="F18" s="306"/>
      <c r="G18" s="307">
        <f t="shared" ca="1" si="1"/>
        <v>54</v>
      </c>
      <c r="H18" s="250"/>
      <c r="I18" s="321"/>
      <c r="K18" s="321"/>
      <c r="N18" s="321"/>
      <c r="O18" s="240"/>
      <c r="Q18" s="321"/>
      <c r="T18" s="321"/>
      <c r="W18" s="321"/>
      <c r="AE18" s="254"/>
      <c r="AF18" s="236">
        <f t="shared" si="2"/>
        <v>0</v>
      </c>
      <c r="AG18" s="236" t="str">
        <f t="shared" ca="1" si="3"/>
        <v/>
      </c>
      <c r="AH18" s="236" t="str">
        <f t="shared" ca="1" si="18"/>
        <v/>
      </c>
      <c r="AJ18" s="236">
        <f t="shared" ca="1" si="19"/>
        <v>18</v>
      </c>
      <c r="AK18" s="236" t="str">
        <f t="shared" ca="1" si="20"/>
        <v>A-</v>
      </c>
      <c r="AL18" s="236">
        <f t="shared" ca="1" si="20"/>
        <v>20</v>
      </c>
      <c r="AM18" s="236" t="str">
        <f t="shared" ca="1" si="4"/>
        <v/>
      </c>
      <c r="AQ18" s="286" t="s">
        <v>18</v>
      </c>
      <c r="AR18" s="286" t="s">
        <v>10</v>
      </c>
      <c r="AS18" s="286">
        <v>20</v>
      </c>
      <c r="AT18" s="286" t="s">
        <v>86</v>
      </c>
      <c r="AV18" s="234">
        <f t="shared" si="21"/>
        <v>2</v>
      </c>
      <c r="AW18" s="234">
        <f>COUNTIF( AV$7:AV18, AV18 )</f>
        <v>4</v>
      </c>
      <c r="AX18" s="287">
        <f t="shared" si="22"/>
        <v>2.4</v>
      </c>
      <c r="AY18" s="234">
        <f t="shared" si="23"/>
        <v>5</v>
      </c>
      <c r="AZ18" s="236"/>
      <c r="BA18" s="236"/>
      <c r="BC18" s="234">
        <f t="shared" ca="1" si="24"/>
        <v>12</v>
      </c>
      <c r="BD18" s="288">
        <f t="shared" ca="1" si="6"/>
        <v>50</v>
      </c>
      <c r="BF18" s="240" t="str">
        <f t="shared" ca="1" si="7"/>
        <v>Wisconsin Energy Corporation</v>
      </c>
      <c r="BG18" s="240" t="str">
        <f t="shared" ca="1" si="7"/>
        <v>A-</v>
      </c>
      <c r="BH18" s="240">
        <f t="shared" ca="1" si="7"/>
        <v>20</v>
      </c>
      <c r="BI18" s="240" t="str">
        <f t="shared" ca="1" si="7"/>
        <v>WEC</v>
      </c>
    </row>
    <row r="19" spans="1:61" x14ac:dyDescent="0.2">
      <c r="A19" s="303" t="s">
        <v>258</v>
      </c>
      <c r="B19" s="304" t="s">
        <v>10</v>
      </c>
      <c r="C19" s="304">
        <v>20</v>
      </c>
      <c r="D19" s="304" t="s">
        <v>338</v>
      </c>
      <c r="E19" s="305" t="str">
        <f t="shared" ca="1" si="8"/>
        <v>R</v>
      </c>
      <c r="F19" s="306"/>
      <c r="G19" s="307">
        <f t="shared" ca="1" si="1"/>
        <v>55</v>
      </c>
      <c r="H19" s="250"/>
      <c r="I19" s="321"/>
      <c r="K19" s="321"/>
      <c r="N19" s="321"/>
      <c r="O19" s="240"/>
      <c r="Q19" s="321"/>
      <c r="T19" s="321"/>
      <c r="W19" s="321"/>
      <c r="AE19" s="254"/>
      <c r="AF19" s="236">
        <f t="shared" si="2"/>
        <v>0</v>
      </c>
      <c r="AG19" s="236" t="str">
        <f t="shared" ca="1" si="3"/>
        <v/>
      </c>
      <c r="AH19" s="236" t="str">
        <f t="shared" ca="1" si="18"/>
        <v/>
      </c>
      <c r="AJ19" s="236">
        <f t="shared" ca="1" si="19"/>
        <v>19</v>
      </c>
      <c r="AK19" s="236" t="str">
        <f t="shared" ca="1" si="20"/>
        <v>A-</v>
      </c>
      <c r="AL19" s="236">
        <f t="shared" ca="1" si="20"/>
        <v>20</v>
      </c>
      <c r="AM19" s="236" t="str">
        <f t="shared" ca="1" si="4"/>
        <v/>
      </c>
      <c r="AQ19" s="286" t="s">
        <v>64</v>
      </c>
      <c r="AR19" s="286" t="s">
        <v>61</v>
      </c>
      <c r="AS19" s="286">
        <v>15</v>
      </c>
      <c r="AT19" s="286" t="s">
        <v>443</v>
      </c>
      <c r="AV19" s="234">
        <f t="shared" si="21"/>
        <v>51</v>
      </c>
      <c r="AW19" s="234">
        <f>COUNTIF( AV$7:AV19, AV19 )</f>
        <v>1</v>
      </c>
      <c r="AX19" s="287">
        <f t="shared" si="22"/>
        <v>51.1</v>
      </c>
      <c r="AY19" s="234">
        <f t="shared" si="23"/>
        <v>51</v>
      </c>
      <c r="AZ19" s="236"/>
      <c r="BA19" s="236"/>
      <c r="BC19" s="234">
        <f t="shared" ca="1" si="24"/>
        <v>13</v>
      </c>
      <c r="BD19" s="288">
        <f t="shared" ca="1" si="6"/>
        <v>51</v>
      </c>
      <c r="BF19" s="240" t="str">
        <f t="shared" ca="1" si="7"/>
        <v>Xcel Energy Inc.</v>
      </c>
      <c r="BG19" s="240" t="str">
        <f t="shared" ca="1" si="7"/>
        <v>A-</v>
      </c>
      <c r="BH19" s="240">
        <f t="shared" ca="1" si="7"/>
        <v>20</v>
      </c>
      <c r="BI19" s="240" t="str">
        <f t="shared" ca="1" si="7"/>
        <v>XEL</v>
      </c>
    </row>
    <row r="20" spans="1:61" x14ac:dyDescent="0.2">
      <c r="A20" s="303" t="s">
        <v>15</v>
      </c>
      <c r="B20" s="304" t="s">
        <v>16</v>
      </c>
      <c r="C20" s="304">
        <v>19</v>
      </c>
      <c r="D20" s="304" t="s">
        <v>277</v>
      </c>
      <c r="E20" s="305" t="str">
        <f t="shared" ca="1" si="8"/>
        <v>R</v>
      </c>
      <c r="F20" s="306"/>
      <c r="G20" s="307">
        <f t="shared" ca="1" si="1"/>
        <v>7</v>
      </c>
      <c r="H20" s="250"/>
      <c r="I20" s="322"/>
      <c r="K20" s="322"/>
      <c r="N20" s="322"/>
      <c r="O20" s="240"/>
      <c r="Q20" s="322"/>
      <c r="T20" s="322"/>
      <c r="W20" s="322"/>
      <c r="AE20" s="254"/>
      <c r="AF20" s="236">
        <f t="shared" si="2"/>
        <v>1</v>
      </c>
      <c r="AG20" s="236" t="str">
        <f t="shared" ca="1" si="3"/>
        <v/>
      </c>
      <c r="AH20" s="236" t="str">
        <f t="shared" ca="1" si="18"/>
        <v/>
      </c>
      <c r="AJ20" s="236">
        <f t="shared" ca="1" si="19"/>
        <v>20</v>
      </c>
      <c r="AK20" s="236" t="str">
        <f t="shared" ca="1" si="20"/>
        <v>BBB+</v>
      </c>
      <c r="AL20" s="236">
        <f t="shared" ca="1" si="20"/>
        <v>19</v>
      </c>
      <c r="AM20" s="236" t="str">
        <f t="shared" ca="1" si="4"/>
        <v/>
      </c>
      <c r="AQ20" s="286" t="s">
        <v>31</v>
      </c>
      <c r="AR20" s="286" t="s">
        <v>16</v>
      </c>
      <c r="AS20" s="286">
        <v>19</v>
      </c>
      <c r="AT20" s="289" t="s">
        <v>289</v>
      </c>
      <c r="AV20" s="234">
        <f t="shared" si="21"/>
        <v>14</v>
      </c>
      <c r="AW20" s="234">
        <f>COUNTIF( AV$7:AV20, AV20 )</f>
        <v>5</v>
      </c>
      <c r="AX20" s="287">
        <f t="shared" si="22"/>
        <v>14.5</v>
      </c>
      <c r="AY20" s="234">
        <f t="shared" si="23"/>
        <v>18</v>
      </c>
      <c r="AZ20" s="236"/>
      <c r="BA20" s="236"/>
      <c r="BC20" s="234">
        <f t="shared" ca="1" si="24"/>
        <v>14</v>
      </c>
      <c r="BD20" s="288">
        <f t="shared" ca="1" si="6"/>
        <v>1</v>
      </c>
      <c r="BF20" s="240" t="str">
        <f t="shared" ca="1" si="7"/>
        <v>ALLETE, Inc.</v>
      </c>
      <c r="BG20" s="240" t="str">
        <f t="shared" ca="1" si="7"/>
        <v>BBB+</v>
      </c>
      <c r="BH20" s="240">
        <f t="shared" ca="1" si="7"/>
        <v>19</v>
      </c>
      <c r="BI20" s="240" t="str">
        <f t="shared" ca="1" si="7"/>
        <v>ALE</v>
      </c>
    </row>
    <row r="21" spans="1:61" x14ac:dyDescent="0.2">
      <c r="A21" s="303" t="s">
        <v>9</v>
      </c>
      <c r="B21" s="304" t="s">
        <v>16</v>
      </c>
      <c r="C21" s="304">
        <v>19</v>
      </c>
      <c r="D21" s="304" t="s">
        <v>274</v>
      </c>
      <c r="E21" s="305" t="str">
        <f t="shared" ca="1" si="8"/>
        <v>R</v>
      </c>
      <c r="F21" s="306"/>
      <c r="G21" s="307">
        <f t="shared" ca="1" si="1"/>
        <v>9</v>
      </c>
      <c r="H21" s="250"/>
      <c r="I21" s="321"/>
      <c r="K21" s="321"/>
      <c r="N21" s="321"/>
      <c r="Q21" s="321"/>
      <c r="T21" s="321"/>
      <c r="W21" s="321"/>
      <c r="AE21" s="254"/>
      <c r="AF21" s="236">
        <f t="shared" si="2"/>
        <v>1</v>
      </c>
      <c r="AG21" s="236" t="str">
        <f t="shared" ca="1" si="3"/>
        <v/>
      </c>
      <c r="AH21" s="236" t="str">
        <f t="shared" ca="1" si="18"/>
        <v/>
      </c>
      <c r="AJ21" s="236">
        <f t="shared" ca="1" si="19"/>
        <v>21</v>
      </c>
      <c r="AK21" s="236" t="str">
        <f t="shared" ca="1" si="20"/>
        <v>BBB+</v>
      </c>
      <c r="AL21" s="236">
        <f t="shared" ca="1" si="20"/>
        <v>19</v>
      </c>
      <c r="AM21" s="236" t="str">
        <f t="shared" ca="1" si="4"/>
        <v/>
      </c>
      <c r="AQ21" s="286" t="s">
        <v>32</v>
      </c>
      <c r="AR21" s="286" t="s">
        <v>16</v>
      </c>
      <c r="AS21" s="286">
        <v>19</v>
      </c>
      <c r="AT21" s="286" t="s">
        <v>290</v>
      </c>
      <c r="AV21" s="234">
        <f t="shared" si="21"/>
        <v>14</v>
      </c>
      <c r="AW21" s="234">
        <f>COUNTIF( AV$7:AV21, AV21 )</f>
        <v>6</v>
      </c>
      <c r="AX21" s="287">
        <f t="shared" si="22"/>
        <v>14.6</v>
      </c>
      <c r="AY21" s="234">
        <f t="shared" si="23"/>
        <v>19</v>
      </c>
      <c r="AZ21" s="236"/>
      <c r="BA21" s="236"/>
      <c r="BC21" s="234">
        <f t="shared" ca="1" si="24"/>
        <v>15</v>
      </c>
      <c r="BD21" s="288">
        <f t="shared" ca="1" si="6"/>
        <v>3</v>
      </c>
      <c r="BF21" s="240" t="str">
        <f t="shared" ca="1" si="7"/>
        <v>Ameren Corporation</v>
      </c>
      <c r="BG21" s="240" t="str">
        <f t="shared" ca="1" si="7"/>
        <v>BBB+</v>
      </c>
      <c r="BH21" s="240">
        <f t="shared" ca="1" si="7"/>
        <v>19</v>
      </c>
      <c r="BI21" s="240" t="str">
        <f t="shared" ca="1" si="7"/>
        <v>AEE</v>
      </c>
    </row>
    <row r="22" spans="1:61" x14ac:dyDescent="0.2">
      <c r="A22" s="303" t="s">
        <v>501</v>
      </c>
      <c r="B22" s="304" t="s">
        <v>16</v>
      </c>
      <c r="C22" s="304">
        <v>19</v>
      </c>
      <c r="D22" s="304" t="s">
        <v>447</v>
      </c>
      <c r="E22" s="305" t="str">
        <f t="shared" ca="1" si="8"/>
        <v>MR</v>
      </c>
      <c r="F22" s="306"/>
      <c r="G22" s="307">
        <f t="shared" ca="1" si="1"/>
        <v>61</v>
      </c>
      <c r="H22" s="250"/>
      <c r="I22" s="321"/>
      <c r="K22" s="321"/>
      <c r="N22" s="321"/>
      <c r="Q22" s="321"/>
      <c r="T22" s="321"/>
      <c r="W22" s="321"/>
      <c r="AE22" s="254"/>
      <c r="AF22" s="236">
        <f t="shared" si="2"/>
        <v>1</v>
      </c>
      <c r="AG22" s="236" t="str">
        <f t="shared" ca="1" si="3"/>
        <v/>
      </c>
      <c r="AH22" s="236" t="str">
        <f t="shared" ca="1" si="18"/>
        <v/>
      </c>
      <c r="AJ22" s="236">
        <f t="shared" ca="1" si="19"/>
        <v>22</v>
      </c>
      <c r="AK22" s="236" t="str">
        <f t="shared" ca="1" si="20"/>
        <v>BBB+</v>
      </c>
      <c r="AL22" s="236">
        <f t="shared" ca="1" si="20"/>
        <v>19</v>
      </c>
      <c r="AM22" s="236" t="str">
        <f t="shared" ca="1" si="4"/>
        <v/>
      </c>
      <c r="AQ22" s="286" t="s">
        <v>57</v>
      </c>
      <c r="AR22" s="286" t="s">
        <v>16</v>
      </c>
      <c r="AS22" s="286">
        <v>19</v>
      </c>
      <c r="AT22" s="286" t="s">
        <v>296</v>
      </c>
      <c r="AV22" s="234">
        <f t="shared" si="21"/>
        <v>14</v>
      </c>
      <c r="AW22" s="234">
        <f>COUNTIF( AV$7:AV22, AV22 )</f>
        <v>7</v>
      </c>
      <c r="AX22" s="287">
        <f t="shared" si="22"/>
        <v>14.7</v>
      </c>
      <c r="AY22" s="234">
        <f t="shared" si="23"/>
        <v>20</v>
      </c>
      <c r="AZ22" s="236"/>
      <c r="BA22" s="236"/>
      <c r="BC22" s="234">
        <f t="shared" ca="1" si="24"/>
        <v>16</v>
      </c>
      <c r="BD22" s="288">
        <f t="shared" ca="1" si="6"/>
        <v>6</v>
      </c>
      <c r="BF22" s="240" t="str">
        <f t="shared" ca="1" si="7"/>
        <v>Berkshire Energy Holdings Company</v>
      </c>
      <c r="BG22" s="240" t="str">
        <f t="shared" ca="1" si="7"/>
        <v>BBB+</v>
      </c>
      <c r="BH22" s="240">
        <f t="shared" ca="1" si="7"/>
        <v>19</v>
      </c>
      <c r="BI22" s="240" t="str">
        <f t="shared" ca="1" si="7"/>
        <v>**BRK</v>
      </c>
    </row>
    <row r="23" spans="1:61" x14ac:dyDescent="0.2">
      <c r="A23" s="303" t="s">
        <v>30</v>
      </c>
      <c r="B23" s="304" t="s">
        <v>16</v>
      </c>
      <c r="C23" s="304">
        <v>19</v>
      </c>
      <c r="D23" s="304" t="s">
        <v>285</v>
      </c>
      <c r="E23" s="305" t="str">
        <f t="shared" ca="1" si="8"/>
        <v>R</v>
      </c>
      <c r="F23" s="306"/>
      <c r="G23" s="307">
        <f t="shared" ca="1" si="1"/>
        <v>14</v>
      </c>
      <c r="H23" s="250"/>
      <c r="I23" s="321"/>
      <c r="K23" s="321"/>
      <c r="N23" s="321"/>
      <c r="Q23" s="321"/>
      <c r="T23" s="321"/>
      <c r="W23" s="321"/>
      <c r="AE23" s="254"/>
      <c r="AF23" s="236">
        <f t="shared" si="2"/>
        <v>1</v>
      </c>
      <c r="AG23" s="236" t="str">
        <f t="shared" ca="1" si="3"/>
        <v/>
      </c>
      <c r="AH23" s="236" t="str">
        <f t="shared" ca="1" si="18"/>
        <v/>
      </c>
      <c r="AJ23" s="236">
        <f t="shared" ca="1" si="19"/>
        <v>23</v>
      </c>
      <c r="AK23" s="236" t="str">
        <f t="shared" ca="1" si="20"/>
        <v>BBB+</v>
      </c>
      <c r="AL23" s="236">
        <f t="shared" ca="1" si="20"/>
        <v>19</v>
      </c>
      <c r="AM23" s="236" t="str">
        <f t="shared" ca="1" si="4"/>
        <v/>
      </c>
      <c r="AQ23" s="286" t="s">
        <v>34</v>
      </c>
      <c r="AR23" s="286" t="s">
        <v>28</v>
      </c>
      <c r="AS23" s="286">
        <v>18</v>
      </c>
      <c r="AT23" s="286" t="s">
        <v>294</v>
      </c>
      <c r="AV23" s="234">
        <f t="shared" si="21"/>
        <v>29</v>
      </c>
      <c r="AW23" s="234">
        <f>COUNTIF( AV$7:AV23, AV23 )</f>
        <v>5</v>
      </c>
      <c r="AX23" s="287">
        <f t="shared" si="22"/>
        <v>29.5</v>
      </c>
      <c r="AY23" s="234">
        <f t="shared" si="23"/>
        <v>33</v>
      </c>
      <c r="AZ23" s="236"/>
      <c r="BA23" s="236"/>
      <c r="BC23" s="234">
        <f t="shared" ca="1" si="24"/>
        <v>17</v>
      </c>
      <c r="BD23" s="288">
        <f t="shared" ca="1" si="6"/>
        <v>9</v>
      </c>
      <c r="BF23" s="240" t="str">
        <f t="shared" ca="1" si="7"/>
        <v>Cleco Corporation</v>
      </c>
      <c r="BG23" s="240" t="str">
        <f t="shared" ca="1" si="7"/>
        <v>BBB+</v>
      </c>
      <c r="BH23" s="240">
        <f t="shared" ca="1" si="7"/>
        <v>19</v>
      </c>
      <c r="BI23" s="240" t="str">
        <f t="shared" ca="1" si="7"/>
        <v>CNL</v>
      </c>
    </row>
    <row r="24" spans="1:61" x14ac:dyDescent="0.2">
      <c r="A24" s="303" t="s">
        <v>31</v>
      </c>
      <c r="B24" s="304" t="s">
        <v>16</v>
      </c>
      <c r="C24" s="304">
        <v>19</v>
      </c>
      <c r="D24" s="304" t="s">
        <v>289</v>
      </c>
      <c r="E24" s="305" t="str">
        <f t="shared" ca="1" si="8"/>
        <v>R</v>
      </c>
      <c r="F24" s="306"/>
      <c r="G24" s="307">
        <f t="shared" ca="1" si="1"/>
        <v>18</v>
      </c>
      <c r="H24" s="250"/>
      <c r="I24" s="321"/>
      <c r="J24" s="262"/>
      <c r="K24" s="321"/>
      <c r="N24" s="321"/>
      <c r="Q24" s="321"/>
      <c r="T24" s="321"/>
      <c r="W24" s="321"/>
      <c r="AE24" s="254"/>
      <c r="AF24" s="236">
        <f t="shared" si="2"/>
        <v>1</v>
      </c>
      <c r="AG24" s="236" t="str">
        <f t="shared" ca="1" si="3"/>
        <v/>
      </c>
      <c r="AH24" s="236" t="str">
        <f t="shared" ca="1" si="18"/>
        <v/>
      </c>
      <c r="AJ24" s="236">
        <f t="shared" ca="1" si="19"/>
        <v>24</v>
      </c>
      <c r="AK24" s="236" t="str">
        <f t="shared" ca="1" si="20"/>
        <v>BBB+</v>
      </c>
      <c r="AL24" s="236">
        <f t="shared" ca="1" si="20"/>
        <v>19</v>
      </c>
      <c r="AM24" s="236" t="str">
        <f t="shared" ca="1" si="4"/>
        <v/>
      </c>
      <c r="AQ24" s="286" t="s">
        <v>35</v>
      </c>
      <c r="AR24" s="286" t="s">
        <v>28</v>
      </c>
      <c r="AS24" s="286">
        <v>18</v>
      </c>
      <c r="AT24" s="286" t="s">
        <v>293</v>
      </c>
      <c r="AV24" s="234">
        <f t="shared" si="21"/>
        <v>29</v>
      </c>
      <c r="AW24" s="234">
        <f>COUNTIF( AV$7:AV24, AV24 )</f>
        <v>6</v>
      </c>
      <c r="AX24" s="287">
        <f t="shared" si="22"/>
        <v>29.6</v>
      </c>
      <c r="AY24" s="234">
        <f t="shared" si="23"/>
        <v>34</v>
      </c>
      <c r="AZ24" s="236"/>
      <c r="BA24" s="236"/>
      <c r="BC24" s="234">
        <f t="shared" ca="1" si="24"/>
        <v>18</v>
      </c>
      <c r="BD24" s="288">
        <f t="shared" ca="1" si="6"/>
        <v>14</v>
      </c>
      <c r="BF24" s="240" t="str">
        <f t="shared" ca="1" si="7"/>
        <v>DTE Energy Company</v>
      </c>
      <c r="BG24" s="240" t="str">
        <f t="shared" ca="1" si="7"/>
        <v>BBB+</v>
      </c>
      <c r="BH24" s="240">
        <f t="shared" ca="1" si="7"/>
        <v>19</v>
      </c>
      <c r="BI24" s="240" t="str">
        <f t="shared" ca="1" si="7"/>
        <v>DTE</v>
      </c>
    </row>
    <row r="25" spans="1:61" x14ac:dyDescent="0.2">
      <c r="A25" s="303" t="s">
        <v>32</v>
      </c>
      <c r="B25" s="304" t="s">
        <v>16</v>
      </c>
      <c r="C25" s="304">
        <v>19</v>
      </c>
      <c r="D25" s="304" t="s">
        <v>290</v>
      </c>
      <c r="E25" s="305" t="str">
        <f t="shared" ca="1" si="8"/>
        <v>R</v>
      </c>
      <c r="F25" s="306"/>
      <c r="G25" s="307">
        <f t="shared" ca="1" si="1"/>
        <v>19</v>
      </c>
      <c r="H25" s="250"/>
      <c r="I25" s="321"/>
      <c r="J25" s="262"/>
      <c r="K25" s="321"/>
      <c r="N25" s="321"/>
      <c r="Q25" s="321"/>
      <c r="T25" s="321"/>
      <c r="W25" s="321"/>
      <c r="AE25" s="254"/>
      <c r="AF25" s="236">
        <f t="shared" si="2"/>
        <v>1</v>
      </c>
      <c r="AG25" s="236" t="str">
        <f t="shared" ca="1" si="3"/>
        <v/>
      </c>
      <c r="AH25" s="236" t="str">
        <f t="shared" ca="1" si="18"/>
        <v/>
      </c>
      <c r="AJ25" s="236">
        <f t="shared" ca="1" si="19"/>
        <v>25</v>
      </c>
      <c r="AK25" s="236" t="str">
        <f t="shared" ca="1" si="20"/>
        <v>BBB+</v>
      </c>
      <c r="AL25" s="236">
        <f t="shared" ca="1" si="20"/>
        <v>19</v>
      </c>
      <c r="AM25" s="236" t="str">
        <f t="shared" ca="1" si="4"/>
        <v/>
      </c>
      <c r="AQ25" s="286" t="s">
        <v>36</v>
      </c>
      <c r="AR25" s="286" t="s">
        <v>28</v>
      </c>
      <c r="AS25" s="286">
        <v>18</v>
      </c>
      <c r="AT25" s="286" t="s">
        <v>297</v>
      </c>
      <c r="AV25" s="234">
        <f t="shared" si="21"/>
        <v>29</v>
      </c>
      <c r="AW25" s="234">
        <f>COUNTIF( AV$7:AV25, AV25 )</f>
        <v>7</v>
      </c>
      <c r="AX25" s="287">
        <f t="shared" si="22"/>
        <v>29.7</v>
      </c>
      <c r="AY25" s="234">
        <f t="shared" si="23"/>
        <v>35</v>
      </c>
      <c r="AZ25" s="236"/>
      <c r="BA25" s="236"/>
      <c r="BC25" s="234">
        <f t="shared" ca="1" si="24"/>
        <v>19</v>
      </c>
      <c r="BD25" s="288">
        <f t="shared" ca="1" si="6"/>
        <v>15</v>
      </c>
      <c r="BF25" s="240" t="str">
        <f t="shared" ca="1" si="7"/>
        <v>Duke Energy Corporation</v>
      </c>
      <c r="BG25" s="240" t="str">
        <f t="shared" ca="1" si="7"/>
        <v>BBB+</v>
      </c>
      <c r="BH25" s="240">
        <f t="shared" ca="1" si="7"/>
        <v>19</v>
      </c>
      <c r="BI25" s="240" t="str">
        <f t="shared" ca="1" si="7"/>
        <v>DUK</v>
      </c>
    </row>
    <row r="26" spans="1:61" x14ac:dyDescent="0.2">
      <c r="A26" s="303" t="s">
        <v>57</v>
      </c>
      <c r="B26" s="304" t="s">
        <v>16</v>
      </c>
      <c r="C26" s="304">
        <v>19</v>
      </c>
      <c r="D26" s="304" t="s">
        <v>296</v>
      </c>
      <c r="E26" s="305" t="str">
        <f t="shared" ca="1" si="8"/>
        <v>R</v>
      </c>
      <c r="F26" s="306"/>
      <c r="G26" s="307">
        <f t="shared" ca="1" si="1"/>
        <v>20</v>
      </c>
      <c r="H26" s="250"/>
      <c r="I26" s="321"/>
      <c r="J26" s="262"/>
      <c r="K26" s="321"/>
      <c r="N26" s="321"/>
      <c r="Q26" s="321"/>
      <c r="T26" s="321"/>
      <c r="W26" s="321"/>
      <c r="AE26" s="254"/>
      <c r="AF26" s="236">
        <f t="shared" si="2"/>
        <v>1</v>
      </c>
      <c r="AG26" s="236" t="str">
        <f t="shared" ca="1" si="3"/>
        <v/>
      </c>
      <c r="AH26" s="236" t="str">
        <f t="shared" ca="1" si="18"/>
        <v/>
      </c>
      <c r="AJ26" s="236">
        <f t="shared" ca="1" si="19"/>
        <v>26</v>
      </c>
      <c r="AK26" s="236" t="str">
        <f t="shared" ca="1" si="20"/>
        <v>BBB+</v>
      </c>
      <c r="AL26" s="236">
        <f t="shared" ca="1" si="20"/>
        <v>19</v>
      </c>
      <c r="AM26" s="236" t="str">
        <f t="shared" ca="1" si="4"/>
        <v/>
      </c>
      <c r="AQ26" s="286" t="s">
        <v>11</v>
      </c>
      <c r="AR26" s="286" t="s">
        <v>28</v>
      </c>
      <c r="AS26" s="286">
        <v>18</v>
      </c>
      <c r="AT26" s="289" t="s">
        <v>298</v>
      </c>
      <c r="AV26" s="234">
        <f t="shared" si="21"/>
        <v>29</v>
      </c>
      <c r="AW26" s="234">
        <f>COUNTIF( AV$7:AV26, AV26 )</f>
        <v>8</v>
      </c>
      <c r="AX26" s="287">
        <f t="shared" si="22"/>
        <v>29.8</v>
      </c>
      <c r="AY26" s="234">
        <f t="shared" si="23"/>
        <v>36</v>
      </c>
      <c r="AZ26" s="236"/>
      <c r="BA26" s="236"/>
      <c r="BC26" s="234">
        <f t="shared" ca="1" si="24"/>
        <v>20</v>
      </c>
      <c r="BD26" s="288">
        <f t="shared" ca="1" si="6"/>
        <v>16</v>
      </c>
      <c r="BF26" s="240" t="str">
        <f t="shared" ca="1" si="7"/>
        <v>Edison International</v>
      </c>
      <c r="BG26" s="240" t="str">
        <f t="shared" ca="1" si="7"/>
        <v>BBB+</v>
      </c>
      <c r="BH26" s="240">
        <f t="shared" ca="1" si="7"/>
        <v>19</v>
      </c>
      <c r="BI26" s="240" t="str">
        <f t="shared" ca="1" si="7"/>
        <v>EIX</v>
      </c>
    </row>
    <row r="27" spans="1:61" x14ac:dyDescent="0.2">
      <c r="A27" s="303" t="s">
        <v>261</v>
      </c>
      <c r="B27" s="304" t="s">
        <v>16</v>
      </c>
      <c r="C27" s="304">
        <v>19</v>
      </c>
      <c r="D27" s="304" t="s">
        <v>301</v>
      </c>
      <c r="E27" s="305" t="str">
        <f t="shared" ca="1" si="8"/>
        <v>R</v>
      </c>
      <c r="F27" s="306"/>
      <c r="G27" s="307">
        <f t="shared" ca="1" si="1"/>
        <v>26</v>
      </c>
      <c r="H27" s="250"/>
      <c r="I27" s="321"/>
      <c r="J27" s="262"/>
      <c r="K27" s="321"/>
      <c r="N27" s="321"/>
      <c r="Q27" s="321"/>
      <c r="T27" s="321"/>
      <c r="W27" s="321"/>
      <c r="AE27" s="254"/>
      <c r="AF27" s="236">
        <f t="shared" si="2"/>
        <v>1</v>
      </c>
      <c r="AG27" s="236" t="str">
        <f t="shared" ca="1" si="3"/>
        <v/>
      </c>
      <c r="AH27" s="236" t="str">
        <f t="shared" ca="1" si="18"/>
        <v/>
      </c>
      <c r="AJ27" s="236">
        <f t="shared" ca="1" si="19"/>
        <v>27</v>
      </c>
      <c r="AK27" s="236" t="str">
        <f t="shared" ca="1" si="20"/>
        <v>BBB+</v>
      </c>
      <c r="AL27" s="236">
        <f t="shared" ca="1" si="20"/>
        <v>19</v>
      </c>
      <c r="AM27" s="236" t="str">
        <f t="shared" ca="1" si="4"/>
        <v/>
      </c>
      <c r="AQ27" s="286" t="s">
        <v>51</v>
      </c>
      <c r="AR27" s="286" t="s">
        <v>49</v>
      </c>
      <c r="AS27" s="286">
        <v>17</v>
      </c>
      <c r="AT27" s="289" t="s">
        <v>299</v>
      </c>
      <c r="AV27" s="234">
        <f t="shared" si="21"/>
        <v>46</v>
      </c>
      <c r="AW27" s="234">
        <f>COUNTIF( AV$7:AV27, AV27 )</f>
        <v>1</v>
      </c>
      <c r="AX27" s="287">
        <f t="shared" si="22"/>
        <v>46.1</v>
      </c>
      <c r="AY27" s="234">
        <f t="shared" si="23"/>
        <v>46</v>
      </c>
      <c r="AZ27" s="236"/>
      <c r="BA27" s="236"/>
      <c r="BC27" s="234">
        <f t="shared" ca="1" si="24"/>
        <v>21</v>
      </c>
      <c r="BD27" s="288">
        <f t="shared" ca="1" si="6"/>
        <v>22</v>
      </c>
      <c r="BF27" s="240" t="str">
        <f t="shared" ca="1" si="7"/>
        <v>Great Plains Energy Inc.</v>
      </c>
      <c r="BG27" s="240" t="str">
        <f t="shared" ca="1" si="7"/>
        <v>BBB+</v>
      </c>
      <c r="BH27" s="240">
        <f t="shared" ca="1" si="7"/>
        <v>19</v>
      </c>
      <c r="BI27" s="240" t="str">
        <f t="shared" ca="1" si="7"/>
        <v>GXP</v>
      </c>
    </row>
    <row r="28" spans="1:61" x14ac:dyDescent="0.2">
      <c r="A28" s="303" t="s">
        <v>12</v>
      </c>
      <c r="B28" s="304" t="s">
        <v>16</v>
      </c>
      <c r="C28" s="304">
        <v>19</v>
      </c>
      <c r="D28" s="304" t="s">
        <v>309</v>
      </c>
      <c r="E28" s="305" t="str">
        <f t="shared" ca="1" si="8"/>
        <v>D</v>
      </c>
      <c r="F28" s="306"/>
      <c r="G28" s="307">
        <f t="shared" ca="1" si="1"/>
        <v>30</v>
      </c>
      <c r="H28" s="250"/>
      <c r="I28" s="321"/>
      <c r="J28" s="262"/>
      <c r="K28" s="321"/>
      <c r="N28" s="321"/>
      <c r="Q28" s="321"/>
      <c r="T28" s="321"/>
      <c r="W28" s="321"/>
      <c r="AE28" s="245"/>
      <c r="AF28" s="236">
        <f t="shared" si="2"/>
        <v>1</v>
      </c>
      <c r="AG28" s="236" t="str">
        <f t="shared" ca="1" si="3"/>
        <v/>
      </c>
      <c r="AH28" s="236" t="str">
        <f t="shared" ca="1" si="18"/>
        <v/>
      </c>
      <c r="AJ28" s="236">
        <f t="shared" ca="1" si="19"/>
        <v>28</v>
      </c>
      <c r="AK28" s="236" t="str">
        <f t="shared" ca="1" si="20"/>
        <v>BBB+</v>
      </c>
      <c r="AL28" s="236">
        <f t="shared" ca="1" si="20"/>
        <v>19</v>
      </c>
      <c r="AM28" s="236" t="str">
        <f t="shared" ca="1" si="4"/>
        <v/>
      </c>
      <c r="AQ28" s="286" t="s">
        <v>261</v>
      </c>
      <c r="AR28" s="286" t="s">
        <v>16</v>
      </c>
      <c r="AS28" s="286">
        <v>19</v>
      </c>
      <c r="AT28" s="286" t="s">
        <v>301</v>
      </c>
      <c r="AV28" s="234">
        <f t="shared" si="21"/>
        <v>14</v>
      </c>
      <c r="AW28" s="234">
        <f>COUNTIF( AV$7:AV28, AV28 )</f>
        <v>8</v>
      </c>
      <c r="AX28" s="287">
        <f t="shared" si="22"/>
        <v>14.8</v>
      </c>
      <c r="AY28" s="234">
        <f t="shared" si="23"/>
        <v>21</v>
      </c>
      <c r="AZ28" s="236"/>
      <c r="BA28" s="236"/>
      <c r="BC28" s="234">
        <f t="shared" ca="1" si="24"/>
        <v>22</v>
      </c>
      <c r="BD28" s="288">
        <f t="shared" ca="1" si="6"/>
        <v>28</v>
      </c>
      <c r="BF28" s="240" t="str">
        <f t="shared" ca="1" si="7"/>
        <v>MDU Resources Group, Inc.</v>
      </c>
      <c r="BG28" s="240" t="str">
        <f t="shared" ca="1" si="7"/>
        <v>BBB+</v>
      </c>
      <c r="BH28" s="240">
        <f t="shared" ca="1" si="7"/>
        <v>19</v>
      </c>
      <c r="BI28" s="240" t="str">
        <f t="shared" ca="1" si="7"/>
        <v>MDU</v>
      </c>
    </row>
    <row r="29" spans="1:61" x14ac:dyDescent="0.2">
      <c r="A29" s="303" t="s">
        <v>23</v>
      </c>
      <c r="B29" s="304" t="s">
        <v>16</v>
      </c>
      <c r="C29" s="304">
        <v>19</v>
      </c>
      <c r="D29" s="304" t="s">
        <v>323</v>
      </c>
      <c r="E29" s="305" t="str">
        <f t="shared" ca="1" si="8"/>
        <v>R</v>
      </c>
      <c r="F29" s="306"/>
      <c r="G29" s="307">
        <f t="shared" ca="1" si="1"/>
        <v>38</v>
      </c>
      <c r="H29" s="250"/>
      <c r="I29" s="321"/>
      <c r="J29" s="262"/>
      <c r="K29" s="321"/>
      <c r="N29" s="321"/>
      <c r="Q29" s="321"/>
      <c r="T29" s="321"/>
      <c r="W29" s="321"/>
      <c r="AF29" s="236">
        <f t="shared" si="2"/>
        <v>1</v>
      </c>
      <c r="AG29" s="236" t="str">
        <f t="shared" ca="1" si="3"/>
        <v/>
      </c>
      <c r="AH29" s="236" t="str">
        <f t="shared" ca="1" si="18"/>
        <v/>
      </c>
      <c r="AJ29" s="236">
        <f t="shared" ca="1" si="19"/>
        <v>29</v>
      </c>
      <c r="AK29" s="236" t="str">
        <f t="shared" ca="1" si="20"/>
        <v>BBB+</v>
      </c>
      <c r="AL29" s="236">
        <f t="shared" ca="1" si="20"/>
        <v>19</v>
      </c>
      <c r="AM29" s="236" t="str">
        <f t="shared" ca="1" si="4"/>
        <v/>
      </c>
      <c r="AQ29" s="286" t="s">
        <v>39</v>
      </c>
      <c r="AR29" s="286" t="s">
        <v>49</v>
      </c>
      <c r="AS29" s="286">
        <v>17</v>
      </c>
      <c r="AT29" s="286" t="s">
        <v>302</v>
      </c>
      <c r="AV29" s="234">
        <f t="shared" si="21"/>
        <v>46</v>
      </c>
      <c r="AW29" s="234">
        <f>COUNTIF( AV$7:AV29, AV29 )</f>
        <v>2</v>
      </c>
      <c r="AX29" s="287">
        <f t="shared" si="22"/>
        <v>46.2</v>
      </c>
      <c r="AY29" s="234">
        <f t="shared" si="23"/>
        <v>47</v>
      </c>
      <c r="AZ29" s="236"/>
      <c r="BA29" s="236"/>
      <c r="BC29" s="234">
        <f t="shared" ca="1" si="24"/>
        <v>23</v>
      </c>
      <c r="BD29" s="288">
        <f t="shared" ca="1" si="6"/>
        <v>35</v>
      </c>
      <c r="BF29" s="240" t="str">
        <f t="shared" ca="1" si="7"/>
        <v>Pepco Holdings, Inc.</v>
      </c>
      <c r="BG29" s="240" t="str">
        <f t="shared" ca="1" si="7"/>
        <v>BBB+</v>
      </c>
      <c r="BH29" s="240">
        <f t="shared" ca="1" si="7"/>
        <v>19</v>
      </c>
      <c r="BI29" s="240" t="str">
        <f t="shared" ca="1" si="7"/>
        <v>POM</v>
      </c>
    </row>
    <row r="30" spans="1:61" x14ac:dyDescent="0.2">
      <c r="A30" s="303" t="s">
        <v>45</v>
      </c>
      <c r="B30" s="304" t="s">
        <v>16</v>
      </c>
      <c r="C30" s="304">
        <v>19</v>
      </c>
      <c r="D30" s="304" t="s">
        <v>319</v>
      </c>
      <c r="E30" s="305" t="str">
        <f t="shared" ca="1" si="8"/>
        <v>MR</v>
      </c>
      <c r="F30" s="306"/>
      <c r="G30" s="307">
        <f t="shared" ca="1" si="1"/>
        <v>44</v>
      </c>
      <c r="H30" s="250"/>
      <c r="I30" s="321"/>
      <c r="J30" s="262"/>
      <c r="K30" s="321"/>
      <c r="N30" s="321"/>
      <c r="Q30" s="321"/>
      <c r="T30" s="321"/>
      <c r="W30" s="321"/>
      <c r="AF30" s="236">
        <f t="shared" si="2"/>
        <v>1</v>
      </c>
      <c r="AG30" s="236" t="str">
        <f t="shared" ca="1" si="3"/>
        <v/>
      </c>
      <c r="AH30" s="236" t="str">
        <f t="shared" ca="1" si="18"/>
        <v/>
      </c>
      <c r="AJ30" s="236">
        <f t="shared" ca="1" si="19"/>
        <v>30</v>
      </c>
      <c r="AK30" s="236" t="str">
        <f t="shared" ca="1" si="20"/>
        <v>BBB+</v>
      </c>
      <c r="AL30" s="236">
        <f t="shared" ca="1" si="20"/>
        <v>19</v>
      </c>
      <c r="AM30" s="236" t="str">
        <f t="shared" ca="1" si="4"/>
        <v/>
      </c>
      <c r="AQ30" s="286" t="s">
        <v>452</v>
      </c>
      <c r="AR30" s="286" t="s">
        <v>28</v>
      </c>
      <c r="AS30" s="286">
        <v>18</v>
      </c>
      <c r="AT30" s="286" t="s">
        <v>444</v>
      </c>
      <c r="AV30" s="234">
        <f t="shared" si="21"/>
        <v>29</v>
      </c>
      <c r="AW30" s="234">
        <f>COUNTIF( AV$7:AV30, AV30 )</f>
        <v>9</v>
      </c>
      <c r="AX30" s="287">
        <f t="shared" si="22"/>
        <v>29.9</v>
      </c>
      <c r="AY30" s="234">
        <f t="shared" si="23"/>
        <v>37</v>
      </c>
      <c r="AZ30" s="236"/>
      <c r="BA30" s="236"/>
      <c r="BC30" s="234">
        <f t="shared" ca="1" si="24"/>
        <v>24</v>
      </c>
      <c r="BD30" s="288">
        <f t="shared" ca="1" si="6"/>
        <v>41</v>
      </c>
      <c r="BF30" s="240" t="str">
        <f t="shared" ca="1" si="7"/>
        <v>Public Service Enterprise Group Incorporated</v>
      </c>
      <c r="BG30" s="240" t="str">
        <f t="shared" ca="1" si="7"/>
        <v>BBB+</v>
      </c>
      <c r="BH30" s="240">
        <f t="shared" ca="1" si="7"/>
        <v>19</v>
      </c>
      <c r="BI30" s="240" t="str">
        <f t="shared" ca="1" si="7"/>
        <v>PEG</v>
      </c>
    </row>
    <row r="31" spans="1:61" x14ac:dyDescent="0.2">
      <c r="A31" s="303" t="s">
        <v>13</v>
      </c>
      <c r="B31" s="304" t="s">
        <v>16</v>
      </c>
      <c r="C31" s="304">
        <v>19</v>
      </c>
      <c r="D31" s="304" t="s">
        <v>327</v>
      </c>
      <c r="E31" s="305" t="str">
        <f t="shared" ca="1" si="8"/>
        <v>MR</v>
      </c>
      <c r="F31" s="306"/>
      <c r="G31" s="307">
        <f t="shared" ca="1" si="1"/>
        <v>45</v>
      </c>
      <c r="H31" s="250"/>
      <c r="I31" s="321"/>
      <c r="J31" s="262"/>
      <c r="K31" s="321"/>
      <c r="N31" s="321"/>
      <c r="O31" s="253"/>
      <c r="Q31" s="321"/>
      <c r="T31" s="321"/>
      <c r="W31" s="321"/>
      <c r="AF31" s="236">
        <f t="shared" si="2"/>
        <v>1</v>
      </c>
      <c r="AG31" s="236" t="str">
        <f t="shared" ca="1" si="3"/>
        <v/>
      </c>
      <c r="AH31" s="236" t="str">
        <f t="shared" ca="1" si="18"/>
        <v/>
      </c>
      <c r="AJ31" s="236">
        <f t="shared" ca="1" si="19"/>
        <v>31</v>
      </c>
      <c r="AK31" s="236" t="str">
        <f t="shared" ca="1" si="20"/>
        <v>BBB+</v>
      </c>
      <c r="AL31" s="236">
        <f t="shared" ca="1" si="20"/>
        <v>19</v>
      </c>
      <c r="AM31" s="236" t="str">
        <f t="shared" ca="1" si="4"/>
        <v/>
      </c>
      <c r="AQ31" s="286" t="s">
        <v>20</v>
      </c>
      <c r="AR31" s="286" t="s">
        <v>28</v>
      </c>
      <c r="AS31" s="286">
        <v>18</v>
      </c>
      <c r="AT31" s="286" t="s">
        <v>303</v>
      </c>
      <c r="AV31" s="234">
        <f t="shared" si="21"/>
        <v>29</v>
      </c>
      <c r="AW31" s="234">
        <f>COUNTIF( AV$7:AV31, AV31 )</f>
        <v>10</v>
      </c>
      <c r="AX31" s="287">
        <f t="shared" si="22"/>
        <v>30</v>
      </c>
      <c r="AY31" s="234">
        <f t="shared" si="23"/>
        <v>38</v>
      </c>
      <c r="AZ31" s="236"/>
      <c r="BA31" s="236"/>
      <c r="BC31" s="234">
        <f t="shared" ca="1" si="24"/>
        <v>25</v>
      </c>
      <c r="BD31" s="288">
        <f t="shared" ca="1" si="6"/>
        <v>43</v>
      </c>
      <c r="BF31" s="240" t="str">
        <f t="shared" ca="1" si="7"/>
        <v>SCANA Corporation</v>
      </c>
      <c r="BG31" s="240" t="str">
        <f t="shared" ca="1" si="7"/>
        <v>BBB+</v>
      </c>
      <c r="BH31" s="240">
        <f t="shared" ca="1" si="7"/>
        <v>19</v>
      </c>
      <c r="BI31" s="240" t="str">
        <f t="shared" ca="1" si="7"/>
        <v>SCG</v>
      </c>
    </row>
    <row r="32" spans="1:61" x14ac:dyDescent="0.2">
      <c r="A32" s="303" t="s">
        <v>25</v>
      </c>
      <c r="B32" s="304" t="s">
        <v>16</v>
      </c>
      <c r="C32" s="304">
        <v>19</v>
      </c>
      <c r="D32" s="304" t="s">
        <v>329</v>
      </c>
      <c r="E32" s="305" t="str">
        <f t="shared" ca="1" si="8"/>
        <v>MR</v>
      </c>
      <c r="F32" s="306"/>
      <c r="G32" s="307">
        <f t="shared" ca="1" si="1"/>
        <v>46</v>
      </c>
      <c r="H32" s="250"/>
      <c r="I32" s="321"/>
      <c r="J32" s="262"/>
      <c r="K32" s="321"/>
      <c r="N32" s="321"/>
      <c r="Q32" s="321"/>
      <c r="T32" s="321"/>
      <c r="W32" s="321"/>
      <c r="AF32" s="236">
        <f t="shared" si="2"/>
        <v>1</v>
      </c>
      <c r="AG32" s="236" t="str">
        <f t="shared" ca="1" si="3"/>
        <v/>
      </c>
      <c r="AH32" s="236" t="str">
        <f t="shared" ca="1" si="18"/>
        <v/>
      </c>
      <c r="AJ32" s="236">
        <f t="shared" ca="1" si="19"/>
        <v>32</v>
      </c>
      <c r="AK32" s="236" t="str">
        <f t="shared" ca="1" si="20"/>
        <v>BBB+</v>
      </c>
      <c r="AL32" s="236">
        <f t="shared" ca="1" si="20"/>
        <v>19</v>
      </c>
      <c r="AM32" s="236" t="str">
        <f t="shared" ca="1" si="4"/>
        <v/>
      </c>
      <c r="AQ32" s="286" t="s">
        <v>254</v>
      </c>
      <c r="AR32" s="286" t="s">
        <v>10</v>
      </c>
      <c r="AS32" s="286">
        <v>20</v>
      </c>
      <c r="AT32" s="286" t="s">
        <v>331</v>
      </c>
      <c r="AV32" s="234">
        <f t="shared" si="21"/>
        <v>2</v>
      </c>
      <c r="AW32" s="234">
        <f>COUNTIF( AV$7:AV32, AV32 )</f>
        <v>5</v>
      </c>
      <c r="AX32" s="287">
        <f t="shared" si="22"/>
        <v>2.5</v>
      </c>
      <c r="AY32" s="234">
        <f t="shared" si="23"/>
        <v>6</v>
      </c>
      <c r="AZ32" s="236"/>
      <c r="BA32" s="236"/>
      <c r="BC32" s="234">
        <f t="shared" ca="1" si="24"/>
        <v>26</v>
      </c>
      <c r="BD32" s="288">
        <f t="shared" ca="1" si="6"/>
        <v>44</v>
      </c>
      <c r="BF32" s="240" t="str">
        <f t="shared" ca="1" si="7"/>
        <v>Sempra Energy</v>
      </c>
      <c r="BG32" s="240" t="str">
        <f t="shared" ca="1" si="7"/>
        <v>BBB+</v>
      </c>
      <c r="BH32" s="240">
        <f t="shared" ca="1" si="7"/>
        <v>19</v>
      </c>
      <c r="BI32" s="240" t="str">
        <f t="shared" ca="1" si="7"/>
        <v>SRE</v>
      </c>
    </row>
    <row r="33" spans="1:61" x14ac:dyDescent="0.2">
      <c r="A33" s="303" t="s">
        <v>62</v>
      </c>
      <c r="B33" s="304" t="s">
        <v>16</v>
      </c>
      <c r="C33" s="304">
        <v>19</v>
      </c>
      <c r="D33" s="304" t="s">
        <v>330</v>
      </c>
      <c r="E33" s="305" t="str">
        <f t="shared" ca="1" si="8"/>
        <v>R</v>
      </c>
      <c r="F33" s="306"/>
      <c r="G33" s="307">
        <f t="shared" ca="1" si="1"/>
        <v>48</v>
      </c>
      <c r="H33" s="250"/>
      <c r="I33" s="321"/>
      <c r="J33" s="262"/>
      <c r="K33" s="321"/>
      <c r="N33" s="321"/>
      <c r="Q33" s="321"/>
      <c r="T33" s="321"/>
      <c r="W33" s="321"/>
      <c r="AF33" s="236">
        <f t="shared" si="2"/>
        <v>1</v>
      </c>
      <c r="AG33" s="236" t="str">
        <f t="shared" ca="1" si="3"/>
        <v/>
      </c>
      <c r="AH33" s="236" t="str">
        <f t="shared" ca="1" si="18"/>
        <v/>
      </c>
      <c r="AJ33" s="236">
        <f t="shared" ca="1" si="19"/>
        <v>33</v>
      </c>
      <c r="AK33" s="236" t="str">
        <f t="shared" ca="1" si="20"/>
        <v>BBB+</v>
      </c>
      <c r="AL33" s="236">
        <f t="shared" ca="1" si="20"/>
        <v>19</v>
      </c>
      <c r="AM33" s="236" t="str">
        <f t="shared" ca="1" si="4"/>
        <v/>
      </c>
      <c r="AQ33" s="286" t="s">
        <v>58</v>
      </c>
      <c r="AR33" s="286" t="s">
        <v>56</v>
      </c>
      <c r="AS33" s="286">
        <v>16</v>
      </c>
      <c r="AT33" s="286" t="s">
        <v>446</v>
      </c>
      <c r="AV33" s="234">
        <f t="shared" si="21"/>
        <v>50</v>
      </c>
      <c r="AW33" s="234">
        <f>COUNTIF( AV$7:AV33, AV33 )</f>
        <v>1</v>
      </c>
      <c r="AX33" s="287">
        <f t="shared" si="22"/>
        <v>50.1</v>
      </c>
      <c r="AY33" s="234">
        <f t="shared" si="23"/>
        <v>50</v>
      </c>
      <c r="AZ33" s="236"/>
      <c r="BA33" s="236"/>
      <c r="BC33" s="234">
        <f t="shared" ca="1" si="24"/>
        <v>27</v>
      </c>
      <c r="BD33" s="288">
        <f t="shared" ca="1" si="6"/>
        <v>46</v>
      </c>
      <c r="BF33" s="240" t="str">
        <f t="shared" ca="1" si="7"/>
        <v>TECO Energy, Inc.</v>
      </c>
      <c r="BG33" s="240" t="str">
        <f t="shared" ca="1" si="7"/>
        <v>BBB+</v>
      </c>
      <c r="BH33" s="240">
        <f t="shared" ca="1" si="7"/>
        <v>19</v>
      </c>
      <c r="BI33" s="240" t="str">
        <f t="shared" ca="1" si="7"/>
        <v>TE</v>
      </c>
    </row>
    <row r="34" spans="1:61" x14ac:dyDescent="0.2">
      <c r="A34" s="303" t="s">
        <v>59</v>
      </c>
      <c r="B34" s="304" t="s">
        <v>16</v>
      </c>
      <c r="C34" s="304">
        <v>19</v>
      </c>
      <c r="D34" s="304" t="s">
        <v>337</v>
      </c>
      <c r="E34" s="305" t="str">
        <f t="shared" ca="1" si="8"/>
        <v>R</v>
      </c>
      <c r="F34" s="306"/>
      <c r="G34" s="307">
        <f t="shared" ca="1" si="1"/>
        <v>53</v>
      </c>
      <c r="H34" s="250"/>
      <c r="I34" s="321"/>
      <c r="J34" s="262"/>
      <c r="K34" s="321"/>
      <c r="L34" s="235"/>
      <c r="M34" s="235"/>
      <c r="N34" s="321"/>
      <c r="Q34" s="321"/>
      <c r="T34" s="321"/>
      <c r="W34" s="321"/>
      <c r="AF34" s="236">
        <f t="shared" si="2"/>
        <v>1</v>
      </c>
      <c r="AG34" s="236" t="str">
        <f t="shared" ca="1" si="3"/>
        <v/>
      </c>
      <c r="AH34" s="236" t="str">
        <f t="shared" ca="1" si="18"/>
        <v/>
      </c>
      <c r="AJ34" s="236">
        <f t="shared" ca="1" si="19"/>
        <v>34</v>
      </c>
      <c r="AK34" s="236" t="str">
        <f t="shared" ca="1" si="20"/>
        <v>BBB+</v>
      </c>
      <c r="AL34" s="236">
        <f t="shared" ca="1" si="20"/>
        <v>19</v>
      </c>
      <c r="AM34" s="236" t="str">
        <f t="shared" ca="1" si="4"/>
        <v/>
      </c>
      <c r="AQ34" s="286" t="s">
        <v>12</v>
      </c>
      <c r="AR34" s="286" t="s">
        <v>16</v>
      </c>
      <c r="AS34" s="286">
        <v>19</v>
      </c>
      <c r="AT34" s="286" t="s">
        <v>309</v>
      </c>
      <c r="AV34" s="234">
        <f t="shared" si="21"/>
        <v>14</v>
      </c>
      <c r="AW34" s="234">
        <f>COUNTIF( AV$7:AV34, AV34 )</f>
        <v>9</v>
      </c>
      <c r="AX34" s="287">
        <f t="shared" si="22"/>
        <v>14.9</v>
      </c>
      <c r="AY34" s="234">
        <f t="shared" si="23"/>
        <v>22</v>
      </c>
      <c r="AZ34" s="236"/>
      <c r="BA34" s="236"/>
      <c r="BC34" s="234">
        <f t="shared" ca="1" si="24"/>
        <v>28</v>
      </c>
      <c r="BD34" s="288">
        <f t="shared" ca="1" si="6"/>
        <v>49</v>
      </c>
      <c r="BF34" s="240" t="str">
        <f t="shared" ca="1" si="7"/>
        <v>Westar Energy, Inc.</v>
      </c>
      <c r="BG34" s="240" t="str">
        <f t="shared" ca="1" si="7"/>
        <v>BBB+</v>
      </c>
      <c r="BH34" s="240">
        <f t="shared" ca="1" si="7"/>
        <v>19</v>
      </c>
      <c r="BI34" s="240" t="str">
        <f t="shared" ca="1" si="7"/>
        <v>WR</v>
      </c>
    </row>
    <row r="35" spans="1:61" x14ac:dyDescent="0.2">
      <c r="A35" s="303" t="s">
        <v>259</v>
      </c>
      <c r="B35" s="304" t="s">
        <v>28</v>
      </c>
      <c r="C35" s="304">
        <v>18</v>
      </c>
      <c r="D35" s="304" t="s">
        <v>275</v>
      </c>
      <c r="E35" s="305" t="str">
        <f t="shared" ca="1" si="8"/>
        <v>R</v>
      </c>
      <c r="F35" s="306"/>
      <c r="G35" s="307">
        <f t="shared" ca="1" si="1"/>
        <v>10</v>
      </c>
      <c r="H35" s="250"/>
      <c r="I35" s="321"/>
      <c r="K35" s="321"/>
      <c r="L35" s="235"/>
      <c r="M35" s="235"/>
      <c r="N35" s="321"/>
      <c r="Q35" s="321"/>
      <c r="T35" s="321"/>
      <c r="W35" s="321"/>
      <c r="AF35" s="236">
        <f t="shared" si="2"/>
        <v>0</v>
      </c>
      <c r="AG35" s="236" t="str">
        <f t="shared" ca="1" si="3"/>
        <v/>
      </c>
      <c r="AH35" s="236" t="str">
        <f t="shared" ca="1" si="18"/>
        <v/>
      </c>
      <c r="AJ35" s="236">
        <f t="shared" ca="1" si="19"/>
        <v>35</v>
      </c>
      <c r="AK35" s="236" t="str">
        <f t="shared" ca="1" si="20"/>
        <v>BBB</v>
      </c>
      <c r="AL35" s="236">
        <f t="shared" ca="1" si="20"/>
        <v>18</v>
      </c>
      <c r="AM35" s="236" t="str">
        <f t="shared" ca="1" si="4"/>
        <v/>
      </c>
      <c r="AQ35" s="286" t="s">
        <v>370</v>
      </c>
      <c r="AR35" s="286" t="s">
        <v>10</v>
      </c>
      <c r="AS35" s="286">
        <v>20</v>
      </c>
      <c r="AT35" s="286" t="s">
        <v>369</v>
      </c>
      <c r="AV35" s="234">
        <f t="shared" si="21"/>
        <v>2</v>
      </c>
      <c r="AW35" s="234">
        <f>COUNTIF( AV$7:AV35, AV35 )</f>
        <v>6</v>
      </c>
      <c r="AX35" s="287">
        <f t="shared" si="22"/>
        <v>2.6</v>
      </c>
      <c r="AY35" s="234">
        <f t="shared" si="23"/>
        <v>7</v>
      </c>
      <c r="AZ35" s="236"/>
      <c r="BA35" s="236"/>
      <c r="BC35" s="234">
        <f t="shared" ca="1" si="24"/>
        <v>29</v>
      </c>
      <c r="BD35" s="288">
        <f t="shared" ca="1" si="6"/>
        <v>4</v>
      </c>
      <c r="BF35" s="240" t="str">
        <f t="shared" ca="1" si="7"/>
        <v>American Electric Power Company, Inc.</v>
      </c>
      <c r="BG35" s="240" t="str">
        <f t="shared" ca="1" si="7"/>
        <v>BBB</v>
      </c>
      <c r="BH35" s="240">
        <f t="shared" ca="1" si="7"/>
        <v>18</v>
      </c>
      <c r="BI35" s="240" t="str">
        <f t="shared" ca="1" si="7"/>
        <v>AEP</v>
      </c>
    </row>
    <row r="36" spans="1:61" x14ac:dyDescent="0.2">
      <c r="A36" s="303" t="s">
        <v>55</v>
      </c>
      <c r="B36" s="304" t="s">
        <v>28</v>
      </c>
      <c r="C36" s="304">
        <v>18</v>
      </c>
      <c r="D36" s="304" t="s">
        <v>278</v>
      </c>
      <c r="E36" s="305" t="str">
        <f t="shared" ca="1" si="8"/>
        <v>R</v>
      </c>
      <c r="F36" s="306"/>
      <c r="G36" s="307">
        <f t="shared" ca="1" si="1"/>
        <v>11</v>
      </c>
      <c r="H36" s="250"/>
      <c r="I36" s="321"/>
      <c r="J36" s="262"/>
      <c r="K36" s="321"/>
      <c r="L36" s="263"/>
      <c r="M36" s="263"/>
      <c r="N36" s="321"/>
      <c r="Q36" s="321"/>
      <c r="T36" s="321"/>
      <c r="W36" s="321"/>
      <c r="AF36" s="236">
        <f t="shared" si="2"/>
        <v>0</v>
      </c>
      <c r="AG36" s="236" t="str">
        <f t="shared" ca="1" si="3"/>
        <v/>
      </c>
      <c r="AH36" s="236" t="str">
        <f t="shared" ca="1" si="18"/>
        <v/>
      </c>
      <c r="AJ36" s="236">
        <f t="shared" ca="1" si="19"/>
        <v>36</v>
      </c>
      <c r="AK36" s="236" t="str">
        <f t="shared" ca="1" si="20"/>
        <v>BBB</v>
      </c>
      <c r="AL36" s="236">
        <f t="shared" ca="1" si="20"/>
        <v>18</v>
      </c>
      <c r="AM36" s="236" t="str">
        <f t="shared" ca="1" si="4"/>
        <v/>
      </c>
      <c r="AQ36" s="286" t="s">
        <v>40</v>
      </c>
      <c r="AR36" s="286" t="s">
        <v>49</v>
      </c>
      <c r="AS36" s="286">
        <v>17</v>
      </c>
      <c r="AT36" s="286" t="s">
        <v>311</v>
      </c>
      <c r="AV36" s="234">
        <f t="shared" si="21"/>
        <v>46</v>
      </c>
      <c r="AW36" s="234">
        <f>COUNTIF( AV$7:AV36, AV36 )</f>
        <v>3</v>
      </c>
      <c r="AX36" s="287">
        <f t="shared" si="22"/>
        <v>46.3</v>
      </c>
      <c r="AY36" s="234">
        <f t="shared" si="23"/>
        <v>48</v>
      </c>
      <c r="AZ36" s="236"/>
      <c r="BA36" s="236"/>
      <c r="BC36" s="234">
        <f t="shared" ca="1" si="24"/>
        <v>30</v>
      </c>
      <c r="BD36" s="288">
        <f t="shared" ca="1" si="6"/>
        <v>5</v>
      </c>
      <c r="BF36" s="240" t="str">
        <f t="shared" ca="1" si="7"/>
        <v>Avista Corporation</v>
      </c>
      <c r="BG36" s="240" t="str">
        <f t="shared" ca="1" si="7"/>
        <v>BBB</v>
      </c>
      <c r="BH36" s="240">
        <f t="shared" ca="1" si="7"/>
        <v>18</v>
      </c>
      <c r="BI36" s="240" t="str">
        <f t="shared" ca="1" si="7"/>
        <v>AVA</v>
      </c>
    </row>
    <row r="37" spans="1:61" x14ac:dyDescent="0.2">
      <c r="A37" s="303" t="s">
        <v>48</v>
      </c>
      <c r="B37" s="304" t="s">
        <v>28</v>
      </c>
      <c r="C37" s="304">
        <v>18</v>
      </c>
      <c r="D37" s="304" t="s">
        <v>280</v>
      </c>
      <c r="E37" s="305" t="str">
        <f t="shared" ca="1" si="8"/>
        <v>R</v>
      </c>
      <c r="F37" s="306"/>
      <c r="G37" s="307">
        <f t="shared" ca="1" si="1"/>
        <v>12</v>
      </c>
      <c r="H37" s="250"/>
      <c r="I37" s="321"/>
      <c r="K37" s="321"/>
      <c r="L37" s="264"/>
      <c r="M37" s="235"/>
      <c r="N37" s="321"/>
      <c r="Q37" s="321"/>
      <c r="T37" s="321"/>
      <c r="W37" s="321"/>
      <c r="AF37" s="236">
        <f t="shared" si="2"/>
        <v>0</v>
      </c>
      <c r="AG37" s="236" t="str">
        <f t="shared" ca="1" si="3"/>
        <v/>
      </c>
      <c r="AH37" s="236" t="str">
        <f t="shared" ca="1" si="18"/>
        <v/>
      </c>
      <c r="AJ37" s="236">
        <f t="shared" ca="1" si="19"/>
        <v>37</v>
      </c>
      <c r="AK37" s="236" t="str">
        <f t="shared" ca="1" si="20"/>
        <v>BBB</v>
      </c>
      <c r="AL37" s="236">
        <f t="shared" ca="1" si="20"/>
        <v>18</v>
      </c>
      <c r="AM37" s="236" t="str">
        <f t="shared" ca="1" si="4"/>
        <v/>
      </c>
      <c r="AQ37" s="286" t="s">
        <v>513</v>
      </c>
      <c r="AR37" s="286" t="s">
        <v>10</v>
      </c>
      <c r="AS37" s="286">
        <v>20</v>
      </c>
      <c r="AT37" s="286" t="s">
        <v>512</v>
      </c>
      <c r="AV37" s="234">
        <f t="shared" si="21"/>
        <v>2</v>
      </c>
      <c r="AW37" s="234">
        <f>COUNTIF( AV$7:AV37, AV37 )</f>
        <v>7</v>
      </c>
      <c r="AX37" s="287">
        <f t="shared" si="22"/>
        <v>2.7</v>
      </c>
      <c r="AY37" s="234">
        <f t="shared" si="23"/>
        <v>8</v>
      </c>
      <c r="AZ37" s="236"/>
      <c r="BA37" s="236"/>
      <c r="BC37" s="234">
        <f t="shared" ca="1" si="24"/>
        <v>31</v>
      </c>
      <c r="BD37" s="288">
        <f t="shared" ca="1" si="6"/>
        <v>7</v>
      </c>
      <c r="BF37" s="240" t="str">
        <f t="shared" ca="1" si="7"/>
        <v>Black Hills Corporation</v>
      </c>
      <c r="BG37" s="240" t="str">
        <f t="shared" ca="1" si="7"/>
        <v>BBB</v>
      </c>
      <c r="BH37" s="240">
        <f t="shared" ca="1" si="7"/>
        <v>18</v>
      </c>
      <c r="BI37" s="240" t="str">
        <f t="shared" ca="1" si="7"/>
        <v>BKH</v>
      </c>
    </row>
    <row r="38" spans="1:61" x14ac:dyDescent="0.2">
      <c r="A38" s="303" t="s">
        <v>60</v>
      </c>
      <c r="B38" s="304" t="s">
        <v>28</v>
      </c>
      <c r="C38" s="304">
        <v>18</v>
      </c>
      <c r="D38" s="304" t="s">
        <v>284</v>
      </c>
      <c r="E38" s="305" t="str">
        <f t="shared" ca="1" si="8"/>
        <v>R</v>
      </c>
      <c r="F38" s="306"/>
      <c r="G38" s="307">
        <f t="shared" ca="1" si="1"/>
        <v>15</v>
      </c>
      <c r="H38" s="250"/>
      <c r="I38" s="321"/>
      <c r="J38" s="262"/>
      <c r="K38" s="321"/>
      <c r="L38" s="264"/>
      <c r="M38" s="235"/>
      <c r="N38" s="321"/>
      <c r="Q38" s="321"/>
      <c r="T38" s="321"/>
      <c r="W38" s="321"/>
      <c r="AF38" s="236">
        <f t="shared" si="2"/>
        <v>0</v>
      </c>
      <c r="AG38" s="236" t="str">
        <f t="shared" ca="1" si="3"/>
        <v/>
      </c>
      <c r="AH38" s="236" t="str">
        <f t="shared" ca="1" si="18"/>
        <v/>
      </c>
      <c r="AJ38" s="236">
        <f t="shared" ca="1" si="19"/>
        <v>38</v>
      </c>
      <c r="AK38" s="236" t="str">
        <f t="shared" ca="1" si="20"/>
        <v>BBB</v>
      </c>
      <c r="AL38" s="236">
        <f t="shared" ca="1" si="20"/>
        <v>18</v>
      </c>
      <c r="AM38" s="236" t="str">
        <f t="shared" ca="1" si="4"/>
        <v/>
      </c>
      <c r="AQ38" s="286" t="s">
        <v>66</v>
      </c>
      <c r="AR38" s="286" t="s">
        <v>28</v>
      </c>
      <c r="AS38" s="286">
        <v>18</v>
      </c>
      <c r="AT38" s="286" t="s">
        <v>315</v>
      </c>
      <c r="AV38" s="234">
        <f t="shared" si="21"/>
        <v>29</v>
      </c>
      <c r="AW38" s="234">
        <f>COUNTIF( AV$7:AV38, AV38 )</f>
        <v>11</v>
      </c>
      <c r="AX38" s="287">
        <f t="shared" si="22"/>
        <v>30.1</v>
      </c>
      <c r="AY38" s="234">
        <f t="shared" si="23"/>
        <v>39</v>
      </c>
      <c r="AZ38" s="236"/>
      <c r="BA38" s="236"/>
      <c r="BC38" s="234">
        <f t="shared" ca="1" si="24"/>
        <v>32</v>
      </c>
      <c r="BD38" s="288">
        <f t="shared" ca="1" si="6"/>
        <v>10</v>
      </c>
      <c r="BF38" s="240" t="str">
        <f t="shared" ca="1" si="7"/>
        <v>CMS Energy Corporation</v>
      </c>
      <c r="BG38" s="240" t="str">
        <f t="shared" ca="1" si="7"/>
        <v>BBB</v>
      </c>
      <c r="BH38" s="240">
        <f t="shared" ca="1" si="7"/>
        <v>18</v>
      </c>
      <c r="BI38" s="240" t="str">
        <f t="shared" ca="1" si="7"/>
        <v>CMS</v>
      </c>
    </row>
    <row r="39" spans="1:61" x14ac:dyDescent="0.2">
      <c r="A39" s="303" t="s">
        <v>34</v>
      </c>
      <c r="B39" s="304" t="s">
        <v>28</v>
      </c>
      <c r="C39" s="304">
        <v>18</v>
      </c>
      <c r="D39" s="304" t="s">
        <v>294</v>
      </c>
      <c r="E39" s="305" t="str">
        <f t="shared" ca="1" si="8"/>
        <v>R</v>
      </c>
      <c r="F39" s="306"/>
      <c r="G39" s="307">
        <f t="shared" ca="1" si="1"/>
        <v>21</v>
      </c>
      <c r="H39" s="250"/>
      <c r="I39" s="321"/>
      <c r="K39" s="321"/>
      <c r="L39" s="264"/>
      <c r="M39" s="235"/>
      <c r="N39" s="321"/>
      <c r="Q39" s="321"/>
      <c r="T39" s="321"/>
      <c r="W39" s="321"/>
      <c r="AF39" s="236">
        <f t="shared" si="2"/>
        <v>0</v>
      </c>
      <c r="AG39" s="236" t="str">
        <f t="shared" ca="1" si="3"/>
        <v/>
      </c>
      <c r="AH39" s="236" t="str">
        <f t="shared" ca="1" si="18"/>
        <v/>
      </c>
      <c r="AJ39" s="236">
        <f t="shared" ca="1" si="19"/>
        <v>39</v>
      </c>
      <c r="AK39" s="236" t="str">
        <f t="shared" ca="1" si="20"/>
        <v>BBB</v>
      </c>
      <c r="AL39" s="236">
        <f t="shared" ca="1" si="20"/>
        <v>18</v>
      </c>
      <c r="AM39" s="236" t="str">
        <f t="shared" ca="1" si="4"/>
        <v/>
      </c>
      <c r="AQ39" s="286" t="s">
        <v>21</v>
      </c>
      <c r="AR39" s="286" t="s">
        <v>10</v>
      </c>
      <c r="AS39" s="286">
        <v>20</v>
      </c>
      <c r="AT39" s="286" t="s">
        <v>316</v>
      </c>
      <c r="AV39" s="234">
        <f t="shared" si="21"/>
        <v>2</v>
      </c>
      <c r="AW39" s="234">
        <f>COUNTIF( AV$7:AV39, AV39 )</f>
        <v>8</v>
      </c>
      <c r="AX39" s="287">
        <f t="shared" si="22"/>
        <v>2.8</v>
      </c>
      <c r="AY39" s="234">
        <f t="shared" si="23"/>
        <v>9</v>
      </c>
      <c r="AZ39" s="236"/>
      <c r="BA39" s="236"/>
      <c r="BC39" s="234">
        <f t="shared" ca="1" si="24"/>
        <v>33</v>
      </c>
      <c r="BD39" s="288">
        <f t="shared" ca="1" si="6"/>
        <v>17</v>
      </c>
      <c r="BF39" s="240" t="str">
        <f t="shared" ref="BF39:BI63" ca="1" si="25">OFFSET( AQ$6, $BD39, 0 )</f>
        <v>El Paso Electric Company</v>
      </c>
      <c r="BG39" s="240" t="str">
        <f t="shared" ca="1" si="25"/>
        <v>BBB</v>
      </c>
      <c r="BH39" s="240">
        <f t="shared" ca="1" si="25"/>
        <v>18</v>
      </c>
      <c r="BI39" s="240" t="str">
        <f t="shared" ca="1" si="25"/>
        <v>EE</v>
      </c>
    </row>
    <row r="40" spans="1:61" x14ac:dyDescent="0.2">
      <c r="A40" s="303" t="s">
        <v>35</v>
      </c>
      <c r="B40" s="304" t="s">
        <v>28</v>
      </c>
      <c r="C40" s="304">
        <v>18</v>
      </c>
      <c r="D40" s="304" t="s">
        <v>293</v>
      </c>
      <c r="E40" s="305" t="str">
        <f t="shared" ca="1" si="8"/>
        <v>R</v>
      </c>
      <c r="F40" s="306"/>
      <c r="G40" s="307">
        <f t="shared" ca="1" si="1"/>
        <v>22</v>
      </c>
      <c r="H40" s="250"/>
      <c r="I40" s="321"/>
      <c r="J40" s="262"/>
      <c r="K40" s="321"/>
      <c r="L40" s="264"/>
      <c r="M40" s="235"/>
      <c r="N40" s="321"/>
      <c r="Q40" s="321"/>
      <c r="T40" s="321"/>
      <c r="W40" s="321"/>
      <c r="AF40" s="236">
        <f t="shared" si="2"/>
        <v>0</v>
      </c>
      <c r="AG40" s="236" t="str">
        <f t="shared" ca="1" si="3"/>
        <v/>
      </c>
      <c r="AH40" s="236" t="str">
        <f t="shared" ca="1" si="18"/>
        <v/>
      </c>
      <c r="AJ40" s="236">
        <f t="shared" ca="1" si="19"/>
        <v>40</v>
      </c>
      <c r="AK40" s="236" t="str">
        <f t="shared" ca="1" si="20"/>
        <v>BBB</v>
      </c>
      <c r="AL40" s="236">
        <f t="shared" ca="1" si="20"/>
        <v>18</v>
      </c>
      <c r="AM40" s="236" t="str">
        <f t="shared" ca="1" si="4"/>
        <v/>
      </c>
      <c r="AQ40" s="286" t="s">
        <v>22</v>
      </c>
      <c r="AR40" s="286" t="s">
        <v>28</v>
      </c>
      <c r="AS40" s="286">
        <v>18</v>
      </c>
      <c r="AT40" s="286" t="s">
        <v>317</v>
      </c>
      <c r="AV40" s="234">
        <f t="shared" si="21"/>
        <v>29</v>
      </c>
      <c r="AW40" s="234">
        <f>COUNTIF( AV$7:AV40, AV40 )</f>
        <v>12</v>
      </c>
      <c r="AX40" s="287">
        <f t="shared" si="22"/>
        <v>30.2</v>
      </c>
      <c r="AY40" s="234">
        <f t="shared" si="23"/>
        <v>40</v>
      </c>
      <c r="AZ40" s="236"/>
      <c r="BA40" s="236"/>
      <c r="BC40" s="234">
        <f t="shared" ca="1" si="24"/>
        <v>34</v>
      </c>
      <c r="BD40" s="288">
        <f t="shared" ca="1" si="6"/>
        <v>18</v>
      </c>
      <c r="BF40" s="240" t="str">
        <f t="shared" ca="1" si="25"/>
        <v>Empire District Electric Company</v>
      </c>
      <c r="BG40" s="240" t="str">
        <f t="shared" ca="1" si="25"/>
        <v>BBB</v>
      </c>
      <c r="BH40" s="240">
        <f t="shared" ca="1" si="25"/>
        <v>18</v>
      </c>
      <c r="BI40" s="240" t="str">
        <f t="shared" ca="1" si="25"/>
        <v>EDE</v>
      </c>
    </row>
    <row r="41" spans="1:61" x14ac:dyDescent="0.2">
      <c r="A41" s="303" t="s">
        <v>36</v>
      </c>
      <c r="B41" s="304" t="s">
        <v>28</v>
      </c>
      <c r="C41" s="304">
        <v>18</v>
      </c>
      <c r="D41" s="304" t="s">
        <v>297</v>
      </c>
      <c r="E41" s="305" t="str">
        <f t="shared" ca="1" si="8"/>
        <v>R</v>
      </c>
      <c r="F41" s="306"/>
      <c r="G41" s="307">
        <f t="shared" ca="1" si="1"/>
        <v>23</v>
      </c>
      <c r="H41" s="250"/>
      <c r="I41" s="321"/>
      <c r="J41" s="262"/>
      <c r="K41" s="321"/>
      <c r="L41" s="264"/>
      <c r="M41" s="235"/>
      <c r="N41" s="321"/>
      <c r="Q41" s="321"/>
      <c r="T41" s="321"/>
      <c r="W41" s="321"/>
      <c r="AF41" s="236">
        <f t="shared" si="2"/>
        <v>0</v>
      </c>
      <c r="AG41" s="236" t="str">
        <f t="shared" ca="1" si="3"/>
        <v/>
      </c>
      <c r="AH41" s="236" t="str">
        <f t="shared" ca="1" si="18"/>
        <v/>
      </c>
      <c r="AJ41" s="236">
        <f t="shared" ca="1" si="19"/>
        <v>41</v>
      </c>
      <c r="AK41" s="236" t="str">
        <f t="shared" ca="1" si="20"/>
        <v>BBB</v>
      </c>
      <c r="AL41" s="236">
        <f t="shared" ca="1" si="20"/>
        <v>18</v>
      </c>
      <c r="AM41" s="236" t="str">
        <f t="shared" ca="1" si="4"/>
        <v/>
      </c>
      <c r="AQ41" s="286" t="s">
        <v>23</v>
      </c>
      <c r="AR41" s="286" t="s">
        <v>16</v>
      </c>
      <c r="AS41" s="286">
        <v>19</v>
      </c>
      <c r="AT41" s="286" t="s">
        <v>323</v>
      </c>
      <c r="AV41" s="234">
        <f t="shared" si="21"/>
        <v>14</v>
      </c>
      <c r="AW41" s="234">
        <f>COUNTIF( AV$7:AV41, AV41 )</f>
        <v>10</v>
      </c>
      <c r="AX41" s="287">
        <f t="shared" si="22"/>
        <v>15</v>
      </c>
      <c r="AY41" s="234">
        <f t="shared" si="23"/>
        <v>23</v>
      </c>
      <c r="AZ41" s="236"/>
      <c r="BA41" s="236"/>
      <c r="BC41" s="234">
        <f t="shared" ca="1" si="24"/>
        <v>35</v>
      </c>
      <c r="BD41" s="288">
        <f t="shared" ca="1" si="6"/>
        <v>19</v>
      </c>
      <c r="BF41" s="240" t="str">
        <f t="shared" ca="1" si="25"/>
        <v>Entergy Corporation</v>
      </c>
      <c r="BG41" s="240" t="str">
        <f t="shared" ca="1" si="25"/>
        <v>BBB</v>
      </c>
      <c r="BH41" s="240">
        <f t="shared" ca="1" si="25"/>
        <v>18</v>
      </c>
      <c r="BI41" s="240" t="str">
        <f t="shared" ca="1" si="25"/>
        <v>ETR</v>
      </c>
    </row>
    <row r="42" spans="1:61" x14ac:dyDescent="0.2">
      <c r="A42" s="303" t="s">
        <v>11</v>
      </c>
      <c r="B42" s="304" t="s">
        <v>28</v>
      </c>
      <c r="C42" s="304">
        <v>18</v>
      </c>
      <c r="D42" s="304" t="s">
        <v>298</v>
      </c>
      <c r="E42" s="305" t="str">
        <f t="shared" ca="1" si="8"/>
        <v>MR</v>
      </c>
      <c r="F42" s="306"/>
      <c r="G42" s="307">
        <f t="shared" ca="1" si="1"/>
        <v>24</v>
      </c>
      <c r="H42" s="250"/>
      <c r="I42" s="321"/>
      <c r="J42" s="262"/>
      <c r="K42" s="321"/>
      <c r="L42" s="264"/>
      <c r="M42" s="235"/>
      <c r="N42" s="321"/>
      <c r="Q42" s="321"/>
      <c r="T42" s="321"/>
      <c r="W42" s="321"/>
      <c r="AF42" s="236">
        <f t="shared" si="2"/>
        <v>0</v>
      </c>
      <c r="AG42" s="236" t="str">
        <f t="shared" ca="1" si="3"/>
        <v/>
      </c>
      <c r="AH42" s="236" t="str">
        <f t="shared" ca="1" si="18"/>
        <v/>
      </c>
      <c r="AJ42" s="236">
        <f t="shared" ca="1" si="19"/>
        <v>42</v>
      </c>
      <c r="AK42" s="236" t="str">
        <f t="shared" ca="1" si="20"/>
        <v>BBB</v>
      </c>
      <c r="AL42" s="236">
        <f t="shared" ca="1" si="20"/>
        <v>18</v>
      </c>
      <c r="AM42" s="236" t="str">
        <f t="shared" ca="1" si="4"/>
        <v/>
      </c>
      <c r="AQ42" s="286" t="s">
        <v>53</v>
      </c>
      <c r="AR42" s="286" t="s">
        <v>28</v>
      </c>
      <c r="AS42" s="286">
        <v>18</v>
      </c>
      <c r="AT42" s="286" t="s">
        <v>318</v>
      </c>
      <c r="AV42" s="234">
        <f t="shared" si="21"/>
        <v>29</v>
      </c>
      <c r="AW42" s="234">
        <f>COUNTIF( AV$7:AV42, AV42 )</f>
        <v>13</v>
      </c>
      <c r="AX42" s="287">
        <f t="shared" si="22"/>
        <v>30.3</v>
      </c>
      <c r="AY42" s="234">
        <f t="shared" si="23"/>
        <v>41</v>
      </c>
      <c r="AZ42" s="236"/>
      <c r="BA42" s="236"/>
      <c r="BC42" s="234">
        <f t="shared" ca="1" si="24"/>
        <v>36</v>
      </c>
      <c r="BD42" s="288">
        <f t="shared" ca="1" si="6"/>
        <v>20</v>
      </c>
      <c r="BF42" s="240" t="str">
        <f t="shared" ca="1" si="25"/>
        <v>Exelon Corporation</v>
      </c>
      <c r="BG42" s="240" t="str">
        <f t="shared" ca="1" si="25"/>
        <v>BBB</v>
      </c>
      <c r="BH42" s="240">
        <f t="shared" ca="1" si="25"/>
        <v>18</v>
      </c>
      <c r="BI42" s="240" t="str">
        <f t="shared" ca="1" si="25"/>
        <v>EXC</v>
      </c>
    </row>
    <row r="43" spans="1:61" x14ac:dyDescent="0.2">
      <c r="A43" s="303" t="s">
        <v>452</v>
      </c>
      <c r="B43" s="304" t="s">
        <v>28</v>
      </c>
      <c r="C43" s="304">
        <v>18</v>
      </c>
      <c r="D43" s="304" t="s">
        <v>444</v>
      </c>
      <c r="E43" s="305" t="str">
        <f t="shared" ca="1" si="8"/>
        <v>R</v>
      </c>
      <c r="F43" s="306"/>
      <c r="G43" s="307">
        <f t="shared" ca="1" si="1"/>
        <v>57</v>
      </c>
      <c r="H43" s="250"/>
      <c r="I43" s="321"/>
      <c r="J43" s="262"/>
      <c r="K43" s="321"/>
      <c r="L43" s="235"/>
      <c r="M43" s="235"/>
      <c r="N43" s="321"/>
      <c r="Q43" s="321"/>
      <c r="T43" s="321"/>
      <c r="W43" s="321"/>
      <c r="AF43" s="236">
        <f t="shared" si="2"/>
        <v>0</v>
      </c>
      <c r="AG43" s="236" t="str">
        <f t="shared" ca="1" si="3"/>
        <v/>
      </c>
      <c r="AH43" s="236" t="str">
        <f t="shared" ca="1" si="18"/>
        <v/>
      </c>
      <c r="AJ43" s="236">
        <f t="shared" ca="1" si="19"/>
        <v>43</v>
      </c>
      <c r="AK43" s="236" t="str">
        <f t="shared" ca="1" si="20"/>
        <v>BBB</v>
      </c>
      <c r="AL43" s="236">
        <f t="shared" ca="1" si="20"/>
        <v>18</v>
      </c>
      <c r="AM43" s="236" t="str">
        <f t="shared" ca="1" si="4"/>
        <v/>
      </c>
      <c r="AQ43" s="286" t="s">
        <v>41</v>
      </c>
      <c r="AR43" s="286" t="s">
        <v>10</v>
      </c>
      <c r="AS43" s="286">
        <v>20</v>
      </c>
      <c r="AT43" s="286" t="s">
        <v>322</v>
      </c>
      <c r="AV43" s="234">
        <f t="shared" si="21"/>
        <v>2</v>
      </c>
      <c r="AW43" s="234">
        <f>COUNTIF( AV$7:AV43, AV43 )</f>
        <v>9</v>
      </c>
      <c r="AX43" s="287">
        <f t="shared" si="22"/>
        <v>2.9</v>
      </c>
      <c r="AY43" s="234">
        <f t="shared" si="23"/>
        <v>10</v>
      </c>
      <c r="AZ43" s="236"/>
      <c r="BA43" s="236"/>
      <c r="BC43" s="234">
        <f t="shared" ca="1" si="24"/>
        <v>37</v>
      </c>
      <c r="BD43" s="288">
        <f t="shared" ca="1" si="6"/>
        <v>24</v>
      </c>
      <c r="BF43" s="240" t="str">
        <f t="shared" ca="1" si="25"/>
        <v>Iberdrola USA</v>
      </c>
      <c r="BG43" s="240" t="str">
        <f t="shared" ca="1" si="25"/>
        <v>BBB</v>
      </c>
      <c r="BH43" s="240">
        <f t="shared" ca="1" si="25"/>
        <v>18</v>
      </c>
      <c r="BI43" s="240" t="str">
        <f t="shared" ca="1" si="25"/>
        <v>**EAST</v>
      </c>
    </row>
    <row r="44" spans="1:61" x14ac:dyDescent="0.2">
      <c r="A44" s="303" t="s">
        <v>20</v>
      </c>
      <c r="B44" s="304" t="s">
        <v>28</v>
      </c>
      <c r="C44" s="304">
        <v>18</v>
      </c>
      <c r="D44" s="304" t="s">
        <v>303</v>
      </c>
      <c r="E44" s="305" t="str">
        <f t="shared" ca="1" si="8"/>
        <v>R</v>
      </c>
      <c r="F44" s="306"/>
      <c r="G44" s="307">
        <f t="shared" ca="1" si="1"/>
        <v>28</v>
      </c>
      <c r="H44" s="250"/>
      <c r="I44" s="321"/>
      <c r="J44" s="262"/>
      <c r="K44" s="321"/>
      <c r="L44" s="235"/>
      <c r="M44" s="235"/>
      <c r="N44" s="321"/>
      <c r="Q44" s="321"/>
      <c r="T44" s="321"/>
      <c r="W44" s="321"/>
      <c r="AF44" s="236">
        <f t="shared" si="2"/>
        <v>0</v>
      </c>
      <c r="AG44" s="236" t="str">
        <f t="shared" ca="1" si="3"/>
        <v/>
      </c>
      <c r="AH44" s="236" t="str">
        <f t="shared" ca="1" si="18"/>
        <v/>
      </c>
      <c r="AJ44" s="236">
        <f t="shared" ca="1" si="19"/>
        <v>44</v>
      </c>
      <c r="AK44" s="236" t="str">
        <f t="shared" ca="1" si="20"/>
        <v>BBB</v>
      </c>
      <c r="AL44" s="236">
        <f t="shared" ca="1" si="20"/>
        <v>18</v>
      </c>
      <c r="AM44" s="236" t="str">
        <f t="shared" ca="1" si="4"/>
        <v/>
      </c>
      <c r="AQ44" s="286" t="s">
        <v>42</v>
      </c>
      <c r="AR44" s="286" t="s">
        <v>28</v>
      </c>
      <c r="AS44" s="286">
        <v>18</v>
      </c>
      <c r="AT44" s="286" t="s">
        <v>321</v>
      </c>
      <c r="AV44" s="234">
        <f t="shared" si="21"/>
        <v>29</v>
      </c>
      <c r="AW44" s="234">
        <f>COUNTIF( AV$7:AV44, AV44 )</f>
        <v>14</v>
      </c>
      <c r="AX44" s="287">
        <f t="shared" si="22"/>
        <v>30.4</v>
      </c>
      <c r="AY44" s="234">
        <f t="shared" si="23"/>
        <v>42</v>
      </c>
      <c r="AZ44" s="236"/>
      <c r="BA44" s="236"/>
      <c r="BC44" s="234">
        <f t="shared" ca="1" si="24"/>
        <v>38</v>
      </c>
      <c r="BD44" s="288">
        <f t="shared" ca="1" si="6"/>
        <v>25</v>
      </c>
      <c r="BF44" s="240" t="str">
        <f t="shared" ca="1" si="25"/>
        <v>IDACORP, Inc.</v>
      </c>
      <c r="BG44" s="240" t="str">
        <f t="shared" ca="1" si="25"/>
        <v>BBB</v>
      </c>
      <c r="BH44" s="240">
        <f t="shared" ca="1" si="25"/>
        <v>18</v>
      </c>
      <c r="BI44" s="240" t="str">
        <f t="shared" ca="1" si="25"/>
        <v>IDA</v>
      </c>
    </row>
    <row r="45" spans="1:61" x14ac:dyDescent="0.2">
      <c r="A45" s="303" t="s">
        <v>66</v>
      </c>
      <c r="B45" s="304" t="s">
        <v>28</v>
      </c>
      <c r="C45" s="304">
        <v>18</v>
      </c>
      <c r="D45" s="304" t="s">
        <v>315</v>
      </c>
      <c r="E45" s="305" t="str">
        <f t="shared" ca="1" si="8"/>
        <v>R</v>
      </c>
      <c r="F45" s="306"/>
      <c r="G45" s="307">
        <f t="shared" ca="1" si="1"/>
        <v>35</v>
      </c>
      <c r="H45" s="250"/>
      <c r="I45" s="321"/>
      <c r="J45" s="262"/>
      <c r="K45" s="321"/>
      <c r="L45" s="235"/>
      <c r="M45" s="235"/>
      <c r="N45" s="321"/>
      <c r="Q45" s="321"/>
      <c r="T45" s="321"/>
      <c r="W45" s="321"/>
      <c r="AF45" s="236">
        <f t="shared" si="2"/>
        <v>0</v>
      </c>
      <c r="AG45" s="236" t="str">
        <f t="shared" ca="1" si="3"/>
        <v/>
      </c>
      <c r="AH45" s="236" t="str">
        <f t="shared" ca="1" si="18"/>
        <v/>
      </c>
      <c r="AJ45" s="236">
        <f t="shared" ca="1" si="19"/>
        <v>45</v>
      </c>
      <c r="AK45" s="236" t="str">
        <f t="shared" ca="1" si="20"/>
        <v>BBB</v>
      </c>
      <c r="AL45" s="236">
        <f t="shared" ca="1" si="20"/>
        <v>18</v>
      </c>
      <c r="AM45" s="236" t="str">
        <f t="shared" ca="1" si="4"/>
        <v/>
      </c>
      <c r="AQ45" s="286" t="s">
        <v>24</v>
      </c>
      <c r="AR45" s="286" t="s">
        <v>28</v>
      </c>
      <c r="AS45" s="286">
        <v>18</v>
      </c>
      <c r="AT45" s="286" t="s">
        <v>324</v>
      </c>
      <c r="AV45" s="234">
        <f t="shared" si="21"/>
        <v>29</v>
      </c>
      <c r="AW45" s="234">
        <f>COUNTIF( AV$7:AV45, AV45 )</f>
        <v>15</v>
      </c>
      <c r="AX45" s="287">
        <f t="shared" si="22"/>
        <v>30.5</v>
      </c>
      <c r="AY45" s="234">
        <f t="shared" si="23"/>
        <v>43</v>
      </c>
      <c r="AZ45" s="236"/>
      <c r="BA45" s="236"/>
      <c r="BC45" s="234">
        <f t="shared" ca="1" si="24"/>
        <v>39</v>
      </c>
      <c r="BD45" s="288">
        <f t="shared" ca="1" si="6"/>
        <v>32</v>
      </c>
      <c r="BF45" s="240" t="str">
        <f t="shared" ca="1" si="25"/>
        <v>NorthWestern Corporation</v>
      </c>
      <c r="BG45" s="240" t="str">
        <f t="shared" ca="1" si="25"/>
        <v>BBB</v>
      </c>
      <c r="BH45" s="240">
        <f t="shared" ca="1" si="25"/>
        <v>18</v>
      </c>
      <c r="BI45" s="240" t="str">
        <f t="shared" ca="1" si="25"/>
        <v>NWE</v>
      </c>
    </row>
    <row r="46" spans="1:61" x14ac:dyDescent="0.2">
      <c r="A46" s="303" t="s">
        <v>22</v>
      </c>
      <c r="B46" s="304" t="s">
        <v>28</v>
      </c>
      <c r="C46" s="304">
        <v>18</v>
      </c>
      <c r="D46" s="304" t="s">
        <v>317</v>
      </c>
      <c r="E46" s="305" t="str">
        <f t="shared" ca="1" si="8"/>
        <v>R</v>
      </c>
      <c r="F46" s="306"/>
      <c r="G46" s="307">
        <f t="shared" ca="1" si="1"/>
        <v>37</v>
      </c>
      <c r="H46" s="250"/>
      <c r="I46" s="262"/>
      <c r="K46" s="262"/>
      <c r="N46" s="257"/>
      <c r="W46" s="262"/>
      <c r="AF46" s="236">
        <f t="shared" si="2"/>
        <v>0</v>
      </c>
      <c r="AG46" s="236" t="str">
        <f t="shared" ca="1" si="3"/>
        <v/>
      </c>
      <c r="AH46" s="236" t="str">
        <f t="shared" ca="1" si="18"/>
        <v/>
      </c>
      <c r="AJ46" s="236">
        <f t="shared" ca="1" si="19"/>
        <v>46</v>
      </c>
      <c r="AK46" s="236" t="str">
        <f t="shared" ca="1" si="20"/>
        <v>BBB</v>
      </c>
      <c r="AL46" s="236">
        <f t="shared" ca="1" si="20"/>
        <v>18</v>
      </c>
      <c r="AM46" s="236" t="str">
        <f t="shared" ca="1" si="4"/>
        <v/>
      </c>
      <c r="AQ46" s="286" t="s">
        <v>43</v>
      </c>
      <c r="AR46" s="286" t="s">
        <v>28</v>
      </c>
      <c r="AS46" s="286">
        <v>18</v>
      </c>
      <c r="AT46" s="289" t="s">
        <v>325</v>
      </c>
      <c r="AV46" s="234">
        <f t="shared" si="21"/>
        <v>29</v>
      </c>
      <c r="AW46" s="234">
        <f>COUNTIF( AV$7:AV46, AV46 )</f>
        <v>16</v>
      </c>
      <c r="AX46" s="287">
        <f t="shared" si="22"/>
        <v>30.6</v>
      </c>
      <c r="AY46" s="234">
        <f t="shared" si="23"/>
        <v>44</v>
      </c>
      <c r="AZ46" s="236"/>
      <c r="BA46" s="236"/>
      <c r="BC46" s="234">
        <f t="shared" ca="1" si="24"/>
        <v>40</v>
      </c>
      <c r="BD46" s="288">
        <f t="shared" ca="1" si="6"/>
        <v>34</v>
      </c>
      <c r="BF46" s="240" t="str">
        <f t="shared" ca="1" si="25"/>
        <v>Otter Tail Corporation</v>
      </c>
      <c r="BG46" s="240" t="str">
        <f t="shared" ca="1" si="25"/>
        <v>BBB</v>
      </c>
      <c r="BH46" s="240">
        <f t="shared" ca="1" si="25"/>
        <v>18</v>
      </c>
      <c r="BI46" s="240" t="str">
        <f t="shared" ca="1" si="25"/>
        <v>OTTR</v>
      </c>
    </row>
    <row r="47" spans="1:61" x14ac:dyDescent="0.2">
      <c r="A47" s="303" t="s">
        <v>53</v>
      </c>
      <c r="B47" s="304" t="s">
        <v>28</v>
      </c>
      <c r="C47" s="304">
        <v>18</v>
      </c>
      <c r="D47" s="304" t="s">
        <v>318</v>
      </c>
      <c r="E47" s="305" t="str">
        <f t="shared" ca="1" si="8"/>
        <v>R</v>
      </c>
      <c r="F47" s="306"/>
      <c r="G47" s="307">
        <f t="shared" ca="1" si="1"/>
        <v>39</v>
      </c>
      <c r="H47" s="250"/>
      <c r="I47" s="250"/>
      <c r="J47" s="258" t="s">
        <v>268</v>
      </c>
      <c r="K47" s="262"/>
      <c r="M47" s="253"/>
      <c r="N47" s="253"/>
      <c r="AF47" s="236">
        <f t="shared" si="2"/>
        <v>0</v>
      </c>
      <c r="AG47" s="236" t="str">
        <f t="shared" ca="1" si="3"/>
        <v/>
      </c>
      <c r="AH47" s="236" t="str">
        <f t="shared" ca="1" si="18"/>
        <v/>
      </c>
      <c r="AJ47" s="236">
        <f t="shared" ca="1" si="19"/>
        <v>47</v>
      </c>
      <c r="AK47" s="236" t="str">
        <f t="shared" ca="1" si="20"/>
        <v>BBB</v>
      </c>
      <c r="AL47" s="236">
        <f t="shared" ca="1" si="20"/>
        <v>18</v>
      </c>
      <c r="AM47" s="236" t="str">
        <f t="shared" ca="1" si="4"/>
        <v/>
      </c>
      <c r="AQ47" s="286" t="s">
        <v>45</v>
      </c>
      <c r="AR47" s="286" t="s">
        <v>16</v>
      </c>
      <c r="AS47" s="286">
        <v>19</v>
      </c>
      <c r="AT47" s="286" t="s">
        <v>319</v>
      </c>
      <c r="AV47" s="234">
        <f t="shared" si="21"/>
        <v>14</v>
      </c>
      <c r="AW47" s="234">
        <f>COUNTIF( AV$7:AV47, AV47 )</f>
        <v>11</v>
      </c>
      <c r="AX47" s="287">
        <f t="shared" si="22"/>
        <v>15.1</v>
      </c>
      <c r="AY47" s="234">
        <f t="shared" si="23"/>
        <v>24</v>
      </c>
      <c r="AZ47" s="236"/>
      <c r="BA47" s="236"/>
      <c r="BC47" s="234">
        <f t="shared" ca="1" si="24"/>
        <v>41</v>
      </c>
      <c r="BD47" s="288">
        <f t="shared" ca="1" si="6"/>
        <v>36</v>
      </c>
      <c r="BF47" s="240" t="str">
        <f t="shared" ca="1" si="25"/>
        <v>PG&amp;E Corporation</v>
      </c>
      <c r="BG47" s="240" t="str">
        <f t="shared" ca="1" si="25"/>
        <v>BBB</v>
      </c>
      <c r="BH47" s="240">
        <f t="shared" ca="1" si="25"/>
        <v>18</v>
      </c>
      <c r="BI47" s="240" t="str">
        <f t="shared" ca="1" si="25"/>
        <v>PCG</v>
      </c>
    </row>
    <row r="48" spans="1:61" x14ac:dyDescent="0.2">
      <c r="A48" s="303" t="s">
        <v>42</v>
      </c>
      <c r="B48" s="304" t="s">
        <v>28</v>
      </c>
      <c r="C48" s="304">
        <v>18</v>
      </c>
      <c r="D48" s="304" t="s">
        <v>321</v>
      </c>
      <c r="E48" s="305" t="str">
        <f t="shared" ca="1" si="8"/>
        <v>R</v>
      </c>
      <c r="F48" s="306"/>
      <c r="G48" s="307">
        <f t="shared" ca="1" si="1"/>
        <v>41</v>
      </c>
      <c r="H48" s="250"/>
      <c r="I48" s="250"/>
      <c r="K48" s="262"/>
      <c r="M48" s="253"/>
      <c r="N48" s="253"/>
      <c r="AF48" s="236">
        <f t="shared" si="2"/>
        <v>0</v>
      </c>
      <c r="AG48" s="236" t="str">
        <f t="shared" ca="1" si="3"/>
        <v/>
      </c>
      <c r="AH48" s="236" t="str">
        <f t="shared" ca="1" si="18"/>
        <v/>
      </c>
      <c r="AJ48" s="236">
        <f t="shared" ca="1" si="19"/>
        <v>48</v>
      </c>
      <c r="AK48" s="236" t="str">
        <f t="shared" ca="1" si="20"/>
        <v>BBB</v>
      </c>
      <c r="AL48" s="236">
        <f t="shared" ca="1" si="20"/>
        <v>18</v>
      </c>
      <c r="AM48" s="236" t="str">
        <f t="shared" ca="1" si="4"/>
        <v/>
      </c>
      <c r="AQ48" s="286" t="s">
        <v>54</v>
      </c>
      <c r="AR48" s="286" t="s">
        <v>49</v>
      </c>
      <c r="AS48" s="286">
        <v>17</v>
      </c>
      <c r="AT48" s="286" t="s">
        <v>449</v>
      </c>
      <c r="AV48" s="234">
        <f t="shared" si="21"/>
        <v>46</v>
      </c>
      <c r="AW48" s="234">
        <f>COUNTIF( AV$7:AV48, AV48 )</f>
        <v>4</v>
      </c>
      <c r="AX48" s="287">
        <f t="shared" si="22"/>
        <v>46.4</v>
      </c>
      <c r="AY48" s="234">
        <f t="shared" si="23"/>
        <v>49</v>
      </c>
      <c r="AZ48" s="236"/>
      <c r="BA48" s="236"/>
      <c r="BC48" s="234">
        <f t="shared" ca="1" si="24"/>
        <v>42</v>
      </c>
      <c r="BD48" s="288">
        <f t="shared" ca="1" si="6"/>
        <v>38</v>
      </c>
      <c r="BF48" s="240" t="str">
        <f t="shared" ca="1" si="25"/>
        <v>PNM Resources, Inc.</v>
      </c>
      <c r="BG48" s="240" t="str">
        <f t="shared" ca="1" si="25"/>
        <v>BBB</v>
      </c>
      <c r="BH48" s="240">
        <f t="shared" ca="1" si="25"/>
        <v>18</v>
      </c>
      <c r="BI48" s="240" t="str">
        <f t="shared" ca="1" si="25"/>
        <v>PNM</v>
      </c>
    </row>
    <row r="49" spans="1:61" x14ac:dyDescent="0.2">
      <c r="A49" s="303" t="s">
        <v>24</v>
      </c>
      <c r="B49" s="304" t="s">
        <v>28</v>
      </c>
      <c r="C49" s="304">
        <v>18</v>
      </c>
      <c r="D49" s="304" t="s">
        <v>324</v>
      </c>
      <c r="E49" s="305" t="str">
        <f t="shared" ca="1" si="8"/>
        <v>R</v>
      </c>
      <c r="F49" s="306"/>
      <c r="G49" s="307">
        <f t="shared" ca="1" si="1"/>
        <v>42</v>
      </c>
      <c r="H49" s="250"/>
      <c r="I49" s="250"/>
      <c r="J49" s="262"/>
      <c r="K49" s="262"/>
      <c r="M49" s="253"/>
      <c r="N49" s="253"/>
      <c r="AF49" s="236">
        <f t="shared" si="2"/>
        <v>0</v>
      </c>
      <c r="AG49" s="236" t="str">
        <f t="shared" ca="1" si="3"/>
        <v/>
      </c>
      <c r="AH49" s="236" t="str">
        <f t="shared" ca="1" si="18"/>
        <v/>
      </c>
      <c r="AJ49" s="236">
        <f t="shared" ca="1" si="19"/>
        <v>49</v>
      </c>
      <c r="AK49" s="236" t="str">
        <f t="shared" ca="1" si="20"/>
        <v>BBB</v>
      </c>
      <c r="AL49" s="236">
        <f t="shared" ca="1" si="20"/>
        <v>18</v>
      </c>
      <c r="AM49" s="236" t="str">
        <f t="shared" ca="1" si="4"/>
        <v/>
      </c>
      <c r="AQ49" s="286" t="s">
        <v>13</v>
      </c>
      <c r="AR49" s="286" t="s">
        <v>16</v>
      </c>
      <c r="AS49" s="286">
        <v>19</v>
      </c>
      <c r="AT49" s="286" t="s">
        <v>327</v>
      </c>
      <c r="AV49" s="234">
        <f t="shared" si="21"/>
        <v>14</v>
      </c>
      <c r="AW49" s="234">
        <f>COUNTIF( AV$7:AV49, AV49 )</f>
        <v>12</v>
      </c>
      <c r="AX49" s="287">
        <f t="shared" si="22"/>
        <v>15.2</v>
      </c>
      <c r="AY49" s="234">
        <f t="shared" si="23"/>
        <v>25</v>
      </c>
      <c r="AZ49" s="236"/>
      <c r="BA49" s="236"/>
      <c r="BC49" s="234">
        <f t="shared" ca="1" si="24"/>
        <v>43</v>
      </c>
      <c r="BD49" s="288">
        <f t="shared" ca="1" si="6"/>
        <v>39</v>
      </c>
      <c r="BF49" s="240" t="str">
        <f t="shared" ca="1" si="25"/>
        <v>Portland General Electric Company</v>
      </c>
      <c r="BG49" s="240" t="str">
        <f t="shared" ca="1" si="25"/>
        <v>BBB</v>
      </c>
      <c r="BH49" s="240">
        <f t="shared" ca="1" si="25"/>
        <v>18</v>
      </c>
      <c r="BI49" s="240" t="str">
        <f t="shared" ca="1" si="25"/>
        <v>POR</v>
      </c>
    </row>
    <row r="50" spans="1:61" x14ac:dyDescent="0.2">
      <c r="A50" s="303" t="s">
        <v>43</v>
      </c>
      <c r="B50" s="304" t="s">
        <v>28</v>
      </c>
      <c r="C50" s="304">
        <v>18</v>
      </c>
      <c r="D50" s="304" t="s">
        <v>325</v>
      </c>
      <c r="E50" s="305" t="str">
        <f t="shared" ca="1" si="8"/>
        <v>MR</v>
      </c>
      <c r="F50" s="306"/>
      <c r="G50" s="307">
        <f t="shared" ca="1" si="1"/>
        <v>43</v>
      </c>
      <c r="H50" s="250"/>
      <c r="I50" s="250"/>
      <c r="J50" s="262"/>
      <c r="K50" s="262"/>
      <c r="L50" s="235"/>
      <c r="M50" s="257"/>
      <c r="N50" s="257"/>
      <c r="AF50" s="236">
        <f t="shared" si="2"/>
        <v>0</v>
      </c>
      <c r="AG50" s="236" t="str">
        <f t="shared" ca="1" si="3"/>
        <v/>
      </c>
      <c r="AH50" s="236" t="str">
        <f t="shared" ca="1" si="18"/>
        <v/>
      </c>
      <c r="AJ50" s="236">
        <f t="shared" ca="1" si="19"/>
        <v>50</v>
      </c>
      <c r="AK50" s="236" t="str">
        <f t="shared" ca="1" si="20"/>
        <v>BBB</v>
      </c>
      <c r="AL50" s="236">
        <f t="shared" ca="1" si="20"/>
        <v>18</v>
      </c>
      <c r="AM50" s="236" t="str">
        <f t="shared" ca="1" si="4"/>
        <v/>
      </c>
      <c r="AQ50" s="286" t="s">
        <v>25</v>
      </c>
      <c r="AR50" s="286" t="s">
        <v>16</v>
      </c>
      <c r="AS50" s="286">
        <v>19</v>
      </c>
      <c r="AT50" s="286" t="s">
        <v>329</v>
      </c>
      <c r="AV50" s="234">
        <f t="shared" si="21"/>
        <v>14</v>
      </c>
      <c r="AW50" s="234">
        <f>COUNTIF( AV$7:AV50, AV50 )</f>
        <v>13</v>
      </c>
      <c r="AX50" s="287">
        <f t="shared" si="22"/>
        <v>15.3</v>
      </c>
      <c r="AY50" s="234">
        <f t="shared" si="23"/>
        <v>26</v>
      </c>
      <c r="AZ50" s="236"/>
      <c r="BA50" s="236"/>
      <c r="BC50" s="234">
        <f t="shared" ca="1" si="24"/>
        <v>44</v>
      </c>
      <c r="BD50" s="288">
        <f t="shared" ca="1" si="6"/>
        <v>40</v>
      </c>
      <c r="BF50" s="240" t="str">
        <f t="shared" ca="1" si="25"/>
        <v>PPL Corporation</v>
      </c>
      <c r="BG50" s="240" t="str">
        <f t="shared" ca="1" si="25"/>
        <v>BBB</v>
      </c>
      <c r="BH50" s="240">
        <f t="shared" ca="1" si="25"/>
        <v>18</v>
      </c>
      <c r="BI50" s="240" t="str">
        <f t="shared" ca="1" si="25"/>
        <v>PPL</v>
      </c>
    </row>
    <row r="51" spans="1:61" x14ac:dyDescent="0.2">
      <c r="A51" s="303" t="s">
        <v>75</v>
      </c>
      <c r="B51" s="304" t="s">
        <v>28</v>
      </c>
      <c r="C51" s="304">
        <v>18</v>
      </c>
      <c r="D51" s="304" t="s">
        <v>332</v>
      </c>
      <c r="E51" s="305" t="str">
        <f t="shared" ca="1" si="8"/>
        <v>R</v>
      </c>
      <c r="F51" s="306"/>
      <c r="G51" s="307">
        <f t="shared" ca="1" si="1"/>
        <v>49</v>
      </c>
      <c r="H51" s="250"/>
      <c r="I51" s="250"/>
      <c r="J51" s="262"/>
      <c r="K51" s="262"/>
      <c r="L51" s="235"/>
      <c r="M51" s="257"/>
      <c r="N51" s="257"/>
      <c r="AF51" s="236">
        <f t="shared" si="2"/>
        <v>0</v>
      </c>
      <c r="AG51" s="236" t="str">
        <f t="shared" ca="1" si="3"/>
        <v/>
      </c>
      <c r="AH51" s="236" t="str">
        <f t="shared" ca="1" si="18"/>
        <v/>
      </c>
      <c r="AJ51" s="236">
        <f t="shared" ca="1" si="19"/>
        <v>51</v>
      </c>
      <c r="AK51" s="236" t="str">
        <f t="shared" ca="1" si="20"/>
        <v>BBB</v>
      </c>
      <c r="AL51" s="236">
        <f t="shared" ca="1" si="20"/>
        <v>18</v>
      </c>
      <c r="AM51" s="236" t="str">
        <f t="shared" ca="1" si="4"/>
        <v/>
      </c>
      <c r="AQ51" s="286" t="s">
        <v>7</v>
      </c>
      <c r="AR51" s="286" t="s">
        <v>2</v>
      </c>
      <c r="AS51" s="286">
        <v>21</v>
      </c>
      <c r="AT51" s="286" t="s">
        <v>328</v>
      </c>
      <c r="AV51" s="234">
        <f t="shared" si="21"/>
        <v>1</v>
      </c>
      <c r="AW51" s="234">
        <f>COUNTIF( AV$7:AV51, AV51 )</f>
        <v>1</v>
      </c>
      <c r="AX51" s="287">
        <f t="shared" si="22"/>
        <v>1.1000000000000001</v>
      </c>
      <c r="AY51" s="234">
        <f t="shared" si="23"/>
        <v>1</v>
      </c>
      <c r="AZ51" s="236"/>
      <c r="BA51" s="236"/>
      <c r="BC51" s="234">
        <f t="shared" ca="1" si="24"/>
        <v>45</v>
      </c>
      <c r="BD51" s="288">
        <f t="shared" ca="1" si="6"/>
        <v>47</v>
      </c>
      <c r="BF51" s="240" t="str">
        <f t="shared" ca="1" si="25"/>
        <v>UIL Holdings Corporation</v>
      </c>
      <c r="BG51" s="240" t="str">
        <f t="shared" ca="1" si="25"/>
        <v>BBB</v>
      </c>
      <c r="BH51" s="240">
        <f t="shared" ca="1" si="25"/>
        <v>18</v>
      </c>
      <c r="BI51" s="240" t="str">
        <f t="shared" ca="1" si="25"/>
        <v>UIL</v>
      </c>
    </row>
    <row r="52" spans="1:61" x14ac:dyDescent="0.2">
      <c r="A52" s="303" t="s">
        <v>51</v>
      </c>
      <c r="B52" s="304" t="s">
        <v>49</v>
      </c>
      <c r="C52" s="304">
        <v>17</v>
      </c>
      <c r="D52" s="304" t="s">
        <v>299</v>
      </c>
      <c r="E52" s="305" t="str">
        <f t="shared" ca="1" si="8"/>
        <v>MR</v>
      </c>
      <c r="F52" s="306"/>
      <c r="G52" s="307">
        <f t="shared" ca="1" si="1"/>
        <v>25</v>
      </c>
      <c r="H52" s="250"/>
      <c r="I52" s="250"/>
      <c r="J52" s="262"/>
      <c r="K52" s="262"/>
      <c r="AF52" s="236">
        <f t="shared" si="2"/>
        <v>1</v>
      </c>
      <c r="AG52" s="236" t="str">
        <f t="shared" ca="1" si="3"/>
        <v/>
      </c>
      <c r="AH52" s="236" t="str">
        <f t="shared" ca="1" si="18"/>
        <v/>
      </c>
      <c r="AJ52" s="236">
        <f t="shared" ca="1" si="19"/>
        <v>52</v>
      </c>
      <c r="AK52" s="236" t="str">
        <f t="shared" ca="1" si="20"/>
        <v>BBB-</v>
      </c>
      <c r="AL52" s="236">
        <f t="shared" ca="1" si="20"/>
        <v>17</v>
      </c>
      <c r="AM52" s="236" t="str">
        <f t="shared" ca="1" si="4"/>
        <v/>
      </c>
      <c r="AQ52" s="286" t="s">
        <v>62</v>
      </c>
      <c r="AR52" s="286" t="s">
        <v>16</v>
      </c>
      <c r="AS52" s="286">
        <v>19</v>
      </c>
      <c r="AT52" s="286" t="s">
        <v>330</v>
      </c>
      <c r="AV52" s="234">
        <f t="shared" si="21"/>
        <v>14</v>
      </c>
      <c r="AW52" s="234">
        <f>COUNTIF( AV$7:AV52, AV52 )</f>
        <v>14</v>
      </c>
      <c r="AX52" s="287">
        <f t="shared" si="22"/>
        <v>15.4</v>
      </c>
      <c r="AY52" s="234">
        <f t="shared" si="23"/>
        <v>27</v>
      </c>
      <c r="AZ52" s="236"/>
      <c r="BA52" s="236"/>
      <c r="BC52" s="234">
        <f t="shared" ca="1" si="24"/>
        <v>46</v>
      </c>
      <c r="BD52" s="288">
        <f t="shared" ca="1" si="6"/>
        <v>21</v>
      </c>
      <c r="BF52" s="240" t="str">
        <f t="shared" ca="1" si="25"/>
        <v>FirstEnergy Corp.</v>
      </c>
      <c r="BG52" s="240" t="str">
        <f t="shared" ca="1" si="25"/>
        <v>BBB-</v>
      </c>
      <c r="BH52" s="240">
        <f t="shared" ca="1" si="25"/>
        <v>17</v>
      </c>
      <c r="BI52" s="240" t="str">
        <f t="shared" ca="1" si="25"/>
        <v>FE</v>
      </c>
    </row>
    <row r="53" spans="1:61" x14ac:dyDescent="0.2">
      <c r="A53" s="303" t="s">
        <v>39</v>
      </c>
      <c r="B53" s="304" t="s">
        <v>49</v>
      </c>
      <c r="C53" s="304">
        <v>17</v>
      </c>
      <c r="D53" s="304" t="s">
        <v>302</v>
      </c>
      <c r="E53" s="305" t="str">
        <f t="shared" ca="1" si="8"/>
        <v>D</v>
      </c>
      <c r="F53" s="306"/>
      <c r="G53" s="307">
        <f t="shared" ca="1" si="1"/>
        <v>27</v>
      </c>
      <c r="H53" s="250"/>
      <c r="I53" s="250"/>
      <c r="J53" s="262"/>
      <c r="K53" s="262"/>
      <c r="AF53" s="236">
        <f t="shared" si="2"/>
        <v>1</v>
      </c>
      <c r="AG53" s="236" t="str">
        <f t="shared" ca="1" si="3"/>
        <v/>
      </c>
      <c r="AH53" s="236" t="str">
        <f t="shared" ca="1" si="18"/>
        <v/>
      </c>
      <c r="AJ53" s="236">
        <f t="shared" ca="1" si="19"/>
        <v>53</v>
      </c>
      <c r="AK53" s="236" t="str">
        <f t="shared" ca="1" si="20"/>
        <v>BBB-</v>
      </c>
      <c r="AL53" s="236">
        <f t="shared" ca="1" si="20"/>
        <v>17</v>
      </c>
      <c r="AM53" s="236" t="str">
        <f t="shared" ca="1" si="4"/>
        <v/>
      </c>
      <c r="AQ53" s="286" t="s">
        <v>75</v>
      </c>
      <c r="AR53" s="286" t="s">
        <v>28</v>
      </c>
      <c r="AS53" s="286">
        <v>18</v>
      </c>
      <c r="AT53" s="286" t="s">
        <v>332</v>
      </c>
      <c r="AV53" s="234">
        <f t="shared" si="21"/>
        <v>29</v>
      </c>
      <c r="AW53" s="234">
        <f>COUNTIF( AV$7:AV53, AV53 )</f>
        <v>17</v>
      </c>
      <c r="AX53" s="287">
        <f t="shared" si="22"/>
        <v>30.7</v>
      </c>
      <c r="AY53" s="234">
        <f t="shared" si="23"/>
        <v>45</v>
      </c>
      <c r="AZ53" s="236"/>
      <c r="BA53" s="236"/>
      <c r="BC53" s="234">
        <f t="shared" ca="1" si="24"/>
        <v>47</v>
      </c>
      <c r="BD53" s="288">
        <f t="shared" ca="1" si="6"/>
        <v>23</v>
      </c>
      <c r="BF53" s="240" t="str">
        <f t="shared" ca="1" si="25"/>
        <v>Hawaiian Electric Industries, Inc.</v>
      </c>
      <c r="BG53" s="240" t="str">
        <f t="shared" ca="1" si="25"/>
        <v>BBB-</v>
      </c>
      <c r="BH53" s="240">
        <f t="shared" ca="1" si="25"/>
        <v>17</v>
      </c>
      <c r="BI53" s="240" t="str">
        <f t="shared" ca="1" si="25"/>
        <v>HE</v>
      </c>
    </row>
    <row r="54" spans="1:61" x14ac:dyDescent="0.2">
      <c r="A54" s="303" t="s">
        <v>40</v>
      </c>
      <c r="B54" s="304" t="s">
        <v>49</v>
      </c>
      <c r="C54" s="304">
        <v>17</v>
      </c>
      <c r="D54" s="304" t="s">
        <v>311</v>
      </c>
      <c r="E54" s="305" t="str">
        <f t="shared" ca="1" si="8"/>
        <v>MR</v>
      </c>
      <c r="F54" s="306"/>
      <c r="G54" s="307">
        <f t="shared" ca="1" si="1"/>
        <v>33</v>
      </c>
      <c r="H54" s="250"/>
      <c r="I54" s="250"/>
      <c r="J54" s="262"/>
      <c r="K54" s="262"/>
      <c r="AF54" s="236">
        <f t="shared" si="2"/>
        <v>1</v>
      </c>
      <c r="AG54" s="236" t="str">
        <f t="shared" ca="1" si="3"/>
        <v/>
      </c>
      <c r="AH54" s="236" t="str">
        <f t="shared" ca="1" si="18"/>
        <v/>
      </c>
      <c r="AJ54" s="236">
        <f t="shared" ca="1" si="19"/>
        <v>54</v>
      </c>
      <c r="AK54" s="236" t="str">
        <f t="shared" ca="1" si="20"/>
        <v>BBB-</v>
      </c>
      <c r="AL54" s="236">
        <f t="shared" ca="1" si="20"/>
        <v>17</v>
      </c>
      <c r="AM54" s="236" t="str">
        <f t="shared" ca="1" si="4"/>
        <v/>
      </c>
      <c r="AQ54" s="286" t="s">
        <v>14</v>
      </c>
      <c r="AR54" s="286" t="s">
        <v>10</v>
      </c>
      <c r="AS54" s="286">
        <v>20</v>
      </c>
      <c r="AT54" s="286" t="s">
        <v>335</v>
      </c>
      <c r="AV54" s="234">
        <f t="shared" si="21"/>
        <v>2</v>
      </c>
      <c r="AW54" s="234">
        <f>COUNTIF( AV$7:AV54, AV54 )</f>
        <v>10</v>
      </c>
      <c r="AX54" s="287">
        <f t="shared" si="22"/>
        <v>3</v>
      </c>
      <c r="AY54" s="234">
        <f t="shared" si="23"/>
        <v>11</v>
      </c>
      <c r="AZ54" s="236"/>
      <c r="BA54" s="236"/>
      <c r="BC54" s="234">
        <f t="shared" ca="1" si="24"/>
        <v>48</v>
      </c>
      <c r="BD54" s="288">
        <f t="shared" ca="1" si="6"/>
        <v>30</v>
      </c>
      <c r="BF54" s="240" t="str">
        <f t="shared" ca="1" si="25"/>
        <v>NiSource Inc.</v>
      </c>
      <c r="BG54" s="240" t="str">
        <f t="shared" ca="1" si="25"/>
        <v>BBB-</v>
      </c>
      <c r="BH54" s="240">
        <f t="shared" ca="1" si="25"/>
        <v>17</v>
      </c>
      <c r="BI54" s="240" t="str">
        <f t="shared" ca="1" si="25"/>
        <v>NI</v>
      </c>
    </row>
    <row r="55" spans="1:61" x14ac:dyDescent="0.2">
      <c r="A55" s="303" t="s">
        <v>54</v>
      </c>
      <c r="B55" s="304" t="s">
        <v>49</v>
      </c>
      <c r="C55" s="304">
        <v>17</v>
      </c>
      <c r="D55" s="304" t="s">
        <v>449</v>
      </c>
      <c r="E55" s="305" t="str">
        <f t="shared" ca="1" si="8"/>
        <v>R</v>
      </c>
      <c r="F55" s="306"/>
      <c r="G55" s="307">
        <f t="shared" ca="1" si="1"/>
        <v>62</v>
      </c>
      <c r="H55" s="250"/>
      <c r="I55" s="250"/>
      <c r="J55" s="262"/>
      <c r="K55" s="262"/>
      <c r="AF55" s="236">
        <f t="shared" si="2"/>
        <v>1</v>
      </c>
      <c r="AG55" s="236" t="str">
        <f t="shared" ca="1" si="3"/>
        <v/>
      </c>
      <c r="AH55" s="236" t="str">
        <f t="shared" ca="1" si="18"/>
        <v/>
      </c>
      <c r="AJ55" s="236">
        <f t="shared" ca="1" si="19"/>
        <v>55</v>
      </c>
      <c r="AK55" s="236" t="str">
        <f t="shared" ca="1" si="20"/>
        <v>BBB-</v>
      </c>
      <c r="AL55" s="236">
        <f t="shared" ca="1" si="20"/>
        <v>17</v>
      </c>
      <c r="AM55" s="236" t="str">
        <f t="shared" ca="1" si="4"/>
        <v/>
      </c>
      <c r="AQ55" s="286" t="s">
        <v>59</v>
      </c>
      <c r="AR55" s="286" t="s">
        <v>16</v>
      </c>
      <c r="AS55" s="286">
        <v>19</v>
      </c>
      <c r="AT55" s="286" t="s">
        <v>337</v>
      </c>
      <c r="AV55" s="234">
        <f t="shared" si="21"/>
        <v>14</v>
      </c>
      <c r="AW55" s="234">
        <f>COUNTIF( AV$7:AV55, AV55 )</f>
        <v>15</v>
      </c>
      <c r="AX55" s="287">
        <f t="shared" si="22"/>
        <v>15.5</v>
      </c>
      <c r="AY55" s="234">
        <f t="shared" si="23"/>
        <v>28</v>
      </c>
      <c r="AZ55" s="236"/>
      <c r="BA55" s="236"/>
      <c r="BC55" s="234">
        <f t="shared" ca="1" si="24"/>
        <v>49</v>
      </c>
      <c r="BD55" s="288">
        <f t="shared" ca="1" si="6"/>
        <v>42</v>
      </c>
      <c r="BF55" s="240" t="str">
        <f t="shared" ca="1" si="25"/>
        <v>Puget Energy, Inc.</v>
      </c>
      <c r="BG55" s="240" t="str">
        <f t="shared" ca="1" si="25"/>
        <v>BBB-</v>
      </c>
      <c r="BH55" s="240">
        <f t="shared" ca="1" si="25"/>
        <v>17</v>
      </c>
      <c r="BI55" s="240" t="str">
        <f t="shared" ca="1" si="25"/>
        <v>**PSD</v>
      </c>
    </row>
    <row r="56" spans="1:61" x14ac:dyDescent="0.2">
      <c r="A56" s="303" t="s">
        <v>58</v>
      </c>
      <c r="B56" s="304" t="s">
        <v>56</v>
      </c>
      <c r="C56" s="304">
        <v>16</v>
      </c>
      <c r="D56" s="304" t="s">
        <v>446</v>
      </c>
      <c r="E56" s="305" t="str">
        <f t="shared" ca="1" si="8"/>
        <v>R</v>
      </c>
      <c r="F56" s="306"/>
      <c r="G56" s="307">
        <f t="shared" ca="1" si="1"/>
        <v>60</v>
      </c>
      <c r="H56" s="250"/>
      <c r="I56" s="250"/>
      <c r="J56" s="262"/>
      <c r="K56" s="262"/>
      <c r="AF56" s="236">
        <f t="shared" si="2"/>
        <v>0</v>
      </c>
      <c r="AG56" s="236" t="str">
        <f t="shared" ca="1" si="3"/>
        <v/>
      </c>
      <c r="AH56" s="236" t="str">
        <f t="shared" ca="1" si="18"/>
        <v/>
      </c>
      <c r="AJ56" s="236">
        <f t="shared" ca="1" si="19"/>
        <v>56</v>
      </c>
      <c r="AK56" s="236" t="str">
        <f t="shared" ca="1" si="20"/>
        <v>BB+</v>
      </c>
      <c r="AL56" s="236">
        <f t="shared" ca="1" si="20"/>
        <v>16</v>
      </c>
      <c r="AM56" s="236" t="str">
        <f t="shared" ca="1" si="4"/>
        <v/>
      </c>
      <c r="AQ56" s="286" t="s">
        <v>26</v>
      </c>
      <c r="AR56" s="286" t="s">
        <v>10</v>
      </c>
      <c r="AS56" s="286">
        <v>20</v>
      </c>
      <c r="AT56" s="286" t="s">
        <v>336</v>
      </c>
      <c r="AV56" s="234">
        <f t="shared" si="21"/>
        <v>2</v>
      </c>
      <c r="AW56" s="234">
        <f>COUNTIF( AV$7:AV56, AV56 )</f>
        <v>11</v>
      </c>
      <c r="AX56" s="287">
        <f t="shared" si="22"/>
        <v>3.1</v>
      </c>
      <c r="AY56" s="234">
        <f t="shared" si="23"/>
        <v>12</v>
      </c>
      <c r="AZ56" s="236"/>
      <c r="BA56" s="236"/>
      <c r="BC56" s="234">
        <f t="shared" ca="1" si="24"/>
        <v>50</v>
      </c>
      <c r="BD56" s="288">
        <f t="shared" ca="1" si="6"/>
        <v>27</v>
      </c>
      <c r="BF56" s="240" t="str">
        <f t="shared" ca="1" si="25"/>
        <v>IPALCO Enterprises, Inc.</v>
      </c>
      <c r="BG56" s="240" t="str">
        <f t="shared" ca="1" si="25"/>
        <v>BB+</v>
      </c>
      <c r="BH56" s="240">
        <f t="shared" ca="1" si="25"/>
        <v>16</v>
      </c>
      <c r="BI56" s="240" t="str">
        <f t="shared" ca="1" si="25"/>
        <v>**IPALCO</v>
      </c>
    </row>
    <row r="57" spans="1:61" x14ac:dyDescent="0.2">
      <c r="A57" s="303" t="s">
        <v>64</v>
      </c>
      <c r="B57" s="304" t="s">
        <v>61</v>
      </c>
      <c r="C57" s="304">
        <v>15</v>
      </c>
      <c r="D57" s="304" t="s">
        <v>443</v>
      </c>
      <c r="E57" s="305" t="str">
        <f t="shared" ca="1" si="8"/>
        <v>R</v>
      </c>
      <c r="F57" s="306"/>
      <c r="G57" s="307">
        <f t="shared" ca="1" si="1"/>
        <v>58</v>
      </c>
      <c r="H57" s="250"/>
      <c r="I57" s="250"/>
      <c r="J57" s="262"/>
      <c r="K57" s="262"/>
      <c r="AF57" s="236">
        <f t="shared" si="2"/>
        <v>1</v>
      </c>
      <c r="AG57" s="236" t="str">
        <f t="shared" ca="1" si="3"/>
        <v/>
      </c>
      <c r="AH57" s="236" t="str">
        <f t="shared" ca="1" si="18"/>
        <v/>
      </c>
      <c r="AJ57" s="236">
        <f t="shared" ca="1" si="19"/>
        <v>57</v>
      </c>
      <c r="AK57" s="236" t="str">
        <f t="shared" ca="1" si="20"/>
        <v>BB</v>
      </c>
      <c r="AL57" s="236">
        <f t="shared" ca="1" si="20"/>
        <v>15</v>
      </c>
      <c r="AM57" s="236" t="str">
        <f t="shared" ca="1" si="4"/>
        <v/>
      </c>
      <c r="AQ57" s="286" t="s">
        <v>258</v>
      </c>
      <c r="AR57" s="286" t="s">
        <v>10</v>
      </c>
      <c r="AS57" s="286">
        <v>20</v>
      </c>
      <c r="AT57" s="286" t="s">
        <v>338</v>
      </c>
      <c r="AV57" s="234">
        <f t="shared" si="21"/>
        <v>2</v>
      </c>
      <c r="AW57" s="234">
        <f>COUNTIF( AV$7:AV57, AV57 )</f>
        <v>12</v>
      </c>
      <c r="AX57" s="287">
        <f t="shared" si="22"/>
        <v>3.2</v>
      </c>
      <c r="AY57" s="234">
        <f t="shared" si="23"/>
        <v>13</v>
      </c>
      <c r="AZ57" s="236"/>
      <c r="BA57" s="236"/>
      <c r="BC57" s="234">
        <f t="shared" ca="1" si="24"/>
        <v>51</v>
      </c>
      <c r="BD57" s="288">
        <f t="shared" ca="1" si="6"/>
        <v>13</v>
      </c>
      <c r="BF57" s="240" t="str">
        <f t="shared" ca="1" si="25"/>
        <v>DPL Inc.</v>
      </c>
      <c r="BG57" s="240" t="str">
        <f t="shared" ca="1" si="25"/>
        <v>BB</v>
      </c>
      <c r="BH57" s="240">
        <f t="shared" ca="1" si="25"/>
        <v>15</v>
      </c>
      <c r="BI57" s="240" t="str">
        <f t="shared" ca="1" si="25"/>
        <v>**DPL</v>
      </c>
    </row>
    <row r="58" spans="1:61" x14ac:dyDescent="0.2">
      <c r="A58" s="303"/>
      <c r="B58" s="304"/>
      <c r="C58" s="304"/>
      <c r="D58" s="304"/>
      <c r="E58" s="305" t="str">
        <f t="shared" ca="1" si="8"/>
        <v/>
      </c>
      <c r="F58" s="306"/>
      <c r="G58" s="307" t="str">
        <f t="shared" ca="1" si="1"/>
        <v/>
      </c>
      <c r="H58" s="250"/>
      <c r="I58" s="250"/>
      <c r="J58" s="262"/>
      <c r="K58" s="262"/>
      <c r="AF58" s="236">
        <f t="shared" si="2"/>
        <v>0</v>
      </c>
      <c r="AG58" s="236" t="str">
        <f t="shared" si="3"/>
        <v/>
      </c>
      <c r="AH58" s="236" t="str">
        <f t="shared" si="18"/>
        <v/>
      </c>
      <c r="AJ58" s="236" t="e">
        <f t="shared" ca="1" si="19"/>
        <v>#N/A</v>
      </c>
      <c r="AK58" s="236" t="str">
        <f t="shared" ca="1" si="20"/>
        <v/>
      </c>
      <c r="AL58" s="236" t="str">
        <f t="shared" ca="1" si="20"/>
        <v/>
      </c>
      <c r="AM58" s="236" t="str">
        <f t="shared" ca="1" si="4"/>
        <v/>
      </c>
      <c r="AQ58" s="286"/>
      <c r="AR58" s="286"/>
      <c r="AS58" s="286"/>
      <c r="AT58" s="286"/>
      <c r="AV58" s="234">
        <f t="shared" si="21"/>
        <v>99</v>
      </c>
      <c r="AW58" s="234">
        <f>COUNTIF( AV$7:AV58, AV58 )</f>
        <v>1</v>
      </c>
      <c r="AX58" s="287">
        <f t="shared" si="22"/>
        <v>99.1</v>
      </c>
      <c r="AY58" s="234">
        <f t="shared" si="23"/>
        <v>52</v>
      </c>
      <c r="AZ58" s="236"/>
      <c r="BA58" s="236"/>
      <c r="BC58" s="234">
        <f t="shared" ca="1" si="24"/>
        <v>52</v>
      </c>
      <c r="BD58" s="288">
        <f t="shared" ca="1" si="6"/>
        <v>52</v>
      </c>
      <c r="BF58" s="240">
        <f t="shared" ca="1" si="25"/>
        <v>0</v>
      </c>
      <c r="BG58" s="240">
        <f t="shared" ca="1" si="25"/>
        <v>0</v>
      </c>
      <c r="BH58" s="240">
        <f t="shared" ca="1" si="25"/>
        <v>0</v>
      </c>
      <c r="BI58" s="240">
        <f t="shared" ca="1" si="25"/>
        <v>0</v>
      </c>
    </row>
    <row r="59" spans="1:61" x14ac:dyDescent="0.2">
      <c r="A59" s="303"/>
      <c r="B59" s="304"/>
      <c r="C59" s="304"/>
      <c r="D59" s="304"/>
      <c r="E59" s="305" t="str">
        <f t="shared" ca="1" si="8"/>
        <v/>
      </c>
      <c r="F59" s="306"/>
      <c r="G59" s="307" t="str">
        <f t="shared" ca="1" si="1"/>
        <v/>
      </c>
      <c r="H59" s="250"/>
      <c r="I59" s="250"/>
      <c r="J59" s="262"/>
      <c r="K59" s="262"/>
      <c r="AF59" s="236">
        <f t="shared" si="2"/>
        <v>0</v>
      </c>
      <c r="AG59" s="236" t="str">
        <f t="shared" si="3"/>
        <v/>
      </c>
      <c r="AH59" s="236" t="str">
        <f t="shared" si="18"/>
        <v/>
      </c>
      <c r="AJ59" s="236" t="e">
        <f t="shared" ca="1" si="19"/>
        <v>#N/A</v>
      </c>
      <c r="AK59" s="236" t="str">
        <f t="shared" ca="1" si="20"/>
        <v/>
      </c>
      <c r="AL59" s="236" t="str">
        <f t="shared" ca="1" si="20"/>
        <v/>
      </c>
      <c r="AM59" s="236" t="str">
        <f t="shared" ca="1" si="4"/>
        <v/>
      </c>
      <c r="AQ59" s="286"/>
      <c r="AR59" s="286"/>
      <c r="AS59" s="286"/>
      <c r="AT59" s="286"/>
      <c r="AV59" s="234">
        <f t="shared" si="21"/>
        <v>99</v>
      </c>
      <c r="AW59" s="234">
        <f>COUNTIF( AV$7:AV59, AV59 )</f>
        <v>2</v>
      </c>
      <c r="AX59" s="287">
        <f t="shared" si="22"/>
        <v>99.2</v>
      </c>
      <c r="AY59" s="234">
        <f t="shared" si="23"/>
        <v>53</v>
      </c>
      <c r="AZ59" s="236"/>
      <c r="BA59" s="236"/>
      <c r="BC59" s="234">
        <f t="shared" ca="1" si="24"/>
        <v>53</v>
      </c>
      <c r="BD59" s="288">
        <f t="shared" ca="1" si="6"/>
        <v>53</v>
      </c>
      <c r="BF59" s="240">
        <f t="shared" ca="1" si="25"/>
        <v>0</v>
      </c>
      <c r="BG59" s="240">
        <f t="shared" ca="1" si="25"/>
        <v>0</v>
      </c>
      <c r="BH59" s="240">
        <f t="shared" ca="1" si="25"/>
        <v>0</v>
      </c>
      <c r="BI59" s="240">
        <f t="shared" ca="1" si="25"/>
        <v>0</v>
      </c>
    </row>
    <row r="60" spans="1:61" ht="13.5" thickBot="1" x14ac:dyDescent="0.25">
      <c r="A60" s="265"/>
      <c r="B60" s="266"/>
      <c r="C60" s="266"/>
      <c r="D60" s="266"/>
      <c r="E60" s="267" t="str">
        <f t="shared" ca="1" si="8"/>
        <v/>
      </c>
      <c r="F60" s="250"/>
      <c r="G60" s="251" t="str">
        <f t="shared" ca="1" si="1"/>
        <v/>
      </c>
      <c r="H60" s="250"/>
      <c r="I60" s="250"/>
      <c r="AF60" s="236">
        <f t="shared" si="2"/>
        <v>0</v>
      </c>
      <c r="AG60" s="236" t="str">
        <f t="shared" si="3"/>
        <v/>
      </c>
      <c r="AH60" s="236" t="str">
        <f t="shared" si="18"/>
        <v/>
      </c>
      <c r="AJ60" s="236" t="e">
        <f t="shared" ca="1" si="19"/>
        <v>#N/A</v>
      </c>
      <c r="AK60" s="236" t="str">
        <f t="shared" ca="1" si="20"/>
        <v/>
      </c>
      <c r="AL60" s="236" t="str">
        <f t="shared" ca="1" si="20"/>
        <v/>
      </c>
      <c r="AM60" s="236" t="str">
        <f t="shared" ca="1" si="4"/>
        <v/>
      </c>
      <c r="AQ60" s="286"/>
      <c r="AR60" s="286"/>
      <c r="AS60" s="286"/>
      <c r="AT60" s="286"/>
      <c r="AV60" s="234">
        <f t="shared" si="21"/>
        <v>99</v>
      </c>
      <c r="AW60" s="234">
        <f>COUNTIF( AV$7:AV60, AV60 )</f>
        <v>3</v>
      </c>
      <c r="AX60" s="287">
        <f t="shared" si="22"/>
        <v>99.3</v>
      </c>
      <c r="AY60" s="234">
        <f t="shared" si="23"/>
        <v>54</v>
      </c>
      <c r="AZ60" s="236"/>
      <c r="BA60" s="236"/>
      <c r="BC60" s="234">
        <f t="shared" ca="1" si="24"/>
        <v>54</v>
      </c>
      <c r="BD60" s="288">
        <f t="shared" ca="1" si="6"/>
        <v>54</v>
      </c>
      <c r="BF60" s="240">
        <f t="shared" ca="1" si="25"/>
        <v>0</v>
      </c>
      <c r="BG60" s="240">
        <f t="shared" ca="1" si="25"/>
        <v>0</v>
      </c>
      <c r="BH60" s="240">
        <f t="shared" ca="1" si="25"/>
        <v>0</v>
      </c>
      <c r="BI60" s="240">
        <f t="shared" ca="1" si="25"/>
        <v>0</v>
      </c>
    </row>
    <row r="61" spans="1:61" x14ac:dyDescent="0.2">
      <c r="A61" s="308" t="s">
        <v>474</v>
      </c>
      <c r="B61" s="309" t="s">
        <v>108</v>
      </c>
      <c r="C61" s="309">
        <v>23</v>
      </c>
      <c r="D61" s="309" t="s">
        <v>440</v>
      </c>
      <c r="E61" s="310" t="str">
        <f t="shared" ca="1" si="8"/>
        <v>MR</v>
      </c>
      <c r="F61" s="311"/>
      <c r="G61" s="312">
        <f t="shared" ca="1" si="1"/>
        <v>31</v>
      </c>
      <c r="H61" s="250"/>
      <c r="I61" s="250"/>
      <c r="AF61" s="236">
        <f t="shared" si="2"/>
        <v>1</v>
      </c>
      <c r="AG61" s="236" t="str">
        <f t="shared" ca="1" si="3"/>
        <v/>
      </c>
      <c r="AH61" s="236" t="str">
        <f t="shared" ca="1" si="18"/>
        <v/>
      </c>
      <c r="AJ61" s="236">
        <f t="shared" ca="1" si="19"/>
        <v>61</v>
      </c>
      <c r="AK61" s="236" t="str">
        <f t="shared" ca="1" si="20"/>
        <v>AA-</v>
      </c>
      <c r="AL61" s="236">
        <f t="shared" ca="1" si="20"/>
        <v>23</v>
      </c>
      <c r="AM61" s="236" t="str">
        <f t="shared" ca="1" si="4"/>
        <v/>
      </c>
      <c r="AQ61" s="286"/>
      <c r="AR61" s="286"/>
      <c r="AS61" s="286"/>
      <c r="AT61" s="286"/>
      <c r="AV61" s="234">
        <f t="shared" si="21"/>
        <v>99</v>
      </c>
      <c r="AW61" s="234">
        <f>COUNTIF( AV$7:AV61, AV61 )</f>
        <v>4</v>
      </c>
      <c r="AX61" s="287">
        <f t="shared" si="22"/>
        <v>99.4</v>
      </c>
      <c r="AY61" s="234">
        <f t="shared" si="23"/>
        <v>55</v>
      </c>
      <c r="AZ61" s="236"/>
      <c r="BA61" s="236"/>
      <c r="BC61" s="234">
        <f t="shared" ca="1" si="24"/>
        <v>55</v>
      </c>
      <c r="BD61" s="288">
        <f t="shared" ca="1" si="6"/>
        <v>55</v>
      </c>
      <c r="BF61" s="240">
        <f t="shared" ca="1" si="25"/>
        <v>0</v>
      </c>
      <c r="BG61" s="240">
        <f t="shared" ca="1" si="25"/>
        <v>0</v>
      </c>
      <c r="BH61" s="240">
        <f t="shared" ca="1" si="25"/>
        <v>0</v>
      </c>
      <c r="BI61" s="240">
        <f t="shared" ca="1" si="25"/>
        <v>0</v>
      </c>
    </row>
    <row r="62" spans="1:61" x14ac:dyDescent="0.2">
      <c r="A62" s="303" t="s">
        <v>476</v>
      </c>
      <c r="B62" s="304" t="s">
        <v>28</v>
      </c>
      <c r="C62" s="304">
        <v>18</v>
      </c>
      <c r="D62" s="304" t="s">
        <v>442</v>
      </c>
      <c r="E62" s="305" t="str">
        <f t="shared" ca="1" si="8"/>
        <v>R</v>
      </c>
      <c r="F62" s="306"/>
      <c r="G62" s="307">
        <f t="shared" ca="1" si="1"/>
        <v>51</v>
      </c>
      <c r="H62" s="250"/>
      <c r="I62" s="250"/>
      <c r="AF62" s="236">
        <f t="shared" si="2"/>
        <v>0</v>
      </c>
      <c r="AG62" s="236" t="str">
        <f t="shared" ca="1" si="3"/>
        <v/>
      </c>
      <c r="AH62" s="236" t="str">
        <f t="shared" ca="1" si="18"/>
        <v/>
      </c>
      <c r="AJ62" s="236">
        <f t="shared" ca="1" si="19"/>
        <v>62</v>
      </c>
      <c r="AK62" s="236" t="str">
        <f t="shared" ca="1" si="20"/>
        <v>BBB</v>
      </c>
      <c r="AL62" s="236">
        <f t="shared" ca="1" si="20"/>
        <v>18</v>
      </c>
      <c r="AM62" s="236" t="str">
        <f t="shared" ca="1" si="4"/>
        <v/>
      </c>
      <c r="AQ62" s="286"/>
      <c r="AR62" s="286"/>
      <c r="AS62" s="286"/>
      <c r="AT62" s="286"/>
      <c r="AV62" s="234">
        <f t="shared" si="21"/>
        <v>99</v>
      </c>
      <c r="AW62" s="234">
        <f>COUNTIF( AV$7:AV62, AV62 )</f>
        <v>5</v>
      </c>
      <c r="AX62" s="287">
        <f t="shared" si="22"/>
        <v>99.5</v>
      </c>
      <c r="AY62" s="234">
        <f t="shared" si="23"/>
        <v>56</v>
      </c>
      <c r="AZ62" s="236"/>
      <c r="BA62" s="236"/>
      <c r="BC62" s="234">
        <f t="shared" ca="1" si="24"/>
        <v>56</v>
      </c>
      <c r="BD62" s="288">
        <f t="shared" ca="1" si="6"/>
        <v>56</v>
      </c>
      <c r="BF62" s="240">
        <f t="shared" ca="1" si="25"/>
        <v>0</v>
      </c>
      <c r="BG62" s="240">
        <f t="shared" ca="1" si="25"/>
        <v>0</v>
      </c>
      <c r="BH62" s="240">
        <f t="shared" ca="1" si="25"/>
        <v>0</v>
      </c>
      <c r="BI62" s="240">
        <f t="shared" ca="1" si="25"/>
        <v>0</v>
      </c>
    </row>
    <row r="63" spans="1:61" x14ac:dyDescent="0.2">
      <c r="A63" s="303" t="s">
        <v>477</v>
      </c>
      <c r="B63" s="304"/>
      <c r="C63" s="304"/>
      <c r="D63" s="304" t="s">
        <v>448</v>
      </c>
      <c r="E63" s="305" t="str">
        <f t="shared" ca="1" si="8"/>
        <v>R</v>
      </c>
      <c r="F63" s="306"/>
      <c r="G63" s="307">
        <f t="shared" ca="1" si="1"/>
        <v>50</v>
      </c>
      <c r="H63" s="250"/>
      <c r="I63" s="250"/>
      <c r="AF63" s="236">
        <f t="shared" si="2"/>
        <v>0</v>
      </c>
      <c r="AG63" s="236" t="str">
        <f t="shared" si="3"/>
        <v/>
      </c>
      <c r="AH63" s="236" t="str">
        <f t="shared" si="18"/>
        <v/>
      </c>
      <c r="AJ63" s="236">
        <f t="shared" ca="1" si="19"/>
        <v>63</v>
      </c>
      <c r="AK63" s="236">
        <f t="shared" ca="1" si="20"/>
        <v>0</v>
      </c>
      <c r="AL63" s="236">
        <f t="shared" ca="1" si="20"/>
        <v>0</v>
      </c>
      <c r="AM63" s="236" t="str">
        <f t="shared" ca="1" si="4"/>
        <v/>
      </c>
      <c r="AQ63" s="286"/>
      <c r="AR63" s="286"/>
      <c r="AS63" s="286"/>
      <c r="AT63" s="286"/>
      <c r="AU63" s="286"/>
      <c r="AV63" s="234">
        <f t="shared" si="21"/>
        <v>99</v>
      </c>
      <c r="AW63" s="234">
        <f>COUNTIF( AV$7:AV63, AV63 )</f>
        <v>6</v>
      </c>
      <c r="AX63" s="287">
        <f t="shared" si="22"/>
        <v>99.6</v>
      </c>
      <c r="AY63" s="234">
        <f t="shared" si="23"/>
        <v>57</v>
      </c>
      <c r="AZ63" s="236"/>
      <c r="BA63" s="236"/>
      <c r="BC63" s="234">
        <f t="shared" ca="1" si="24"/>
        <v>57</v>
      </c>
      <c r="BD63" s="288">
        <f ca="1">MATCH( BC63, $AY$7:$AY$63, 0 )</f>
        <v>57</v>
      </c>
      <c r="BF63" s="240">
        <f t="shared" ca="1" si="25"/>
        <v>0</v>
      </c>
      <c r="BG63" s="240">
        <f t="shared" ca="1" si="25"/>
        <v>0</v>
      </c>
      <c r="BH63" s="240">
        <f t="shared" ca="1" si="25"/>
        <v>0</v>
      </c>
      <c r="BI63" s="240">
        <f t="shared" ca="1" si="25"/>
        <v>0</v>
      </c>
    </row>
    <row r="64" spans="1:61" x14ac:dyDescent="0.2">
      <c r="A64" s="303" t="s">
        <v>249</v>
      </c>
      <c r="B64" s="304"/>
      <c r="C64" s="304"/>
      <c r="D64" s="304" t="s">
        <v>445</v>
      </c>
      <c r="E64" s="305" t="str">
        <f t="shared" ca="1" si="8"/>
        <v>D</v>
      </c>
      <c r="F64" s="306"/>
      <c r="G64" s="307">
        <f t="shared" ca="1" si="1"/>
        <v>59</v>
      </c>
      <c r="H64" s="250"/>
      <c r="I64" s="250"/>
      <c r="AF64" s="236">
        <f t="shared" si="2"/>
        <v>0</v>
      </c>
      <c r="AG64" s="236" t="str">
        <f t="shared" si="3"/>
        <v/>
      </c>
      <c r="AH64" s="236" t="str">
        <f t="shared" si="18"/>
        <v/>
      </c>
      <c r="AJ64" s="236">
        <f t="shared" ca="1" si="19"/>
        <v>64</v>
      </c>
      <c r="AK64" s="236">
        <f t="shared" ca="1" si="20"/>
        <v>0</v>
      </c>
      <c r="AL64" s="236">
        <f t="shared" ca="1" si="20"/>
        <v>0</v>
      </c>
      <c r="AM64" s="236" t="str">
        <f t="shared" ca="1" si="4"/>
        <v/>
      </c>
      <c r="AQ64" s="286" t="s">
        <v>74</v>
      </c>
      <c r="AR64" s="286" t="s">
        <v>108</v>
      </c>
      <c r="AS64" s="286">
        <v>23</v>
      </c>
      <c r="AT64" s="286" t="s">
        <v>440</v>
      </c>
      <c r="AU64" s="286"/>
      <c r="AZ64" s="236"/>
      <c r="BA64" s="236"/>
      <c r="BF64" s="236"/>
    </row>
    <row r="65" spans="1:58" x14ac:dyDescent="0.2">
      <c r="A65" s="303"/>
      <c r="B65" s="313"/>
      <c r="C65" s="304"/>
      <c r="D65" s="304"/>
      <c r="E65" s="305"/>
      <c r="F65" s="306"/>
      <c r="G65" s="307"/>
      <c r="H65" s="250"/>
      <c r="I65" s="250"/>
      <c r="N65" s="234" t="s">
        <v>73</v>
      </c>
      <c r="AF65" s="236">
        <f t="shared" si="2"/>
        <v>0</v>
      </c>
      <c r="AG65" s="236" t="str">
        <f>IF( LEN( $C65 ) = 0, "", IF( $C65 &gt; $AL65, 1, "" ) )</f>
        <v/>
      </c>
      <c r="AH65" s="236" t="str">
        <f t="shared" si="18"/>
        <v/>
      </c>
      <c r="AJ65" s="236" t="e">
        <f t="shared" ca="1" si="19"/>
        <v>#N/A</v>
      </c>
      <c r="AK65" s="236" t="str">
        <f t="shared" ca="1" si="20"/>
        <v/>
      </c>
      <c r="AL65" s="236" t="str">
        <f t="shared" ca="1" si="20"/>
        <v/>
      </c>
      <c r="AM65" s="236" t="str">
        <f t="shared" ca="1" si="4"/>
        <v/>
      </c>
      <c r="AQ65" s="286" t="s">
        <v>428</v>
      </c>
      <c r="AR65" s="286" t="s">
        <v>28</v>
      </c>
      <c r="AS65" s="286">
        <v>18</v>
      </c>
      <c r="AT65" s="286" t="s">
        <v>442</v>
      </c>
      <c r="AU65" s="286"/>
      <c r="AZ65" s="236"/>
      <c r="BA65" s="236"/>
      <c r="BF65" s="236"/>
    </row>
    <row r="66" spans="1:58" x14ac:dyDescent="0.2">
      <c r="A66" s="268"/>
      <c r="B66" s="269"/>
      <c r="C66" s="270"/>
      <c r="D66" s="270"/>
      <c r="E66" s="249"/>
      <c r="F66" s="250"/>
      <c r="H66" s="250"/>
      <c r="I66" s="250"/>
      <c r="AF66" s="236">
        <f t="shared" si="2"/>
        <v>0</v>
      </c>
      <c r="AG66" s="236" t="str">
        <f t="shared" ref="AG66:AG67" si="26">IF( LEN( $C66 ) = 0, "", IF( $C66 &gt; $AL66, 1, "" ) )</f>
        <v/>
      </c>
      <c r="AH66" s="236" t="str">
        <f t="shared" si="18"/>
        <v/>
      </c>
      <c r="AJ66" s="236" t="e">
        <f t="shared" ca="1" si="19"/>
        <v>#N/A</v>
      </c>
      <c r="AK66" s="236" t="str">
        <f t="shared" ca="1" si="20"/>
        <v/>
      </c>
      <c r="AL66" s="236" t="str">
        <f t="shared" ca="1" si="20"/>
        <v/>
      </c>
      <c r="AM66" s="236" t="str">
        <f t="shared" ca="1" si="4"/>
        <v/>
      </c>
      <c r="AQ66" s="286" t="s">
        <v>477</v>
      </c>
      <c r="AR66" s="286"/>
      <c r="AS66" s="286"/>
      <c r="AT66" s="286" t="s">
        <v>448</v>
      </c>
      <c r="AU66" s="286"/>
      <c r="AX66" s="287"/>
      <c r="AZ66" s="236"/>
      <c r="BA66" s="236"/>
      <c r="BD66" s="288"/>
      <c r="BF66" s="236"/>
    </row>
    <row r="67" spans="1:58" ht="13.5" thickBot="1" x14ac:dyDescent="0.25">
      <c r="A67" s="271"/>
      <c r="B67" s="272"/>
      <c r="C67" s="337"/>
      <c r="D67" s="272"/>
      <c r="E67" s="273"/>
      <c r="F67" s="250"/>
      <c r="H67" s="250"/>
      <c r="I67" s="250"/>
      <c r="AF67" s="236">
        <f t="shared" si="2"/>
        <v>0</v>
      </c>
      <c r="AG67" s="236" t="str">
        <f t="shared" si="26"/>
        <v/>
      </c>
      <c r="AH67" s="236" t="str">
        <f t="shared" si="18"/>
        <v/>
      </c>
      <c r="AJ67" s="236" t="e">
        <f t="shared" ca="1" si="19"/>
        <v>#N/A</v>
      </c>
      <c r="AK67" s="236" t="str">
        <f t="shared" ca="1" si="20"/>
        <v/>
      </c>
      <c r="AL67" s="236" t="str">
        <f t="shared" ca="1" si="20"/>
        <v/>
      </c>
      <c r="AM67" s="236" t="str">
        <f t="shared" ca="1" si="4"/>
        <v/>
      </c>
      <c r="AQ67" s="286" t="s">
        <v>249</v>
      </c>
      <c r="AR67" s="286"/>
      <c r="AS67" s="286"/>
      <c r="AT67" s="286" t="s">
        <v>445</v>
      </c>
      <c r="AX67" s="287"/>
      <c r="AZ67" s="236"/>
      <c r="BA67" s="236"/>
      <c r="BD67" s="288"/>
      <c r="BF67" s="236"/>
    </row>
    <row r="68" spans="1:58" x14ac:dyDescent="0.2">
      <c r="A68" s="274" t="s">
        <v>135</v>
      </c>
      <c r="B68" s="275" t="str">
        <f ca="1">OFFSET( Scale!$H$5, ROUND( C68, 0 ) - 1, 1 )</f>
        <v>BBB+</v>
      </c>
      <c r="C68" s="276">
        <f>AVERAGE(C7:C65)</f>
        <v>18.716981132075471</v>
      </c>
      <c r="D68" s="276"/>
      <c r="E68" s="276"/>
      <c r="F68" s="250"/>
      <c r="H68" s="250"/>
      <c r="I68" s="250"/>
      <c r="J68" s="253"/>
      <c r="K68" s="253"/>
      <c r="AX68" s="287"/>
      <c r="AZ68" s="236"/>
      <c r="BA68" s="236"/>
      <c r="BD68" s="288"/>
      <c r="BF68" s="236"/>
    </row>
    <row r="69" spans="1:58" x14ac:dyDescent="0.2">
      <c r="A69" s="277"/>
      <c r="B69" s="278"/>
      <c r="F69" s="250"/>
      <c r="H69" s="250"/>
      <c r="I69" s="250"/>
      <c r="AX69" s="287"/>
      <c r="AZ69" s="236"/>
      <c r="BA69" s="236"/>
      <c r="BD69" s="288"/>
      <c r="BF69" s="236"/>
    </row>
    <row r="70" spans="1:58" x14ac:dyDescent="0.2">
      <c r="A70" s="277"/>
      <c r="B70" s="278"/>
      <c r="F70" s="240"/>
      <c r="H70" s="240"/>
      <c r="I70" s="240"/>
      <c r="J70" s="253"/>
      <c r="K70" s="253"/>
    </row>
    <row r="71" spans="1:58" x14ac:dyDescent="0.2">
      <c r="A71" s="279" t="s">
        <v>267</v>
      </c>
      <c r="F71" s="240"/>
      <c r="H71" s="240"/>
      <c r="I71" s="240"/>
    </row>
    <row r="72" spans="1:58" x14ac:dyDescent="0.2">
      <c r="A72" s="279" t="s">
        <v>366</v>
      </c>
      <c r="B72" s="240"/>
      <c r="D72" s="264"/>
      <c r="E72" s="264"/>
      <c r="F72" s="280"/>
      <c r="H72" s="280"/>
      <c r="I72" s="280"/>
    </row>
    <row r="73" spans="1:58" x14ac:dyDescent="0.2">
      <c r="A73" s="281" t="s">
        <v>357</v>
      </c>
      <c r="B73" s="240"/>
      <c r="D73" s="264"/>
      <c r="E73" s="264"/>
      <c r="F73" s="280"/>
      <c r="H73" s="280"/>
      <c r="I73" s="280"/>
    </row>
    <row r="74" spans="1:58" x14ac:dyDescent="0.2">
      <c r="A74" s="281" t="s">
        <v>470</v>
      </c>
      <c r="D74" s="280"/>
      <c r="E74" s="234"/>
      <c r="F74" s="282"/>
      <c r="H74" s="282"/>
      <c r="I74" s="282"/>
    </row>
    <row r="75" spans="1:58" x14ac:dyDescent="0.2">
      <c r="A75" s="279" t="s">
        <v>359</v>
      </c>
      <c r="D75" s="280"/>
      <c r="E75" s="234"/>
      <c r="F75" s="282"/>
      <c r="H75" s="282"/>
      <c r="I75" s="282"/>
      <c r="AQ75" s="286"/>
      <c r="AR75" s="286"/>
      <c r="AS75" s="286"/>
    </row>
    <row r="76" spans="1:58" x14ac:dyDescent="0.2">
      <c r="A76" s="279" t="s">
        <v>507</v>
      </c>
      <c r="D76" s="280"/>
      <c r="E76" s="234"/>
      <c r="F76" s="282"/>
      <c r="H76" s="282"/>
      <c r="I76" s="282"/>
      <c r="AQ76" s="286"/>
      <c r="AR76" s="286"/>
      <c r="AS76" s="286"/>
    </row>
    <row r="77" spans="1:58" x14ac:dyDescent="0.2">
      <c r="A77" s="279"/>
      <c r="AQ77" s="286"/>
      <c r="AR77" s="286"/>
      <c r="AS77" s="286"/>
    </row>
    <row r="78" spans="1:58" x14ac:dyDescent="0.2">
      <c r="C78" s="339">
        <f>SUMPRODUCT( L8:L13, Y8:Y13 ) / L14</f>
        <v>18.69811320754717</v>
      </c>
      <c r="E78" s="283"/>
      <c r="G78" s="251"/>
      <c r="J78" s="240"/>
      <c r="K78" s="240"/>
      <c r="AQ78" s="286"/>
      <c r="AR78" s="286"/>
      <c r="AS78" s="286"/>
    </row>
    <row r="79" spans="1:58" s="240" customFormat="1" x14ac:dyDescent="0.2">
      <c r="A79" s="284"/>
      <c r="B79" s="285"/>
      <c r="C79" s="285"/>
      <c r="D79" s="285"/>
      <c r="E79" s="249"/>
      <c r="F79" s="234"/>
      <c r="G79" s="236"/>
      <c r="H79" s="234"/>
      <c r="I79" s="234"/>
      <c r="Q79" s="234"/>
      <c r="T79" s="236"/>
      <c r="U79" s="236"/>
      <c r="V79" s="236"/>
      <c r="AF79" s="236"/>
      <c r="AG79" s="236"/>
      <c r="AH79" s="236"/>
      <c r="AJ79" s="236"/>
      <c r="AK79" s="236"/>
      <c r="AL79" s="236"/>
      <c r="AM79" s="236"/>
      <c r="AN79" s="236"/>
      <c r="AQ79" s="286"/>
      <c r="AR79" s="286"/>
      <c r="AS79" s="286"/>
    </row>
  </sheetData>
  <sortState ref="AQ7:AT57">
    <sortCondition ref="AQ7"/>
  </sortState>
  <mergeCells count="9">
    <mergeCell ref="L16:M16"/>
    <mergeCell ref="O16:P16"/>
    <mergeCell ref="R16:S16"/>
    <mergeCell ref="U16:V16"/>
    <mergeCell ref="J5:J6"/>
    <mergeCell ref="L5:M6"/>
    <mergeCell ref="O5:P6"/>
    <mergeCell ref="R5:S6"/>
    <mergeCell ref="U5:V6"/>
  </mergeCells>
  <conditionalFormatting sqref="E7:E59 A60:E61 E62:E65">
    <cfRule type="expression" dxfId="509" priority="28" stopIfTrue="1">
      <formula>IF( $AH7 = 1, TRUE, FALSE )</formula>
    </cfRule>
    <cfRule type="expression" dxfId="508" priority="29" stopIfTrue="1">
      <formula>IF( $AG7 = 1, TRUE, FALSE )</formula>
    </cfRule>
    <cfRule type="expression" dxfId="507" priority="30" stopIfTrue="1">
      <formula>IF( $AF7 = 1, TRUE, FALSE )</formula>
    </cfRule>
  </conditionalFormatting>
  <conditionalFormatting sqref="A67:E67">
    <cfRule type="expression" dxfId="506" priority="31" stopIfTrue="1">
      <formula>IF( $AH67 = 1, TRUE, FALSE )</formula>
    </cfRule>
    <cfRule type="expression" dxfId="505" priority="32" stopIfTrue="1">
      <formula>IF( $AG67 = 1, TRUE, FALSE )</formula>
    </cfRule>
    <cfRule type="expression" dxfId="504" priority="33" stopIfTrue="1">
      <formula>IF( $AF67 = 1, TRUE, FALSE )</formula>
    </cfRule>
  </conditionalFormatting>
  <conditionalFormatting sqref="A66:E66">
    <cfRule type="expression" dxfId="503" priority="25" stopIfTrue="1">
      <formula>IF( $AH66 = 1, TRUE, FALSE )</formula>
    </cfRule>
    <cfRule type="expression" dxfId="502" priority="26" stopIfTrue="1">
      <formula>IF( $AG66 = 1, TRUE, FALSE )</formula>
    </cfRule>
    <cfRule type="expression" dxfId="501" priority="27" stopIfTrue="1">
      <formula>IF( $AF66 = 1, TRUE, FALSE )</formula>
    </cfRule>
  </conditionalFormatting>
  <conditionalFormatting sqref="A8:D58 B7:D7">
    <cfRule type="expression" dxfId="500" priority="22" stopIfTrue="1">
      <formula>IF( $AH7 = 1, TRUE, FALSE )</formula>
    </cfRule>
    <cfRule type="expression" dxfId="499" priority="23" stopIfTrue="1">
      <formula>IF( $AG7 = 1, TRUE, FALSE )</formula>
    </cfRule>
    <cfRule type="expression" dxfId="498" priority="24" stopIfTrue="1">
      <formula>IF( $AF7 = 1, TRUE, FALSE )</formula>
    </cfRule>
  </conditionalFormatting>
  <conditionalFormatting sqref="A59:D59">
    <cfRule type="expression" dxfId="497" priority="19" stopIfTrue="1">
      <formula>IF( $AH59 = 1, TRUE, FALSE )</formula>
    </cfRule>
    <cfRule type="expression" dxfId="496" priority="20" stopIfTrue="1">
      <formula>IF( $AG59 = 1, TRUE, FALSE )</formula>
    </cfRule>
    <cfRule type="expression" dxfId="495" priority="21" stopIfTrue="1">
      <formula>IF( $AF59 = 1, TRUE, FALSE )</formula>
    </cfRule>
  </conditionalFormatting>
  <conditionalFormatting sqref="A61:D65">
    <cfRule type="expression" dxfId="494" priority="16" stopIfTrue="1">
      <formula>IF( $AH61 = 1, TRUE, FALSE )</formula>
    </cfRule>
    <cfRule type="expression" dxfId="493" priority="17" stopIfTrue="1">
      <formula>IF( $AG61 = 1, TRUE, FALSE )</formula>
    </cfRule>
    <cfRule type="expression" dxfId="492" priority="18" stopIfTrue="1">
      <formula>IF( $AF61 = 1, TRUE, FALSE )</formula>
    </cfRule>
  </conditionalFormatting>
  <conditionalFormatting sqref="U8:U12">
    <cfRule type="cellIs" dxfId="491" priority="15" operator="equal">
      <formula>0</formula>
    </cfRule>
  </conditionalFormatting>
  <conditionalFormatting sqref="O8:O12 Q8:Q12">
    <cfRule type="cellIs" dxfId="490" priority="14" operator="equal">
      <formula>0</formula>
    </cfRule>
  </conditionalFormatting>
  <conditionalFormatting sqref="V8:V12">
    <cfRule type="cellIs" dxfId="489" priority="13" operator="equal">
      <formula>0</formula>
    </cfRule>
  </conditionalFormatting>
  <conditionalFormatting sqref="S8:S12">
    <cfRule type="cellIs" dxfId="488" priority="11" operator="equal">
      <formula>0</formula>
    </cfRule>
  </conditionalFormatting>
  <conditionalFormatting sqref="R8:R12">
    <cfRule type="cellIs" dxfId="487" priority="12" operator="equal">
      <formula>0</formula>
    </cfRule>
  </conditionalFormatting>
  <conditionalFormatting sqref="P8:P12">
    <cfRule type="cellIs" dxfId="486" priority="10" operator="equal">
      <formula>0</formula>
    </cfRule>
  </conditionalFormatting>
  <conditionalFormatting sqref="M8:M12">
    <cfRule type="cellIs" dxfId="485" priority="9" operator="equal">
      <formula>0</formula>
    </cfRule>
  </conditionalFormatting>
  <conditionalFormatting sqref="T8:T12">
    <cfRule type="cellIs" dxfId="484" priority="8" operator="equal">
      <formula>0</formula>
    </cfRule>
  </conditionalFormatting>
  <conditionalFormatting sqref="N8:N12">
    <cfRule type="cellIs" dxfId="483" priority="7" operator="equal">
      <formula>0</formula>
    </cfRule>
  </conditionalFormatting>
  <conditionalFormatting sqref="K8:K12">
    <cfRule type="cellIs" dxfId="482" priority="6" operator="equal">
      <formula>0</formula>
    </cfRule>
  </conditionalFormatting>
  <conditionalFormatting sqref="I8:I12">
    <cfRule type="cellIs" dxfId="481" priority="5" operator="equal">
      <formula>0</formula>
    </cfRule>
  </conditionalFormatting>
  <conditionalFormatting sqref="W8:W12">
    <cfRule type="cellIs" dxfId="480" priority="4" operator="equal">
      <formula>0</formula>
    </cfRule>
  </conditionalFormatting>
  <conditionalFormatting sqref="A7">
    <cfRule type="expression" dxfId="479" priority="1" stopIfTrue="1">
      <formula>IF( $AH7 = 1, TRUE, FALSE )</formula>
    </cfRule>
    <cfRule type="expression" dxfId="478" priority="2" stopIfTrue="1">
      <formula>IF( $AG7 = 1, TRUE, FALSE )</formula>
    </cfRule>
    <cfRule type="expression" dxfId="477" priority="3" stopIfTrue="1">
      <formula>IF( $AF7 = 1, TRUE, FALSE )</formula>
    </cfRule>
  </conditionalFormatting>
  <pageMargins left="0.17" right="0.18" top="0.28000000000000003" bottom="0.17" header="0.3" footer="0.3"/>
  <pageSetup scale="19" orientation="portrait" horizontalDpi="1200" verticalDpi="12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BJ79"/>
  <sheetViews>
    <sheetView showGridLines="0" zoomScale="85" zoomScaleNormal="85" workbookViewId="0">
      <pane ySplit="6" topLeftCell="A7" activePane="bottomLeft" state="frozen"/>
      <selection activeCell="A7" sqref="A7"/>
      <selection pane="bottomLeft" activeCell="A7" sqref="A7"/>
    </sheetView>
  </sheetViews>
  <sheetFormatPr defaultColWidth="9.140625" defaultRowHeight="12.75" outlineLevelRow="1" outlineLevelCol="2" x14ac:dyDescent="0.2"/>
  <cols>
    <col min="1" max="1" width="35.140625" style="234" customWidth="1"/>
    <col min="2" max="2" width="9.140625" style="234"/>
    <col min="3" max="3" width="9.42578125" style="263" customWidth="1"/>
    <col min="4" max="4" width="9.140625" style="235" customWidth="1" outlineLevel="1"/>
    <col min="5" max="5" width="12.5703125" style="235" customWidth="1" outlineLevel="1"/>
    <col min="6" max="6" width="3.42578125" style="234" customWidth="1" outlineLevel="1"/>
    <col min="7" max="7" width="17.7109375" style="236" hidden="1" customWidth="1" outlineLevel="2"/>
    <col min="8" max="8" width="3.42578125" style="234" hidden="1" customWidth="1" outlineLevel="2" collapsed="1"/>
    <col min="9" max="9" width="3.28515625" style="234" customWidth="1" outlineLevel="1" collapsed="1"/>
    <col min="10" max="10" width="22" style="234" customWidth="1"/>
    <col min="11" max="11" width="2" style="234" customWidth="1"/>
    <col min="12" max="13" width="10.42578125" style="234" customWidth="1"/>
    <col min="14" max="14" width="2" style="234" customWidth="1"/>
    <col min="15" max="16" width="10.42578125" style="234" customWidth="1"/>
    <col min="17" max="17" width="2" style="234" customWidth="1"/>
    <col min="18" max="19" width="10.42578125" style="234" customWidth="1"/>
    <col min="20" max="20" width="2" style="236" customWidth="1"/>
    <col min="21" max="22" width="10.42578125" style="236" customWidth="1"/>
    <col min="23" max="23" width="2" style="234" customWidth="1"/>
    <col min="24" max="24" width="4.140625" style="234" customWidth="1"/>
    <col min="25" max="25" width="5.5703125" style="234" customWidth="1"/>
    <col min="26" max="26" width="2.42578125" style="234" customWidth="1"/>
    <col min="27" max="27" width="4.28515625" style="234" customWidth="1"/>
    <col min="28" max="30" width="2.42578125" style="234" hidden="1" customWidth="1" outlineLevel="1"/>
    <col min="31" max="31" width="4.42578125" style="234" hidden="1" customWidth="1" outlineLevel="1"/>
    <col min="32" max="32" width="6.5703125" style="236" hidden="1" customWidth="1" outlineLevel="1" collapsed="1"/>
    <col min="33" max="34" width="6.5703125" style="236" hidden="1" customWidth="1" outlineLevel="1"/>
    <col min="35" max="35" width="3.140625" style="234" hidden="1" customWidth="1" outlineLevel="1"/>
    <col min="36" max="36" width="15.85546875" style="236" hidden="1" customWidth="1" outlineLevel="1" collapsed="1"/>
    <col min="37" max="38" width="15.85546875" style="236" hidden="1" customWidth="1" outlineLevel="1"/>
    <col min="39" max="39" width="8.42578125" style="236" hidden="1" customWidth="1" outlineLevel="1"/>
    <col min="40" max="40" width="11.85546875" style="236" hidden="1" customWidth="1" outlineLevel="1"/>
    <col min="41" max="41" width="3.42578125" style="234" customWidth="1" collapsed="1"/>
    <col min="42" max="42" width="3.42578125" style="234" customWidth="1"/>
    <col min="43" max="43" width="29.7109375" style="234" hidden="1" customWidth="1" outlineLevel="1"/>
    <col min="44" max="44" width="6.42578125" style="234" hidden="1" customWidth="1" outlineLevel="1"/>
    <col min="45" max="45" width="6.7109375" style="234" hidden="1" customWidth="1" outlineLevel="1"/>
    <col min="46" max="46" width="8.7109375" style="234" hidden="1" customWidth="1" outlineLevel="1"/>
    <col min="47" max="47" width="3.140625" style="234" hidden="1" customWidth="1" outlineLevel="1"/>
    <col min="48" max="56" width="9.140625" style="234" hidden="1" customWidth="1" outlineLevel="2"/>
    <col min="57" max="57" width="5.42578125" style="234" hidden="1" customWidth="1" outlineLevel="1"/>
    <col min="58" max="58" width="36.85546875" style="234" hidden="1" customWidth="1" outlineLevel="1"/>
    <col min="59" max="59" width="6.42578125" style="234" hidden="1" customWidth="1" outlineLevel="1"/>
    <col min="60" max="60" width="3.42578125" style="234" hidden="1" customWidth="1" outlineLevel="1"/>
    <col min="61" max="61" width="9.140625" style="234" hidden="1" customWidth="1" outlineLevel="1"/>
    <col min="62" max="62" width="9.140625" style="234" collapsed="1"/>
    <col min="63" max="16384" width="9.140625" style="234"/>
  </cols>
  <sheetData>
    <row r="1" spans="1:61" ht="18.75" x14ac:dyDescent="0.2">
      <c r="A1" s="323" t="str">
        <f>"I.  S&amp;P Utility Credit Ratings Distribution -- " &amp; B6</f>
        <v>I.  S&amp;P Utility Credit Ratings Distribution -- 2014 Q2</v>
      </c>
      <c r="G1" s="242" t="s">
        <v>506</v>
      </c>
      <c r="AF1" s="237" t="s">
        <v>420</v>
      </c>
      <c r="AG1" s="237" t="s">
        <v>421</v>
      </c>
      <c r="AH1" s="237" t="s">
        <v>422</v>
      </c>
      <c r="AJ1" s="237" t="s">
        <v>424</v>
      </c>
      <c r="AK1" s="237" t="s">
        <v>426</v>
      </c>
      <c r="AL1" s="237" t="s">
        <v>426</v>
      </c>
      <c r="AM1" s="237" t="s">
        <v>424</v>
      </c>
      <c r="AN1" s="237"/>
      <c r="AQ1" s="237" t="s">
        <v>497</v>
      </c>
    </row>
    <row r="2" spans="1:61" ht="18.75" hidden="1" outlineLevel="1" x14ac:dyDescent="0.2">
      <c r="A2" s="233"/>
      <c r="E2" s="238" t="str">
        <f>G2</f>
        <v>Reg_Percent_2013</v>
      </c>
      <c r="G2" s="239" t="s">
        <v>505</v>
      </c>
      <c r="AJ2" s="240" t="str">
        <f>AJ4 &amp; AJ3</f>
        <v>'Credit_2014Q1'!d:d</v>
      </c>
      <c r="AK2" s="240" t="str">
        <f>AK4 &amp; AK3</f>
        <v>'Credit_2014Q1'!b1</v>
      </c>
      <c r="AL2" s="240" t="str">
        <f>AL4 &amp; AL3</f>
        <v>'Credit_2014Q1'!c1</v>
      </c>
      <c r="AQ2" s="236"/>
    </row>
    <row r="3" spans="1:61" ht="18.75" hidden="1" outlineLevel="1" x14ac:dyDescent="0.2">
      <c r="A3" s="233"/>
      <c r="E3" s="241" t="str">
        <f>"'" &amp; E2 &amp; "'!"</f>
        <v>'Reg_Percent_2013'!</v>
      </c>
      <c r="G3" s="234" t="str">
        <f>"'" &amp; G2 &amp; "'!"</f>
        <v>'Reg_Percent_2013'!</v>
      </c>
      <c r="O3" s="242" t="s">
        <v>371</v>
      </c>
      <c r="P3" s="242"/>
      <c r="Q3" s="242"/>
      <c r="R3" s="242" t="s">
        <v>372</v>
      </c>
      <c r="T3" s="234"/>
      <c r="U3" s="242" t="s">
        <v>86</v>
      </c>
      <c r="V3" s="234"/>
      <c r="X3" s="242"/>
      <c r="Y3" s="242"/>
      <c r="Z3" s="242"/>
      <c r="AA3" s="242"/>
      <c r="AJ3" s="210" t="s">
        <v>438</v>
      </c>
      <c r="AK3" s="210" t="s">
        <v>427</v>
      </c>
      <c r="AL3" s="210" t="s">
        <v>453</v>
      </c>
      <c r="AQ3" s="236"/>
    </row>
    <row r="4" spans="1:61" ht="18.75" hidden="1" outlineLevel="1" x14ac:dyDescent="0.2">
      <c r="A4" s="233"/>
      <c r="E4" s="242" t="s">
        <v>439</v>
      </c>
      <c r="G4" s="242" t="s">
        <v>438</v>
      </c>
      <c r="O4" s="236"/>
      <c r="P4" s="236"/>
      <c r="Q4" s="236"/>
      <c r="T4" s="234"/>
      <c r="U4" s="234"/>
      <c r="V4" s="234"/>
      <c r="AJ4" s="236" t="str">
        <f>$AQ$5</f>
        <v>'Credit_2014Q1'!</v>
      </c>
      <c r="AK4" s="236" t="str">
        <f t="shared" ref="AK4:AL4" si="0">$AQ$5</f>
        <v>'Credit_2014Q1'!</v>
      </c>
      <c r="AL4" s="236" t="str">
        <f t="shared" si="0"/>
        <v>'Credit_2014Q1'!</v>
      </c>
      <c r="AQ4" s="236"/>
    </row>
    <row r="5" spans="1:61" collapsed="1" x14ac:dyDescent="0.2">
      <c r="E5" s="243" t="s">
        <v>436</v>
      </c>
      <c r="G5" s="237" t="s">
        <v>424</v>
      </c>
      <c r="I5" s="314"/>
      <c r="J5" s="466" t="s">
        <v>77</v>
      </c>
      <c r="K5" s="314"/>
      <c r="L5" s="468" t="str">
        <f>"All Companies" &amp; CHAR( 10 ) &amp; "("&amp; L14 &amp; ")"</f>
        <v>All Companies
(53)</v>
      </c>
      <c r="M5" s="468"/>
      <c r="N5" s="314"/>
      <c r="O5" s="466" t="str">
        <f ca="1">"Regulated" &amp; CHAR( 10 ) &amp; "(" &amp; O14 &amp; ")"</f>
        <v>Regulated
(38)</v>
      </c>
      <c r="P5" s="470"/>
      <c r="Q5" s="314"/>
      <c r="R5" s="466" t="str">
        <f ca="1">"Mostly Regulated" &amp; CHAR( 10 ) &amp; "(" &amp; R14 &amp; ")"</f>
        <v>Mostly Regulated
(13)</v>
      </c>
      <c r="S5" s="470"/>
      <c r="T5" s="314"/>
      <c r="U5" s="466" t="str">
        <f ca="1">"Diversified" &amp; CHAR( 10 ) &amp; "(" &amp; U14 &amp; ")"</f>
        <v>Diversified
(2)</v>
      </c>
      <c r="V5" s="470"/>
      <c r="W5" s="314"/>
      <c r="AE5" s="244"/>
      <c r="AF5" s="234"/>
      <c r="AG5" s="234"/>
      <c r="AH5" s="234"/>
      <c r="AJ5" s="234"/>
      <c r="AK5" s="234"/>
      <c r="AL5" s="234"/>
      <c r="AM5" s="234"/>
      <c r="AN5" s="234"/>
      <c r="AQ5" s="432" t="s">
        <v>500</v>
      </c>
    </row>
    <row r="6" spans="1:61" ht="28.5" customHeight="1" x14ac:dyDescent="0.2">
      <c r="A6" s="299" t="s">
        <v>0</v>
      </c>
      <c r="B6" s="300" t="s">
        <v>502</v>
      </c>
      <c r="C6" s="338" t="s">
        <v>471</v>
      </c>
      <c r="D6" s="301"/>
      <c r="E6" s="302">
        <f ca="1">INDIRECT( E3 &amp; G1 )</f>
        <v>41639</v>
      </c>
      <c r="I6" s="315"/>
      <c r="J6" s="467"/>
      <c r="K6" s="315"/>
      <c r="L6" s="469"/>
      <c r="M6" s="469"/>
      <c r="N6" s="315"/>
      <c r="O6" s="467"/>
      <c r="P6" s="467"/>
      <c r="Q6" s="315"/>
      <c r="R6" s="467" t="s">
        <v>137</v>
      </c>
      <c r="S6" s="467"/>
      <c r="T6" s="315"/>
      <c r="U6" s="467"/>
      <c r="V6" s="467"/>
      <c r="W6" s="315"/>
      <c r="AE6" s="245"/>
      <c r="AJ6" s="246"/>
    </row>
    <row r="7" spans="1:61" x14ac:dyDescent="0.2">
      <c r="A7" s="303" t="s">
        <v>7</v>
      </c>
      <c r="B7" s="304" t="s">
        <v>2</v>
      </c>
      <c r="C7" s="304">
        <v>21</v>
      </c>
      <c r="D7" s="304" t="s">
        <v>328</v>
      </c>
      <c r="E7" s="305" t="str">
        <f ca="1">IF( LEN( $G7 ) = 0, "", OFFSET( INDIRECT( E$3 &amp; E$4 ), $G7 - 1, 0 ) )</f>
        <v>R</v>
      </c>
      <c r="F7" s="306"/>
      <c r="G7" s="307">
        <f t="shared" ref="G7:G64" ca="1" si="1">IF( LEN( $D7 ) = 0, "", MATCH( $D7, INDIRECT( G$3 &amp; G$4 ), 0 ) )</f>
        <v>47</v>
      </c>
      <c r="H7" s="250"/>
      <c r="I7" s="316"/>
      <c r="J7" s="252"/>
      <c r="K7" s="316"/>
      <c r="L7" s="252" t="s">
        <v>81</v>
      </c>
      <c r="M7" s="252" t="s">
        <v>82</v>
      </c>
      <c r="N7" s="316"/>
      <c r="O7" s="252" t="s">
        <v>81</v>
      </c>
      <c r="P7" s="252" t="s">
        <v>82</v>
      </c>
      <c r="Q7" s="316"/>
      <c r="R7" s="252" t="s">
        <v>81</v>
      </c>
      <c r="S7" s="252" t="s">
        <v>82</v>
      </c>
      <c r="T7" s="316"/>
      <c r="U7" s="252" t="s">
        <v>81</v>
      </c>
      <c r="V7" s="252" t="s">
        <v>82</v>
      </c>
      <c r="W7" s="316"/>
      <c r="AE7" s="254"/>
      <c r="AF7" s="236">
        <f t="shared" ref="AF7:AF67" si="2">IF( LEN( C7 ) = 0, 0, IF( C7 = C6, AF6, IF( AF6 = 1, 0, 1 ) ) )</f>
        <v>1</v>
      </c>
      <c r="AG7" s="236" t="str">
        <f t="shared" ref="AG7:AG64" ca="1" si="3">IF( LEN( $C7 ) = 0, "", IF( $C7 &gt; $AL7, 1, "" ) )</f>
        <v/>
      </c>
      <c r="AH7" s="236" t="str">
        <f ca="1">IF( LEN( $C7 ) = 0, "", IF( $C7 &lt; $AL7, 1, "" ) )</f>
        <v/>
      </c>
      <c r="AJ7" s="236">
        <f ca="1">MATCH( $D7, INDIRECT( AJ$2 ), 0 )</f>
        <v>7</v>
      </c>
      <c r="AK7" s="236" t="str">
        <f ca="1">IF( ISNA( $AJ7 ), "", OFFSET( INDIRECT( AK$2 ), $AJ7-1, 0 ) )</f>
        <v>A</v>
      </c>
      <c r="AL7" s="236">
        <f ca="1">IF( ISNA( $AJ7 ), "", OFFSET( INDIRECT( AL$2 ), $AJ7-1, 0 ) )</f>
        <v>21</v>
      </c>
      <c r="AM7" s="236" t="str">
        <f t="shared" ref="AM7:AM67" ca="1" si="4">IF( B7 = AK7, "", "Change" )</f>
        <v/>
      </c>
      <c r="AQ7" s="286" t="s">
        <v>15</v>
      </c>
      <c r="AR7" s="286" t="s">
        <v>16</v>
      </c>
      <c r="AS7" s="286">
        <v>19</v>
      </c>
      <c r="AT7" s="286" t="s">
        <v>277</v>
      </c>
      <c r="AV7" s="234">
        <f>IF( LEN( AS7 ) = 0, 99, RANK( AS7, $AS$7:$AS$63 ) )</f>
        <v>14</v>
      </c>
      <c r="AW7" s="234">
        <f>COUNTIF( AV7:AV$7, AV7 )</f>
        <v>1</v>
      </c>
      <c r="AX7" s="287">
        <f>AV7 + AW7 / 10</f>
        <v>14.1</v>
      </c>
      <c r="AY7" s="234">
        <f>RANK( AX7, $AX$7:$AX$63, 1 )</f>
        <v>14</v>
      </c>
      <c r="AZ7" s="236"/>
      <c r="BA7" s="236"/>
      <c r="BC7" s="234">
        <f t="shared" ref="BC7" ca="1" si="5">OFFSET( BC7, -1, 0 ) + 1</f>
        <v>1</v>
      </c>
      <c r="BD7" s="288">
        <f t="shared" ref="BD7:BD62" ca="1" si="6">MATCH( BC7, $AY$7:$AY$63, 0 )</f>
        <v>45</v>
      </c>
      <c r="BF7" s="240" t="str">
        <f t="shared" ref="BF7:BI38" ca="1" si="7">OFFSET( AQ$6, $BD7, 0 )</f>
        <v>Southern Company</v>
      </c>
      <c r="BG7" s="240" t="str">
        <f t="shared" ca="1" si="7"/>
        <v>A</v>
      </c>
      <c r="BH7" s="240">
        <f t="shared" ca="1" si="7"/>
        <v>21</v>
      </c>
      <c r="BI7" s="240" t="str">
        <f t="shared" ca="1" si="7"/>
        <v>SO</v>
      </c>
    </row>
    <row r="8" spans="1:61" x14ac:dyDescent="0.2">
      <c r="A8" s="303" t="s">
        <v>17</v>
      </c>
      <c r="B8" s="304" t="s">
        <v>10</v>
      </c>
      <c r="C8" s="304">
        <v>20</v>
      </c>
      <c r="D8" s="304" t="s">
        <v>307</v>
      </c>
      <c r="E8" s="305" t="str">
        <f t="shared" ref="E8:E64" ca="1" si="8">IF( LEN( $G8 ) = 0, "", OFFSET( INDIRECT( E$3 &amp; E$4 ), $G8 - 1, 0 ) )</f>
        <v>R</v>
      </c>
      <c r="F8" s="306"/>
      <c r="G8" s="307">
        <f t="shared" ca="1" si="1"/>
        <v>8</v>
      </c>
      <c r="H8" s="250"/>
      <c r="I8" s="317"/>
      <c r="J8" s="293" t="s">
        <v>138</v>
      </c>
      <c r="K8" s="317"/>
      <c r="L8" s="293">
        <f t="shared" ref="L8:L13" si="9">COUNTIF($C$7:$C$67,$X8)</f>
        <v>2</v>
      </c>
      <c r="M8" s="294">
        <f t="shared" ref="M8:M13" si="10">IF( L8 = 0, "", L8/L$14 )</f>
        <v>3.7735849056603772E-2</v>
      </c>
      <c r="N8" s="317"/>
      <c r="O8" s="293">
        <f t="shared" ref="O8:O13" ca="1" si="11">COUNTIFS( $E$7:$E$66, O$3, $C$7:$C$66, $X8 )</f>
        <v>1</v>
      </c>
      <c r="P8" s="294">
        <f t="shared" ref="P8:P13" ca="1" si="12">IF( O8 = 0, "", O8/O$14 )</f>
        <v>2.6315789473684209E-2</v>
      </c>
      <c r="Q8" s="317"/>
      <c r="R8" s="293">
        <f t="shared" ref="R8:R13" ca="1" si="13">COUNTIFS( $E$7:$E$66, R$3, $C$7:$C$66, $X8 )</f>
        <v>1</v>
      </c>
      <c r="S8" s="294">
        <f t="shared" ref="S8:S13" ca="1" si="14">IF( R8 = 0, "", R8/R$14 )</f>
        <v>7.6923076923076927E-2</v>
      </c>
      <c r="T8" s="317"/>
      <c r="U8" s="293">
        <f t="shared" ref="U8:U13" ca="1" si="15">COUNTIFS( $E$7:$E$66, U$3, $C$7:$C$66, $X8 )</f>
        <v>0</v>
      </c>
      <c r="V8" s="294" t="str">
        <f t="shared" ref="V8:V13" ca="1" si="16">IF( U8 = 0, "", U8/U$14 )</f>
        <v/>
      </c>
      <c r="W8" s="317"/>
      <c r="X8" s="256" t="s">
        <v>464</v>
      </c>
      <c r="Y8" s="256">
        <v>21</v>
      </c>
      <c r="Z8" s="256">
        <v>1</v>
      </c>
      <c r="AA8" s="255">
        <f t="shared" ref="AA8:AA13" ca="1" si="17">SUM(O8, R8, U8)</f>
        <v>2</v>
      </c>
      <c r="AC8" s="257"/>
      <c r="AE8" s="254"/>
      <c r="AF8" s="236">
        <f t="shared" si="2"/>
        <v>0</v>
      </c>
      <c r="AG8" s="236" t="str">
        <f t="shared" ca="1" si="3"/>
        <v/>
      </c>
      <c r="AH8" s="236" t="str">
        <f t="shared" ref="AH8:AH67" ca="1" si="18">IF( LEN( $C8 ) = 0, "", IF( $C8 &lt; $AL8, 1, "" ) )</f>
        <v/>
      </c>
      <c r="AJ8" s="236">
        <f t="shared" ref="AJ8:AJ67" ca="1" si="19">MATCH( $D8, INDIRECT( AJ$2 ), 0 )</f>
        <v>8</v>
      </c>
      <c r="AK8" s="236" t="str">
        <f t="shared" ref="AK8:AL67" ca="1" si="20">IF( ISNA( $AJ8 ), "", OFFSET( INDIRECT( AK$2 ), $AJ8-1, 0 ) )</f>
        <v>A-</v>
      </c>
      <c r="AL8" s="236">
        <f t="shared" ca="1" si="20"/>
        <v>20</v>
      </c>
      <c r="AM8" s="236" t="str">
        <f t="shared" ca="1" si="4"/>
        <v/>
      </c>
      <c r="AQ8" s="286" t="s">
        <v>17</v>
      </c>
      <c r="AR8" s="286" t="s">
        <v>10</v>
      </c>
      <c r="AS8" s="286">
        <v>20</v>
      </c>
      <c r="AT8" s="286" t="s">
        <v>307</v>
      </c>
      <c r="AV8" s="234">
        <f t="shared" ref="AV8:AV63" si="21">IF( LEN( AS8 ) = 0, 99, RANK( AS8, $AS$7:$AS$63 ) )</f>
        <v>2</v>
      </c>
      <c r="AW8" s="234">
        <f>COUNTIF( AV$7:AV8, AV8 )</f>
        <v>1</v>
      </c>
      <c r="AX8" s="287">
        <f t="shared" ref="AX8:AX63" si="22">AV8 + AW8 / 10</f>
        <v>2.1</v>
      </c>
      <c r="AY8" s="234">
        <f t="shared" ref="AY8:AY63" si="23">RANK( AX8, $AX$7:$AX$63, 1 )</f>
        <v>2</v>
      </c>
      <c r="AZ8" s="236"/>
      <c r="BA8" s="236"/>
      <c r="BC8" s="234">
        <f ca="1">OFFSET( BC8, -1, 0 ) + 1</f>
        <v>2</v>
      </c>
      <c r="BD8" s="288">
        <f t="shared" ca="1" si="6"/>
        <v>2</v>
      </c>
      <c r="BF8" s="240" t="str">
        <f t="shared" ca="1" si="7"/>
        <v>Alliant Energy Corporation</v>
      </c>
      <c r="BG8" s="240" t="str">
        <f t="shared" ca="1" si="7"/>
        <v>A-</v>
      </c>
      <c r="BH8" s="240">
        <f t="shared" ca="1" si="7"/>
        <v>20</v>
      </c>
      <c r="BI8" s="240" t="str">
        <f t="shared" ca="1" si="7"/>
        <v>LNT</v>
      </c>
    </row>
    <row r="9" spans="1:61" x14ac:dyDescent="0.2">
      <c r="A9" s="303" t="s">
        <v>29</v>
      </c>
      <c r="B9" s="304" t="s">
        <v>10</v>
      </c>
      <c r="C9" s="304">
        <v>20</v>
      </c>
      <c r="D9" s="304" t="s">
        <v>286</v>
      </c>
      <c r="E9" s="305" t="str">
        <f t="shared" ca="1" si="8"/>
        <v>MR</v>
      </c>
      <c r="F9" s="306"/>
      <c r="G9" s="307">
        <f t="shared" ca="1" si="1"/>
        <v>13</v>
      </c>
      <c r="H9" s="250"/>
      <c r="I9" s="318"/>
      <c r="J9" s="295" t="s">
        <v>10</v>
      </c>
      <c r="K9" s="318"/>
      <c r="L9" s="295">
        <f t="shared" si="9"/>
        <v>12</v>
      </c>
      <c r="M9" s="296">
        <f t="shared" si="10"/>
        <v>0.22641509433962265</v>
      </c>
      <c r="N9" s="318"/>
      <c r="O9" s="295">
        <f t="shared" ca="1" si="11"/>
        <v>8</v>
      </c>
      <c r="P9" s="296">
        <f t="shared" ca="1" si="12"/>
        <v>0.21052631578947367</v>
      </c>
      <c r="Q9" s="318"/>
      <c r="R9" s="295">
        <f t="shared" ca="1" si="13"/>
        <v>4</v>
      </c>
      <c r="S9" s="296">
        <f t="shared" ca="1" si="14"/>
        <v>0.30769230769230771</v>
      </c>
      <c r="T9" s="318"/>
      <c r="U9" s="295">
        <f t="shared" ca="1" si="15"/>
        <v>0</v>
      </c>
      <c r="V9" s="296" t="str">
        <f t="shared" ca="1" si="16"/>
        <v/>
      </c>
      <c r="W9" s="318"/>
      <c r="X9" s="256" t="s">
        <v>465</v>
      </c>
      <c r="Y9" s="256">
        <v>20</v>
      </c>
      <c r="Z9" s="256">
        <v>1</v>
      </c>
      <c r="AA9" s="255">
        <f t="shared" ca="1" si="17"/>
        <v>12</v>
      </c>
      <c r="AC9" s="253"/>
      <c r="AE9" s="254"/>
      <c r="AF9" s="236">
        <f t="shared" si="2"/>
        <v>0</v>
      </c>
      <c r="AG9" s="236" t="str">
        <f t="shared" ca="1" si="3"/>
        <v/>
      </c>
      <c r="AH9" s="236" t="str">
        <f t="shared" ca="1" si="18"/>
        <v/>
      </c>
      <c r="AJ9" s="236">
        <f t="shared" ca="1" si="19"/>
        <v>9</v>
      </c>
      <c r="AK9" s="236" t="str">
        <f t="shared" ca="1" si="20"/>
        <v>A-</v>
      </c>
      <c r="AL9" s="236">
        <f t="shared" ca="1" si="20"/>
        <v>20</v>
      </c>
      <c r="AM9" s="236" t="str">
        <f t="shared" ca="1" si="4"/>
        <v/>
      </c>
      <c r="AQ9" s="286" t="s">
        <v>9</v>
      </c>
      <c r="AR9" s="286" t="s">
        <v>16</v>
      </c>
      <c r="AS9" s="286">
        <v>19</v>
      </c>
      <c r="AT9" s="286" t="s">
        <v>274</v>
      </c>
      <c r="AV9" s="234">
        <f t="shared" si="21"/>
        <v>14</v>
      </c>
      <c r="AW9" s="234">
        <f>COUNTIF( AV$7:AV9, AV9 )</f>
        <v>2</v>
      </c>
      <c r="AX9" s="287">
        <f t="shared" si="22"/>
        <v>14.2</v>
      </c>
      <c r="AY9" s="234">
        <f t="shared" si="23"/>
        <v>15</v>
      </c>
      <c r="AZ9" s="236"/>
      <c r="BA9" s="236"/>
      <c r="BC9" s="234">
        <f t="shared" ref="BC9:BC63" ca="1" si="24">OFFSET( BC9, -1, 0 ) + 1</f>
        <v>3</v>
      </c>
      <c r="BD9" s="288">
        <f t="shared" ca="1" si="6"/>
        <v>8</v>
      </c>
      <c r="BF9" s="240" t="str">
        <f t="shared" ca="1" si="7"/>
        <v>CenterPoint Energy, Inc.</v>
      </c>
      <c r="BG9" s="240" t="str">
        <f t="shared" ca="1" si="7"/>
        <v>A-</v>
      </c>
      <c r="BH9" s="240">
        <f t="shared" ca="1" si="7"/>
        <v>20</v>
      </c>
      <c r="BI9" s="240" t="str">
        <f t="shared" ca="1" si="7"/>
        <v>CNP</v>
      </c>
    </row>
    <row r="10" spans="1:61" x14ac:dyDescent="0.2">
      <c r="A10" s="303" t="s">
        <v>3</v>
      </c>
      <c r="B10" s="304" t="s">
        <v>10</v>
      </c>
      <c r="C10" s="304">
        <v>20</v>
      </c>
      <c r="D10" s="304" t="s">
        <v>292</v>
      </c>
      <c r="E10" s="305" t="str">
        <f t="shared" ca="1" si="8"/>
        <v>R</v>
      </c>
      <c r="F10" s="306"/>
      <c r="G10" s="307">
        <f t="shared" ca="1" si="1"/>
        <v>16</v>
      </c>
      <c r="H10" s="250"/>
      <c r="I10" s="318"/>
      <c r="J10" s="295" t="s">
        <v>16</v>
      </c>
      <c r="K10" s="318"/>
      <c r="L10" s="295">
        <f t="shared" si="9"/>
        <v>15</v>
      </c>
      <c r="M10" s="296">
        <f t="shared" si="10"/>
        <v>0.28301886792452829</v>
      </c>
      <c r="N10" s="318"/>
      <c r="O10" s="295">
        <f t="shared" ca="1" si="11"/>
        <v>10</v>
      </c>
      <c r="P10" s="296">
        <f t="shared" ca="1" si="12"/>
        <v>0.26315789473684209</v>
      </c>
      <c r="Q10" s="318"/>
      <c r="R10" s="295">
        <f t="shared" ca="1" si="13"/>
        <v>4</v>
      </c>
      <c r="S10" s="296">
        <f t="shared" ca="1" si="14"/>
        <v>0.30769230769230771</v>
      </c>
      <c r="T10" s="318"/>
      <c r="U10" s="295">
        <f t="shared" ca="1" si="15"/>
        <v>1</v>
      </c>
      <c r="V10" s="296">
        <f t="shared" ca="1" si="16"/>
        <v>0.5</v>
      </c>
      <c r="W10" s="318"/>
      <c r="X10" s="256" t="s">
        <v>466</v>
      </c>
      <c r="Y10" s="256">
        <v>19</v>
      </c>
      <c r="Z10" s="256">
        <v>1</v>
      </c>
      <c r="AA10" s="255">
        <f t="shared" ca="1" si="17"/>
        <v>15</v>
      </c>
      <c r="AE10" s="254"/>
      <c r="AF10" s="236">
        <f t="shared" si="2"/>
        <v>0</v>
      </c>
      <c r="AG10" s="236" t="str">
        <f t="shared" ca="1" si="3"/>
        <v/>
      </c>
      <c r="AH10" s="236" t="str">
        <f t="shared" ca="1" si="18"/>
        <v/>
      </c>
      <c r="AJ10" s="236">
        <f t="shared" ca="1" si="19"/>
        <v>10</v>
      </c>
      <c r="AK10" s="236" t="str">
        <f t="shared" ca="1" si="20"/>
        <v>A-</v>
      </c>
      <c r="AL10" s="236">
        <f t="shared" ca="1" si="20"/>
        <v>20</v>
      </c>
      <c r="AM10" s="236" t="str">
        <f t="shared" ca="1" si="4"/>
        <v/>
      </c>
      <c r="AQ10" s="286" t="s">
        <v>259</v>
      </c>
      <c r="AR10" s="286" t="s">
        <v>28</v>
      </c>
      <c r="AS10" s="286">
        <v>18</v>
      </c>
      <c r="AT10" s="286" t="s">
        <v>275</v>
      </c>
      <c r="AV10" s="234">
        <f t="shared" si="21"/>
        <v>29</v>
      </c>
      <c r="AW10" s="234">
        <f>COUNTIF( AV$7:AV10, AV10 )</f>
        <v>1</v>
      </c>
      <c r="AX10" s="287">
        <f t="shared" si="22"/>
        <v>29.1</v>
      </c>
      <c r="AY10" s="234">
        <f t="shared" si="23"/>
        <v>29</v>
      </c>
      <c r="AZ10" s="236"/>
      <c r="BA10" s="236"/>
      <c r="BC10" s="234">
        <f t="shared" ca="1" si="24"/>
        <v>4</v>
      </c>
      <c r="BD10" s="288">
        <f t="shared" ca="1" si="6"/>
        <v>11</v>
      </c>
      <c r="BF10" s="240" t="str">
        <f t="shared" ca="1" si="7"/>
        <v>Consolidated Edison, Inc.</v>
      </c>
      <c r="BG10" s="240" t="str">
        <f t="shared" ca="1" si="7"/>
        <v>A-</v>
      </c>
      <c r="BH10" s="240">
        <f t="shared" ca="1" si="7"/>
        <v>20</v>
      </c>
      <c r="BI10" s="240" t="str">
        <f t="shared" ca="1" si="7"/>
        <v>ED</v>
      </c>
    </row>
    <row r="11" spans="1:61" x14ac:dyDescent="0.2">
      <c r="A11" s="303" t="s">
        <v>18</v>
      </c>
      <c r="B11" s="304" t="s">
        <v>10</v>
      </c>
      <c r="C11" s="304">
        <v>20</v>
      </c>
      <c r="D11" s="304" t="s">
        <v>86</v>
      </c>
      <c r="E11" s="305" t="str">
        <f t="shared" ca="1" si="8"/>
        <v>MR</v>
      </c>
      <c r="F11" s="306"/>
      <c r="G11" s="307">
        <f t="shared" ca="1" si="1"/>
        <v>17</v>
      </c>
      <c r="H11" s="250"/>
      <c r="I11" s="318"/>
      <c r="J11" s="295" t="s">
        <v>28</v>
      </c>
      <c r="K11" s="318"/>
      <c r="L11" s="295">
        <f t="shared" si="9"/>
        <v>18</v>
      </c>
      <c r="M11" s="296">
        <f t="shared" si="10"/>
        <v>0.33962264150943394</v>
      </c>
      <c r="N11" s="318"/>
      <c r="O11" s="295">
        <f t="shared" ca="1" si="11"/>
        <v>16</v>
      </c>
      <c r="P11" s="296">
        <f t="shared" ca="1" si="12"/>
        <v>0.42105263157894735</v>
      </c>
      <c r="Q11" s="318"/>
      <c r="R11" s="295">
        <f t="shared" ca="1" si="13"/>
        <v>2</v>
      </c>
      <c r="S11" s="296">
        <f t="shared" ca="1" si="14"/>
        <v>0.15384615384615385</v>
      </c>
      <c r="T11" s="318"/>
      <c r="U11" s="295">
        <f t="shared" ca="1" si="15"/>
        <v>0</v>
      </c>
      <c r="V11" s="296" t="str">
        <f t="shared" ca="1" si="16"/>
        <v/>
      </c>
      <c r="W11" s="318"/>
      <c r="X11" s="256" t="s">
        <v>467</v>
      </c>
      <c r="Y11" s="256">
        <v>18</v>
      </c>
      <c r="Z11" s="256">
        <v>1</v>
      </c>
      <c r="AA11" s="255">
        <f t="shared" ca="1" si="17"/>
        <v>18</v>
      </c>
      <c r="AE11" s="254"/>
      <c r="AF11" s="236">
        <f t="shared" si="2"/>
        <v>0</v>
      </c>
      <c r="AG11" s="236" t="str">
        <f t="shared" ca="1" si="3"/>
        <v/>
      </c>
      <c r="AH11" s="236" t="str">
        <f t="shared" ca="1" si="18"/>
        <v/>
      </c>
      <c r="AJ11" s="236">
        <f t="shared" ca="1" si="19"/>
        <v>11</v>
      </c>
      <c r="AK11" s="236" t="str">
        <f t="shared" ca="1" si="20"/>
        <v>A-</v>
      </c>
      <c r="AL11" s="236">
        <f t="shared" ca="1" si="20"/>
        <v>20</v>
      </c>
      <c r="AM11" s="236" t="str">
        <f t="shared" ca="1" si="4"/>
        <v/>
      </c>
      <c r="AQ11" s="286" t="s">
        <v>55</v>
      </c>
      <c r="AR11" s="286" t="s">
        <v>28</v>
      </c>
      <c r="AS11" s="286">
        <v>18</v>
      </c>
      <c r="AT11" s="286" t="s">
        <v>278</v>
      </c>
      <c r="AV11" s="234">
        <f t="shared" si="21"/>
        <v>29</v>
      </c>
      <c r="AW11" s="234">
        <f>COUNTIF( AV$7:AV11, AV11 )</f>
        <v>2</v>
      </c>
      <c r="AX11" s="287">
        <f t="shared" si="22"/>
        <v>29.2</v>
      </c>
      <c r="AY11" s="234">
        <f t="shared" si="23"/>
        <v>30</v>
      </c>
      <c r="AZ11" s="236"/>
      <c r="BA11" s="236"/>
      <c r="BC11" s="234">
        <f t="shared" ca="1" si="24"/>
        <v>5</v>
      </c>
      <c r="BD11" s="288">
        <f t="shared" ca="1" si="6"/>
        <v>12</v>
      </c>
      <c r="BF11" s="240" t="str">
        <f t="shared" ca="1" si="7"/>
        <v>Dominion Resources, Inc.</v>
      </c>
      <c r="BG11" s="240" t="str">
        <f t="shared" ca="1" si="7"/>
        <v>A-</v>
      </c>
      <c r="BH11" s="240">
        <f t="shared" ca="1" si="7"/>
        <v>20</v>
      </c>
      <c r="BI11" s="240" t="str">
        <f t="shared" ca="1" si="7"/>
        <v>D</v>
      </c>
    </row>
    <row r="12" spans="1:61" x14ac:dyDescent="0.2">
      <c r="A12" s="303" t="s">
        <v>254</v>
      </c>
      <c r="B12" s="304" t="s">
        <v>10</v>
      </c>
      <c r="C12" s="304">
        <v>20</v>
      </c>
      <c r="D12" s="304" t="s">
        <v>331</v>
      </c>
      <c r="E12" s="305" t="str">
        <f t="shared" ca="1" si="8"/>
        <v>R</v>
      </c>
      <c r="F12" s="306"/>
      <c r="G12" s="307">
        <f t="shared" ca="1" si="1"/>
        <v>29</v>
      </c>
      <c r="H12" s="250"/>
      <c r="I12" s="318"/>
      <c r="J12" s="295" t="s">
        <v>49</v>
      </c>
      <c r="K12" s="318"/>
      <c r="L12" s="295">
        <f t="shared" si="9"/>
        <v>4</v>
      </c>
      <c r="M12" s="296">
        <f t="shared" si="10"/>
        <v>7.5471698113207544E-2</v>
      </c>
      <c r="N12" s="318"/>
      <c r="O12" s="295">
        <f t="shared" ca="1" si="11"/>
        <v>1</v>
      </c>
      <c r="P12" s="296">
        <f t="shared" ca="1" si="12"/>
        <v>2.6315789473684209E-2</v>
      </c>
      <c r="Q12" s="318"/>
      <c r="R12" s="295">
        <f t="shared" ca="1" si="13"/>
        <v>2</v>
      </c>
      <c r="S12" s="296">
        <f t="shared" ca="1" si="14"/>
        <v>0.15384615384615385</v>
      </c>
      <c r="T12" s="318"/>
      <c r="U12" s="295">
        <f t="shared" ca="1" si="15"/>
        <v>1</v>
      </c>
      <c r="V12" s="296">
        <f t="shared" ca="1" si="16"/>
        <v>0.5</v>
      </c>
      <c r="W12" s="318"/>
      <c r="X12" s="256" t="s">
        <v>468</v>
      </c>
      <c r="Y12" s="256">
        <v>17</v>
      </c>
      <c r="Z12" s="256">
        <v>1</v>
      </c>
      <c r="AA12" s="255">
        <f t="shared" ca="1" si="17"/>
        <v>4</v>
      </c>
      <c r="AE12" s="254"/>
      <c r="AF12" s="236">
        <f t="shared" si="2"/>
        <v>0</v>
      </c>
      <c r="AG12" s="236" t="str">
        <f t="shared" ca="1" si="3"/>
        <v/>
      </c>
      <c r="AH12" s="236" t="str">
        <f t="shared" ca="1" si="18"/>
        <v/>
      </c>
      <c r="AJ12" s="236">
        <f t="shared" ca="1" si="19"/>
        <v>12</v>
      </c>
      <c r="AK12" s="236" t="str">
        <f t="shared" ca="1" si="20"/>
        <v>A-</v>
      </c>
      <c r="AL12" s="236">
        <f t="shared" ca="1" si="20"/>
        <v>20</v>
      </c>
      <c r="AM12" s="236" t="str">
        <f t="shared" ca="1" si="4"/>
        <v/>
      </c>
      <c r="AQ12" s="286" t="s">
        <v>501</v>
      </c>
      <c r="AR12" s="286" t="s">
        <v>16</v>
      </c>
      <c r="AS12" s="286">
        <v>19</v>
      </c>
      <c r="AT12" s="286" t="s">
        <v>447</v>
      </c>
      <c r="AV12" s="234">
        <f t="shared" si="21"/>
        <v>14</v>
      </c>
      <c r="AW12" s="234">
        <f>COUNTIF( AV$7:AV12, AV12 )</f>
        <v>3</v>
      </c>
      <c r="AX12" s="287">
        <f t="shared" si="22"/>
        <v>14.3</v>
      </c>
      <c r="AY12" s="234">
        <f t="shared" si="23"/>
        <v>16</v>
      </c>
      <c r="AZ12" s="236"/>
      <c r="BA12" s="236"/>
      <c r="BC12" s="234">
        <f t="shared" ca="1" si="24"/>
        <v>6</v>
      </c>
      <c r="BD12" s="288">
        <f t="shared" ca="1" si="6"/>
        <v>26</v>
      </c>
      <c r="BF12" s="240" t="str">
        <f t="shared" ca="1" si="7"/>
        <v>Integrys Energy Group, Inc.</v>
      </c>
      <c r="BG12" s="240" t="str">
        <f t="shared" ca="1" si="7"/>
        <v>A-</v>
      </c>
      <c r="BH12" s="240">
        <f t="shared" ca="1" si="7"/>
        <v>20</v>
      </c>
      <c r="BI12" s="240" t="str">
        <f t="shared" ca="1" si="7"/>
        <v>TEG</v>
      </c>
    </row>
    <row r="13" spans="1:61" x14ac:dyDescent="0.2">
      <c r="A13" s="303" t="s">
        <v>370</v>
      </c>
      <c r="B13" s="304" t="s">
        <v>10</v>
      </c>
      <c r="C13" s="304">
        <v>20</v>
      </c>
      <c r="D13" s="304" t="s">
        <v>369</v>
      </c>
      <c r="E13" s="305" t="str">
        <f t="shared" ca="1" si="8"/>
        <v>MR</v>
      </c>
      <c r="F13" s="306"/>
      <c r="G13" s="307">
        <f t="shared" ca="1" si="1"/>
        <v>32</v>
      </c>
      <c r="H13" s="250"/>
      <c r="I13" s="319"/>
      <c r="J13" s="297" t="s">
        <v>79</v>
      </c>
      <c r="K13" s="319"/>
      <c r="L13" s="297">
        <f t="shared" si="9"/>
        <v>2</v>
      </c>
      <c r="M13" s="298">
        <f t="shared" si="10"/>
        <v>3.7735849056603772E-2</v>
      </c>
      <c r="N13" s="319"/>
      <c r="O13" s="297">
        <f t="shared" ca="1" si="11"/>
        <v>2</v>
      </c>
      <c r="P13" s="298">
        <f t="shared" ca="1" si="12"/>
        <v>5.2631578947368418E-2</v>
      </c>
      <c r="Q13" s="319"/>
      <c r="R13" s="297">
        <f t="shared" ca="1" si="13"/>
        <v>0</v>
      </c>
      <c r="S13" s="298" t="str">
        <f t="shared" ca="1" si="14"/>
        <v/>
      </c>
      <c r="T13" s="319"/>
      <c r="U13" s="297">
        <f t="shared" ca="1" si="15"/>
        <v>0</v>
      </c>
      <c r="V13" s="298" t="str">
        <f t="shared" ca="1" si="16"/>
        <v/>
      </c>
      <c r="W13" s="319"/>
      <c r="X13" s="256" t="s">
        <v>469</v>
      </c>
      <c r="Y13" s="256">
        <v>16</v>
      </c>
      <c r="Z13" s="256">
        <v>1</v>
      </c>
      <c r="AA13" s="259">
        <f t="shared" ca="1" si="17"/>
        <v>2</v>
      </c>
      <c r="AE13" s="254"/>
      <c r="AF13" s="236">
        <f t="shared" si="2"/>
        <v>0</v>
      </c>
      <c r="AG13" s="236" t="str">
        <f t="shared" ca="1" si="3"/>
        <v/>
      </c>
      <c r="AH13" s="236" t="str">
        <f t="shared" ca="1" si="18"/>
        <v/>
      </c>
      <c r="AJ13" s="236">
        <f t="shared" ca="1" si="19"/>
        <v>13</v>
      </c>
      <c r="AK13" s="236" t="str">
        <f t="shared" ca="1" si="20"/>
        <v>A-</v>
      </c>
      <c r="AL13" s="236">
        <f t="shared" ca="1" si="20"/>
        <v>20</v>
      </c>
      <c r="AM13" s="236" t="str">
        <f t="shared" ca="1" si="4"/>
        <v/>
      </c>
      <c r="AQ13" s="286" t="s">
        <v>48</v>
      </c>
      <c r="AR13" s="286" t="s">
        <v>28</v>
      </c>
      <c r="AS13" s="286">
        <v>18</v>
      </c>
      <c r="AT13" s="286" t="s">
        <v>280</v>
      </c>
      <c r="AV13" s="234">
        <f t="shared" si="21"/>
        <v>29</v>
      </c>
      <c r="AW13" s="234">
        <f>COUNTIF( AV$7:AV13, AV13 )</f>
        <v>3</v>
      </c>
      <c r="AX13" s="287">
        <f t="shared" si="22"/>
        <v>29.3</v>
      </c>
      <c r="AY13" s="234">
        <f t="shared" si="23"/>
        <v>31</v>
      </c>
      <c r="AZ13" s="236"/>
      <c r="BA13" s="236"/>
      <c r="BC13" s="234">
        <f t="shared" ca="1" si="24"/>
        <v>7</v>
      </c>
      <c r="BD13" s="288">
        <f t="shared" ca="1" si="6"/>
        <v>29</v>
      </c>
      <c r="BF13" s="240" t="str">
        <f t="shared" ca="1" si="7"/>
        <v>NextEra Energy, Inc.</v>
      </c>
      <c r="BG13" s="240" t="str">
        <f t="shared" ca="1" si="7"/>
        <v>A-</v>
      </c>
      <c r="BH13" s="240">
        <f t="shared" ca="1" si="7"/>
        <v>20</v>
      </c>
      <c r="BI13" s="240" t="str">
        <f t="shared" ca="1" si="7"/>
        <v>NEE</v>
      </c>
    </row>
    <row r="14" spans="1:61" x14ac:dyDescent="0.2">
      <c r="A14" s="303" t="s">
        <v>513</v>
      </c>
      <c r="B14" s="304" t="s">
        <v>10</v>
      </c>
      <c r="C14" s="304">
        <v>20</v>
      </c>
      <c r="D14" s="304" t="s">
        <v>512</v>
      </c>
      <c r="E14" s="305" t="str">
        <f t="shared" ca="1" si="8"/>
        <v>R</v>
      </c>
      <c r="F14" s="306"/>
      <c r="G14" s="307">
        <f t="shared" ca="1" si="1"/>
        <v>34</v>
      </c>
      <c r="H14" s="250"/>
      <c r="I14" s="320"/>
      <c r="J14" s="291" t="s">
        <v>80</v>
      </c>
      <c r="K14" s="320"/>
      <c r="L14" s="291">
        <f>SUM(L8:L13)</f>
        <v>53</v>
      </c>
      <c r="M14" s="292">
        <f>L14/L$14</f>
        <v>1</v>
      </c>
      <c r="N14" s="320"/>
      <c r="O14" s="291">
        <f ca="1">SUM(O8:O13)</f>
        <v>38</v>
      </c>
      <c r="P14" s="292">
        <f ca="1">O14/O$14</f>
        <v>1</v>
      </c>
      <c r="Q14" s="320"/>
      <c r="R14" s="291">
        <f ca="1">SUM(R8:R13)</f>
        <v>13</v>
      </c>
      <c r="S14" s="292">
        <f ca="1">R14/R$14</f>
        <v>1</v>
      </c>
      <c r="T14" s="320"/>
      <c r="U14" s="291">
        <f ca="1">SUM(U8:U13)</f>
        <v>2</v>
      </c>
      <c r="V14" s="292">
        <f ca="1">U14/U$14</f>
        <v>1</v>
      </c>
      <c r="W14" s="320"/>
      <c r="Y14" s="261">
        <f>SUMPRODUCT( L8:L13, Y8:Y13 ) / L14</f>
        <v>18.69811320754717</v>
      </c>
      <c r="Z14" s="261"/>
      <c r="AA14" s="433">
        <f ca="1">SUM(AA8:AA13)</f>
        <v>53</v>
      </c>
      <c r="AE14" s="254"/>
      <c r="AF14" s="236">
        <f t="shared" si="2"/>
        <v>0</v>
      </c>
      <c r="AG14" s="236" t="str">
        <f t="shared" ca="1" si="3"/>
        <v/>
      </c>
      <c r="AH14" s="236" t="str">
        <f t="shared" ca="1" si="18"/>
        <v/>
      </c>
      <c r="AJ14" s="236">
        <f t="shared" ca="1" si="19"/>
        <v>14</v>
      </c>
      <c r="AK14" s="236" t="str">
        <f t="shared" ca="1" si="20"/>
        <v>A-</v>
      </c>
      <c r="AL14" s="236">
        <f t="shared" ca="1" si="20"/>
        <v>20</v>
      </c>
      <c r="AM14" s="236" t="str">
        <f t="shared" ca="1" si="4"/>
        <v/>
      </c>
      <c r="AQ14" s="286" t="s">
        <v>29</v>
      </c>
      <c r="AR14" s="286" t="s">
        <v>10</v>
      </c>
      <c r="AS14" s="286">
        <v>20</v>
      </c>
      <c r="AT14" s="286" t="s">
        <v>286</v>
      </c>
      <c r="AV14" s="234">
        <f>IF( LEN( AS14 ) = 0, 99, RANK( AS14, $AS$7:$AS$63 ) )</f>
        <v>2</v>
      </c>
      <c r="AW14" s="234">
        <f>COUNTIF( AV$7:AV14, AV14 )</f>
        <v>2</v>
      </c>
      <c r="AX14" s="287">
        <f t="shared" si="22"/>
        <v>2.2000000000000002</v>
      </c>
      <c r="AY14" s="234">
        <f t="shared" si="23"/>
        <v>3</v>
      </c>
      <c r="AZ14" s="236"/>
      <c r="BA14" s="236"/>
      <c r="BC14" s="234">
        <f t="shared" ca="1" si="24"/>
        <v>8</v>
      </c>
      <c r="BD14" s="288">
        <f t="shared" ca="1" si="6"/>
        <v>31</v>
      </c>
      <c r="BF14" s="240" t="str">
        <f t="shared" ca="1" si="7"/>
        <v>Eversource</v>
      </c>
      <c r="BG14" s="240" t="str">
        <f t="shared" ca="1" si="7"/>
        <v>A-</v>
      </c>
      <c r="BH14" s="240">
        <f t="shared" ca="1" si="7"/>
        <v>20</v>
      </c>
      <c r="BI14" s="240" t="str">
        <f t="shared" ca="1" si="7"/>
        <v>ES</v>
      </c>
    </row>
    <row r="15" spans="1:61" x14ac:dyDescent="0.2">
      <c r="A15" s="303" t="s">
        <v>21</v>
      </c>
      <c r="B15" s="304" t="s">
        <v>10</v>
      </c>
      <c r="C15" s="304">
        <v>20</v>
      </c>
      <c r="D15" s="304" t="s">
        <v>316</v>
      </c>
      <c r="E15" s="305" t="str">
        <f t="shared" ca="1" si="8"/>
        <v>R</v>
      </c>
      <c r="F15" s="306"/>
      <c r="G15" s="307">
        <f t="shared" ca="1" si="1"/>
        <v>36</v>
      </c>
      <c r="H15" s="250"/>
      <c r="I15" s="321"/>
      <c r="K15" s="321"/>
      <c r="N15" s="321"/>
      <c r="Q15" s="321"/>
      <c r="T15" s="321"/>
      <c r="W15" s="321"/>
      <c r="X15" s="240"/>
      <c r="AA15" s="240"/>
      <c r="AE15" s="254"/>
      <c r="AF15" s="236">
        <f t="shared" si="2"/>
        <v>0</v>
      </c>
      <c r="AG15" s="236" t="str">
        <f t="shared" ca="1" si="3"/>
        <v/>
      </c>
      <c r="AH15" s="236" t="str">
        <f t="shared" ca="1" si="18"/>
        <v/>
      </c>
      <c r="AJ15" s="236">
        <f t="shared" ca="1" si="19"/>
        <v>15</v>
      </c>
      <c r="AK15" s="236" t="str">
        <f t="shared" ca="1" si="20"/>
        <v>A-</v>
      </c>
      <c r="AL15" s="236">
        <f t="shared" ca="1" si="20"/>
        <v>20</v>
      </c>
      <c r="AM15" s="236" t="str">
        <f t="shared" ca="1" si="4"/>
        <v/>
      </c>
      <c r="AQ15" s="286" t="s">
        <v>30</v>
      </c>
      <c r="AR15" s="286" t="s">
        <v>16</v>
      </c>
      <c r="AS15" s="286">
        <v>19</v>
      </c>
      <c r="AT15" s="286" t="s">
        <v>285</v>
      </c>
      <c r="AV15" s="234">
        <f t="shared" si="21"/>
        <v>14</v>
      </c>
      <c r="AW15" s="234">
        <f>COUNTIF( AV$7:AV15, AV15 )</f>
        <v>4</v>
      </c>
      <c r="AX15" s="287">
        <f t="shared" si="22"/>
        <v>14.4</v>
      </c>
      <c r="AY15" s="234">
        <f t="shared" si="23"/>
        <v>17</v>
      </c>
      <c r="AZ15" s="236"/>
      <c r="BA15" s="236"/>
      <c r="BC15" s="234">
        <f t="shared" ca="1" si="24"/>
        <v>9</v>
      </c>
      <c r="BD15" s="288">
        <f t="shared" ca="1" si="6"/>
        <v>33</v>
      </c>
      <c r="BF15" s="240" t="str">
        <f t="shared" ca="1" si="7"/>
        <v>OGE Energy Corp.</v>
      </c>
      <c r="BG15" s="240" t="str">
        <f t="shared" ca="1" si="7"/>
        <v>A-</v>
      </c>
      <c r="BH15" s="240">
        <f t="shared" ca="1" si="7"/>
        <v>20</v>
      </c>
      <c r="BI15" s="240" t="str">
        <f t="shared" ca="1" si="7"/>
        <v>OGE</v>
      </c>
    </row>
    <row r="16" spans="1:61" x14ac:dyDescent="0.2">
      <c r="A16" s="303" t="s">
        <v>41</v>
      </c>
      <c r="B16" s="304" t="s">
        <v>10</v>
      </c>
      <c r="C16" s="304">
        <v>20</v>
      </c>
      <c r="D16" s="304" t="s">
        <v>322</v>
      </c>
      <c r="E16" s="305" t="str">
        <f t="shared" ca="1" si="8"/>
        <v>R</v>
      </c>
      <c r="F16" s="306"/>
      <c r="G16" s="307">
        <f t="shared" ca="1" si="1"/>
        <v>40</v>
      </c>
      <c r="H16" s="250"/>
      <c r="I16" s="316"/>
      <c r="J16" s="290" t="s">
        <v>450</v>
      </c>
      <c r="K16" s="316"/>
      <c r="L16" s="463">
        <f t="array" ref="L16">SUM( IF( LEN( $C$7:$C$65 ) = 0, 0, $C$7:$C$65 ) ) / SUM( IF( LEN( $C$7:$C$65 ) = 0, 0, 1  ) )</f>
        <v>18.716981132075471</v>
      </c>
      <c r="M16" s="464"/>
      <c r="N16" s="316"/>
      <c r="O16" s="463">
        <f t="array" aca="1" ref="O16" ca="1">SUM( IF( LEN( $C$7:$C$65 ) = 0, 0, IF( $E$7:$E$65 = O3, $C$7:$C$65, 0 ) ) ) / SUM( IF( LEN( $C$7:$C$65 ) = 0, 0, IF( $E$7:$E$65 = O3, 1, 0 ) ) )</f>
        <v>18.605263157894736</v>
      </c>
      <c r="P16" s="464"/>
      <c r="Q16" s="316"/>
      <c r="R16" s="463">
        <f t="array" aca="1" ref="R16" ca="1">SUM( IF( LEN( $C$7:$C$65 ) = 0, 0, IF( $E$7:$E$65 = R3, $C$7:$C$65, 0 ) ) ) / SUM( IF( LEN( $C$7:$C$65 ) = 0, 0, IF( $E$7:$E$65 = R3, 1, 0 ) ) )</f>
        <v>19.153846153846153</v>
      </c>
      <c r="S16" s="464"/>
      <c r="T16" s="316"/>
      <c r="U16" s="463">
        <f t="array" aca="1" ref="U16" ca="1">SUM( IF( LEN( $C$7:$C$65 ) = 0, 0, IF( $E$7:$E$65 = U3, $C$7:$C$65, 0 ) ) ) / SUM( IF( LEN( $C$7:$C$65 ) = 0, 0, IF( $E$7:$E$65 = U3, 1, 0 ) ) )</f>
        <v>18</v>
      </c>
      <c r="V16" s="465"/>
      <c r="W16" s="316"/>
      <c r="AE16" s="254"/>
      <c r="AF16" s="236">
        <f t="shared" si="2"/>
        <v>0</v>
      </c>
      <c r="AG16" s="236" t="str">
        <f t="shared" ca="1" si="3"/>
        <v/>
      </c>
      <c r="AH16" s="236" t="str">
        <f t="shared" ca="1" si="18"/>
        <v/>
      </c>
      <c r="AJ16" s="236">
        <f t="shared" ca="1" si="19"/>
        <v>16</v>
      </c>
      <c r="AK16" s="236" t="str">
        <f t="shared" ca="1" si="20"/>
        <v>A-</v>
      </c>
      <c r="AL16" s="236">
        <f t="shared" ca="1" si="20"/>
        <v>20</v>
      </c>
      <c r="AM16" s="236" t="str">
        <f t="shared" ca="1" si="4"/>
        <v/>
      </c>
      <c r="AQ16" s="286" t="s">
        <v>60</v>
      </c>
      <c r="AR16" s="286" t="s">
        <v>28</v>
      </c>
      <c r="AS16" s="286">
        <v>18</v>
      </c>
      <c r="AT16" s="286" t="s">
        <v>284</v>
      </c>
      <c r="AV16" s="234">
        <f t="shared" si="21"/>
        <v>29</v>
      </c>
      <c r="AW16" s="234">
        <f>COUNTIF( AV$7:AV16, AV16 )</f>
        <v>4</v>
      </c>
      <c r="AX16" s="287">
        <f t="shared" si="22"/>
        <v>29.4</v>
      </c>
      <c r="AY16" s="234">
        <f t="shared" si="23"/>
        <v>32</v>
      </c>
      <c r="AZ16" s="236"/>
      <c r="BA16" s="236"/>
      <c r="BC16" s="234">
        <f t="shared" ca="1" si="24"/>
        <v>10</v>
      </c>
      <c r="BD16" s="288">
        <f t="shared" ca="1" si="6"/>
        <v>37</v>
      </c>
      <c r="BF16" s="240" t="str">
        <f t="shared" ca="1" si="7"/>
        <v>Pinnacle West Capital Corporation</v>
      </c>
      <c r="BG16" s="240" t="str">
        <f t="shared" ca="1" si="7"/>
        <v>A-</v>
      </c>
      <c r="BH16" s="240">
        <f t="shared" ca="1" si="7"/>
        <v>20</v>
      </c>
      <c r="BI16" s="240" t="str">
        <f t="shared" ca="1" si="7"/>
        <v>PNW</v>
      </c>
    </row>
    <row r="17" spans="1:61" x14ac:dyDescent="0.2">
      <c r="A17" s="303" t="s">
        <v>14</v>
      </c>
      <c r="B17" s="304" t="s">
        <v>10</v>
      </c>
      <c r="C17" s="304">
        <v>20</v>
      </c>
      <c r="D17" s="304" t="s">
        <v>335</v>
      </c>
      <c r="E17" s="305" t="str">
        <f t="shared" ca="1" si="8"/>
        <v>MR</v>
      </c>
      <c r="F17" s="306"/>
      <c r="G17" s="307">
        <f t="shared" ca="1" si="1"/>
        <v>52</v>
      </c>
      <c r="H17" s="250"/>
      <c r="I17" s="321"/>
      <c r="K17" s="321"/>
      <c r="N17" s="321"/>
      <c r="O17" s="240"/>
      <c r="Q17" s="321"/>
      <c r="T17" s="321"/>
      <c r="W17" s="321"/>
      <c r="AE17" s="245"/>
      <c r="AF17" s="236">
        <f t="shared" si="2"/>
        <v>0</v>
      </c>
      <c r="AG17" s="236" t="str">
        <f t="shared" ca="1" si="3"/>
        <v/>
      </c>
      <c r="AH17" s="236" t="str">
        <f t="shared" ca="1" si="18"/>
        <v/>
      </c>
      <c r="AJ17" s="236">
        <f t="shared" ca="1" si="19"/>
        <v>17</v>
      </c>
      <c r="AK17" s="236" t="str">
        <f t="shared" ca="1" si="20"/>
        <v>A-</v>
      </c>
      <c r="AL17" s="236">
        <f t="shared" ca="1" si="20"/>
        <v>20</v>
      </c>
      <c r="AM17" s="236" t="str">
        <f t="shared" ca="1" si="4"/>
        <v/>
      </c>
      <c r="AQ17" s="286" t="s">
        <v>3</v>
      </c>
      <c r="AR17" s="286" t="s">
        <v>10</v>
      </c>
      <c r="AS17" s="286">
        <v>20</v>
      </c>
      <c r="AT17" s="286" t="s">
        <v>292</v>
      </c>
      <c r="AV17" s="234">
        <f t="shared" si="21"/>
        <v>2</v>
      </c>
      <c r="AW17" s="234">
        <f>COUNTIF( AV$7:AV17, AV17 )</f>
        <v>3</v>
      </c>
      <c r="AX17" s="287">
        <f t="shared" si="22"/>
        <v>2.2999999999999998</v>
      </c>
      <c r="AY17" s="234">
        <f t="shared" si="23"/>
        <v>4</v>
      </c>
      <c r="AZ17" s="236"/>
      <c r="BA17" s="236"/>
      <c r="BC17" s="234">
        <f t="shared" ca="1" si="24"/>
        <v>11</v>
      </c>
      <c r="BD17" s="288">
        <f t="shared" ca="1" si="6"/>
        <v>48</v>
      </c>
      <c r="BF17" s="240" t="str">
        <f t="shared" ca="1" si="7"/>
        <v>Vectren Corporation</v>
      </c>
      <c r="BG17" s="240" t="str">
        <f t="shared" ca="1" si="7"/>
        <v>A-</v>
      </c>
      <c r="BH17" s="240">
        <f t="shared" ca="1" si="7"/>
        <v>20</v>
      </c>
      <c r="BI17" s="240" t="str">
        <f t="shared" ca="1" si="7"/>
        <v>VVC</v>
      </c>
    </row>
    <row r="18" spans="1:61" x14ac:dyDescent="0.2">
      <c r="A18" s="303" t="s">
        <v>26</v>
      </c>
      <c r="B18" s="304" t="s">
        <v>10</v>
      </c>
      <c r="C18" s="304">
        <v>20</v>
      </c>
      <c r="D18" s="304" t="s">
        <v>336</v>
      </c>
      <c r="E18" s="305" t="str">
        <f t="shared" ca="1" si="8"/>
        <v>R</v>
      </c>
      <c r="F18" s="306"/>
      <c r="G18" s="307">
        <f t="shared" ca="1" si="1"/>
        <v>54</v>
      </c>
      <c r="H18" s="250"/>
      <c r="I18" s="321"/>
      <c r="K18" s="321"/>
      <c r="N18" s="321"/>
      <c r="O18" s="240"/>
      <c r="Q18" s="321"/>
      <c r="T18" s="321"/>
      <c r="W18" s="321"/>
      <c r="AE18" s="254"/>
      <c r="AF18" s="236">
        <f t="shared" si="2"/>
        <v>0</v>
      </c>
      <c r="AG18" s="236" t="str">
        <f t="shared" ca="1" si="3"/>
        <v/>
      </c>
      <c r="AH18" s="236" t="str">
        <f t="shared" ca="1" si="18"/>
        <v/>
      </c>
      <c r="AJ18" s="236">
        <f t="shared" ca="1" si="19"/>
        <v>18</v>
      </c>
      <c r="AK18" s="236" t="str">
        <f t="shared" ca="1" si="20"/>
        <v>A-</v>
      </c>
      <c r="AL18" s="236">
        <f t="shared" ca="1" si="20"/>
        <v>20</v>
      </c>
      <c r="AM18" s="236" t="str">
        <f t="shared" ca="1" si="4"/>
        <v/>
      </c>
      <c r="AQ18" s="286" t="s">
        <v>18</v>
      </c>
      <c r="AR18" s="286" t="s">
        <v>10</v>
      </c>
      <c r="AS18" s="286">
        <v>20</v>
      </c>
      <c r="AT18" s="289" t="s">
        <v>86</v>
      </c>
      <c r="AV18" s="234">
        <f t="shared" si="21"/>
        <v>2</v>
      </c>
      <c r="AW18" s="234">
        <f>COUNTIF( AV$7:AV18, AV18 )</f>
        <v>4</v>
      </c>
      <c r="AX18" s="287">
        <f t="shared" si="22"/>
        <v>2.4</v>
      </c>
      <c r="AY18" s="234">
        <f t="shared" si="23"/>
        <v>5</v>
      </c>
      <c r="AZ18" s="236"/>
      <c r="BA18" s="236"/>
      <c r="BC18" s="234">
        <f t="shared" ca="1" si="24"/>
        <v>12</v>
      </c>
      <c r="BD18" s="288">
        <f t="shared" ca="1" si="6"/>
        <v>50</v>
      </c>
      <c r="BF18" s="240" t="str">
        <f t="shared" ca="1" si="7"/>
        <v>Wisconsin Energy Corporation</v>
      </c>
      <c r="BG18" s="240" t="str">
        <f t="shared" ca="1" si="7"/>
        <v>A-</v>
      </c>
      <c r="BH18" s="240">
        <f t="shared" ca="1" si="7"/>
        <v>20</v>
      </c>
      <c r="BI18" s="240" t="str">
        <f t="shared" ca="1" si="7"/>
        <v>WEC</v>
      </c>
    </row>
    <row r="19" spans="1:61" x14ac:dyDescent="0.2">
      <c r="A19" s="303" t="s">
        <v>258</v>
      </c>
      <c r="B19" s="304" t="s">
        <v>10</v>
      </c>
      <c r="C19" s="304">
        <v>20</v>
      </c>
      <c r="D19" s="304" t="s">
        <v>338</v>
      </c>
      <c r="E19" s="305" t="str">
        <f t="shared" ca="1" si="8"/>
        <v>R</v>
      </c>
      <c r="F19" s="306"/>
      <c r="G19" s="307">
        <f t="shared" ca="1" si="1"/>
        <v>55</v>
      </c>
      <c r="H19" s="250"/>
      <c r="I19" s="321"/>
      <c r="K19" s="321"/>
      <c r="N19" s="321"/>
      <c r="O19" s="240"/>
      <c r="Q19" s="321"/>
      <c r="T19" s="321"/>
      <c r="W19" s="321"/>
      <c r="AE19" s="254"/>
      <c r="AF19" s="236">
        <f t="shared" si="2"/>
        <v>0</v>
      </c>
      <c r="AG19" s="236" t="str">
        <f t="shared" ca="1" si="3"/>
        <v/>
      </c>
      <c r="AH19" s="236" t="str">
        <f t="shared" ca="1" si="18"/>
        <v/>
      </c>
      <c r="AJ19" s="236">
        <f t="shared" ca="1" si="19"/>
        <v>19</v>
      </c>
      <c r="AK19" s="236" t="str">
        <f t="shared" ca="1" si="20"/>
        <v>A-</v>
      </c>
      <c r="AL19" s="236">
        <f t="shared" ca="1" si="20"/>
        <v>20</v>
      </c>
      <c r="AM19" s="236" t="str">
        <f t="shared" ca="1" si="4"/>
        <v/>
      </c>
      <c r="AQ19" s="286" t="s">
        <v>64</v>
      </c>
      <c r="AR19" s="286" t="s">
        <v>61</v>
      </c>
      <c r="AS19" s="286">
        <v>15</v>
      </c>
      <c r="AT19" s="286" t="s">
        <v>443</v>
      </c>
      <c r="AV19" s="234">
        <f t="shared" si="21"/>
        <v>51</v>
      </c>
      <c r="AW19" s="234">
        <f>COUNTIF( AV$7:AV19, AV19 )</f>
        <v>1</v>
      </c>
      <c r="AX19" s="287">
        <f t="shared" si="22"/>
        <v>51.1</v>
      </c>
      <c r="AY19" s="234">
        <f t="shared" si="23"/>
        <v>51</v>
      </c>
      <c r="AZ19" s="236"/>
      <c r="BA19" s="236"/>
      <c r="BC19" s="234">
        <f t="shared" ca="1" si="24"/>
        <v>13</v>
      </c>
      <c r="BD19" s="288">
        <f t="shared" ca="1" si="6"/>
        <v>51</v>
      </c>
      <c r="BF19" s="240" t="str">
        <f t="shared" ca="1" si="7"/>
        <v>Xcel Energy Inc.</v>
      </c>
      <c r="BG19" s="240" t="str">
        <f t="shared" ca="1" si="7"/>
        <v>A-</v>
      </c>
      <c r="BH19" s="240">
        <f t="shared" ca="1" si="7"/>
        <v>20</v>
      </c>
      <c r="BI19" s="240" t="str">
        <f t="shared" ca="1" si="7"/>
        <v>XEL</v>
      </c>
    </row>
    <row r="20" spans="1:61" x14ac:dyDescent="0.2">
      <c r="A20" s="303" t="s">
        <v>15</v>
      </c>
      <c r="B20" s="304" t="s">
        <v>16</v>
      </c>
      <c r="C20" s="304">
        <v>19</v>
      </c>
      <c r="D20" s="304" t="s">
        <v>277</v>
      </c>
      <c r="E20" s="305" t="str">
        <f t="shared" ca="1" si="8"/>
        <v>R</v>
      </c>
      <c r="F20" s="306"/>
      <c r="G20" s="307">
        <f t="shared" ca="1" si="1"/>
        <v>7</v>
      </c>
      <c r="H20" s="250"/>
      <c r="I20" s="322"/>
      <c r="K20" s="322"/>
      <c r="N20" s="322"/>
      <c r="O20" s="240"/>
      <c r="Q20" s="322"/>
      <c r="T20" s="322"/>
      <c r="W20" s="322"/>
      <c r="AE20" s="254"/>
      <c r="AF20" s="236">
        <f t="shared" si="2"/>
        <v>1</v>
      </c>
      <c r="AG20" s="236" t="str">
        <f t="shared" ca="1" si="3"/>
        <v/>
      </c>
      <c r="AH20" s="236" t="str">
        <f t="shared" ca="1" si="18"/>
        <v/>
      </c>
      <c r="AJ20" s="236">
        <f t="shared" ca="1" si="19"/>
        <v>20</v>
      </c>
      <c r="AK20" s="236" t="str">
        <f t="shared" ca="1" si="20"/>
        <v>BBB+</v>
      </c>
      <c r="AL20" s="236">
        <f t="shared" ca="1" si="20"/>
        <v>19</v>
      </c>
      <c r="AM20" s="236" t="str">
        <f t="shared" ca="1" si="4"/>
        <v/>
      </c>
      <c r="AQ20" s="286" t="s">
        <v>31</v>
      </c>
      <c r="AR20" s="286" t="s">
        <v>16</v>
      </c>
      <c r="AS20" s="286">
        <v>19</v>
      </c>
      <c r="AT20" s="286" t="s">
        <v>289</v>
      </c>
      <c r="AV20" s="234">
        <f t="shared" si="21"/>
        <v>14</v>
      </c>
      <c r="AW20" s="234">
        <f>COUNTIF( AV$7:AV20, AV20 )</f>
        <v>5</v>
      </c>
      <c r="AX20" s="287">
        <f t="shared" si="22"/>
        <v>14.5</v>
      </c>
      <c r="AY20" s="234">
        <f t="shared" si="23"/>
        <v>18</v>
      </c>
      <c r="AZ20" s="236"/>
      <c r="BA20" s="236"/>
      <c r="BC20" s="234">
        <f t="shared" ca="1" si="24"/>
        <v>14</v>
      </c>
      <c r="BD20" s="288">
        <f t="shared" ca="1" si="6"/>
        <v>1</v>
      </c>
      <c r="BF20" s="240" t="str">
        <f t="shared" ca="1" si="7"/>
        <v>ALLETE, Inc.</v>
      </c>
      <c r="BG20" s="240" t="str">
        <f t="shared" ca="1" si="7"/>
        <v>BBB+</v>
      </c>
      <c r="BH20" s="240">
        <f t="shared" ca="1" si="7"/>
        <v>19</v>
      </c>
      <c r="BI20" s="240" t="str">
        <f t="shared" ca="1" si="7"/>
        <v>ALE</v>
      </c>
    </row>
    <row r="21" spans="1:61" x14ac:dyDescent="0.2">
      <c r="A21" s="303" t="s">
        <v>9</v>
      </c>
      <c r="B21" s="304" t="s">
        <v>16</v>
      </c>
      <c r="C21" s="304">
        <v>19</v>
      </c>
      <c r="D21" s="304" t="s">
        <v>274</v>
      </c>
      <c r="E21" s="305" t="str">
        <f t="shared" ca="1" si="8"/>
        <v>R</v>
      </c>
      <c r="F21" s="306"/>
      <c r="G21" s="307">
        <f t="shared" ca="1" si="1"/>
        <v>9</v>
      </c>
      <c r="H21" s="250"/>
      <c r="I21" s="321"/>
      <c r="K21" s="321"/>
      <c r="N21" s="321"/>
      <c r="Q21" s="321"/>
      <c r="T21" s="321"/>
      <c r="W21" s="321"/>
      <c r="AE21" s="254"/>
      <c r="AF21" s="236">
        <f t="shared" si="2"/>
        <v>1</v>
      </c>
      <c r="AG21" s="236" t="str">
        <f t="shared" ca="1" si="3"/>
        <v/>
      </c>
      <c r="AH21" s="236" t="str">
        <f t="shared" ca="1" si="18"/>
        <v/>
      </c>
      <c r="AJ21" s="236">
        <f t="shared" ca="1" si="19"/>
        <v>21</v>
      </c>
      <c r="AK21" s="236" t="str">
        <f t="shared" ca="1" si="20"/>
        <v>BBB+</v>
      </c>
      <c r="AL21" s="236">
        <f t="shared" ca="1" si="20"/>
        <v>19</v>
      </c>
      <c r="AM21" s="236" t="str">
        <f t="shared" ca="1" si="4"/>
        <v/>
      </c>
      <c r="AQ21" s="286" t="s">
        <v>32</v>
      </c>
      <c r="AR21" s="286" t="s">
        <v>16</v>
      </c>
      <c r="AS21" s="286">
        <v>19</v>
      </c>
      <c r="AT21" s="286" t="s">
        <v>290</v>
      </c>
      <c r="AV21" s="234">
        <f t="shared" si="21"/>
        <v>14</v>
      </c>
      <c r="AW21" s="234">
        <f>COUNTIF( AV$7:AV21, AV21 )</f>
        <v>6</v>
      </c>
      <c r="AX21" s="287">
        <f t="shared" si="22"/>
        <v>14.6</v>
      </c>
      <c r="AY21" s="234">
        <f t="shared" si="23"/>
        <v>19</v>
      </c>
      <c r="AZ21" s="236"/>
      <c r="BA21" s="236"/>
      <c r="BC21" s="234">
        <f t="shared" ca="1" si="24"/>
        <v>15</v>
      </c>
      <c r="BD21" s="288">
        <f t="shared" ca="1" si="6"/>
        <v>3</v>
      </c>
      <c r="BF21" s="240" t="str">
        <f t="shared" ca="1" si="7"/>
        <v>Ameren Corporation</v>
      </c>
      <c r="BG21" s="240" t="str">
        <f t="shared" ca="1" si="7"/>
        <v>BBB+</v>
      </c>
      <c r="BH21" s="240">
        <f t="shared" ca="1" si="7"/>
        <v>19</v>
      </c>
      <c r="BI21" s="240" t="str">
        <f t="shared" ca="1" si="7"/>
        <v>AEE</v>
      </c>
    </row>
    <row r="22" spans="1:61" x14ac:dyDescent="0.2">
      <c r="A22" s="303" t="s">
        <v>501</v>
      </c>
      <c r="B22" s="304" t="s">
        <v>16</v>
      </c>
      <c r="C22" s="304">
        <v>19</v>
      </c>
      <c r="D22" s="304" t="s">
        <v>447</v>
      </c>
      <c r="E22" s="305" t="str">
        <f t="shared" ca="1" si="8"/>
        <v>MR</v>
      </c>
      <c r="F22" s="306"/>
      <c r="G22" s="307">
        <f t="shared" ca="1" si="1"/>
        <v>61</v>
      </c>
      <c r="H22" s="250"/>
      <c r="I22" s="321"/>
      <c r="K22" s="321"/>
      <c r="N22" s="321"/>
      <c r="Q22" s="321"/>
      <c r="T22" s="321"/>
      <c r="W22" s="321"/>
      <c r="AE22" s="254"/>
      <c r="AF22" s="236">
        <f t="shared" si="2"/>
        <v>1</v>
      </c>
      <c r="AG22" s="236" t="str">
        <f t="shared" ca="1" si="3"/>
        <v/>
      </c>
      <c r="AH22" s="236" t="str">
        <f t="shared" ca="1" si="18"/>
        <v/>
      </c>
      <c r="AJ22" s="236">
        <f t="shared" ca="1" si="19"/>
        <v>26</v>
      </c>
      <c r="AK22" s="236" t="str">
        <f t="shared" ca="1" si="20"/>
        <v>BBB+</v>
      </c>
      <c r="AL22" s="236">
        <f t="shared" ca="1" si="20"/>
        <v>19</v>
      </c>
      <c r="AM22" s="236" t="str">
        <f t="shared" ca="1" si="4"/>
        <v/>
      </c>
      <c r="AQ22" s="286" t="s">
        <v>57</v>
      </c>
      <c r="AR22" s="286" t="s">
        <v>16</v>
      </c>
      <c r="AS22" s="286">
        <v>19</v>
      </c>
      <c r="AT22" s="286" t="s">
        <v>296</v>
      </c>
      <c r="AV22" s="234">
        <f t="shared" si="21"/>
        <v>14</v>
      </c>
      <c r="AW22" s="234">
        <f>COUNTIF( AV$7:AV22, AV22 )</f>
        <v>7</v>
      </c>
      <c r="AX22" s="287">
        <f t="shared" si="22"/>
        <v>14.7</v>
      </c>
      <c r="AY22" s="234">
        <f t="shared" si="23"/>
        <v>20</v>
      </c>
      <c r="AZ22" s="236"/>
      <c r="BA22" s="236"/>
      <c r="BC22" s="234">
        <f t="shared" ca="1" si="24"/>
        <v>16</v>
      </c>
      <c r="BD22" s="288">
        <f t="shared" ca="1" si="6"/>
        <v>6</v>
      </c>
      <c r="BF22" s="240" t="str">
        <f t="shared" ca="1" si="7"/>
        <v>Berkshire Energy Holdings Company</v>
      </c>
      <c r="BG22" s="240" t="str">
        <f t="shared" ca="1" si="7"/>
        <v>BBB+</v>
      </c>
      <c r="BH22" s="240">
        <f t="shared" ca="1" si="7"/>
        <v>19</v>
      </c>
      <c r="BI22" s="240" t="str">
        <f t="shared" ca="1" si="7"/>
        <v>**BRK</v>
      </c>
    </row>
    <row r="23" spans="1:61" x14ac:dyDescent="0.2">
      <c r="A23" s="303" t="s">
        <v>30</v>
      </c>
      <c r="B23" s="304" t="s">
        <v>16</v>
      </c>
      <c r="C23" s="304">
        <v>19</v>
      </c>
      <c r="D23" s="304" t="s">
        <v>285</v>
      </c>
      <c r="E23" s="305" t="str">
        <f t="shared" ca="1" si="8"/>
        <v>R</v>
      </c>
      <c r="F23" s="306"/>
      <c r="G23" s="307">
        <f t="shared" ca="1" si="1"/>
        <v>14</v>
      </c>
      <c r="H23" s="250"/>
      <c r="I23" s="321"/>
      <c r="K23" s="321"/>
      <c r="N23" s="321"/>
      <c r="Q23" s="321"/>
      <c r="T23" s="321"/>
      <c r="W23" s="321"/>
      <c r="AE23" s="254"/>
      <c r="AF23" s="236">
        <f t="shared" si="2"/>
        <v>1</v>
      </c>
      <c r="AG23" s="236" t="str">
        <f t="shared" ca="1" si="3"/>
        <v/>
      </c>
      <c r="AH23" s="236" t="str">
        <f t="shared" ca="1" si="18"/>
        <v/>
      </c>
      <c r="AJ23" s="236">
        <f t="shared" ca="1" si="19"/>
        <v>22</v>
      </c>
      <c r="AK23" s="236" t="str">
        <f t="shared" ca="1" si="20"/>
        <v>BBB+</v>
      </c>
      <c r="AL23" s="236">
        <f t="shared" ca="1" si="20"/>
        <v>19</v>
      </c>
      <c r="AM23" s="236" t="str">
        <f t="shared" ca="1" si="4"/>
        <v/>
      </c>
      <c r="AQ23" s="286" t="s">
        <v>34</v>
      </c>
      <c r="AR23" s="286" t="s">
        <v>28</v>
      </c>
      <c r="AS23" s="286">
        <v>18</v>
      </c>
      <c r="AT23" s="286" t="s">
        <v>294</v>
      </c>
      <c r="AV23" s="234">
        <f t="shared" si="21"/>
        <v>29</v>
      </c>
      <c r="AW23" s="234">
        <f>COUNTIF( AV$7:AV23, AV23 )</f>
        <v>5</v>
      </c>
      <c r="AX23" s="287">
        <f t="shared" si="22"/>
        <v>29.5</v>
      </c>
      <c r="AY23" s="234">
        <f t="shared" si="23"/>
        <v>33</v>
      </c>
      <c r="AZ23" s="236"/>
      <c r="BA23" s="236"/>
      <c r="BC23" s="234">
        <f t="shared" ca="1" si="24"/>
        <v>17</v>
      </c>
      <c r="BD23" s="288">
        <f t="shared" ca="1" si="6"/>
        <v>9</v>
      </c>
      <c r="BF23" s="240" t="str">
        <f t="shared" ca="1" si="7"/>
        <v>Cleco Corporation</v>
      </c>
      <c r="BG23" s="240" t="str">
        <f t="shared" ca="1" si="7"/>
        <v>BBB+</v>
      </c>
      <c r="BH23" s="240">
        <f t="shared" ca="1" si="7"/>
        <v>19</v>
      </c>
      <c r="BI23" s="240" t="str">
        <f t="shared" ca="1" si="7"/>
        <v>CNL</v>
      </c>
    </row>
    <row r="24" spans="1:61" x14ac:dyDescent="0.2">
      <c r="A24" s="303" t="s">
        <v>31</v>
      </c>
      <c r="B24" s="304" t="s">
        <v>16</v>
      </c>
      <c r="C24" s="304">
        <v>19</v>
      </c>
      <c r="D24" s="304" t="s">
        <v>289</v>
      </c>
      <c r="E24" s="305" t="str">
        <f t="shared" ca="1" si="8"/>
        <v>R</v>
      </c>
      <c r="F24" s="306"/>
      <c r="G24" s="307">
        <f t="shared" ca="1" si="1"/>
        <v>18</v>
      </c>
      <c r="H24" s="250"/>
      <c r="I24" s="321"/>
      <c r="J24" s="262"/>
      <c r="K24" s="321"/>
      <c r="N24" s="321"/>
      <c r="Q24" s="321"/>
      <c r="T24" s="321"/>
      <c r="W24" s="321"/>
      <c r="AE24" s="254"/>
      <c r="AF24" s="236">
        <f t="shared" si="2"/>
        <v>1</v>
      </c>
      <c r="AG24" s="236" t="str">
        <f t="shared" ca="1" si="3"/>
        <v/>
      </c>
      <c r="AH24" s="236" t="str">
        <f t="shared" ca="1" si="18"/>
        <v/>
      </c>
      <c r="AJ24" s="236">
        <f t="shared" ca="1" si="19"/>
        <v>23</v>
      </c>
      <c r="AK24" s="236" t="str">
        <f t="shared" ca="1" si="20"/>
        <v>BBB+</v>
      </c>
      <c r="AL24" s="236">
        <f t="shared" ca="1" si="20"/>
        <v>19</v>
      </c>
      <c r="AM24" s="236" t="str">
        <f t="shared" ca="1" si="4"/>
        <v/>
      </c>
      <c r="AQ24" s="286" t="s">
        <v>35</v>
      </c>
      <c r="AR24" s="286" t="s">
        <v>28</v>
      </c>
      <c r="AS24" s="286">
        <v>18</v>
      </c>
      <c r="AT24" s="289" t="s">
        <v>293</v>
      </c>
      <c r="AV24" s="234">
        <f t="shared" si="21"/>
        <v>29</v>
      </c>
      <c r="AW24" s="234">
        <f>COUNTIF( AV$7:AV24, AV24 )</f>
        <v>6</v>
      </c>
      <c r="AX24" s="287">
        <f t="shared" si="22"/>
        <v>29.6</v>
      </c>
      <c r="AY24" s="234">
        <f t="shared" si="23"/>
        <v>34</v>
      </c>
      <c r="AZ24" s="236"/>
      <c r="BA24" s="236"/>
      <c r="BC24" s="234">
        <f t="shared" ca="1" si="24"/>
        <v>18</v>
      </c>
      <c r="BD24" s="288">
        <f t="shared" ca="1" si="6"/>
        <v>14</v>
      </c>
      <c r="BF24" s="240" t="str">
        <f t="shared" ca="1" si="7"/>
        <v>DTE Energy Company</v>
      </c>
      <c r="BG24" s="240" t="str">
        <f t="shared" ca="1" si="7"/>
        <v>BBB+</v>
      </c>
      <c r="BH24" s="240">
        <f t="shared" ca="1" si="7"/>
        <v>19</v>
      </c>
      <c r="BI24" s="240" t="str">
        <f t="shared" ca="1" si="7"/>
        <v>DTE</v>
      </c>
    </row>
    <row r="25" spans="1:61" x14ac:dyDescent="0.2">
      <c r="A25" s="303" t="s">
        <v>32</v>
      </c>
      <c r="B25" s="304" t="s">
        <v>16</v>
      </c>
      <c r="C25" s="304">
        <v>19</v>
      </c>
      <c r="D25" s="304" t="s">
        <v>290</v>
      </c>
      <c r="E25" s="305" t="str">
        <f t="shared" ca="1" si="8"/>
        <v>R</v>
      </c>
      <c r="F25" s="306"/>
      <c r="G25" s="307">
        <f t="shared" ca="1" si="1"/>
        <v>19</v>
      </c>
      <c r="H25" s="250"/>
      <c r="I25" s="321"/>
      <c r="J25" s="262"/>
      <c r="K25" s="321"/>
      <c r="N25" s="321"/>
      <c r="Q25" s="321"/>
      <c r="T25" s="321"/>
      <c r="W25" s="321"/>
      <c r="AE25" s="254"/>
      <c r="AF25" s="236">
        <f t="shared" si="2"/>
        <v>1</v>
      </c>
      <c r="AG25" s="236" t="str">
        <f t="shared" ca="1" si="3"/>
        <v/>
      </c>
      <c r="AH25" s="236" t="str">
        <f t="shared" ca="1" si="18"/>
        <v/>
      </c>
      <c r="AJ25" s="236">
        <f t="shared" ca="1" si="19"/>
        <v>24</v>
      </c>
      <c r="AK25" s="236" t="str">
        <f t="shared" ca="1" si="20"/>
        <v>BBB+</v>
      </c>
      <c r="AL25" s="236">
        <f t="shared" ca="1" si="20"/>
        <v>19</v>
      </c>
      <c r="AM25" s="236" t="str">
        <f t="shared" ca="1" si="4"/>
        <v/>
      </c>
      <c r="AQ25" s="286" t="s">
        <v>36</v>
      </c>
      <c r="AR25" s="286" t="s">
        <v>28</v>
      </c>
      <c r="AS25" s="286">
        <v>18</v>
      </c>
      <c r="AT25" s="289" t="s">
        <v>297</v>
      </c>
      <c r="AV25" s="234">
        <f t="shared" si="21"/>
        <v>29</v>
      </c>
      <c r="AW25" s="234">
        <f>COUNTIF( AV$7:AV25, AV25 )</f>
        <v>7</v>
      </c>
      <c r="AX25" s="287">
        <f t="shared" si="22"/>
        <v>29.7</v>
      </c>
      <c r="AY25" s="234">
        <f t="shared" si="23"/>
        <v>35</v>
      </c>
      <c r="AZ25" s="236"/>
      <c r="BA25" s="236"/>
      <c r="BC25" s="234">
        <f t="shared" ca="1" si="24"/>
        <v>19</v>
      </c>
      <c r="BD25" s="288">
        <f t="shared" ca="1" si="6"/>
        <v>15</v>
      </c>
      <c r="BF25" s="240" t="str">
        <f t="shared" ca="1" si="7"/>
        <v>Duke Energy Corporation</v>
      </c>
      <c r="BG25" s="240" t="str">
        <f t="shared" ca="1" si="7"/>
        <v>BBB+</v>
      </c>
      <c r="BH25" s="240">
        <f t="shared" ca="1" si="7"/>
        <v>19</v>
      </c>
      <c r="BI25" s="240" t="str">
        <f t="shared" ca="1" si="7"/>
        <v>DUK</v>
      </c>
    </row>
    <row r="26" spans="1:61" x14ac:dyDescent="0.2">
      <c r="A26" s="303" t="s">
        <v>57</v>
      </c>
      <c r="B26" s="304" t="s">
        <v>16</v>
      </c>
      <c r="C26" s="304">
        <v>19</v>
      </c>
      <c r="D26" s="304" t="s">
        <v>296</v>
      </c>
      <c r="E26" s="305" t="str">
        <f t="shared" ca="1" si="8"/>
        <v>R</v>
      </c>
      <c r="F26" s="306"/>
      <c r="G26" s="307">
        <f t="shared" ca="1" si="1"/>
        <v>20</v>
      </c>
      <c r="H26" s="250"/>
      <c r="I26" s="321"/>
      <c r="J26" s="262"/>
      <c r="K26" s="321"/>
      <c r="N26" s="321"/>
      <c r="Q26" s="321"/>
      <c r="T26" s="321"/>
      <c r="W26" s="321"/>
      <c r="AE26" s="254"/>
      <c r="AF26" s="236">
        <f t="shared" si="2"/>
        <v>1</v>
      </c>
      <c r="AG26" s="236">
        <f t="shared" ca="1" si="3"/>
        <v>1</v>
      </c>
      <c r="AH26" s="236" t="str">
        <f t="shared" ca="1" si="18"/>
        <v/>
      </c>
      <c r="AJ26" s="236">
        <f t="shared" ca="1" si="19"/>
        <v>51</v>
      </c>
      <c r="AK26" s="236" t="str">
        <f t="shared" ca="1" si="20"/>
        <v>BBB-</v>
      </c>
      <c r="AL26" s="236">
        <f t="shared" ca="1" si="20"/>
        <v>17</v>
      </c>
      <c r="AM26" s="236" t="str">
        <f t="shared" ca="1" si="4"/>
        <v>Change</v>
      </c>
      <c r="AQ26" s="286" t="s">
        <v>11</v>
      </c>
      <c r="AR26" s="286" t="s">
        <v>28</v>
      </c>
      <c r="AS26" s="286">
        <v>18</v>
      </c>
      <c r="AT26" s="286" t="s">
        <v>298</v>
      </c>
      <c r="AV26" s="234">
        <f t="shared" si="21"/>
        <v>29</v>
      </c>
      <c r="AW26" s="234">
        <f>COUNTIF( AV$7:AV26, AV26 )</f>
        <v>8</v>
      </c>
      <c r="AX26" s="287">
        <f t="shared" si="22"/>
        <v>29.8</v>
      </c>
      <c r="AY26" s="234">
        <f t="shared" si="23"/>
        <v>36</v>
      </c>
      <c r="AZ26" s="236"/>
      <c r="BA26" s="236"/>
      <c r="BC26" s="234">
        <f t="shared" ca="1" si="24"/>
        <v>20</v>
      </c>
      <c r="BD26" s="288">
        <f t="shared" ca="1" si="6"/>
        <v>16</v>
      </c>
      <c r="BF26" s="240" t="str">
        <f t="shared" ca="1" si="7"/>
        <v>Edison International</v>
      </c>
      <c r="BG26" s="240" t="str">
        <f t="shared" ca="1" si="7"/>
        <v>BBB+</v>
      </c>
      <c r="BH26" s="240">
        <f t="shared" ca="1" si="7"/>
        <v>19</v>
      </c>
      <c r="BI26" s="240" t="str">
        <f t="shared" ca="1" si="7"/>
        <v>EIX</v>
      </c>
    </row>
    <row r="27" spans="1:61" x14ac:dyDescent="0.2">
      <c r="A27" s="303" t="s">
        <v>261</v>
      </c>
      <c r="B27" s="304" t="s">
        <v>16</v>
      </c>
      <c r="C27" s="304">
        <v>19</v>
      </c>
      <c r="D27" s="304" t="s">
        <v>301</v>
      </c>
      <c r="E27" s="305" t="str">
        <f t="shared" ca="1" si="8"/>
        <v>R</v>
      </c>
      <c r="F27" s="306"/>
      <c r="G27" s="307">
        <f t="shared" ca="1" si="1"/>
        <v>26</v>
      </c>
      <c r="H27" s="250"/>
      <c r="I27" s="321"/>
      <c r="J27" s="262"/>
      <c r="K27" s="321"/>
      <c r="N27" s="321"/>
      <c r="Q27" s="321"/>
      <c r="T27" s="321"/>
      <c r="W27" s="321"/>
      <c r="AE27" s="254"/>
      <c r="AF27" s="236">
        <f t="shared" si="2"/>
        <v>1</v>
      </c>
      <c r="AG27" s="236">
        <f t="shared" ca="1" si="3"/>
        <v>1</v>
      </c>
      <c r="AH27" s="236" t="str">
        <f t="shared" ca="1" si="18"/>
        <v/>
      </c>
      <c r="AJ27" s="236">
        <f t="shared" ca="1" si="19"/>
        <v>40</v>
      </c>
      <c r="AK27" s="236" t="str">
        <f t="shared" ca="1" si="20"/>
        <v>BBB</v>
      </c>
      <c r="AL27" s="236">
        <f t="shared" ca="1" si="20"/>
        <v>18</v>
      </c>
      <c r="AM27" s="236" t="str">
        <f t="shared" ca="1" si="4"/>
        <v>Change</v>
      </c>
      <c r="AQ27" s="286" t="s">
        <v>51</v>
      </c>
      <c r="AR27" s="286" t="s">
        <v>49</v>
      </c>
      <c r="AS27" s="286">
        <v>17</v>
      </c>
      <c r="AT27" s="286" t="s">
        <v>299</v>
      </c>
      <c r="AV27" s="234">
        <f t="shared" si="21"/>
        <v>46</v>
      </c>
      <c r="AW27" s="234">
        <f>COUNTIF( AV$7:AV27, AV27 )</f>
        <v>1</v>
      </c>
      <c r="AX27" s="287">
        <f t="shared" si="22"/>
        <v>46.1</v>
      </c>
      <c r="AY27" s="234">
        <f t="shared" si="23"/>
        <v>46</v>
      </c>
      <c r="AZ27" s="236"/>
      <c r="BA27" s="236"/>
      <c r="BC27" s="234">
        <f t="shared" ca="1" si="24"/>
        <v>21</v>
      </c>
      <c r="BD27" s="288">
        <f t="shared" ca="1" si="6"/>
        <v>22</v>
      </c>
      <c r="BF27" s="240" t="str">
        <f t="shared" ca="1" si="7"/>
        <v>Great Plains Energy Inc.</v>
      </c>
      <c r="BG27" s="240" t="str">
        <f t="shared" ca="1" si="7"/>
        <v>BBB+</v>
      </c>
      <c r="BH27" s="240">
        <f t="shared" ca="1" si="7"/>
        <v>19</v>
      </c>
      <c r="BI27" s="240" t="str">
        <f t="shared" ca="1" si="7"/>
        <v>GXP</v>
      </c>
    </row>
    <row r="28" spans="1:61" x14ac:dyDescent="0.2">
      <c r="A28" s="303" t="s">
        <v>12</v>
      </c>
      <c r="B28" s="304" t="s">
        <v>16</v>
      </c>
      <c r="C28" s="304">
        <v>19</v>
      </c>
      <c r="D28" s="304" t="s">
        <v>309</v>
      </c>
      <c r="E28" s="305" t="str">
        <f t="shared" ca="1" si="8"/>
        <v>D</v>
      </c>
      <c r="F28" s="306"/>
      <c r="G28" s="307">
        <f t="shared" ca="1" si="1"/>
        <v>30</v>
      </c>
      <c r="H28" s="250"/>
      <c r="I28" s="321"/>
      <c r="J28" s="262"/>
      <c r="K28" s="321"/>
      <c r="N28" s="321"/>
      <c r="Q28" s="321"/>
      <c r="T28" s="321"/>
      <c r="W28" s="321"/>
      <c r="AE28" s="245"/>
      <c r="AF28" s="236">
        <f t="shared" si="2"/>
        <v>1</v>
      </c>
      <c r="AG28" s="236" t="str">
        <f t="shared" ca="1" si="3"/>
        <v/>
      </c>
      <c r="AH28" s="236" t="str">
        <f t="shared" ca="1" si="18"/>
        <v/>
      </c>
      <c r="AJ28" s="236">
        <f t="shared" ca="1" si="19"/>
        <v>25</v>
      </c>
      <c r="AK28" s="236" t="str">
        <f t="shared" ca="1" si="20"/>
        <v>BBB+</v>
      </c>
      <c r="AL28" s="236">
        <f t="shared" ca="1" si="20"/>
        <v>19</v>
      </c>
      <c r="AM28" s="236" t="str">
        <f t="shared" ca="1" si="4"/>
        <v/>
      </c>
      <c r="AQ28" s="286" t="s">
        <v>261</v>
      </c>
      <c r="AR28" s="286" t="s">
        <v>16</v>
      </c>
      <c r="AS28" s="286">
        <v>19</v>
      </c>
      <c r="AT28" s="286" t="s">
        <v>301</v>
      </c>
      <c r="AV28" s="234">
        <f t="shared" si="21"/>
        <v>14</v>
      </c>
      <c r="AW28" s="234">
        <f>COUNTIF( AV$7:AV28, AV28 )</f>
        <v>8</v>
      </c>
      <c r="AX28" s="287">
        <f t="shared" si="22"/>
        <v>14.8</v>
      </c>
      <c r="AY28" s="234">
        <f t="shared" si="23"/>
        <v>21</v>
      </c>
      <c r="AZ28" s="236"/>
      <c r="BA28" s="236"/>
      <c r="BC28" s="234">
        <f t="shared" ca="1" si="24"/>
        <v>22</v>
      </c>
      <c r="BD28" s="288">
        <f t="shared" ca="1" si="6"/>
        <v>28</v>
      </c>
      <c r="BF28" s="240" t="str">
        <f t="shared" ca="1" si="7"/>
        <v>MDU Resources Group, Inc.</v>
      </c>
      <c r="BG28" s="240" t="str">
        <f t="shared" ca="1" si="7"/>
        <v>BBB+</v>
      </c>
      <c r="BH28" s="240">
        <f t="shared" ca="1" si="7"/>
        <v>19</v>
      </c>
      <c r="BI28" s="240" t="str">
        <f t="shared" ca="1" si="7"/>
        <v>MDU</v>
      </c>
    </row>
    <row r="29" spans="1:61" x14ac:dyDescent="0.2">
      <c r="A29" s="303" t="s">
        <v>23</v>
      </c>
      <c r="B29" s="304" t="s">
        <v>16</v>
      </c>
      <c r="C29" s="304">
        <v>19</v>
      </c>
      <c r="D29" s="304" t="s">
        <v>323</v>
      </c>
      <c r="E29" s="305" t="str">
        <f t="shared" ca="1" si="8"/>
        <v>R</v>
      </c>
      <c r="F29" s="306"/>
      <c r="G29" s="307">
        <f t="shared" ca="1" si="1"/>
        <v>38</v>
      </c>
      <c r="H29" s="250"/>
      <c r="I29" s="321"/>
      <c r="J29" s="262"/>
      <c r="K29" s="321"/>
      <c r="N29" s="321"/>
      <c r="Q29" s="321"/>
      <c r="T29" s="321"/>
      <c r="W29" s="321"/>
      <c r="AF29" s="236">
        <f t="shared" si="2"/>
        <v>1</v>
      </c>
      <c r="AG29" s="236" t="str">
        <f t="shared" ca="1" si="3"/>
        <v/>
      </c>
      <c r="AH29" s="236" t="str">
        <f t="shared" ca="1" si="18"/>
        <v/>
      </c>
      <c r="AJ29" s="236">
        <f t="shared" ca="1" si="19"/>
        <v>27</v>
      </c>
      <c r="AK29" s="236" t="str">
        <f t="shared" ca="1" si="20"/>
        <v>BBB+</v>
      </c>
      <c r="AL29" s="236">
        <f t="shared" ca="1" si="20"/>
        <v>19</v>
      </c>
      <c r="AM29" s="236" t="str">
        <f t="shared" ca="1" si="4"/>
        <v/>
      </c>
      <c r="AQ29" s="286" t="s">
        <v>39</v>
      </c>
      <c r="AR29" s="286" t="s">
        <v>49</v>
      </c>
      <c r="AS29" s="286">
        <v>17</v>
      </c>
      <c r="AT29" s="286" t="s">
        <v>302</v>
      </c>
      <c r="AV29" s="234">
        <f t="shared" si="21"/>
        <v>46</v>
      </c>
      <c r="AW29" s="234">
        <f>COUNTIF( AV$7:AV29, AV29 )</f>
        <v>2</v>
      </c>
      <c r="AX29" s="287">
        <f t="shared" si="22"/>
        <v>46.2</v>
      </c>
      <c r="AY29" s="234">
        <f t="shared" si="23"/>
        <v>47</v>
      </c>
      <c r="AZ29" s="236"/>
      <c r="BA29" s="236"/>
      <c r="BC29" s="234">
        <f t="shared" ca="1" si="24"/>
        <v>23</v>
      </c>
      <c r="BD29" s="288">
        <f t="shared" ca="1" si="6"/>
        <v>35</v>
      </c>
      <c r="BF29" s="240" t="str">
        <f t="shared" ca="1" si="7"/>
        <v>Pepco Holdings, Inc.</v>
      </c>
      <c r="BG29" s="240" t="str">
        <f t="shared" ca="1" si="7"/>
        <v>BBB+</v>
      </c>
      <c r="BH29" s="240">
        <f t="shared" ca="1" si="7"/>
        <v>19</v>
      </c>
      <c r="BI29" s="240" t="str">
        <f t="shared" ca="1" si="7"/>
        <v>POM</v>
      </c>
    </row>
    <row r="30" spans="1:61" x14ac:dyDescent="0.2">
      <c r="A30" s="303" t="s">
        <v>45</v>
      </c>
      <c r="B30" s="304" t="s">
        <v>16</v>
      </c>
      <c r="C30" s="304">
        <v>19</v>
      </c>
      <c r="D30" s="304" t="s">
        <v>319</v>
      </c>
      <c r="E30" s="305" t="str">
        <f t="shared" ca="1" si="8"/>
        <v>MR</v>
      </c>
      <c r="F30" s="306"/>
      <c r="G30" s="307">
        <f t="shared" ca="1" si="1"/>
        <v>44</v>
      </c>
      <c r="H30" s="250"/>
      <c r="I30" s="321"/>
      <c r="J30" s="262"/>
      <c r="K30" s="321"/>
      <c r="N30" s="321"/>
      <c r="Q30" s="321"/>
      <c r="T30" s="321"/>
      <c r="W30" s="321"/>
      <c r="AF30" s="236">
        <f t="shared" si="2"/>
        <v>1</v>
      </c>
      <c r="AG30" s="236" t="str">
        <f t="shared" ca="1" si="3"/>
        <v/>
      </c>
      <c r="AH30" s="236" t="str">
        <f t="shared" ca="1" si="18"/>
        <v/>
      </c>
      <c r="AJ30" s="236">
        <f t="shared" ca="1" si="19"/>
        <v>28</v>
      </c>
      <c r="AK30" s="236" t="str">
        <f t="shared" ca="1" si="20"/>
        <v>BBB+</v>
      </c>
      <c r="AL30" s="236">
        <f t="shared" ca="1" si="20"/>
        <v>19</v>
      </c>
      <c r="AM30" s="236" t="str">
        <f t="shared" ca="1" si="4"/>
        <v/>
      </c>
      <c r="AQ30" s="286" t="s">
        <v>452</v>
      </c>
      <c r="AR30" s="286" t="s">
        <v>28</v>
      </c>
      <c r="AS30" s="286">
        <v>18</v>
      </c>
      <c r="AT30" s="286" t="s">
        <v>444</v>
      </c>
      <c r="AV30" s="234">
        <f t="shared" si="21"/>
        <v>29</v>
      </c>
      <c r="AW30" s="234">
        <f>COUNTIF( AV$7:AV30, AV30 )</f>
        <v>9</v>
      </c>
      <c r="AX30" s="287">
        <f t="shared" si="22"/>
        <v>29.9</v>
      </c>
      <c r="AY30" s="234">
        <f t="shared" si="23"/>
        <v>37</v>
      </c>
      <c r="AZ30" s="236"/>
      <c r="BA30" s="236"/>
      <c r="BC30" s="234">
        <f t="shared" ca="1" si="24"/>
        <v>24</v>
      </c>
      <c r="BD30" s="288">
        <f t="shared" ca="1" si="6"/>
        <v>41</v>
      </c>
      <c r="BF30" s="240" t="str">
        <f t="shared" ca="1" si="7"/>
        <v>Public Service Enterprise Group Incorporated</v>
      </c>
      <c r="BG30" s="240" t="str">
        <f t="shared" ca="1" si="7"/>
        <v>BBB+</v>
      </c>
      <c r="BH30" s="240">
        <f t="shared" ca="1" si="7"/>
        <v>19</v>
      </c>
      <c r="BI30" s="240" t="str">
        <f t="shared" ca="1" si="7"/>
        <v>PEG</v>
      </c>
    </row>
    <row r="31" spans="1:61" x14ac:dyDescent="0.2">
      <c r="A31" s="303" t="s">
        <v>13</v>
      </c>
      <c r="B31" s="304" t="s">
        <v>16</v>
      </c>
      <c r="C31" s="304">
        <v>19</v>
      </c>
      <c r="D31" s="304" t="s">
        <v>327</v>
      </c>
      <c r="E31" s="305" t="str">
        <f t="shared" ca="1" si="8"/>
        <v>MR</v>
      </c>
      <c r="F31" s="306"/>
      <c r="G31" s="307">
        <f t="shared" ca="1" si="1"/>
        <v>45</v>
      </c>
      <c r="H31" s="250"/>
      <c r="I31" s="321"/>
      <c r="J31" s="262"/>
      <c r="K31" s="321"/>
      <c r="N31" s="321"/>
      <c r="O31" s="253"/>
      <c r="Q31" s="321"/>
      <c r="T31" s="321"/>
      <c r="W31" s="321"/>
      <c r="AF31" s="236">
        <f t="shared" si="2"/>
        <v>1</v>
      </c>
      <c r="AG31" s="236" t="str">
        <f t="shared" ca="1" si="3"/>
        <v/>
      </c>
      <c r="AH31" s="236" t="str">
        <f t="shared" ca="1" si="18"/>
        <v/>
      </c>
      <c r="AJ31" s="236">
        <f t="shared" ca="1" si="19"/>
        <v>29</v>
      </c>
      <c r="AK31" s="236" t="str">
        <f t="shared" ca="1" si="20"/>
        <v>BBB+</v>
      </c>
      <c r="AL31" s="236">
        <f t="shared" ca="1" si="20"/>
        <v>19</v>
      </c>
      <c r="AM31" s="236" t="str">
        <f t="shared" ca="1" si="4"/>
        <v/>
      </c>
      <c r="AQ31" s="286" t="s">
        <v>20</v>
      </c>
      <c r="AR31" s="286" t="s">
        <v>28</v>
      </c>
      <c r="AS31" s="286">
        <v>18</v>
      </c>
      <c r="AT31" s="286" t="s">
        <v>303</v>
      </c>
      <c r="AV31" s="234">
        <f t="shared" si="21"/>
        <v>29</v>
      </c>
      <c r="AW31" s="234">
        <f>COUNTIF( AV$7:AV31, AV31 )</f>
        <v>10</v>
      </c>
      <c r="AX31" s="287">
        <f t="shared" si="22"/>
        <v>30</v>
      </c>
      <c r="AY31" s="234">
        <f t="shared" si="23"/>
        <v>38</v>
      </c>
      <c r="AZ31" s="236"/>
      <c r="BA31" s="236"/>
      <c r="BC31" s="234">
        <f t="shared" ca="1" si="24"/>
        <v>25</v>
      </c>
      <c r="BD31" s="288">
        <f t="shared" ca="1" si="6"/>
        <v>43</v>
      </c>
      <c r="BF31" s="240" t="str">
        <f t="shared" ca="1" si="7"/>
        <v>SCANA Corporation</v>
      </c>
      <c r="BG31" s="240" t="str">
        <f t="shared" ca="1" si="7"/>
        <v>BBB+</v>
      </c>
      <c r="BH31" s="240">
        <f t="shared" ca="1" si="7"/>
        <v>19</v>
      </c>
      <c r="BI31" s="240" t="str">
        <f t="shared" ca="1" si="7"/>
        <v>SCG</v>
      </c>
    </row>
    <row r="32" spans="1:61" x14ac:dyDescent="0.2">
      <c r="A32" s="303" t="s">
        <v>25</v>
      </c>
      <c r="B32" s="304" t="s">
        <v>16</v>
      </c>
      <c r="C32" s="304">
        <v>19</v>
      </c>
      <c r="D32" s="304" t="s">
        <v>329</v>
      </c>
      <c r="E32" s="305" t="str">
        <f t="shared" ca="1" si="8"/>
        <v>MR</v>
      </c>
      <c r="F32" s="306"/>
      <c r="G32" s="307">
        <f t="shared" ca="1" si="1"/>
        <v>46</v>
      </c>
      <c r="H32" s="250"/>
      <c r="I32" s="321"/>
      <c r="J32" s="262"/>
      <c r="K32" s="321"/>
      <c r="N32" s="321"/>
      <c r="Q32" s="321"/>
      <c r="T32" s="321"/>
      <c r="W32" s="321"/>
      <c r="AF32" s="236">
        <f t="shared" si="2"/>
        <v>1</v>
      </c>
      <c r="AG32" s="236" t="str">
        <f t="shared" ca="1" si="3"/>
        <v/>
      </c>
      <c r="AH32" s="236" t="str">
        <f t="shared" ca="1" si="18"/>
        <v/>
      </c>
      <c r="AJ32" s="236">
        <f t="shared" ca="1" si="19"/>
        <v>30</v>
      </c>
      <c r="AK32" s="236" t="str">
        <f t="shared" ca="1" si="20"/>
        <v>BBB+</v>
      </c>
      <c r="AL32" s="236">
        <f t="shared" ca="1" si="20"/>
        <v>19</v>
      </c>
      <c r="AM32" s="236" t="str">
        <f t="shared" ca="1" si="4"/>
        <v/>
      </c>
      <c r="AQ32" s="286" t="s">
        <v>254</v>
      </c>
      <c r="AR32" s="286" t="s">
        <v>10</v>
      </c>
      <c r="AS32" s="286">
        <v>20</v>
      </c>
      <c r="AT32" s="286" t="s">
        <v>331</v>
      </c>
      <c r="AV32" s="234">
        <f t="shared" si="21"/>
        <v>2</v>
      </c>
      <c r="AW32" s="234">
        <f>COUNTIF( AV$7:AV32, AV32 )</f>
        <v>5</v>
      </c>
      <c r="AX32" s="287">
        <f t="shared" si="22"/>
        <v>2.5</v>
      </c>
      <c r="AY32" s="234">
        <f t="shared" si="23"/>
        <v>6</v>
      </c>
      <c r="AZ32" s="236"/>
      <c r="BA32" s="236"/>
      <c r="BC32" s="234">
        <f t="shared" ca="1" si="24"/>
        <v>26</v>
      </c>
      <c r="BD32" s="288">
        <f t="shared" ca="1" si="6"/>
        <v>44</v>
      </c>
      <c r="BF32" s="240" t="str">
        <f t="shared" ca="1" si="7"/>
        <v>Sempra Energy</v>
      </c>
      <c r="BG32" s="240" t="str">
        <f t="shared" ca="1" si="7"/>
        <v>BBB+</v>
      </c>
      <c r="BH32" s="240">
        <f t="shared" ca="1" si="7"/>
        <v>19</v>
      </c>
      <c r="BI32" s="240" t="str">
        <f t="shared" ca="1" si="7"/>
        <v>SRE</v>
      </c>
    </row>
    <row r="33" spans="1:61" x14ac:dyDescent="0.2">
      <c r="A33" s="303" t="s">
        <v>62</v>
      </c>
      <c r="B33" s="304" t="s">
        <v>16</v>
      </c>
      <c r="C33" s="304">
        <v>19</v>
      </c>
      <c r="D33" s="304" t="s">
        <v>330</v>
      </c>
      <c r="E33" s="305" t="str">
        <f t="shared" ca="1" si="8"/>
        <v>R</v>
      </c>
      <c r="F33" s="306"/>
      <c r="G33" s="307">
        <f t="shared" ca="1" si="1"/>
        <v>48</v>
      </c>
      <c r="H33" s="250"/>
      <c r="I33" s="321"/>
      <c r="J33" s="262"/>
      <c r="K33" s="321"/>
      <c r="N33" s="321"/>
      <c r="Q33" s="321"/>
      <c r="T33" s="321"/>
      <c r="W33" s="321"/>
      <c r="AF33" s="236">
        <f t="shared" si="2"/>
        <v>1</v>
      </c>
      <c r="AG33" s="236" t="str">
        <f t="shared" ca="1" si="3"/>
        <v/>
      </c>
      <c r="AH33" s="236" t="str">
        <f t="shared" ca="1" si="18"/>
        <v/>
      </c>
      <c r="AJ33" s="236">
        <f t="shared" ca="1" si="19"/>
        <v>31</v>
      </c>
      <c r="AK33" s="236" t="str">
        <f t="shared" ca="1" si="20"/>
        <v>BBB+</v>
      </c>
      <c r="AL33" s="236">
        <f t="shared" ca="1" si="20"/>
        <v>19</v>
      </c>
      <c r="AM33" s="236" t="str">
        <f t="shared" ca="1" si="4"/>
        <v/>
      </c>
      <c r="AQ33" s="286" t="s">
        <v>58</v>
      </c>
      <c r="AR33" s="286" t="s">
        <v>56</v>
      </c>
      <c r="AS33" s="286">
        <v>16</v>
      </c>
      <c r="AT33" s="286" t="s">
        <v>446</v>
      </c>
      <c r="AV33" s="234">
        <f t="shared" si="21"/>
        <v>50</v>
      </c>
      <c r="AW33" s="234">
        <f>COUNTIF( AV$7:AV33, AV33 )</f>
        <v>1</v>
      </c>
      <c r="AX33" s="287">
        <f t="shared" si="22"/>
        <v>50.1</v>
      </c>
      <c r="AY33" s="234">
        <f t="shared" si="23"/>
        <v>50</v>
      </c>
      <c r="AZ33" s="236"/>
      <c r="BA33" s="236"/>
      <c r="BC33" s="234">
        <f t="shared" ca="1" si="24"/>
        <v>27</v>
      </c>
      <c r="BD33" s="288">
        <f t="shared" ca="1" si="6"/>
        <v>46</v>
      </c>
      <c r="BF33" s="240" t="str">
        <f t="shared" ca="1" si="7"/>
        <v>TECO Energy, Inc.</v>
      </c>
      <c r="BG33" s="240" t="str">
        <f t="shared" ca="1" si="7"/>
        <v>BBB+</v>
      </c>
      <c r="BH33" s="240">
        <f t="shared" ca="1" si="7"/>
        <v>19</v>
      </c>
      <c r="BI33" s="240" t="str">
        <f t="shared" ca="1" si="7"/>
        <v>TE</v>
      </c>
    </row>
    <row r="34" spans="1:61" x14ac:dyDescent="0.2">
      <c r="A34" s="303" t="s">
        <v>59</v>
      </c>
      <c r="B34" s="304" t="s">
        <v>16</v>
      </c>
      <c r="C34" s="304">
        <v>19</v>
      </c>
      <c r="D34" s="304" t="s">
        <v>337</v>
      </c>
      <c r="E34" s="305" t="str">
        <f t="shared" ca="1" si="8"/>
        <v>R</v>
      </c>
      <c r="F34" s="306"/>
      <c r="G34" s="307">
        <f t="shared" ca="1" si="1"/>
        <v>53</v>
      </c>
      <c r="H34" s="250"/>
      <c r="I34" s="321"/>
      <c r="J34" s="262"/>
      <c r="K34" s="321"/>
      <c r="L34" s="235"/>
      <c r="M34" s="235"/>
      <c r="N34" s="321"/>
      <c r="Q34" s="321"/>
      <c r="T34" s="321"/>
      <c r="W34" s="321"/>
      <c r="AF34" s="236">
        <f t="shared" si="2"/>
        <v>1</v>
      </c>
      <c r="AG34" s="236">
        <f t="shared" ca="1" si="3"/>
        <v>1</v>
      </c>
      <c r="AH34" s="236" t="str">
        <f t="shared" ca="1" si="18"/>
        <v/>
      </c>
      <c r="AJ34" s="236">
        <f t="shared" ca="1" si="19"/>
        <v>50</v>
      </c>
      <c r="AK34" s="236" t="str">
        <f t="shared" ca="1" si="20"/>
        <v>BBB</v>
      </c>
      <c r="AL34" s="236">
        <f t="shared" ca="1" si="20"/>
        <v>18</v>
      </c>
      <c r="AM34" s="236" t="str">
        <f t="shared" ca="1" si="4"/>
        <v>Change</v>
      </c>
      <c r="AQ34" s="286" t="s">
        <v>12</v>
      </c>
      <c r="AR34" s="286" t="s">
        <v>16</v>
      </c>
      <c r="AS34" s="286">
        <v>19</v>
      </c>
      <c r="AT34" s="286" t="s">
        <v>309</v>
      </c>
      <c r="AV34" s="234">
        <f t="shared" si="21"/>
        <v>14</v>
      </c>
      <c r="AW34" s="234">
        <f>COUNTIF( AV$7:AV34, AV34 )</f>
        <v>9</v>
      </c>
      <c r="AX34" s="287">
        <f t="shared" si="22"/>
        <v>14.9</v>
      </c>
      <c r="AY34" s="234">
        <f t="shared" si="23"/>
        <v>22</v>
      </c>
      <c r="AZ34" s="236"/>
      <c r="BA34" s="236"/>
      <c r="BC34" s="234">
        <f t="shared" ca="1" si="24"/>
        <v>28</v>
      </c>
      <c r="BD34" s="288">
        <f t="shared" ca="1" si="6"/>
        <v>49</v>
      </c>
      <c r="BF34" s="240" t="str">
        <f t="shared" ca="1" si="7"/>
        <v>Westar Energy, Inc.</v>
      </c>
      <c r="BG34" s="240" t="str">
        <f t="shared" ca="1" si="7"/>
        <v>BBB+</v>
      </c>
      <c r="BH34" s="240">
        <f t="shared" ca="1" si="7"/>
        <v>19</v>
      </c>
      <c r="BI34" s="240" t="str">
        <f t="shared" ca="1" si="7"/>
        <v>WR</v>
      </c>
    </row>
    <row r="35" spans="1:61" x14ac:dyDescent="0.2">
      <c r="A35" s="303" t="s">
        <v>259</v>
      </c>
      <c r="B35" s="304" t="s">
        <v>28</v>
      </c>
      <c r="C35" s="304">
        <v>18</v>
      </c>
      <c r="D35" s="304" t="s">
        <v>275</v>
      </c>
      <c r="E35" s="305" t="str">
        <f t="shared" ca="1" si="8"/>
        <v>R</v>
      </c>
      <c r="F35" s="306"/>
      <c r="G35" s="307">
        <f t="shared" ca="1" si="1"/>
        <v>10</v>
      </c>
      <c r="H35" s="250"/>
      <c r="I35" s="321"/>
      <c r="K35" s="321"/>
      <c r="L35" s="235"/>
      <c r="M35" s="235"/>
      <c r="N35" s="321"/>
      <c r="Q35" s="321"/>
      <c r="T35" s="321"/>
      <c r="W35" s="321"/>
      <c r="AF35" s="236">
        <f t="shared" si="2"/>
        <v>0</v>
      </c>
      <c r="AG35" s="236" t="str">
        <f t="shared" ca="1" si="3"/>
        <v/>
      </c>
      <c r="AH35" s="236" t="str">
        <f t="shared" ca="1" si="18"/>
        <v/>
      </c>
      <c r="AJ35" s="236">
        <f t="shared" ca="1" si="19"/>
        <v>32</v>
      </c>
      <c r="AK35" s="236" t="str">
        <f t="shared" ca="1" si="20"/>
        <v>BBB</v>
      </c>
      <c r="AL35" s="236">
        <f t="shared" ca="1" si="20"/>
        <v>18</v>
      </c>
      <c r="AM35" s="236" t="str">
        <f t="shared" ca="1" si="4"/>
        <v/>
      </c>
      <c r="AQ35" s="286" t="s">
        <v>370</v>
      </c>
      <c r="AR35" s="286" t="s">
        <v>10</v>
      </c>
      <c r="AS35" s="286">
        <v>20</v>
      </c>
      <c r="AT35" s="286" t="s">
        <v>369</v>
      </c>
      <c r="AV35" s="234">
        <f t="shared" si="21"/>
        <v>2</v>
      </c>
      <c r="AW35" s="234">
        <f>COUNTIF( AV$7:AV35, AV35 )</f>
        <v>6</v>
      </c>
      <c r="AX35" s="287">
        <f t="shared" si="22"/>
        <v>2.6</v>
      </c>
      <c r="AY35" s="234">
        <f t="shared" si="23"/>
        <v>7</v>
      </c>
      <c r="AZ35" s="236"/>
      <c r="BA35" s="236"/>
      <c r="BC35" s="234">
        <f t="shared" ca="1" si="24"/>
        <v>29</v>
      </c>
      <c r="BD35" s="288">
        <f t="shared" ca="1" si="6"/>
        <v>4</v>
      </c>
      <c r="BF35" s="240" t="str">
        <f t="shared" ca="1" si="7"/>
        <v>American Electric Power Company, Inc.</v>
      </c>
      <c r="BG35" s="240" t="str">
        <f t="shared" ca="1" si="7"/>
        <v>BBB</v>
      </c>
      <c r="BH35" s="240">
        <f t="shared" ca="1" si="7"/>
        <v>18</v>
      </c>
      <c r="BI35" s="240" t="str">
        <f t="shared" ca="1" si="7"/>
        <v>AEP</v>
      </c>
    </row>
    <row r="36" spans="1:61" x14ac:dyDescent="0.2">
      <c r="A36" s="303" t="s">
        <v>55</v>
      </c>
      <c r="B36" s="304" t="s">
        <v>28</v>
      </c>
      <c r="C36" s="304">
        <v>18</v>
      </c>
      <c r="D36" s="304" t="s">
        <v>278</v>
      </c>
      <c r="E36" s="305" t="str">
        <f t="shared" ca="1" si="8"/>
        <v>R</v>
      </c>
      <c r="F36" s="306"/>
      <c r="G36" s="307">
        <f t="shared" ca="1" si="1"/>
        <v>11</v>
      </c>
      <c r="H36" s="250"/>
      <c r="I36" s="321"/>
      <c r="J36" s="262"/>
      <c r="K36" s="321"/>
      <c r="L36" s="263"/>
      <c r="M36" s="263"/>
      <c r="N36" s="321"/>
      <c r="Q36" s="321"/>
      <c r="T36" s="321"/>
      <c r="W36" s="321"/>
      <c r="AF36" s="236">
        <f t="shared" si="2"/>
        <v>0</v>
      </c>
      <c r="AG36" s="236" t="str">
        <f t="shared" ca="1" si="3"/>
        <v/>
      </c>
      <c r="AH36" s="236" t="str">
        <f t="shared" ca="1" si="18"/>
        <v/>
      </c>
      <c r="AJ36" s="236">
        <f t="shared" ca="1" si="19"/>
        <v>33</v>
      </c>
      <c r="AK36" s="236" t="str">
        <f t="shared" ca="1" si="20"/>
        <v>BBB</v>
      </c>
      <c r="AL36" s="236">
        <f t="shared" ca="1" si="20"/>
        <v>18</v>
      </c>
      <c r="AM36" s="236" t="str">
        <f t="shared" ca="1" si="4"/>
        <v/>
      </c>
      <c r="AQ36" s="286" t="s">
        <v>40</v>
      </c>
      <c r="AR36" s="286" t="s">
        <v>49</v>
      </c>
      <c r="AS36" s="286">
        <v>17</v>
      </c>
      <c r="AT36" s="286" t="s">
        <v>311</v>
      </c>
      <c r="AV36" s="234">
        <f t="shared" si="21"/>
        <v>46</v>
      </c>
      <c r="AW36" s="234">
        <f>COUNTIF( AV$7:AV36, AV36 )</f>
        <v>3</v>
      </c>
      <c r="AX36" s="287">
        <f t="shared" si="22"/>
        <v>46.3</v>
      </c>
      <c r="AY36" s="234">
        <f t="shared" si="23"/>
        <v>48</v>
      </c>
      <c r="AZ36" s="236"/>
      <c r="BA36" s="236"/>
      <c r="BC36" s="234">
        <f t="shared" ca="1" si="24"/>
        <v>30</v>
      </c>
      <c r="BD36" s="288">
        <f t="shared" ca="1" si="6"/>
        <v>5</v>
      </c>
      <c r="BF36" s="240" t="str">
        <f t="shared" ca="1" si="7"/>
        <v>Avista Corporation</v>
      </c>
      <c r="BG36" s="240" t="str">
        <f t="shared" ca="1" si="7"/>
        <v>BBB</v>
      </c>
      <c r="BH36" s="240">
        <f t="shared" ca="1" si="7"/>
        <v>18</v>
      </c>
      <c r="BI36" s="240" t="str">
        <f t="shared" ca="1" si="7"/>
        <v>AVA</v>
      </c>
    </row>
    <row r="37" spans="1:61" x14ac:dyDescent="0.2">
      <c r="A37" s="303" t="s">
        <v>48</v>
      </c>
      <c r="B37" s="304" t="s">
        <v>28</v>
      </c>
      <c r="C37" s="304">
        <v>18</v>
      </c>
      <c r="D37" s="304" t="s">
        <v>280</v>
      </c>
      <c r="E37" s="305" t="str">
        <f t="shared" ca="1" si="8"/>
        <v>R</v>
      </c>
      <c r="F37" s="306"/>
      <c r="G37" s="307">
        <f t="shared" ca="1" si="1"/>
        <v>12</v>
      </c>
      <c r="H37" s="250"/>
      <c r="I37" s="321"/>
      <c r="K37" s="321"/>
      <c r="L37" s="264"/>
      <c r="M37" s="235"/>
      <c r="N37" s="321"/>
      <c r="Q37" s="321"/>
      <c r="T37" s="321"/>
      <c r="W37" s="321"/>
      <c r="AF37" s="236">
        <f t="shared" si="2"/>
        <v>0</v>
      </c>
      <c r="AG37" s="236" t="str">
        <f t="shared" ca="1" si="3"/>
        <v/>
      </c>
      <c r="AH37" s="236" t="str">
        <f t="shared" ca="1" si="18"/>
        <v/>
      </c>
      <c r="AJ37" s="236">
        <f t="shared" ca="1" si="19"/>
        <v>34</v>
      </c>
      <c r="AK37" s="236" t="str">
        <f t="shared" ca="1" si="20"/>
        <v>BBB</v>
      </c>
      <c r="AL37" s="236">
        <f t="shared" ca="1" si="20"/>
        <v>18</v>
      </c>
      <c r="AM37" s="236" t="str">
        <f t="shared" ca="1" si="4"/>
        <v/>
      </c>
      <c r="AQ37" s="286" t="s">
        <v>513</v>
      </c>
      <c r="AR37" s="286" t="s">
        <v>10</v>
      </c>
      <c r="AS37" s="286">
        <v>20</v>
      </c>
      <c r="AT37" s="286" t="s">
        <v>512</v>
      </c>
      <c r="AV37" s="234">
        <f t="shared" si="21"/>
        <v>2</v>
      </c>
      <c r="AW37" s="234">
        <f>COUNTIF( AV$7:AV37, AV37 )</f>
        <v>7</v>
      </c>
      <c r="AX37" s="287">
        <f t="shared" si="22"/>
        <v>2.7</v>
      </c>
      <c r="AY37" s="234">
        <f t="shared" si="23"/>
        <v>8</v>
      </c>
      <c r="AZ37" s="236"/>
      <c r="BA37" s="236"/>
      <c r="BC37" s="234">
        <f t="shared" ca="1" si="24"/>
        <v>31</v>
      </c>
      <c r="BD37" s="288">
        <f t="shared" ca="1" si="6"/>
        <v>7</v>
      </c>
      <c r="BF37" s="240" t="str">
        <f t="shared" ca="1" si="7"/>
        <v>Black Hills Corporation</v>
      </c>
      <c r="BG37" s="240" t="str">
        <f t="shared" ca="1" si="7"/>
        <v>BBB</v>
      </c>
      <c r="BH37" s="240">
        <f t="shared" ca="1" si="7"/>
        <v>18</v>
      </c>
      <c r="BI37" s="240" t="str">
        <f t="shared" ca="1" si="7"/>
        <v>BKH</v>
      </c>
    </row>
    <row r="38" spans="1:61" x14ac:dyDescent="0.2">
      <c r="A38" s="303" t="s">
        <v>60</v>
      </c>
      <c r="B38" s="304" t="s">
        <v>28</v>
      </c>
      <c r="C38" s="304">
        <v>18</v>
      </c>
      <c r="D38" s="304" t="s">
        <v>284</v>
      </c>
      <c r="E38" s="305" t="str">
        <f t="shared" ca="1" si="8"/>
        <v>R</v>
      </c>
      <c r="F38" s="306"/>
      <c r="G38" s="307">
        <f t="shared" ca="1" si="1"/>
        <v>15</v>
      </c>
      <c r="H38" s="250"/>
      <c r="I38" s="321"/>
      <c r="J38" s="262"/>
      <c r="K38" s="321"/>
      <c r="L38" s="264"/>
      <c r="M38" s="235"/>
      <c r="N38" s="321"/>
      <c r="Q38" s="321"/>
      <c r="T38" s="321"/>
      <c r="W38" s="321"/>
      <c r="AF38" s="236">
        <f t="shared" si="2"/>
        <v>0</v>
      </c>
      <c r="AG38" s="236" t="str">
        <f t="shared" ca="1" si="3"/>
        <v/>
      </c>
      <c r="AH38" s="236" t="str">
        <f t="shared" ca="1" si="18"/>
        <v/>
      </c>
      <c r="AJ38" s="236">
        <f t="shared" ca="1" si="19"/>
        <v>35</v>
      </c>
      <c r="AK38" s="236" t="str">
        <f t="shared" ca="1" si="20"/>
        <v>BBB</v>
      </c>
      <c r="AL38" s="236">
        <f t="shared" ca="1" si="20"/>
        <v>18</v>
      </c>
      <c r="AM38" s="236" t="str">
        <f t="shared" ca="1" si="4"/>
        <v/>
      </c>
      <c r="AQ38" s="286" t="s">
        <v>66</v>
      </c>
      <c r="AR38" s="286" t="s">
        <v>28</v>
      </c>
      <c r="AS38" s="286">
        <v>18</v>
      </c>
      <c r="AT38" s="286" t="s">
        <v>315</v>
      </c>
      <c r="AV38" s="234">
        <f t="shared" si="21"/>
        <v>29</v>
      </c>
      <c r="AW38" s="234">
        <f>COUNTIF( AV$7:AV38, AV38 )</f>
        <v>11</v>
      </c>
      <c r="AX38" s="287">
        <f t="shared" si="22"/>
        <v>30.1</v>
      </c>
      <c r="AY38" s="234">
        <f t="shared" si="23"/>
        <v>39</v>
      </c>
      <c r="AZ38" s="236"/>
      <c r="BA38" s="236"/>
      <c r="BC38" s="234">
        <f t="shared" ca="1" si="24"/>
        <v>32</v>
      </c>
      <c r="BD38" s="288">
        <f t="shared" ca="1" si="6"/>
        <v>10</v>
      </c>
      <c r="BF38" s="240" t="str">
        <f t="shared" ca="1" si="7"/>
        <v>CMS Energy Corporation</v>
      </c>
      <c r="BG38" s="240" t="str">
        <f t="shared" ca="1" si="7"/>
        <v>BBB</v>
      </c>
      <c r="BH38" s="240">
        <f t="shared" ca="1" si="7"/>
        <v>18</v>
      </c>
      <c r="BI38" s="240" t="str">
        <f t="shared" ca="1" si="7"/>
        <v>CMS</v>
      </c>
    </row>
    <row r="39" spans="1:61" x14ac:dyDescent="0.2">
      <c r="A39" s="303" t="s">
        <v>34</v>
      </c>
      <c r="B39" s="304" t="s">
        <v>28</v>
      </c>
      <c r="C39" s="304">
        <v>18</v>
      </c>
      <c r="D39" s="304" t="s">
        <v>294</v>
      </c>
      <c r="E39" s="305" t="str">
        <f t="shared" ca="1" si="8"/>
        <v>R</v>
      </c>
      <c r="F39" s="306"/>
      <c r="G39" s="307">
        <f t="shared" ca="1" si="1"/>
        <v>21</v>
      </c>
      <c r="H39" s="250"/>
      <c r="I39" s="321"/>
      <c r="K39" s="321"/>
      <c r="L39" s="264"/>
      <c r="M39" s="235"/>
      <c r="N39" s="321"/>
      <c r="Q39" s="321"/>
      <c r="T39" s="321"/>
      <c r="W39" s="321"/>
      <c r="AF39" s="236">
        <f t="shared" si="2"/>
        <v>0</v>
      </c>
      <c r="AG39" s="236" t="str">
        <f t="shared" ca="1" si="3"/>
        <v/>
      </c>
      <c r="AH39" s="236" t="str">
        <f t="shared" ca="1" si="18"/>
        <v/>
      </c>
      <c r="AJ39" s="236">
        <f t="shared" ca="1" si="19"/>
        <v>36</v>
      </c>
      <c r="AK39" s="236" t="str">
        <f t="shared" ca="1" si="20"/>
        <v>BBB</v>
      </c>
      <c r="AL39" s="236">
        <f t="shared" ca="1" si="20"/>
        <v>18</v>
      </c>
      <c r="AM39" s="236" t="str">
        <f t="shared" ca="1" si="4"/>
        <v/>
      </c>
      <c r="AQ39" s="286" t="s">
        <v>21</v>
      </c>
      <c r="AR39" s="286" t="s">
        <v>10</v>
      </c>
      <c r="AS39" s="286">
        <v>20</v>
      </c>
      <c r="AT39" s="286" t="s">
        <v>316</v>
      </c>
      <c r="AV39" s="234">
        <f t="shared" si="21"/>
        <v>2</v>
      </c>
      <c r="AW39" s="234">
        <f>COUNTIF( AV$7:AV39, AV39 )</f>
        <v>8</v>
      </c>
      <c r="AX39" s="287">
        <f t="shared" si="22"/>
        <v>2.8</v>
      </c>
      <c r="AY39" s="234">
        <f t="shared" si="23"/>
        <v>9</v>
      </c>
      <c r="AZ39" s="236"/>
      <c r="BA39" s="236"/>
      <c r="BC39" s="234">
        <f t="shared" ca="1" si="24"/>
        <v>33</v>
      </c>
      <c r="BD39" s="288">
        <f t="shared" ca="1" si="6"/>
        <v>17</v>
      </c>
      <c r="BF39" s="240" t="str">
        <f t="shared" ref="BF39:BI63" ca="1" si="25">OFFSET( AQ$6, $BD39, 0 )</f>
        <v>El Paso Electric Company</v>
      </c>
      <c r="BG39" s="240" t="str">
        <f t="shared" ca="1" si="25"/>
        <v>BBB</v>
      </c>
      <c r="BH39" s="240">
        <f t="shared" ca="1" si="25"/>
        <v>18</v>
      </c>
      <c r="BI39" s="240" t="str">
        <f t="shared" ca="1" si="25"/>
        <v>EE</v>
      </c>
    </row>
    <row r="40" spans="1:61" x14ac:dyDescent="0.2">
      <c r="A40" s="303" t="s">
        <v>35</v>
      </c>
      <c r="B40" s="304" t="s">
        <v>28</v>
      </c>
      <c r="C40" s="304">
        <v>18</v>
      </c>
      <c r="D40" s="304" t="s">
        <v>293</v>
      </c>
      <c r="E40" s="305" t="str">
        <f t="shared" ca="1" si="8"/>
        <v>R</v>
      </c>
      <c r="F40" s="306"/>
      <c r="G40" s="307">
        <f t="shared" ca="1" si="1"/>
        <v>22</v>
      </c>
      <c r="H40" s="250"/>
      <c r="I40" s="321"/>
      <c r="J40" s="262"/>
      <c r="K40" s="321"/>
      <c r="L40" s="264"/>
      <c r="M40" s="235"/>
      <c r="N40" s="321"/>
      <c r="Q40" s="321"/>
      <c r="T40" s="321"/>
      <c r="W40" s="321"/>
      <c r="AF40" s="236">
        <f t="shared" si="2"/>
        <v>0</v>
      </c>
      <c r="AG40" s="236" t="str">
        <f t="shared" ca="1" si="3"/>
        <v/>
      </c>
      <c r="AH40" s="236" t="str">
        <f t="shared" ca="1" si="18"/>
        <v/>
      </c>
      <c r="AJ40" s="236">
        <f t="shared" ca="1" si="19"/>
        <v>37</v>
      </c>
      <c r="AK40" s="236" t="str">
        <f t="shared" ca="1" si="20"/>
        <v>BBB</v>
      </c>
      <c r="AL40" s="236">
        <f t="shared" ca="1" si="20"/>
        <v>18</v>
      </c>
      <c r="AM40" s="236" t="str">
        <f t="shared" ca="1" si="4"/>
        <v/>
      </c>
      <c r="AQ40" s="286" t="s">
        <v>22</v>
      </c>
      <c r="AR40" s="286" t="s">
        <v>28</v>
      </c>
      <c r="AS40" s="286">
        <v>18</v>
      </c>
      <c r="AT40" s="286" t="s">
        <v>317</v>
      </c>
      <c r="AV40" s="234">
        <f t="shared" si="21"/>
        <v>29</v>
      </c>
      <c r="AW40" s="234">
        <f>COUNTIF( AV$7:AV40, AV40 )</f>
        <v>12</v>
      </c>
      <c r="AX40" s="287">
        <f t="shared" si="22"/>
        <v>30.2</v>
      </c>
      <c r="AY40" s="234">
        <f t="shared" si="23"/>
        <v>40</v>
      </c>
      <c r="AZ40" s="236"/>
      <c r="BA40" s="236"/>
      <c r="BC40" s="234">
        <f t="shared" ca="1" si="24"/>
        <v>34</v>
      </c>
      <c r="BD40" s="288">
        <f t="shared" ca="1" si="6"/>
        <v>18</v>
      </c>
      <c r="BF40" s="240" t="str">
        <f t="shared" ca="1" si="25"/>
        <v>Empire District Electric Company</v>
      </c>
      <c r="BG40" s="240" t="str">
        <f t="shared" ca="1" si="25"/>
        <v>BBB</v>
      </c>
      <c r="BH40" s="240">
        <f t="shared" ca="1" si="25"/>
        <v>18</v>
      </c>
      <c r="BI40" s="240" t="str">
        <f t="shared" ca="1" si="25"/>
        <v>EDE</v>
      </c>
    </row>
    <row r="41" spans="1:61" x14ac:dyDescent="0.2">
      <c r="A41" s="303" t="s">
        <v>36</v>
      </c>
      <c r="B41" s="304" t="s">
        <v>28</v>
      </c>
      <c r="C41" s="304">
        <v>18</v>
      </c>
      <c r="D41" s="304" t="s">
        <v>297</v>
      </c>
      <c r="E41" s="305" t="str">
        <f t="shared" ca="1" si="8"/>
        <v>R</v>
      </c>
      <c r="F41" s="306"/>
      <c r="G41" s="307">
        <f t="shared" ca="1" si="1"/>
        <v>23</v>
      </c>
      <c r="H41" s="250"/>
      <c r="I41" s="321"/>
      <c r="J41" s="262"/>
      <c r="K41" s="321"/>
      <c r="L41" s="264"/>
      <c r="M41" s="235"/>
      <c r="N41" s="321"/>
      <c r="Q41" s="321"/>
      <c r="T41" s="321"/>
      <c r="W41" s="321"/>
      <c r="AF41" s="236">
        <f t="shared" si="2"/>
        <v>0</v>
      </c>
      <c r="AG41" s="236" t="str">
        <f t="shared" ca="1" si="3"/>
        <v/>
      </c>
      <c r="AH41" s="236" t="str">
        <f t="shared" ca="1" si="18"/>
        <v/>
      </c>
      <c r="AJ41" s="236">
        <f t="shared" ca="1" si="19"/>
        <v>38</v>
      </c>
      <c r="AK41" s="236" t="str">
        <f t="shared" ca="1" si="20"/>
        <v>BBB</v>
      </c>
      <c r="AL41" s="236">
        <f t="shared" ca="1" si="20"/>
        <v>18</v>
      </c>
      <c r="AM41" s="236" t="str">
        <f t="shared" ca="1" si="4"/>
        <v/>
      </c>
      <c r="AQ41" s="286" t="s">
        <v>23</v>
      </c>
      <c r="AR41" s="286" t="s">
        <v>16</v>
      </c>
      <c r="AS41" s="286">
        <v>19</v>
      </c>
      <c r="AT41" s="286" t="s">
        <v>323</v>
      </c>
      <c r="AV41" s="234">
        <f t="shared" si="21"/>
        <v>14</v>
      </c>
      <c r="AW41" s="234">
        <f>COUNTIF( AV$7:AV41, AV41 )</f>
        <v>10</v>
      </c>
      <c r="AX41" s="287">
        <f t="shared" si="22"/>
        <v>15</v>
      </c>
      <c r="AY41" s="234">
        <f t="shared" si="23"/>
        <v>23</v>
      </c>
      <c r="AZ41" s="236"/>
      <c r="BA41" s="236"/>
      <c r="BC41" s="234">
        <f t="shared" ca="1" si="24"/>
        <v>35</v>
      </c>
      <c r="BD41" s="288">
        <f t="shared" ca="1" si="6"/>
        <v>19</v>
      </c>
      <c r="BF41" s="240" t="str">
        <f t="shared" ca="1" si="25"/>
        <v>Entergy Corporation</v>
      </c>
      <c r="BG41" s="240" t="str">
        <f t="shared" ca="1" si="25"/>
        <v>BBB</v>
      </c>
      <c r="BH41" s="240">
        <f t="shared" ca="1" si="25"/>
        <v>18</v>
      </c>
      <c r="BI41" s="240" t="str">
        <f t="shared" ca="1" si="25"/>
        <v>ETR</v>
      </c>
    </row>
    <row r="42" spans="1:61" x14ac:dyDescent="0.2">
      <c r="A42" s="303" t="s">
        <v>11</v>
      </c>
      <c r="B42" s="304" t="s">
        <v>28</v>
      </c>
      <c r="C42" s="304">
        <v>18</v>
      </c>
      <c r="D42" s="304" t="s">
        <v>298</v>
      </c>
      <c r="E42" s="305" t="str">
        <f t="shared" ca="1" si="8"/>
        <v>MR</v>
      </c>
      <c r="F42" s="306"/>
      <c r="G42" s="307">
        <f t="shared" ca="1" si="1"/>
        <v>24</v>
      </c>
      <c r="H42" s="250"/>
      <c r="I42" s="321"/>
      <c r="J42" s="262"/>
      <c r="K42" s="321"/>
      <c r="L42" s="264"/>
      <c r="M42" s="235"/>
      <c r="N42" s="321"/>
      <c r="Q42" s="321"/>
      <c r="T42" s="321"/>
      <c r="W42" s="321"/>
      <c r="AF42" s="236">
        <f t="shared" si="2"/>
        <v>0</v>
      </c>
      <c r="AG42" s="236" t="str">
        <f t="shared" ca="1" si="3"/>
        <v/>
      </c>
      <c r="AH42" s="236" t="str">
        <f t="shared" ca="1" si="18"/>
        <v/>
      </c>
      <c r="AJ42" s="236">
        <f t="shared" ca="1" si="19"/>
        <v>39</v>
      </c>
      <c r="AK42" s="236" t="str">
        <f t="shared" ca="1" si="20"/>
        <v>BBB</v>
      </c>
      <c r="AL42" s="236">
        <f t="shared" ca="1" si="20"/>
        <v>18</v>
      </c>
      <c r="AM42" s="236" t="str">
        <f t="shared" ca="1" si="4"/>
        <v/>
      </c>
      <c r="AQ42" s="286" t="s">
        <v>53</v>
      </c>
      <c r="AR42" s="286" t="s">
        <v>28</v>
      </c>
      <c r="AS42" s="286">
        <v>18</v>
      </c>
      <c r="AT42" s="286" t="s">
        <v>318</v>
      </c>
      <c r="AV42" s="234">
        <f t="shared" si="21"/>
        <v>29</v>
      </c>
      <c r="AW42" s="234">
        <f>COUNTIF( AV$7:AV42, AV42 )</f>
        <v>13</v>
      </c>
      <c r="AX42" s="287">
        <f t="shared" si="22"/>
        <v>30.3</v>
      </c>
      <c r="AY42" s="234">
        <f t="shared" si="23"/>
        <v>41</v>
      </c>
      <c r="AZ42" s="236"/>
      <c r="BA42" s="236"/>
      <c r="BC42" s="234">
        <f t="shared" ca="1" si="24"/>
        <v>36</v>
      </c>
      <c r="BD42" s="288">
        <f t="shared" ca="1" si="6"/>
        <v>20</v>
      </c>
      <c r="BF42" s="240" t="str">
        <f t="shared" ca="1" si="25"/>
        <v>Exelon Corporation</v>
      </c>
      <c r="BG42" s="240" t="str">
        <f t="shared" ca="1" si="25"/>
        <v>BBB</v>
      </c>
      <c r="BH42" s="240">
        <f t="shared" ca="1" si="25"/>
        <v>18</v>
      </c>
      <c r="BI42" s="240" t="str">
        <f t="shared" ca="1" si="25"/>
        <v>EXC</v>
      </c>
    </row>
    <row r="43" spans="1:61" x14ac:dyDescent="0.2">
      <c r="A43" s="303" t="s">
        <v>452</v>
      </c>
      <c r="B43" s="304" t="s">
        <v>28</v>
      </c>
      <c r="C43" s="304">
        <v>18</v>
      </c>
      <c r="D43" s="304" t="s">
        <v>444</v>
      </c>
      <c r="E43" s="305" t="str">
        <f t="shared" ca="1" si="8"/>
        <v>R</v>
      </c>
      <c r="F43" s="306"/>
      <c r="G43" s="307">
        <f t="shared" ca="1" si="1"/>
        <v>57</v>
      </c>
      <c r="H43" s="250"/>
      <c r="I43" s="321"/>
      <c r="J43" s="262"/>
      <c r="K43" s="321"/>
      <c r="L43" s="235"/>
      <c r="M43" s="235"/>
      <c r="N43" s="321"/>
      <c r="Q43" s="321"/>
      <c r="T43" s="321"/>
      <c r="W43" s="321"/>
      <c r="AF43" s="236">
        <f t="shared" si="2"/>
        <v>0</v>
      </c>
      <c r="AG43" s="236" t="str">
        <f t="shared" ca="1" si="3"/>
        <v/>
      </c>
      <c r="AH43" s="236" t="str">
        <f t="shared" ca="1" si="18"/>
        <v/>
      </c>
      <c r="AJ43" s="236">
        <f t="shared" ca="1" si="19"/>
        <v>41</v>
      </c>
      <c r="AK43" s="236" t="str">
        <f t="shared" ca="1" si="20"/>
        <v>BBB</v>
      </c>
      <c r="AL43" s="236">
        <f t="shared" ca="1" si="20"/>
        <v>18</v>
      </c>
      <c r="AM43" s="236" t="str">
        <f t="shared" ca="1" si="4"/>
        <v/>
      </c>
      <c r="AQ43" s="286" t="s">
        <v>41</v>
      </c>
      <c r="AR43" s="286" t="s">
        <v>10</v>
      </c>
      <c r="AS43" s="286">
        <v>20</v>
      </c>
      <c r="AT43" s="289" t="s">
        <v>322</v>
      </c>
      <c r="AV43" s="234">
        <f t="shared" si="21"/>
        <v>2</v>
      </c>
      <c r="AW43" s="234">
        <f>COUNTIF( AV$7:AV43, AV43 )</f>
        <v>9</v>
      </c>
      <c r="AX43" s="287">
        <f t="shared" si="22"/>
        <v>2.9</v>
      </c>
      <c r="AY43" s="234">
        <f t="shared" si="23"/>
        <v>10</v>
      </c>
      <c r="AZ43" s="236"/>
      <c r="BA43" s="236"/>
      <c r="BC43" s="234">
        <f t="shared" ca="1" si="24"/>
        <v>37</v>
      </c>
      <c r="BD43" s="288">
        <f t="shared" ca="1" si="6"/>
        <v>24</v>
      </c>
      <c r="BF43" s="240" t="str">
        <f t="shared" ca="1" si="25"/>
        <v>Iberdrola USA</v>
      </c>
      <c r="BG43" s="240" t="str">
        <f t="shared" ca="1" si="25"/>
        <v>BBB</v>
      </c>
      <c r="BH43" s="240">
        <f t="shared" ca="1" si="25"/>
        <v>18</v>
      </c>
      <c r="BI43" s="240" t="str">
        <f t="shared" ca="1" si="25"/>
        <v>**EAST</v>
      </c>
    </row>
    <row r="44" spans="1:61" x14ac:dyDescent="0.2">
      <c r="A44" s="303" t="s">
        <v>20</v>
      </c>
      <c r="B44" s="304" t="s">
        <v>28</v>
      </c>
      <c r="C44" s="304">
        <v>18</v>
      </c>
      <c r="D44" s="304" t="s">
        <v>303</v>
      </c>
      <c r="E44" s="305" t="str">
        <f t="shared" ca="1" si="8"/>
        <v>R</v>
      </c>
      <c r="F44" s="306"/>
      <c r="G44" s="307">
        <f t="shared" ca="1" si="1"/>
        <v>28</v>
      </c>
      <c r="H44" s="250"/>
      <c r="I44" s="321"/>
      <c r="J44" s="262"/>
      <c r="K44" s="321"/>
      <c r="L44" s="235"/>
      <c r="M44" s="235"/>
      <c r="N44" s="321"/>
      <c r="Q44" s="321"/>
      <c r="T44" s="321"/>
      <c r="W44" s="321"/>
      <c r="AF44" s="236">
        <f t="shared" si="2"/>
        <v>0</v>
      </c>
      <c r="AG44" s="236" t="str">
        <f t="shared" ca="1" si="3"/>
        <v/>
      </c>
      <c r="AH44" s="236" t="str">
        <f t="shared" ca="1" si="18"/>
        <v/>
      </c>
      <c r="AJ44" s="236">
        <f t="shared" ca="1" si="19"/>
        <v>42</v>
      </c>
      <c r="AK44" s="236" t="str">
        <f t="shared" ca="1" si="20"/>
        <v>BBB</v>
      </c>
      <c r="AL44" s="236">
        <f t="shared" ca="1" si="20"/>
        <v>18</v>
      </c>
      <c r="AM44" s="236" t="str">
        <f t="shared" ca="1" si="4"/>
        <v/>
      </c>
      <c r="AQ44" s="286" t="s">
        <v>42</v>
      </c>
      <c r="AR44" s="286" t="s">
        <v>28</v>
      </c>
      <c r="AS44" s="286">
        <v>18</v>
      </c>
      <c r="AT44" s="286" t="s">
        <v>321</v>
      </c>
      <c r="AV44" s="234">
        <f t="shared" si="21"/>
        <v>29</v>
      </c>
      <c r="AW44" s="234">
        <f>COUNTIF( AV$7:AV44, AV44 )</f>
        <v>14</v>
      </c>
      <c r="AX44" s="287">
        <f t="shared" si="22"/>
        <v>30.4</v>
      </c>
      <c r="AY44" s="234">
        <f t="shared" si="23"/>
        <v>42</v>
      </c>
      <c r="AZ44" s="236"/>
      <c r="BA44" s="236"/>
      <c r="BC44" s="234">
        <f t="shared" ca="1" si="24"/>
        <v>38</v>
      </c>
      <c r="BD44" s="288">
        <f t="shared" ca="1" si="6"/>
        <v>25</v>
      </c>
      <c r="BF44" s="240" t="str">
        <f t="shared" ca="1" si="25"/>
        <v>IDACORP, Inc.</v>
      </c>
      <c r="BG44" s="240" t="str">
        <f t="shared" ca="1" si="25"/>
        <v>BBB</v>
      </c>
      <c r="BH44" s="240">
        <f t="shared" ca="1" si="25"/>
        <v>18</v>
      </c>
      <c r="BI44" s="240" t="str">
        <f t="shared" ca="1" si="25"/>
        <v>IDA</v>
      </c>
    </row>
    <row r="45" spans="1:61" x14ac:dyDescent="0.2">
      <c r="A45" s="303" t="s">
        <v>66</v>
      </c>
      <c r="B45" s="304" t="s">
        <v>28</v>
      </c>
      <c r="C45" s="304">
        <v>18</v>
      </c>
      <c r="D45" s="304" t="s">
        <v>315</v>
      </c>
      <c r="E45" s="305" t="str">
        <f t="shared" ca="1" si="8"/>
        <v>R</v>
      </c>
      <c r="F45" s="306"/>
      <c r="G45" s="307">
        <f t="shared" ca="1" si="1"/>
        <v>35</v>
      </c>
      <c r="H45" s="250"/>
      <c r="I45" s="321"/>
      <c r="J45" s="262"/>
      <c r="K45" s="321"/>
      <c r="L45" s="235"/>
      <c r="M45" s="235"/>
      <c r="N45" s="321"/>
      <c r="Q45" s="321"/>
      <c r="T45" s="321"/>
      <c r="W45" s="321"/>
      <c r="AF45" s="236">
        <f t="shared" si="2"/>
        <v>0</v>
      </c>
      <c r="AG45" s="236" t="str">
        <f t="shared" ca="1" si="3"/>
        <v/>
      </c>
      <c r="AH45" s="236" t="str">
        <f t="shared" ca="1" si="18"/>
        <v/>
      </c>
      <c r="AJ45" s="236">
        <f t="shared" ca="1" si="19"/>
        <v>43</v>
      </c>
      <c r="AK45" s="236" t="str">
        <f t="shared" ca="1" si="20"/>
        <v>BBB</v>
      </c>
      <c r="AL45" s="236">
        <f t="shared" ca="1" si="20"/>
        <v>18</v>
      </c>
      <c r="AM45" s="236" t="str">
        <f t="shared" ca="1" si="4"/>
        <v/>
      </c>
      <c r="AQ45" s="286" t="s">
        <v>24</v>
      </c>
      <c r="AR45" s="286" t="s">
        <v>28</v>
      </c>
      <c r="AS45" s="286">
        <v>18</v>
      </c>
      <c r="AT45" s="286" t="s">
        <v>324</v>
      </c>
      <c r="AV45" s="234">
        <f t="shared" si="21"/>
        <v>29</v>
      </c>
      <c r="AW45" s="234">
        <f>COUNTIF( AV$7:AV45, AV45 )</f>
        <v>15</v>
      </c>
      <c r="AX45" s="287">
        <f t="shared" si="22"/>
        <v>30.5</v>
      </c>
      <c r="AY45" s="234">
        <f t="shared" si="23"/>
        <v>43</v>
      </c>
      <c r="AZ45" s="236"/>
      <c r="BA45" s="236"/>
      <c r="BC45" s="234">
        <f t="shared" ca="1" si="24"/>
        <v>39</v>
      </c>
      <c r="BD45" s="288">
        <f t="shared" ca="1" si="6"/>
        <v>32</v>
      </c>
      <c r="BF45" s="240" t="str">
        <f t="shared" ca="1" si="25"/>
        <v>NorthWestern Corporation</v>
      </c>
      <c r="BG45" s="240" t="str">
        <f t="shared" ca="1" si="25"/>
        <v>BBB</v>
      </c>
      <c r="BH45" s="240">
        <f t="shared" ca="1" si="25"/>
        <v>18</v>
      </c>
      <c r="BI45" s="240" t="str">
        <f t="shared" ca="1" si="25"/>
        <v>NWE</v>
      </c>
    </row>
    <row r="46" spans="1:61" x14ac:dyDescent="0.2">
      <c r="A46" s="303" t="s">
        <v>22</v>
      </c>
      <c r="B46" s="304" t="s">
        <v>28</v>
      </c>
      <c r="C46" s="304">
        <v>18</v>
      </c>
      <c r="D46" s="304" t="s">
        <v>317</v>
      </c>
      <c r="E46" s="305" t="str">
        <f t="shared" ca="1" si="8"/>
        <v>R</v>
      </c>
      <c r="F46" s="306"/>
      <c r="G46" s="307">
        <f t="shared" ca="1" si="1"/>
        <v>37</v>
      </c>
      <c r="H46" s="250"/>
      <c r="I46" s="262"/>
      <c r="K46" s="262"/>
      <c r="N46" s="257"/>
      <c r="W46" s="262"/>
      <c r="AF46" s="236">
        <f t="shared" si="2"/>
        <v>0</v>
      </c>
      <c r="AG46" s="236" t="str">
        <f t="shared" ca="1" si="3"/>
        <v/>
      </c>
      <c r="AH46" s="236" t="str">
        <f t="shared" ca="1" si="18"/>
        <v/>
      </c>
      <c r="AJ46" s="236">
        <f t="shared" ca="1" si="19"/>
        <v>44</v>
      </c>
      <c r="AK46" s="236" t="str">
        <f t="shared" ca="1" si="20"/>
        <v>BBB</v>
      </c>
      <c r="AL46" s="236">
        <f t="shared" ca="1" si="20"/>
        <v>18</v>
      </c>
      <c r="AM46" s="236" t="str">
        <f t="shared" ca="1" si="4"/>
        <v/>
      </c>
      <c r="AQ46" s="286" t="s">
        <v>43</v>
      </c>
      <c r="AR46" s="286" t="s">
        <v>28</v>
      </c>
      <c r="AS46" s="286">
        <v>18</v>
      </c>
      <c r="AT46" s="286" t="s">
        <v>325</v>
      </c>
      <c r="AV46" s="234">
        <f t="shared" si="21"/>
        <v>29</v>
      </c>
      <c r="AW46" s="234">
        <f>COUNTIF( AV$7:AV46, AV46 )</f>
        <v>16</v>
      </c>
      <c r="AX46" s="287">
        <f t="shared" si="22"/>
        <v>30.6</v>
      </c>
      <c r="AY46" s="234">
        <f t="shared" si="23"/>
        <v>44</v>
      </c>
      <c r="AZ46" s="236"/>
      <c r="BA46" s="236"/>
      <c r="BC46" s="234">
        <f t="shared" ca="1" si="24"/>
        <v>40</v>
      </c>
      <c r="BD46" s="288">
        <f t="shared" ca="1" si="6"/>
        <v>34</v>
      </c>
      <c r="BF46" s="240" t="str">
        <f t="shared" ca="1" si="25"/>
        <v>Otter Tail Corporation</v>
      </c>
      <c r="BG46" s="240" t="str">
        <f t="shared" ca="1" si="25"/>
        <v>BBB</v>
      </c>
      <c r="BH46" s="240">
        <f t="shared" ca="1" si="25"/>
        <v>18</v>
      </c>
      <c r="BI46" s="240" t="str">
        <f t="shared" ca="1" si="25"/>
        <v>OTTR</v>
      </c>
    </row>
    <row r="47" spans="1:61" x14ac:dyDescent="0.2">
      <c r="A47" s="303" t="s">
        <v>53</v>
      </c>
      <c r="B47" s="304" t="s">
        <v>28</v>
      </c>
      <c r="C47" s="304">
        <v>18</v>
      </c>
      <c r="D47" s="304" t="s">
        <v>318</v>
      </c>
      <c r="E47" s="305" t="str">
        <f t="shared" ca="1" si="8"/>
        <v>R</v>
      </c>
      <c r="F47" s="306"/>
      <c r="G47" s="307">
        <f t="shared" ca="1" si="1"/>
        <v>39</v>
      </c>
      <c r="H47" s="250"/>
      <c r="I47" s="250"/>
      <c r="J47" s="258" t="s">
        <v>268</v>
      </c>
      <c r="K47" s="262"/>
      <c r="M47" s="253"/>
      <c r="N47" s="253"/>
      <c r="AF47" s="236">
        <f t="shared" si="2"/>
        <v>0</v>
      </c>
      <c r="AG47" s="236" t="str">
        <f t="shared" ca="1" si="3"/>
        <v/>
      </c>
      <c r="AH47" s="236" t="str">
        <f t="shared" ca="1" si="18"/>
        <v/>
      </c>
      <c r="AJ47" s="236">
        <f t="shared" ca="1" si="19"/>
        <v>45</v>
      </c>
      <c r="AK47" s="236" t="str">
        <f t="shared" ca="1" si="20"/>
        <v>BBB</v>
      </c>
      <c r="AL47" s="236">
        <f t="shared" ca="1" si="20"/>
        <v>18</v>
      </c>
      <c r="AM47" s="236" t="str">
        <f t="shared" ca="1" si="4"/>
        <v/>
      </c>
      <c r="AQ47" s="286" t="s">
        <v>45</v>
      </c>
      <c r="AR47" s="286" t="s">
        <v>16</v>
      </c>
      <c r="AS47" s="286">
        <v>19</v>
      </c>
      <c r="AT47" s="286" t="s">
        <v>319</v>
      </c>
      <c r="AV47" s="234">
        <f t="shared" si="21"/>
        <v>14</v>
      </c>
      <c r="AW47" s="234">
        <f>COUNTIF( AV$7:AV47, AV47 )</f>
        <v>11</v>
      </c>
      <c r="AX47" s="287">
        <f t="shared" si="22"/>
        <v>15.1</v>
      </c>
      <c r="AY47" s="234">
        <f t="shared" si="23"/>
        <v>24</v>
      </c>
      <c r="AZ47" s="236"/>
      <c r="BA47" s="236"/>
      <c r="BC47" s="234">
        <f t="shared" ca="1" si="24"/>
        <v>41</v>
      </c>
      <c r="BD47" s="288">
        <f t="shared" ca="1" si="6"/>
        <v>36</v>
      </c>
      <c r="BF47" s="240" t="str">
        <f t="shared" ca="1" si="25"/>
        <v>PG&amp;E Corporation</v>
      </c>
      <c r="BG47" s="240" t="str">
        <f t="shared" ca="1" si="25"/>
        <v>BBB</v>
      </c>
      <c r="BH47" s="240">
        <f t="shared" ca="1" si="25"/>
        <v>18</v>
      </c>
      <c r="BI47" s="240" t="str">
        <f t="shared" ca="1" si="25"/>
        <v>PCG</v>
      </c>
    </row>
    <row r="48" spans="1:61" x14ac:dyDescent="0.2">
      <c r="A48" s="303" t="s">
        <v>42</v>
      </c>
      <c r="B48" s="304" t="s">
        <v>28</v>
      </c>
      <c r="C48" s="304">
        <v>18</v>
      </c>
      <c r="D48" s="304" t="s">
        <v>321</v>
      </c>
      <c r="E48" s="305" t="str">
        <f t="shared" ca="1" si="8"/>
        <v>R</v>
      </c>
      <c r="F48" s="306"/>
      <c r="G48" s="307">
        <f t="shared" ca="1" si="1"/>
        <v>41</v>
      </c>
      <c r="H48" s="250"/>
      <c r="I48" s="250"/>
      <c r="K48" s="262"/>
      <c r="M48" s="253"/>
      <c r="N48" s="253"/>
      <c r="AF48" s="236">
        <f t="shared" si="2"/>
        <v>0</v>
      </c>
      <c r="AG48" s="236" t="str">
        <f t="shared" ca="1" si="3"/>
        <v/>
      </c>
      <c r="AH48" s="236" t="str">
        <f t="shared" ca="1" si="18"/>
        <v/>
      </c>
      <c r="AJ48" s="236">
        <f t="shared" ca="1" si="19"/>
        <v>46</v>
      </c>
      <c r="AK48" s="236" t="str">
        <f t="shared" ca="1" si="20"/>
        <v>BBB</v>
      </c>
      <c r="AL48" s="236">
        <f t="shared" ca="1" si="20"/>
        <v>18</v>
      </c>
      <c r="AM48" s="236" t="str">
        <f t="shared" ca="1" si="4"/>
        <v/>
      </c>
      <c r="AQ48" s="286" t="s">
        <v>54</v>
      </c>
      <c r="AR48" s="286" t="s">
        <v>49</v>
      </c>
      <c r="AS48" s="286">
        <v>17</v>
      </c>
      <c r="AT48" s="286" t="s">
        <v>449</v>
      </c>
      <c r="AV48" s="234">
        <f t="shared" si="21"/>
        <v>46</v>
      </c>
      <c r="AW48" s="234">
        <f>COUNTIF( AV$7:AV48, AV48 )</f>
        <v>4</v>
      </c>
      <c r="AX48" s="287">
        <f t="shared" si="22"/>
        <v>46.4</v>
      </c>
      <c r="AY48" s="234">
        <f t="shared" si="23"/>
        <v>49</v>
      </c>
      <c r="AZ48" s="236"/>
      <c r="BA48" s="236"/>
      <c r="BC48" s="234">
        <f t="shared" ca="1" si="24"/>
        <v>42</v>
      </c>
      <c r="BD48" s="288">
        <f t="shared" ca="1" si="6"/>
        <v>38</v>
      </c>
      <c r="BF48" s="240" t="str">
        <f t="shared" ca="1" si="25"/>
        <v>PNM Resources, Inc.</v>
      </c>
      <c r="BG48" s="240" t="str">
        <f t="shared" ca="1" si="25"/>
        <v>BBB</v>
      </c>
      <c r="BH48" s="240">
        <f t="shared" ca="1" si="25"/>
        <v>18</v>
      </c>
      <c r="BI48" s="240" t="str">
        <f t="shared" ca="1" si="25"/>
        <v>PNM</v>
      </c>
    </row>
    <row r="49" spans="1:61" x14ac:dyDescent="0.2">
      <c r="A49" s="303" t="s">
        <v>24</v>
      </c>
      <c r="B49" s="304" t="s">
        <v>28</v>
      </c>
      <c r="C49" s="304">
        <v>18</v>
      </c>
      <c r="D49" s="304" t="s">
        <v>324</v>
      </c>
      <c r="E49" s="305" t="str">
        <f t="shared" ca="1" si="8"/>
        <v>R</v>
      </c>
      <c r="F49" s="306"/>
      <c r="G49" s="307">
        <f t="shared" ca="1" si="1"/>
        <v>42</v>
      </c>
      <c r="H49" s="250"/>
      <c r="I49" s="250"/>
      <c r="J49" s="262"/>
      <c r="K49" s="262"/>
      <c r="M49" s="253"/>
      <c r="N49" s="253"/>
      <c r="AF49" s="236">
        <f t="shared" si="2"/>
        <v>0</v>
      </c>
      <c r="AG49" s="236" t="str">
        <f t="shared" ca="1" si="3"/>
        <v/>
      </c>
      <c r="AH49" s="236" t="str">
        <f t="shared" ca="1" si="18"/>
        <v/>
      </c>
      <c r="AJ49" s="236">
        <f t="shared" ca="1" si="19"/>
        <v>47</v>
      </c>
      <c r="AK49" s="236" t="str">
        <f t="shared" ca="1" si="20"/>
        <v>BBB</v>
      </c>
      <c r="AL49" s="236">
        <f t="shared" ca="1" si="20"/>
        <v>18</v>
      </c>
      <c r="AM49" s="236" t="str">
        <f t="shared" ca="1" si="4"/>
        <v/>
      </c>
      <c r="AQ49" s="286" t="s">
        <v>13</v>
      </c>
      <c r="AR49" s="286" t="s">
        <v>16</v>
      </c>
      <c r="AS49" s="286">
        <v>19</v>
      </c>
      <c r="AT49" s="286" t="s">
        <v>327</v>
      </c>
      <c r="AV49" s="234">
        <f t="shared" si="21"/>
        <v>14</v>
      </c>
      <c r="AW49" s="234">
        <f>COUNTIF( AV$7:AV49, AV49 )</f>
        <v>12</v>
      </c>
      <c r="AX49" s="287">
        <f t="shared" si="22"/>
        <v>15.2</v>
      </c>
      <c r="AY49" s="234">
        <f t="shared" si="23"/>
        <v>25</v>
      </c>
      <c r="AZ49" s="236"/>
      <c r="BA49" s="236"/>
      <c r="BC49" s="234">
        <f t="shared" ca="1" si="24"/>
        <v>43</v>
      </c>
      <c r="BD49" s="288">
        <f t="shared" ca="1" si="6"/>
        <v>39</v>
      </c>
      <c r="BF49" s="240" t="str">
        <f t="shared" ca="1" si="25"/>
        <v>Portland General Electric Company</v>
      </c>
      <c r="BG49" s="240" t="str">
        <f t="shared" ca="1" si="25"/>
        <v>BBB</v>
      </c>
      <c r="BH49" s="240">
        <f t="shared" ca="1" si="25"/>
        <v>18</v>
      </c>
      <c r="BI49" s="240" t="str">
        <f t="shared" ca="1" si="25"/>
        <v>POR</v>
      </c>
    </row>
    <row r="50" spans="1:61" x14ac:dyDescent="0.2">
      <c r="A50" s="303" t="s">
        <v>43</v>
      </c>
      <c r="B50" s="304" t="s">
        <v>28</v>
      </c>
      <c r="C50" s="304">
        <v>18</v>
      </c>
      <c r="D50" s="304" t="s">
        <v>325</v>
      </c>
      <c r="E50" s="305" t="str">
        <f t="shared" ca="1" si="8"/>
        <v>MR</v>
      </c>
      <c r="F50" s="306"/>
      <c r="G50" s="307">
        <f t="shared" ca="1" si="1"/>
        <v>43</v>
      </c>
      <c r="H50" s="250"/>
      <c r="I50" s="250"/>
      <c r="J50" s="262"/>
      <c r="K50" s="262"/>
      <c r="L50" s="235"/>
      <c r="M50" s="257"/>
      <c r="N50" s="257"/>
      <c r="AF50" s="236">
        <f t="shared" si="2"/>
        <v>0</v>
      </c>
      <c r="AG50" s="236" t="str">
        <f t="shared" ca="1" si="3"/>
        <v/>
      </c>
      <c r="AH50" s="236" t="str">
        <f t="shared" ca="1" si="18"/>
        <v/>
      </c>
      <c r="AJ50" s="236">
        <f t="shared" ca="1" si="19"/>
        <v>48</v>
      </c>
      <c r="AK50" s="236" t="str">
        <f t="shared" ca="1" si="20"/>
        <v>BBB</v>
      </c>
      <c r="AL50" s="236">
        <f t="shared" ca="1" si="20"/>
        <v>18</v>
      </c>
      <c r="AM50" s="236" t="str">
        <f t="shared" ca="1" si="4"/>
        <v/>
      </c>
      <c r="AQ50" s="286" t="s">
        <v>25</v>
      </c>
      <c r="AR50" s="286" t="s">
        <v>16</v>
      </c>
      <c r="AS50" s="286">
        <v>19</v>
      </c>
      <c r="AT50" s="286" t="s">
        <v>329</v>
      </c>
      <c r="AV50" s="234">
        <f t="shared" si="21"/>
        <v>14</v>
      </c>
      <c r="AW50" s="234">
        <f>COUNTIF( AV$7:AV50, AV50 )</f>
        <v>13</v>
      </c>
      <c r="AX50" s="287">
        <f t="shared" si="22"/>
        <v>15.3</v>
      </c>
      <c r="AY50" s="234">
        <f t="shared" si="23"/>
        <v>26</v>
      </c>
      <c r="AZ50" s="236"/>
      <c r="BA50" s="236"/>
      <c r="BC50" s="234">
        <f t="shared" ca="1" si="24"/>
        <v>44</v>
      </c>
      <c r="BD50" s="288">
        <f t="shared" ca="1" si="6"/>
        <v>40</v>
      </c>
      <c r="BF50" s="240" t="str">
        <f t="shared" ca="1" si="25"/>
        <v>PPL Corporation</v>
      </c>
      <c r="BG50" s="240" t="str">
        <f t="shared" ca="1" si="25"/>
        <v>BBB</v>
      </c>
      <c r="BH50" s="240">
        <f t="shared" ca="1" si="25"/>
        <v>18</v>
      </c>
      <c r="BI50" s="240" t="str">
        <f t="shared" ca="1" si="25"/>
        <v>PPL</v>
      </c>
    </row>
    <row r="51" spans="1:61" x14ac:dyDescent="0.2">
      <c r="A51" s="303" t="s">
        <v>75</v>
      </c>
      <c r="B51" s="304" t="s">
        <v>28</v>
      </c>
      <c r="C51" s="304">
        <v>18</v>
      </c>
      <c r="D51" s="304" t="s">
        <v>332</v>
      </c>
      <c r="E51" s="305" t="str">
        <f t="shared" ca="1" si="8"/>
        <v>R</v>
      </c>
      <c r="F51" s="306"/>
      <c r="G51" s="307">
        <f t="shared" ca="1" si="1"/>
        <v>49</v>
      </c>
      <c r="H51" s="250"/>
      <c r="I51" s="250"/>
      <c r="J51" s="262"/>
      <c r="K51" s="262"/>
      <c r="L51" s="235"/>
      <c r="M51" s="257"/>
      <c r="N51" s="257"/>
      <c r="AF51" s="236">
        <f t="shared" si="2"/>
        <v>0</v>
      </c>
      <c r="AG51" s="236" t="str">
        <f t="shared" ca="1" si="3"/>
        <v/>
      </c>
      <c r="AH51" s="236" t="str">
        <f t="shared" ca="1" si="18"/>
        <v/>
      </c>
      <c r="AJ51" s="236">
        <f t="shared" ca="1" si="19"/>
        <v>49</v>
      </c>
      <c r="AK51" s="236" t="str">
        <f t="shared" ca="1" si="20"/>
        <v>BBB</v>
      </c>
      <c r="AL51" s="236">
        <f t="shared" ca="1" si="20"/>
        <v>18</v>
      </c>
      <c r="AM51" s="236" t="str">
        <f t="shared" ca="1" si="4"/>
        <v/>
      </c>
      <c r="AQ51" s="286" t="s">
        <v>7</v>
      </c>
      <c r="AR51" s="286" t="s">
        <v>2</v>
      </c>
      <c r="AS51" s="286">
        <v>21</v>
      </c>
      <c r="AT51" s="286" t="s">
        <v>328</v>
      </c>
      <c r="AV51" s="234">
        <f t="shared" si="21"/>
        <v>1</v>
      </c>
      <c r="AW51" s="234">
        <f>COUNTIF( AV$7:AV51, AV51 )</f>
        <v>1</v>
      </c>
      <c r="AX51" s="287">
        <f t="shared" si="22"/>
        <v>1.1000000000000001</v>
      </c>
      <c r="AY51" s="234">
        <f t="shared" si="23"/>
        <v>1</v>
      </c>
      <c r="AZ51" s="236"/>
      <c r="BA51" s="236"/>
      <c r="BC51" s="234">
        <f t="shared" ca="1" si="24"/>
        <v>45</v>
      </c>
      <c r="BD51" s="288">
        <f t="shared" ca="1" si="6"/>
        <v>47</v>
      </c>
      <c r="BF51" s="240" t="str">
        <f t="shared" ca="1" si="25"/>
        <v>UIL Holdings Corporation</v>
      </c>
      <c r="BG51" s="240" t="str">
        <f t="shared" ca="1" si="25"/>
        <v>BBB</v>
      </c>
      <c r="BH51" s="240">
        <f t="shared" ca="1" si="25"/>
        <v>18</v>
      </c>
      <c r="BI51" s="240" t="str">
        <f t="shared" ca="1" si="25"/>
        <v>UIL</v>
      </c>
    </row>
    <row r="52" spans="1:61" x14ac:dyDescent="0.2">
      <c r="A52" s="303" t="s">
        <v>51</v>
      </c>
      <c r="B52" s="304" t="s">
        <v>49</v>
      </c>
      <c r="C52" s="304">
        <v>17</v>
      </c>
      <c r="D52" s="304" t="s">
        <v>299</v>
      </c>
      <c r="E52" s="305" t="str">
        <f t="shared" ca="1" si="8"/>
        <v>MR</v>
      </c>
      <c r="F52" s="306"/>
      <c r="G52" s="307">
        <f t="shared" ca="1" si="1"/>
        <v>25</v>
      </c>
      <c r="H52" s="250"/>
      <c r="I52" s="250"/>
      <c r="J52" s="262"/>
      <c r="K52" s="262"/>
      <c r="AF52" s="236">
        <f t="shared" si="2"/>
        <v>1</v>
      </c>
      <c r="AG52" s="236" t="str">
        <f t="shared" ca="1" si="3"/>
        <v/>
      </c>
      <c r="AH52" s="236" t="str">
        <f t="shared" ca="1" si="18"/>
        <v/>
      </c>
      <c r="AJ52" s="236">
        <f t="shared" ca="1" si="19"/>
        <v>52</v>
      </c>
      <c r="AK52" s="236" t="str">
        <f t="shared" ca="1" si="20"/>
        <v>BBB-</v>
      </c>
      <c r="AL52" s="236">
        <f t="shared" ca="1" si="20"/>
        <v>17</v>
      </c>
      <c r="AM52" s="236" t="str">
        <f t="shared" ca="1" si="4"/>
        <v/>
      </c>
      <c r="AQ52" s="286" t="s">
        <v>62</v>
      </c>
      <c r="AR52" s="286" t="s">
        <v>16</v>
      </c>
      <c r="AS52" s="286">
        <v>19</v>
      </c>
      <c r="AT52" s="286" t="s">
        <v>330</v>
      </c>
      <c r="AV52" s="234">
        <f t="shared" si="21"/>
        <v>14</v>
      </c>
      <c r="AW52" s="234">
        <f>COUNTIF( AV$7:AV52, AV52 )</f>
        <v>14</v>
      </c>
      <c r="AX52" s="287">
        <f t="shared" si="22"/>
        <v>15.4</v>
      </c>
      <c r="AY52" s="234">
        <f t="shared" si="23"/>
        <v>27</v>
      </c>
      <c r="AZ52" s="236"/>
      <c r="BA52" s="236"/>
      <c r="BC52" s="234">
        <f t="shared" ca="1" si="24"/>
        <v>46</v>
      </c>
      <c r="BD52" s="288">
        <f t="shared" ca="1" si="6"/>
        <v>21</v>
      </c>
      <c r="BF52" s="240" t="str">
        <f t="shared" ca="1" si="25"/>
        <v>FirstEnergy Corp.</v>
      </c>
      <c r="BG52" s="240" t="str">
        <f t="shared" ca="1" si="25"/>
        <v>BBB-</v>
      </c>
      <c r="BH52" s="240">
        <f t="shared" ca="1" si="25"/>
        <v>17</v>
      </c>
      <c r="BI52" s="240" t="str">
        <f t="shared" ca="1" si="25"/>
        <v>FE</v>
      </c>
    </row>
    <row r="53" spans="1:61" x14ac:dyDescent="0.2">
      <c r="A53" s="303" t="s">
        <v>39</v>
      </c>
      <c r="B53" s="304" t="s">
        <v>49</v>
      </c>
      <c r="C53" s="304">
        <v>17</v>
      </c>
      <c r="D53" s="304" t="s">
        <v>302</v>
      </c>
      <c r="E53" s="305" t="str">
        <f t="shared" ca="1" si="8"/>
        <v>D</v>
      </c>
      <c r="F53" s="306"/>
      <c r="G53" s="307">
        <f t="shared" ca="1" si="1"/>
        <v>27</v>
      </c>
      <c r="H53" s="250"/>
      <c r="I53" s="250"/>
      <c r="J53" s="262"/>
      <c r="K53" s="262"/>
      <c r="AF53" s="236">
        <f t="shared" si="2"/>
        <v>1</v>
      </c>
      <c r="AG53" s="236" t="str">
        <f t="shared" ca="1" si="3"/>
        <v/>
      </c>
      <c r="AH53" s="236" t="str">
        <f t="shared" ca="1" si="18"/>
        <v/>
      </c>
      <c r="AJ53" s="236">
        <f t="shared" ca="1" si="19"/>
        <v>53</v>
      </c>
      <c r="AK53" s="236" t="str">
        <f t="shared" ca="1" si="20"/>
        <v>BBB-</v>
      </c>
      <c r="AL53" s="236">
        <f t="shared" ca="1" si="20"/>
        <v>17</v>
      </c>
      <c r="AM53" s="236" t="str">
        <f t="shared" ca="1" si="4"/>
        <v/>
      </c>
      <c r="AQ53" s="286" t="s">
        <v>75</v>
      </c>
      <c r="AR53" s="286" t="s">
        <v>28</v>
      </c>
      <c r="AS53" s="286">
        <v>18</v>
      </c>
      <c r="AT53" s="286" t="s">
        <v>332</v>
      </c>
      <c r="AV53" s="234">
        <f t="shared" si="21"/>
        <v>29</v>
      </c>
      <c r="AW53" s="234">
        <f>COUNTIF( AV$7:AV53, AV53 )</f>
        <v>17</v>
      </c>
      <c r="AX53" s="287">
        <f t="shared" si="22"/>
        <v>30.7</v>
      </c>
      <c r="AY53" s="234">
        <f t="shared" si="23"/>
        <v>45</v>
      </c>
      <c r="AZ53" s="236"/>
      <c r="BA53" s="236"/>
      <c r="BC53" s="234">
        <f t="shared" ca="1" si="24"/>
        <v>47</v>
      </c>
      <c r="BD53" s="288">
        <f t="shared" ca="1" si="6"/>
        <v>23</v>
      </c>
      <c r="BF53" s="240" t="str">
        <f t="shared" ca="1" si="25"/>
        <v>Hawaiian Electric Industries, Inc.</v>
      </c>
      <c r="BG53" s="240" t="str">
        <f t="shared" ca="1" si="25"/>
        <v>BBB-</v>
      </c>
      <c r="BH53" s="240">
        <f t="shared" ca="1" si="25"/>
        <v>17</v>
      </c>
      <c r="BI53" s="240" t="str">
        <f t="shared" ca="1" si="25"/>
        <v>HE</v>
      </c>
    </row>
    <row r="54" spans="1:61" x14ac:dyDescent="0.2">
      <c r="A54" s="303" t="s">
        <v>40</v>
      </c>
      <c r="B54" s="304" t="s">
        <v>49</v>
      </c>
      <c r="C54" s="304">
        <v>17</v>
      </c>
      <c r="D54" s="304" t="s">
        <v>311</v>
      </c>
      <c r="E54" s="305" t="str">
        <f t="shared" ca="1" si="8"/>
        <v>MR</v>
      </c>
      <c r="F54" s="306"/>
      <c r="G54" s="307">
        <f t="shared" ca="1" si="1"/>
        <v>33</v>
      </c>
      <c r="H54" s="250"/>
      <c r="I54" s="250"/>
      <c r="J54" s="262"/>
      <c r="K54" s="262"/>
      <c r="AF54" s="236">
        <f t="shared" si="2"/>
        <v>1</v>
      </c>
      <c r="AG54" s="236" t="str">
        <f t="shared" ca="1" si="3"/>
        <v/>
      </c>
      <c r="AH54" s="236" t="str">
        <f t="shared" ca="1" si="18"/>
        <v/>
      </c>
      <c r="AJ54" s="236">
        <f t="shared" ca="1" si="19"/>
        <v>54</v>
      </c>
      <c r="AK54" s="236" t="str">
        <f t="shared" ca="1" si="20"/>
        <v>BBB-</v>
      </c>
      <c r="AL54" s="236">
        <f t="shared" ca="1" si="20"/>
        <v>17</v>
      </c>
      <c r="AM54" s="236" t="str">
        <f t="shared" ca="1" si="4"/>
        <v/>
      </c>
      <c r="AQ54" s="286" t="s">
        <v>14</v>
      </c>
      <c r="AR54" s="286" t="s">
        <v>10</v>
      </c>
      <c r="AS54" s="286">
        <v>20</v>
      </c>
      <c r="AT54" s="286" t="s">
        <v>335</v>
      </c>
      <c r="AV54" s="234">
        <f t="shared" si="21"/>
        <v>2</v>
      </c>
      <c r="AW54" s="234">
        <f>COUNTIF( AV$7:AV54, AV54 )</f>
        <v>10</v>
      </c>
      <c r="AX54" s="287">
        <f t="shared" si="22"/>
        <v>3</v>
      </c>
      <c r="AY54" s="234">
        <f t="shared" si="23"/>
        <v>11</v>
      </c>
      <c r="AZ54" s="236"/>
      <c r="BA54" s="236"/>
      <c r="BC54" s="234">
        <f t="shared" ca="1" si="24"/>
        <v>48</v>
      </c>
      <c r="BD54" s="288">
        <f t="shared" ca="1" si="6"/>
        <v>30</v>
      </c>
      <c r="BF54" s="240" t="str">
        <f t="shared" ca="1" si="25"/>
        <v>NiSource Inc.</v>
      </c>
      <c r="BG54" s="240" t="str">
        <f t="shared" ca="1" si="25"/>
        <v>BBB-</v>
      </c>
      <c r="BH54" s="240">
        <f t="shared" ca="1" si="25"/>
        <v>17</v>
      </c>
      <c r="BI54" s="240" t="str">
        <f t="shared" ca="1" si="25"/>
        <v>NI</v>
      </c>
    </row>
    <row r="55" spans="1:61" x14ac:dyDescent="0.2">
      <c r="A55" s="303" t="s">
        <v>54</v>
      </c>
      <c r="B55" s="304" t="s">
        <v>49</v>
      </c>
      <c r="C55" s="304">
        <v>17</v>
      </c>
      <c r="D55" s="304" t="s">
        <v>449</v>
      </c>
      <c r="E55" s="305" t="str">
        <f t="shared" ca="1" si="8"/>
        <v>R</v>
      </c>
      <c r="F55" s="306"/>
      <c r="G55" s="307">
        <f t="shared" ca="1" si="1"/>
        <v>62</v>
      </c>
      <c r="H55" s="250"/>
      <c r="I55" s="250"/>
      <c r="J55" s="262"/>
      <c r="K55" s="262"/>
      <c r="AF55" s="236">
        <f t="shared" si="2"/>
        <v>1</v>
      </c>
      <c r="AG55" s="236" t="str">
        <f t="shared" ca="1" si="3"/>
        <v/>
      </c>
      <c r="AH55" s="236" t="str">
        <f t="shared" ca="1" si="18"/>
        <v/>
      </c>
      <c r="AJ55" s="236">
        <f t="shared" ca="1" si="19"/>
        <v>55</v>
      </c>
      <c r="AK55" s="236" t="str">
        <f t="shared" ca="1" si="20"/>
        <v>BBB-</v>
      </c>
      <c r="AL55" s="236">
        <f t="shared" ca="1" si="20"/>
        <v>17</v>
      </c>
      <c r="AM55" s="236" t="str">
        <f t="shared" ca="1" si="4"/>
        <v/>
      </c>
      <c r="AQ55" s="286" t="s">
        <v>59</v>
      </c>
      <c r="AR55" s="286" t="s">
        <v>16</v>
      </c>
      <c r="AS55" s="286">
        <v>19</v>
      </c>
      <c r="AT55" s="286" t="s">
        <v>337</v>
      </c>
      <c r="AV55" s="234">
        <f t="shared" si="21"/>
        <v>14</v>
      </c>
      <c r="AW55" s="234">
        <f>COUNTIF( AV$7:AV55, AV55 )</f>
        <v>15</v>
      </c>
      <c r="AX55" s="287">
        <f t="shared" si="22"/>
        <v>15.5</v>
      </c>
      <c r="AY55" s="234">
        <f t="shared" si="23"/>
        <v>28</v>
      </c>
      <c r="AZ55" s="236"/>
      <c r="BA55" s="236"/>
      <c r="BC55" s="234">
        <f t="shared" ca="1" si="24"/>
        <v>49</v>
      </c>
      <c r="BD55" s="288">
        <f t="shared" ca="1" si="6"/>
        <v>42</v>
      </c>
      <c r="BF55" s="240" t="str">
        <f t="shared" ca="1" si="25"/>
        <v>Puget Energy, Inc.</v>
      </c>
      <c r="BG55" s="240" t="str">
        <f t="shared" ca="1" si="25"/>
        <v>BBB-</v>
      </c>
      <c r="BH55" s="240">
        <f t="shared" ca="1" si="25"/>
        <v>17</v>
      </c>
      <c r="BI55" s="240" t="str">
        <f t="shared" ca="1" si="25"/>
        <v>**PSD</v>
      </c>
    </row>
    <row r="56" spans="1:61" x14ac:dyDescent="0.2">
      <c r="A56" s="303" t="s">
        <v>58</v>
      </c>
      <c r="B56" s="304" t="s">
        <v>56</v>
      </c>
      <c r="C56" s="304">
        <v>16</v>
      </c>
      <c r="D56" s="304" t="s">
        <v>446</v>
      </c>
      <c r="E56" s="305" t="str">
        <f t="shared" ca="1" si="8"/>
        <v>R</v>
      </c>
      <c r="F56" s="306"/>
      <c r="G56" s="307">
        <f t="shared" ca="1" si="1"/>
        <v>60</v>
      </c>
      <c r="H56" s="250"/>
      <c r="I56" s="250"/>
      <c r="J56" s="262"/>
      <c r="K56" s="262"/>
      <c r="AF56" s="236">
        <f t="shared" si="2"/>
        <v>0</v>
      </c>
      <c r="AG56" s="236" t="str">
        <f t="shared" ca="1" si="3"/>
        <v/>
      </c>
      <c r="AH56" s="236" t="str">
        <f t="shared" ca="1" si="18"/>
        <v/>
      </c>
      <c r="AJ56" s="236">
        <f t="shared" ca="1" si="19"/>
        <v>56</v>
      </c>
      <c r="AK56" s="236" t="str">
        <f t="shared" ca="1" si="20"/>
        <v>BB+</v>
      </c>
      <c r="AL56" s="236">
        <f t="shared" ca="1" si="20"/>
        <v>16</v>
      </c>
      <c r="AM56" s="236" t="str">
        <f t="shared" ca="1" si="4"/>
        <v/>
      </c>
      <c r="AQ56" s="286" t="s">
        <v>26</v>
      </c>
      <c r="AR56" s="286" t="s">
        <v>10</v>
      </c>
      <c r="AS56" s="286">
        <v>20</v>
      </c>
      <c r="AT56" s="286" t="s">
        <v>336</v>
      </c>
      <c r="AV56" s="234">
        <f t="shared" si="21"/>
        <v>2</v>
      </c>
      <c r="AW56" s="234">
        <f>COUNTIF( AV$7:AV56, AV56 )</f>
        <v>11</v>
      </c>
      <c r="AX56" s="287">
        <f t="shared" si="22"/>
        <v>3.1</v>
      </c>
      <c r="AY56" s="234">
        <f t="shared" si="23"/>
        <v>12</v>
      </c>
      <c r="AZ56" s="236"/>
      <c r="BA56" s="236"/>
      <c r="BC56" s="234">
        <f t="shared" ca="1" si="24"/>
        <v>50</v>
      </c>
      <c r="BD56" s="288">
        <f t="shared" ca="1" si="6"/>
        <v>27</v>
      </c>
      <c r="BF56" s="240" t="str">
        <f t="shared" ca="1" si="25"/>
        <v>IPALCO Enterprises, Inc.</v>
      </c>
      <c r="BG56" s="240" t="str">
        <f t="shared" ca="1" si="25"/>
        <v>BB+</v>
      </c>
      <c r="BH56" s="240">
        <f t="shared" ca="1" si="25"/>
        <v>16</v>
      </c>
      <c r="BI56" s="240" t="str">
        <f t="shared" ca="1" si="25"/>
        <v>**IPALCO</v>
      </c>
    </row>
    <row r="57" spans="1:61" x14ac:dyDescent="0.2">
      <c r="A57" s="303" t="s">
        <v>64</v>
      </c>
      <c r="B57" s="304" t="s">
        <v>61</v>
      </c>
      <c r="C57" s="304">
        <v>15</v>
      </c>
      <c r="D57" s="304" t="s">
        <v>443</v>
      </c>
      <c r="E57" s="305" t="str">
        <f t="shared" ca="1" si="8"/>
        <v>R</v>
      </c>
      <c r="F57" s="306"/>
      <c r="G57" s="307">
        <f t="shared" ca="1" si="1"/>
        <v>58</v>
      </c>
      <c r="H57" s="250"/>
      <c r="I57" s="250"/>
      <c r="J57" s="262"/>
      <c r="K57" s="262"/>
      <c r="AF57" s="236">
        <f t="shared" si="2"/>
        <v>1</v>
      </c>
      <c r="AG57" s="236" t="str">
        <f t="shared" ca="1" si="3"/>
        <v/>
      </c>
      <c r="AH57" s="236" t="str">
        <f t="shared" ca="1" si="18"/>
        <v/>
      </c>
      <c r="AJ57" s="236">
        <f t="shared" ca="1" si="19"/>
        <v>57</v>
      </c>
      <c r="AK57" s="236" t="str">
        <f t="shared" ca="1" si="20"/>
        <v>BB</v>
      </c>
      <c r="AL57" s="236">
        <f t="shared" ca="1" si="20"/>
        <v>15</v>
      </c>
      <c r="AM57" s="236" t="str">
        <f t="shared" ca="1" si="4"/>
        <v/>
      </c>
      <c r="AQ57" s="286" t="s">
        <v>258</v>
      </c>
      <c r="AR57" s="286" t="s">
        <v>10</v>
      </c>
      <c r="AS57" s="286">
        <v>20</v>
      </c>
      <c r="AT57" s="286" t="s">
        <v>338</v>
      </c>
      <c r="AV57" s="234">
        <f t="shared" si="21"/>
        <v>2</v>
      </c>
      <c r="AW57" s="234">
        <f>COUNTIF( AV$7:AV57, AV57 )</f>
        <v>12</v>
      </c>
      <c r="AX57" s="287">
        <f t="shared" si="22"/>
        <v>3.2</v>
      </c>
      <c r="AY57" s="234">
        <f t="shared" si="23"/>
        <v>13</v>
      </c>
      <c r="AZ57" s="236"/>
      <c r="BA57" s="236"/>
      <c r="BC57" s="234">
        <f t="shared" ca="1" si="24"/>
        <v>51</v>
      </c>
      <c r="BD57" s="288">
        <f t="shared" ca="1" si="6"/>
        <v>13</v>
      </c>
      <c r="BF57" s="240" t="str">
        <f t="shared" ca="1" si="25"/>
        <v>DPL Inc.</v>
      </c>
      <c r="BG57" s="240" t="str">
        <f t="shared" ca="1" si="25"/>
        <v>BB</v>
      </c>
      <c r="BH57" s="240">
        <f t="shared" ca="1" si="25"/>
        <v>15</v>
      </c>
      <c r="BI57" s="240" t="str">
        <f t="shared" ca="1" si="25"/>
        <v>**DPL</v>
      </c>
    </row>
    <row r="58" spans="1:61" x14ac:dyDescent="0.2">
      <c r="A58" s="303"/>
      <c r="B58" s="304"/>
      <c r="C58" s="304"/>
      <c r="D58" s="304"/>
      <c r="E58" s="305" t="str">
        <f t="shared" ca="1" si="8"/>
        <v/>
      </c>
      <c r="F58" s="306"/>
      <c r="G58" s="307" t="str">
        <f t="shared" ca="1" si="1"/>
        <v/>
      </c>
      <c r="H58" s="250"/>
      <c r="I58" s="250"/>
      <c r="J58" s="262"/>
      <c r="K58" s="262"/>
      <c r="AF58" s="236">
        <f t="shared" si="2"/>
        <v>0</v>
      </c>
      <c r="AG58" s="236" t="str">
        <f t="shared" si="3"/>
        <v/>
      </c>
      <c r="AH58" s="236" t="str">
        <f t="shared" si="18"/>
        <v/>
      </c>
      <c r="AJ58" s="236" t="e">
        <f t="shared" ca="1" si="19"/>
        <v>#N/A</v>
      </c>
      <c r="AK58" s="236" t="str">
        <f t="shared" ca="1" si="20"/>
        <v/>
      </c>
      <c r="AL58" s="236" t="str">
        <f t="shared" ca="1" si="20"/>
        <v/>
      </c>
      <c r="AM58" s="236" t="str">
        <f t="shared" ca="1" si="4"/>
        <v/>
      </c>
      <c r="AQ58" s="286"/>
      <c r="AR58" s="286"/>
      <c r="AS58" s="286"/>
      <c r="AT58" s="286"/>
      <c r="AV58" s="234">
        <f t="shared" si="21"/>
        <v>99</v>
      </c>
      <c r="AW58" s="234">
        <f>COUNTIF( AV$7:AV58, AV58 )</f>
        <v>1</v>
      </c>
      <c r="AX58" s="287">
        <f t="shared" si="22"/>
        <v>99.1</v>
      </c>
      <c r="AY58" s="234">
        <f t="shared" si="23"/>
        <v>52</v>
      </c>
      <c r="AZ58" s="236"/>
      <c r="BA58" s="236"/>
      <c r="BC58" s="234">
        <f t="shared" ca="1" si="24"/>
        <v>52</v>
      </c>
      <c r="BD58" s="288">
        <f t="shared" ca="1" si="6"/>
        <v>52</v>
      </c>
      <c r="BF58" s="240">
        <f t="shared" ca="1" si="25"/>
        <v>0</v>
      </c>
      <c r="BG58" s="240">
        <f t="shared" ca="1" si="25"/>
        <v>0</v>
      </c>
      <c r="BH58" s="240">
        <f t="shared" ca="1" si="25"/>
        <v>0</v>
      </c>
      <c r="BI58" s="240">
        <f t="shared" ca="1" si="25"/>
        <v>0</v>
      </c>
    </row>
    <row r="59" spans="1:61" x14ac:dyDescent="0.2">
      <c r="A59" s="303"/>
      <c r="B59" s="304"/>
      <c r="C59" s="304"/>
      <c r="D59" s="304"/>
      <c r="E59" s="305" t="str">
        <f t="shared" ca="1" si="8"/>
        <v/>
      </c>
      <c r="F59" s="306"/>
      <c r="G59" s="307" t="str">
        <f t="shared" ca="1" si="1"/>
        <v/>
      </c>
      <c r="H59" s="250"/>
      <c r="I59" s="250"/>
      <c r="J59" s="262"/>
      <c r="K59" s="262"/>
      <c r="AF59" s="236">
        <f t="shared" si="2"/>
        <v>0</v>
      </c>
      <c r="AG59" s="236" t="str">
        <f t="shared" si="3"/>
        <v/>
      </c>
      <c r="AH59" s="236" t="str">
        <f t="shared" si="18"/>
        <v/>
      </c>
      <c r="AJ59" s="236" t="e">
        <f t="shared" ca="1" si="19"/>
        <v>#N/A</v>
      </c>
      <c r="AK59" s="236" t="str">
        <f t="shared" ca="1" si="20"/>
        <v/>
      </c>
      <c r="AL59" s="236" t="str">
        <f t="shared" ca="1" si="20"/>
        <v/>
      </c>
      <c r="AM59" s="236" t="str">
        <f t="shared" ca="1" si="4"/>
        <v/>
      </c>
      <c r="AQ59" s="286"/>
      <c r="AR59" s="286"/>
      <c r="AS59" s="286"/>
      <c r="AT59" s="286"/>
      <c r="AV59" s="234">
        <f t="shared" si="21"/>
        <v>99</v>
      </c>
      <c r="AW59" s="234">
        <f>COUNTIF( AV$7:AV59, AV59 )</f>
        <v>2</v>
      </c>
      <c r="AX59" s="287">
        <f t="shared" si="22"/>
        <v>99.2</v>
      </c>
      <c r="AY59" s="234">
        <f t="shared" si="23"/>
        <v>53</v>
      </c>
      <c r="AZ59" s="236"/>
      <c r="BA59" s="236"/>
      <c r="BC59" s="234">
        <f t="shared" ca="1" si="24"/>
        <v>53</v>
      </c>
      <c r="BD59" s="288">
        <f t="shared" ca="1" si="6"/>
        <v>53</v>
      </c>
      <c r="BF59" s="240">
        <f t="shared" ca="1" si="25"/>
        <v>0</v>
      </c>
      <c r="BG59" s="240">
        <f t="shared" ca="1" si="25"/>
        <v>0</v>
      </c>
      <c r="BH59" s="240">
        <f t="shared" ca="1" si="25"/>
        <v>0</v>
      </c>
      <c r="BI59" s="240">
        <f t="shared" ca="1" si="25"/>
        <v>0</v>
      </c>
    </row>
    <row r="60" spans="1:61" ht="13.5" thickBot="1" x14ac:dyDescent="0.25">
      <c r="A60" s="265"/>
      <c r="B60" s="266"/>
      <c r="C60" s="266"/>
      <c r="D60" s="266"/>
      <c r="E60" s="267" t="str">
        <f t="shared" ca="1" si="8"/>
        <v/>
      </c>
      <c r="F60" s="250"/>
      <c r="G60" s="251" t="str">
        <f t="shared" ca="1" si="1"/>
        <v/>
      </c>
      <c r="H60" s="250"/>
      <c r="I60" s="250"/>
      <c r="AF60" s="236">
        <f t="shared" si="2"/>
        <v>0</v>
      </c>
      <c r="AG60" s="236" t="str">
        <f t="shared" si="3"/>
        <v/>
      </c>
      <c r="AH60" s="236" t="str">
        <f t="shared" si="18"/>
        <v/>
      </c>
      <c r="AJ60" s="236" t="e">
        <f t="shared" ca="1" si="19"/>
        <v>#N/A</v>
      </c>
      <c r="AK60" s="236" t="str">
        <f t="shared" ca="1" si="20"/>
        <v/>
      </c>
      <c r="AL60" s="236" t="str">
        <f t="shared" ca="1" si="20"/>
        <v/>
      </c>
      <c r="AM60" s="236" t="str">
        <f t="shared" ca="1" si="4"/>
        <v/>
      </c>
      <c r="AQ60" s="286"/>
      <c r="AR60" s="286"/>
      <c r="AS60" s="286"/>
      <c r="AT60" s="286"/>
      <c r="AV60" s="234">
        <f t="shared" si="21"/>
        <v>99</v>
      </c>
      <c r="AW60" s="234">
        <f>COUNTIF( AV$7:AV60, AV60 )</f>
        <v>3</v>
      </c>
      <c r="AX60" s="287">
        <f t="shared" si="22"/>
        <v>99.3</v>
      </c>
      <c r="AY60" s="234">
        <f t="shared" si="23"/>
        <v>54</v>
      </c>
      <c r="AZ60" s="236"/>
      <c r="BA60" s="236"/>
      <c r="BC60" s="234">
        <f t="shared" ca="1" si="24"/>
        <v>54</v>
      </c>
      <c r="BD60" s="288">
        <f t="shared" ca="1" si="6"/>
        <v>54</v>
      </c>
      <c r="BF60" s="240">
        <f t="shared" ca="1" si="25"/>
        <v>0</v>
      </c>
      <c r="BG60" s="240">
        <f t="shared" ca="1" si="25"/>
        <v>0</v>
      </c>
      <c r="BH60" s="240">
        <f t="shared" ca="1" si="25"/>
        <v>0</v>
      </c>
      <c r="BI60" s="240">
        <f t="shared" ca="1" si="25"/>
        <v>0</v>
      </c>
    </row>
    <row r="61" spans="1:61" x14ac:dyDescent="0.2">
      <c r="A61" s="308" t="s">
        <v>474</v>
      </c>
      <c r="B61" s="309" t="s">
        <v>108</v>
      </c>
      <c r="C61" s="309">
        <v>23</v>
      </c>
      <c r="D61" s="309" t="s">
        <v>440</v>
      </c>
      <c r="E61" s="310" t="str">
        <f t="shared" ca="1" si="8"/>
        <v>MR</v>
      </c>
      <c r="F61" s="311"/>
      <c r="G61" s="312">
        <f t="shared" ca="1" si="1"/>
        <v>31</v>
      </c>
      <c r="H61" s="250"/>
      <c r="I61" s="250"/>
      <c r="AF61" s="236">
        <f t="shared" si="2"/>
        <v>1</v>
      </c>
      <c r="AG61" s="236" t="str">
        <f t="shared" ca="1" si="3"/>
        <v/>
      </c>
      <c r="AH61" s="236" t="str">
        <f t="shared" ca="1" si="18"/>
        <v/>
      </c>
      <c r="AJ61" s="236">
        <f t="shared" ca="1" si="19"/>
        <v>62</v>
      </c>
      <c r="AK61" s="236" t="str">
        <f t="shared" ca="1" si="20"/>
        <v>AA-</v>
      </c>
      <c r="AL61" s="236">
        <f t="shared" ca="1" si="20"/>
        <v>23</v>
      </c>
      <c r="AM61" s="236" t="str">
        <f t="shared" ca="1" si="4"/>
        <v/>
      </c>
      <c r="AQ61" s="286"/>
      <c r="AR61" s="286"/>
      <c r="AS61" s="286"/>
      <c r="AT61" s="286"/>
      <c r="AV61" s="234">
        <f t="shared" si="21"/>
        <v>99</v>
      </c>
      <c r="AW61" s="234">
        <f>COUNTIF( AV$7:AV61, AV61 )</f>
        <v>4</v>
      </c>
      <c r="AX61" s="287">
        <f t="shared" si="22"/>
        <v>99.4</v>
      </c>
      <c r="AY61" s="234">
        <f t="shared" si="23"/>
        <v>55</v>
      </c>
      <c r="AZ61" s="236"/>
      <c r="BA61" s="236"/>
      <c r="BC61" s="234">
        <f t="shared" ca="1" si="24"/>
        <v>55</v>
      </c>
      <c r="BD61" s="288">
        <f t="shared" ca="1" si="6"/>
        <v>55</v>
      </c>
      <c r="BF61" s="240">
        <f t="shared" ca="1" si="25"/>
        <v>0</v>
      </c>
      <c r="BG61" s="240">
        <f t="shared" ca="1" si="25"/>
        <v>0</v>
      </c>
      <c r="BH61" s="240">
        <f t="shared" ca="1" si="25"/>
        <v>0</v>
      </c>
      <c r="BI61" s="240">
        <f t="shared" ca="1" si="25"/>
        <v>0</v>
      </c>
    </row>
    <row r="62" spans="1:61" x14ac:dyDescent="0.2">
      <c r="A62" s="303" t="s">
        <v>476</v>
      </c>
      <c r="B62" s="304" t="s">
        <v>28</v>
      </c>
      <c r="C62" s="304">
        <v>18</v>
      </c>
      <c r="D62" s="304" t="s">
        <v>442</v>
      </c>
      <c r="E62" s="305" t="str">
        <f t="shared" ca="1" si="8"/>
        <v>R</v>
      </c>
      <c r="F62" s="306"/>
      <c r="G62" s="307">
        <f t="shared" ca="1" si="1"/>
        <v>51</v>
      </c>
      <c r="H62" s="250"/>
      <c r="I62" s="250"/>
      <c r="AF62" s="236">
        <f t="shared" si="2"/>
        <v>0</v>
      </c>
      <c r="AG62" s="236" t="str">
        <f t="shared" ca="1" si="3"/>
        <v/>
      </c>
      <c r="AH62" s="236" t="str">
        <f t="shared" ca="1" si="18"/>
        <v/>
      </c>
      <c r="AJ62" s="236">
        <f t="shared" ca="1" si="19"/>
        <v>63</v>
      </c>
      <c r="AK62" s="236" t="str">
        <f t="shared" ca="1" si="20"/>
        <v>BBB</v>
      </c>
      <c r="AL62" s="236">
        <f t="shared" ca="1" si="20"/>
        <v>18</v>
      </c>
      <c r="AM62" s="236" t="str">
        <f t="shared" ca="1" si="4"/>
        <v/>
      </c>
      <c r="AQ62" s="286"/>
      <c r="AR62" s="286"/>
      <c r="AS62" s="286"/>
      <c r="AT62" s="286"/>
      <c r="AV62" s="234">
        <f t="shared" si="21"/>
        <v>99</v>
      </c>
      <c r="AW62" s="234">
        <f>COUNTIF( AV$7:AV62, AV62 )</f>
        <v>5</v>
      </c>
      <c r="AX62" s="287">
        <f t="shared" si="22"/>
        <v>99.5</v>
      </c>
      <c r="AY62" s="234">
        <f t="shared" si="23"/>
        <v>56</v>
      </c>
      <c r="AZ62" s="236"/>
      <c r="BA62" s="236"/>
      <c r="BC62" s="234">
        <f t="shared" ca="1" si="24"/>
        <v>56</v>
      </c>
      <c r="BD62" s="288">
        <f t="shared" ca="1" si="6"/>
        <v>56</v>
      </c>
      <c r="BF62" s="240">
        <f t="shared" ca="1" si="25"/>
        <v>0</v>
      </c>
      <c r="BG62" s="240">
        <f t="shared" ca="1" si="25"/>
        <v>0</v>
      </c>
      <c r="BH62" s="240">
        <f t="shared" ca="1" si="25"/>
        <v>0</v>
      </c>
      <c r="BI62" s="240">
        <f t="shared" ca="1" si="25"/>
        <v>0</v>
      </c>
    </row>
    <row r="63" spans="1:61" x14ac:dyDescent="0.2">
      <c r="A63" s="303" t="s">
        <v>477</v>
      </c>
      <c r="B63" s="304"/>
      <c r="C63" s="304"/>
      <c r="D63" s="304" t="s">
        <v>448</v>
      </c>
      <c r="E63" s="305" t="str">
        <f t="shared" ca="1" si="8"/>
        <v>R</v>
      </c>
      <c r="F63" s="306"/>
      <c r="G63" s="307">
        <f t="shared" ca="1" si="1"/>
        <v>50</v>
      </c>
      <c r="H63" s="250"/>
      <c r="I63" s="250"/>
      <c r="AF63" s="236">
        <f t="shared" si="2"/>
        <v>0</v>
      </c>
      <c r="AG63" s="236" t="str">
        <f t="shared" si="3"/>
        <v/>
      </c>
      <c r="AH63" s="236" t="str">
        <f t="shared" si="18"/>
        <v/>
      </c>
      <c r="AJ63" s="236">
        <f t="shared" ca="1" si="19"/>
        <v>64</v>
      </c>
      <c r="AK63" s="236">
        <f t="shared" ca="1" si="20"/>
        <v>0</v>
      </c>
      <c r="AL63" s="236">
        <f t="shared" ca="1" si="20"/>
        <v>0</v>
      </c>
      <c r="AM63" s="236" t="str">
        <f t="shared" ca="1" si="4"/>
        <v/>
      </c>
      <c r="AQ63" s="286"/>
      <c r="AR63" s="286"/>
      <c r="AS63" s="286"/>
      <c r="AT63" s="286"/>
      <c r="AU63" s="286"/>
      <c r="AV63" s="234">
        <f t="shared" si="21"/>
        <v>99</v>
      </c>
      <c r="AW63" s="234">
        <f>COUNTIF( AV$7:AV63, AV63 )</f>
        <v>6</v>
      </c>
      <c r="AX63" s="287">
        <f t="shared" si="22"/>
        <v>99.6</v>
      </c>
      <c r="AY63" s="234">
        <f t="shared" si="23"/>
        <v>57</v>
      </c>
      <c r="AZ63" s="236"/>
      <c r="BA63" s="236"/>
      <c r="BC63" s="234">
        <f t="shared" ca="1" si="24"/>
        <v>57</v>
      </c>
      <c r="BD63" s="288">
        <f ca="1">MATCH( BC63, $AY$7:$AY$63, 0 )</f>
        <v>57</v>
      </c>
      <c r="BF63" s="240">
        <f t="shared" ca="1" si="25"/>
        <v>0</v>
      </c>
      <c r="BG63" s="240">
        <f t="shared" ca="1" si="25"/>
        <v>0</v>
      </c>
      <c r="BH63" s="240">
        <f t="shared" ca="1" si="25"/>
        <v>0</v>
      </c>
      <c r="BI63" s="240">
        <f t="shared" ca="1" si="25"/>
        <v>0</v>
      </c>
    </row>
    <row r="64" spans="1:61" x14ac:dyDescent="0.2">
      <c r="A64" s="303" t="s">
        <v>249</v>
      </c>
      <c r="B64" s="304"/>
      <c r="C64" s="304"/>
      <c r="D64" s="304" t="s">
        <v>445</v>
      </c>
      <c r="E64" s="305" t="str">
        <f t="shared" ca="1" si="8"/>
        <v>D</v>
      </c>
      <c r="F64" s="306"/>
      <c r="G64" s="307">
        <f t="shared" ca="1" si="1"/>
        <v>59</v>
      </c>
      <c r="H64" s="250"/>
      <c r="I64" s="250"/>
      <c r="AF64" s="236">
        <f t="shared" si="2"/>
        <v>0</v>
      </c>
      <c r="AG64" s="236" t="str">
        <f t="shared" si="3"/>
        <v/>
      </c>
      <c r="AH64" s="236" t="str">
        <f t="shared" si="18"/>
        <v/>
      </c>
      <c r="AJ64" s="236">
        <f t="shared" ca="1" si="19"/>
        <v>58</v>
      </c>
      <c r="AK64" s="236" t="str">
        <f t="shared" ca="1" si="20"/>
        <v>CCC-</v>
      </c>
      <c r="AL64" s="236">
        <f t="shared" ca="1" si="20"/>
        <v>8</v>
      </c>
      <c r="AM64" s="236" t="str">
        <f t="shared" ca="1" si="4"/>
        <v>Change</v>
      </c>
      <c r="AQ64" s="286" t="s">
        <v>474</v>
      </c>
      <c r="AR64" s="286" t="s">
        <v>108</v>
      </c>
      <c r="AS64" s="286">
        <v>23</v>
      </c>
      <c r="AT64" s="286" t="s">
        <v>440</v>
      </c>
      <c r="AU64" s="286"/>
      <c r="AZ64" s="236"/>
      <c r="BA64" s="236"/>
      <c r="BF64" s="236"/>
    </row>
    <row r="65" spans="1:58" x14ac:dyDescent="0.2">
      <c r="A65" s="303"/>
      <c r="B65" s="313"/>
      <c r="C65" s="304"/>
      <c r="D65" s="304"/>
      <c r="E65" s="305"/>
      <c r="F65" s="306"/>
      <c r="G65" s="307"/>
      <c r="H65" s="250"/>
      <c r="I65" s="250"/>
      <c r="N65" s="234" t="s">
        <v>73</v>
      </c>
      <c r="AF65" s="236">
        <f t="shared" si="2"/>
        <v>0</v>
      </c>
      <c r="AG65" s="236" t="str">
        <f>IF( LEN( $C65 ) = 0, "", IF( $C65 &gt; $AL65, 1, "" ) )</f>
        <v/>
      </c>
      <c r="AH65" s="236" t="str">
        <f t="shared" si="18"/>
        <v/>
      </c>
      <c r="AJ65" s="236" t="e">
        <f t="shared" ca="1" si="19"/>
        <v>#N/A</v>
      </c>
      <c r="AK65" s="236" t="str">
        <f t="shared" ca="1" si="20"/>
        <v/>
      </c>
      <c r="AL65" s="236" t="str">
        <f t="shared" ca="1" si="20"/>
        <v/>
      </c>
      <c r="AM65" s="236" t="str">
        <f t="shared" ca="1" si="4"/>
        <v/>
      </c>
      <c r="AQ65" s="286" t="s">
        <v>428</v>
      </c>
      <c r="AR65" s="286" t="s">
        <v>28</v>
      </c>
      <c r="AS65" s="286">
        <v>18</v>
      </c>
      <c r="AT65" s="286" t="s">
        <v>442</v>
      </c>
      <c r="AU65" s="286"/>
      <c r="AZ65" s="236"/>
      <c r="BA65" s="236"/>
      <c r="BF65" s="236"/>
    </row>
    <row r="66" spans="1:58" x14ac:dyDescent="0.2">
      <c r="A66" s="268"/>
      <c r="B66" s="269"/>
      <c r="C66" s="270"/>
      <c r="D66" s="270"/>
      <c r="E66" s="249"/>
      <c r="F66" s="250"/>
      <c r="H66" s="250"/>
      <c r="I66" s="250"/>
      <c r="AF66" s="236">
        <f t="shared" si="2"/>
        <v>0</v>
      </c>
      <c r="AG66" s="236" t="str">
        <f t="shared" ref="AG66:AG67" si="26">IF( LEN( $C66 ) = 0, "", IF( $C66 &gt; $AL66, 1, "" ) )</f>
        <v/>
      </c>
      <c r="AH66" s="236" t="str">
        <f t="shared" si="18"/>
        <v/>
      </c>
      <c r="AJ66" s="236" t="e">
        <f t="shared" ca="1" si="19"/>
        <v>#N/A</v>
      </c>
      <c r="AK66" s="236" t="str">
        <f t="shared" ca="1" si="20"/>
        <v/>
      </c>
      <c r="AL66" s="236" t="str">
        <f t="shared" ca="1" si="20"/>
        <v/>
      </c>
      <c r="AM66" s="236" t="str">
        <f t="shared" ca="1" si="4"/>
        <v/>
      </c>
      <c r="AQ66" s="286" t="s">
        <v>477</v>
      </c>
      <c r="AR66" s="286"/>
      <c r="AS66" s="286"/>
      <c r="AT66" s="286" t="s">
        <v>448</v>
      </c>
      <c r="AU66" s="286"/>
      <c r="AX66" s="287"/>
      <c r="AZ66" s="236"/>
      <c r="BA66" s="236"/>
      <c r="BD66" s="288"/>
      <c r="BF66" s="236"/>
    </row>
    <row r="67" spans="1:58" ht="13.5" thickBot="1" x14ac:dyDescent="0.25">
      <c r="A67" s="271"/>
      <c r="B67" s="272"/>
      <c r="C67" s="337"/>
      <c r="D67" s="272"/>
      <c r="E67" s="273"/>
      <c r="F67" s="250"/>
      <c r="H67" s="250"/>
      <c r="I67" s="250"/>
      <c r="AF67" s="236">
        <f t="shared" si="2"/>
        <v>0</v>
      </c>
      <c r="AG67" s="236" t="str">
        <f t="shared" si="26"/>
        <v/>
      </c>
      <c r="AH67" s="236" t="str">
        <f t="shared" si="18"/>
        <v/>
      </c>
      <c r="AJ67" s="236" t="e">
        <f t="shared" ca="1" si="19"/>
        <v>#N/A</v>
      </c>
      <c r="AK67" s="236" t="str">
        <f t="shared" ca="1" si="20"/>
        <v/>
      </c>
      <c r="AL67" s="236" t="str">
        <f t="shared" ca="1" si="20"/>
        <v/>
      </c>
      <c r="AM67" s="236" t="str">
        <f t="shared" ca="1" si="4"/>
        <v/>
      </c>
      <c r="AQ67" s="286" t="s">
        <v>249</v>
      </c>
      <c r="AR67" s="286"/>
      <c r="AS67" s="286"/>
      <c r="AT67" s="286" t="s">
        <v>445</v>
      </c>
      <c r="AX67" s="287"/>
      <c r="AZ67" s="236"/>
      <c r="BA67" s="236"/>
      <c r="BD67" s="288"/>
      <c r="BF67" s="236"/>
    </row>
    <row r="68" spans="1:58" x14ac:dyDescent="0.2">
      <c r="A68" s="274" t="s">
        <v>135</v>
      </c>
      <c r="B68" s="275" t="str">
        <f ca="1">OFFSET( Scale!$H$5, ROUND( C68, 0 ) - 1, 1 )</f>
        <v>BBB+</v>
      </c>
      <c r="C68" s="276">
        <f>AVERAGE(C7:C65)</f>
        <v>18.716981132075471</v>
      </c>
      <c r="D68" s="276"/>
      <c r="E68" s="276"/>
      <c r="F68" s="250"/>
      <c r="H68" s="250"/>
      <c r="I68" s="250"/>
      <c r="J68" s="253"/>
      <c r="K68" s="253"/>
      <c r="AX68" s="287"/>
      <c r="AZ68" s="236"/>
      <c r="BA68" s="236"/>
      <c r="BD68" s="288"/>
      <c r="BF68" s="236"/>
    </row>
    <row r="69" spans="1:58" x14ac:dyDescent="0.2">
      <c r="A69" s="277"/>
      <c r="B69" s="278"/>
      <c r="F69" s="250"/>
      <c r="H69" s="250"/>
      <c r="I69" s="250"/>
      <c r="AX69" s="287"/>
      <c r="AZ69" s="236"/>
      <c r="BA69" s="236"/>
      <c r="BD69" s="288"/>
      <c r="BF69" s="236"/>
    </row>
    <row r="70" spans="1:58" x14ac:dyDescent="0.2">
      <c r="A70" s="277"/>
      <c r="B70" s="278"/>
      <c r="F70" s="240"/>
      <c r="H70" s="240"/>
      <c r="I70" s="240"/>
      <c r="J70" s="253"/>
      <c r="K70" s="253"/>
    </row>
    <row r="71" spans="1:58" x14ac:dyDescent="0.2">
      <c r="A71" s="279" t="s">
        <v>267</v>
      </c>
      <c r="F71" s="240"/>
      <c r="H71" s="240"/>
      <c r="I71" s="240"/>
    </row>
    <row r="72" spans="1:58" x14ac:dyDescent="0.2">
      <c r="A72" s="279" t="s">
        <v>366</v>
      </c>
      <c r="B72" s="240"/>
      <c r="D72" s="264"/>
      <c r="E72" s="264"/>
      <c r="F72" s="280"/>
      <c r="H72" s="280"/>
      <c r="I72" s="280"/>
    </row>
    <row r="73" spans="1:58" x14ac:dyDescent="0.2">
      <c r="A73" s="281" t="s">
        <v>357</v>
      </c>
      <c r="B73" s="240"/>
      <c r="D73" s="264"/>
      <c r="E73" s="264"/>
      <c r="F73" s="280"/>
      <c r="H73" s="280"/>
      <c r="I73" s="280"/>
    </row>
    <row r="74" spans="1:58" x14ac:dyDescent="0.2">
      <c r="A74" s="281" t="s">
        <v>470</v>
      </c>
      <c r="D74" s="280"/>
      <c r="E74" s="234"/>
      <c r="F74" s="282"/>
      <c r="H74" s="282"/>
      <c r="I74" s="282"/>
    </row>
    <row r="75" spans="1:58" x14ac:dyDescent="0.2">
      <c r="A75" s="279" t="s">
        <v>359</v>
      </c>
      <c r="D75" s="280"/>
      <c r="E75" s="234"/>
      <c r="F75" s="282"/>
      <c r="H75" s="282"/>
      <c r="I75" s="282"/>
      <c r="AQ75" s="286"/>
      <c r="AR75" s="286"/>
      <c r="AS75" s="286"/>
    </row>
    <row r="76" spans="1:58" x14ac:dyDescent="0.2">
      <c r="A76" s="279" t="s">
        <v>507</v>
      </c>
      <c r="D76" s="280"/>
      <c r="E76" s="234"/>
      <c r="F76" s="282"/>
      <c r="H76" s="282"/>
      <c r="I76" s="282"/>
      <c r="AQ76" s="286"/>
      <c r="AR76" s="286"/>
      <c r="AS76" s="286"/>
    </row>
    <row r="77" spans="1:58" x14ac:dyDescent="0.2">
      <c r="A77" s="279"/>
      <c r="AQ77" s="286"/>
      <c r="AR77" s="286"/>
      <c r="AS77" s="286"/>
    </row>
    <row r="78" spans="1:58" x14ac:dyDescent="0.2">
      <c r="C78" s="339">
        <f>SUMPRODUCT( L8:L13, Y8:Y13 ) / L14</f>
        <v>18.69811320754717</v>
      </c>
      <c r="E78" s="283"/>
      <c r="G78" s="251"/>
      <c r="J78" s="240"/>
      <c r="K78" s="240"/>
      <c r="AQ78" s="286"/>
      <c r="AR78" s="286"/>
      <c r="AS78" s="286"/>
    </row>
    <row r="79" spans="1:58" s="240" customFormat="1" x14ac:dyDescent="0.2">
      <c r="A79" s="284"/>
      <c r="B79" s="285"/>
      <c r="C79" s="285"/>
      <c r="D79" s="285"/>
      <c r="E79" s="249"/>
      <c r="F79" s="234"/>
      <c r="G79" s="236"/>
      <c r="H79" s="234"/>
      <c r="I79" s="234"/>
      <c r="Q79" s="234"/>
      <c r="T79" s="236"/>
      <c r="U79" s="236"/>
      <c r="V79" s="236"/>
      <c r="AF79" s="236"/>
      <c r="AG79" s="236"/>
      <c r="AH79" s="236"/>
      <c r="AJ79" s="236"/>
      <c r="AK79" s="236"/>
      <c r="AL79" s="236"/>
      <c r="AM79" s="236"/>
      <c r="AN79" s="236"/>
      <c r="AQ79" s="286"/>
      <c r="AR79" s="286"/>
      <c r="AS79" s="286"/>
    </row>
  </sheetData>
  <sortState ref="AQ7:AT61">
    <sortCondition ref="AQ7"/>
  </sortState>
  <mergeCells count="9">
    <mergeCell ref="L16:M16"/>
    <mergeCell ref="O16:P16"/>
    <mergeCell ref="R16:S16"/>
    <mergeCell ref="U16:V16"/>
    <mergeCell ref="J5:J6"/>
    <mergeCell ref="L5:M6"/>
    <mergeCell ref="O5:P6"/>
    <mergeCell ref="R5:S6"/>
    <mergeCell ref="U5:V6"/>
  </mergeCells>
  <conditionalFormatting sqref="E7:E59 A60:E61 E61:E65">
    <cfRule type="expression" dxfId="476" priority="28" stopIfTrue="1">
      <formula>IF( $AH7 = 1, TRUE, FALSE )</formula>
    </cfRule>
    <cfRule type="expression" dxfId="475" priority="29" stopIfTrue="1">
      <formula>IF( $AG7 = 1, TRUE, FALSE )</formula>
    </cfRule>
    <cfRule type="expression" dxfId="474" priority="30" stopIfTrue="1">
      <formula>IF( $AF7 = 1, TRUE, FALSE )</formula>
    </cfRule>
  </conditionalFormatting>
  <conditionalFormatting sqref="A67:E67">
    <cfRule type="expression" dxfId="473" priority="31" stopIfTrue="1">
      <formula>IF( $AH67 = 1, TRUE, FALSE )</formula>
    </cfRule>
    <cfRule type="expression" dxfId="472" priority="32" stopIfTrue="1">
      <formula>IF( $AG67 = 1, TRUE, FALSE )</formula>
    </cfRule>
    <cfRule type="expression" dxfId="471" priority="33" stopIfTrue="1">
      <formula>IF( $AF67 = 1, TRUE, FALSE )</formula>
    </cfRule>
  </conditionalFormatting>
  <conditionalFormatting sqref="A66:E66">
    <cfRule type="expression" dxfId="470" priority="25" stopIfTrue="1">
      <formula>IF( $AH66 = 1, TRUE, FALSE )</formula>
    </cfRule>
    <cfRule type="expression" dxfId="469" priority="26" stopIfTrue="1">
      <formula>IF( $AG66 = 1, TRUE, FALSE )</formula>
    </cfRule>
    <cfRule type="expression" dxfId="468" priority="27" stopIfTrue="1">
      <formula>IF( $AF66 = 1, TRUE, FALSE )</formula>
    </cfRule>
  </conditionalFormatting>
  <conditionalFormatting sqref="A8:D58 B7:D7">
    <cfRule type="expression" dxfId="467" priority="22" stopIfTrue="1">
      <formula>IF( $AH7 = 1, TRUE, FALSE )</formula>
    </cfRule>
    <cfRule type="expression" dxfId="466" priority="23" stopIfTrue="1">
      <formula>IF( $AG7 = 1, TRUE, FALSE )</formula>
    </cfRule>
    <cfRule type="expression" dxfId="465" priority="24" stopIfTrue="1">
      <formula>IF( $AF7 = 1, TRUE, FALSE )</formula>
    </cfRule>
  </conditionalFormatting>
  <conditionalFormatting sqref="A59:D59">
    <cfRule type="expression" dxfId="464" priority="19" stopIfTrue="1">
      <formula>IF( $AH59 = 1, TRUE, FALSE )</formula>
    </cfRule>
    <cfRule type="expression" dxfId="463" priority="20" stopIfTrue="1">
      <formula>IF( $AG59 = 1, TRUE, FALSE )</formula>
    </cfRule>
    <cfRule type="expression" dxfId="462" priority="21" stopIfTrue="1">
      <formula>IF( $AF59 = 1, TRUE, FALSE )</formula>
    </cfRule>
  </conditionalFormatting>
  <conditionalFormatting sqref="A61:D65">
    <cfRule type="expression" dxfId="461" priority="16" stopIfTrue="1">
      <formula>IF( $AH61 = 1, TRUE, FALSE )</formula>
    </cfRule>
    <cfRule type="expression" dxfId="460" priority="17" stopIfTrue="1">
      <formula>IF( $AG61 = 1, TRUE, FALSE )</formula>
    </cfRule>
    <cfRule type="expression" dxfId="459" priority="18" stopIfTrue="1">
      <formula>IF( $AF61 = 1, TRUE, FALSE )</formula>
    </cfRule>
  </conditionalFormatting>
  <conditionalFormatting sqref="U8:U12">
    <cfRule type="cellIs" dxfId="458" priority="15" operator="equal">
      <formula>0</formula>
    </cfRule>
  </conditionalFormatting>
  <conditionalFormatting sqref="O8:O12 Q8:Q12">
    <cfRule type="cellIs" dxfId="457" priority="14" operator="equal">
      <formula>0</formula>
    </cfRule>
  </conditionalFormatting>
  <conditionalFormatting sqref="V8:V12">
    <cfRule type="cellIs" dxfId="456" priority="13" operator="equal">
      <formula>0</formula>
    </cfRule>
  </conditionalFormatting>
  <conditionalFormatting sqref="S8:S12">
    <cfRule type="cellIs" dxfId="455" priority="11" operator="equal">
      <formula>0</formula>
    </cfRule>
  </conditionalFormatting>
  <conditionalFormatting sqref="R8:R12">
    <cfRule type="cellIs" dxfId="454" priority="12" operator="equal">
      <formula>0</formula>
    </cfRule>
  </conditionalFormatting>
  <conditionalFormatting sqref="P8:P12">
    <cfRule type="cellIs" dxfId="453" priority="10" operator="equal">
      <formula>0</formula>
    </cfRule>
  </conditionalFormatting>
  <conditionalFormatting sqref="M8:M12">
    <cfRule type="cellIs" dxfId="452" priority="9" operator="equal">
      <formula>0</formula>
    </cfRule>
  </conditionalFormatting>
  <conditionalFormatting sqref="T8:T12">
    <cfRule type="cellIs" dxfId="451" priority="8" operator="equal">
      <formula>0</formula>
    </cfRule>
  </conditionalFormatting>
  <conditionalFormatting sqref="N8:N12">
    <cfRule type="cellIs" dxfId="450" priority="7" operator="equal">
      <formula>0</formula>
    </cfRule>
  </conditionalFormatting>
  <conditionalFormatting sqref="K8:K12">
    <cfRule type="cellIs" dxfId="449" priority="6" operator="equal">
      <formula>0</formula>
    </cfRule>
  </conditionalFormatting>
  <conditionalFormatting sqref="I8:I12">
    <cfRule type="cellIs" dxfId="448" priority="5" operator="equal">
      <formula>0</formula>
    </cfRule>
  </conditionalFormatting>
  <conditionalFormatting sqref="W8:W12">
    <cfRule type="cellIs" dxfId="447" priority="4" operator="equal">
      <formula>0</formula>
    </cfRule>
  </conditionalFormatting>
  <conditionalFormatting sqref="A7">
    <cfRule type="expression" dxfId="446" priority="1" stopIfTrue="1">
      <formula>IF( $AH7 = 1, TRUE, FALSE )</formula>
    </cfRule>
    <cfRule type="expression" dxfId="445" priority="2" stopIfTrue="1">
      <formula>IF( $AG7 = 1, TRUE, FALSE )</formula>
    </cfRule>
    <cfRule type="expression" dxfId="444" priority="3" stopIfTrue="1">
      <formula>IF( $AF7 = 1, TRUE, FALSE )</formula>
    </cfRule>
  </conditionalFormatting>
  <pageMargins left="0.17" right="0.18" top="0.28000000000000003" bottom="0.17" header="0.3" footer="0.3"/>
  <pageSetup scale="19" orientation="portrait" horizontalDpi="1200" verticalDpi="120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BJ79"/>
  <sheetViews>
    <sheetView showGridLines="0" zoomScale="85" zoomScaleNormal="85" workbookViewId="0">
      <pane ySplit="6" topLeftCell="A7" activePane="bottomLeft" state="frozen"/>
      <selection activeCell="A7" sqref="A7"/>
      <selection pane="bottomLeft" activeCell="A7" sqref="A7"/>
    </sheetView>
  </sheetViews>
  <sheetFormatPr defaultColWidth="9.140625" defaultRowHeight="12.75" outlineLevelRow="1" outlineLevelCol="2" x14ac:dyDescent="0.2"/>
  <cols>
    <col min="1" max="1" width="35.140625" style="234" customWidth="1"/>
    <col min="2" max="2" width="9.140625" style="234"/>
    <col min="3" max="3" width="9.42578125" style="263" customWidth="1"/>
    <col min="4" max="4" width="9.140625" style="235" customWidth="1" outlineLevel="1"/>
    <col min="5" max="5" width="12.5703125" style="235" customWidth="1" outlineLevel="1"/>
    <col min="6" max="6" width="3.42578125" style="234" customWidth="1" outlineLevel="1"/>
    <col min="7" max="7" width="17.7109375" style="236" hidden="1" customWidth="1" outlineLevel="2"/>
    <col min="8" max="8" width="3.42578125" style="234" hidden="1" customWidth="1" outlineLevel="2" collapsed="1"/>
    <col min="9" max="9" width="3.28515625" style="234" customWidth="1" outlineLevel="1" collapsed="1"/>
    <col min="10" max="10" width="22" style="234" customWidth="1"/>
    <col min="11" max="11" width="2" style="234" customWidth="1"/>
    <col min="12" max="13" width="10.42578125" style="234" customWidth="1"/>
    <col min="14" max="14" width="2" style="234" customWidth="1"/>
    <col min="15" max="16" width="10.42578125" style="234" customWidth="1"/>
    <col min="17" max="17" width="2" style="234" customWidth="1"/>
    <col min="18" max="19" width="10.42578125" style="234" customWidth="1"/>
    <col min="20" max="20" width="2" style="236" customWidth="1"/>
    <col min="21" max="22" width="10.42578125" style="236" customWidth="1"/>
    <col min="23" max="23" width="2" style="234" customWidth="1"/>
    <col min="24" max="24" width="4.140625" style="234" customWidth="1"/>
    <col min="25" max="25" width="5.5703125" style="234" customWidth="1"/>
    <col min="26" max="26" width="2.42578125" style="234" customWidth="1"/>
    <col min="27" max="27" width="4.28515625" style="234" customWidth="1"/>
    <col min="28" max="30" width="2.42578125" style="234" hidden="1" customWidth="1" outlineLevel="1"/>
    <col min="31" max="31" width="4.42578125" style="234" hidden="1" customWidth="1" outlineLevel="1"/>
    <col min="32" max="32" width="6.5703125" style="236" hidden="1" customWidth="1" outlineLevel="1" collapsed="1"/>
    <col min="33" max="34" width="6.5703125" style="236" hidden="1" customWidth="1" outlineLevel="1"/>
    <col min="35" max="35" width="3.140625" style="234" hidden="1" customWidth="1" outlineLevel="1"/>
    <col min="36" max="36" width="7.85546875" style="236" hidden="1" customWidth="1" outlineLevel="1" collapsed="1"/>
    <col min="37" max="38" width="9" style="236" hidden="1" customWidth="1" outlineLevel="1"/>
    <col min="39" max="39" width="8.42578125" style="236" hidden="1" customWidth="1" outlineLevel="1"/>
    <col min="40" max="40" width="11.85546875" style="236" hidden="1" customWidth="1" outlineLevel="1"/>
    <col min="41" max="41" width="3.42578125" style="234" customWidth="1" collapsed="1"/>
    <col min="42" max="42" width="3.42578125" style="234" customWidth="1"/>
    <col min="43" max="43" width="29.7109375" style="234" hidden="1" customWidth="1" outlineLevel="1"/>
    <col min="44" max="44" width="6.42578125" style="234" hidden="1" customWidth="1" outlineLevel="1"/>
    <col min="45" max="45" width="6.7109375" style="234" hidden="1" customWidth="1" outlineLevel="1"/>
    <col min="46" max="46" width="8.7109375" style="234" hidden="1" customWidth="1" outlineLevel="1"/>
    <col min="47" max="47" width="3.140625" style="234" hidden="1" customWidth="1" outlineLevel="1"/>
    <col min="48" max="56" width="9.140625" style="234" hidden="1" customWidth="1" outlineLevel="2"/>
    <col min="57" max="57" width="5.42578125" style="234" hidden="1" customWidth="1" outlineLevel="1" collapsed="1"/>
    <col min="58" max="58" width="36.85546875" style="234" hidden="1" customWidth="1" outlineLevel="1"/>
    <col min="59" max="59" width="6.42578125" style="234" hidden="1" customWidth="1" outlineLevel="1"/>
    <col min="60" max="60" width="3.42578125" style="234" hidden="1" customWidth="1" outlineLevel="1"/>
    <col min="61" max="61" width="9.140625" style="234" hidden="1" customWidth="1" outlineLevel="1"/>
    <col min="62" max="62" width="9.140625" style="234" collapsed="1"/>
    <col min="63" max="16384" width="9.140625" style="234"/>
  </cols>
  <sheetData>
    <row r="1" spans="1:61" ht="18.75" x14ac:dyDescent="0.2">
      <c r="A1" s="323" t="str">
        <f>"I.  S&amp;P Utility Credit Ratings Distribution -- " &amp; B6</f>
        <v>I.  S&amp;P Utility Credit Ratings Distribution -- 2014 Q1</v>
      </c>
      <c r="AF1" s="237" t="s">
        <v>420</v>
      </c>
      <c r="AG1" s="237" t="s">
        <v>421</v>
      </c>
      <c r="AH1" s="237" t="s">
        <v>422</v>
      </c>
      <c r="AJ1" s="237" t="s">
        <v>424</v>
      </c>
      <c r="AK1" s="237" t="s">
        <v>426</v>
      </c>
      <c r="AL1" s="237" t="s">
        <v>426</v>
      </c>
      <c r="AM1" s="237" t="s">
        <v>424</v>
      </c>
      <c r="AN1" s="237"/>
      <c r="AQ1" s="237" t="s">
        <v>497</v>
      </c>
    </row>
    <row r="2" spans="1:61" ht="18.75" hidden="1" outlineLevel="1" x14ac:dyDescent="0.2">
      <c r="A2" s="233"/>
      <c r="E2" s="238" t="str">
        <f>G2</f>
        <v>Reg_Percent_2012</v>
      </c>
      <c r="G2" s="239" t="s">
        <v>478</v>
      </c>
      <c r="AJ2" s="240" t="str">
        <f>AJ4 &amp; AJ3</f>
        <v>'Credit_2013Q4'!a:a</v>
      </c>
      <c r="AK2" s="240" t="str">
        <f>AK4 &amp; AK3</f>
        <v>'Credit_2013Q4'!b1</v>
      </c>
      <c r="AL2" s="240" t="str">
        <f>AL4 &amp; AL3</f>
        <v>'Credit_2013Q4'!c1</v>
      </c>
      <c r="AQ2" s="236"/>
    </row>
    <row r="3" spans="1:61" ht="18.75" hidden="1" outlineLevel="1" x14ac:dyDescent="0.2">
      <c r="A3" s="233"/>
      <c r="E3" s="241" t="str">
        <f>"'" &amp; E2 &amp; "'!"</f>
        <v>'Reg_Percent_2012'!</v>
      </c>
      <c r="G3" s="234" t="str">
        <f>"'" &amp; G2 &amp; "'!"</f>
        <v>'Reg_Percent_2012'!</v>
      </c>
      <c r="O3" s="242" t="s">
        <v>371</v>
      </c>
      <c r="P3" s="242"/>
      <c r="Q3" s="242"/>
      <c r="R3" s="242" t="s">
        <v>372</v>
      </c>
      <c r="T3" s="234"/>
      <c r="U3" s="242" t="s">
        <v>86</v>
      </c>
      <c r="V3" s="234"/>
      <c r="X3" s="242"/>
      <c r="Y3" s="242"/>
      <c r="Z3" s="242"/>
      <c r="AA3" s="242"/>
      <c r="AJ3" s="210" t="s">
        <v>425</v>
      </c>
      <c r="AK3" s="210" t="s">
        <v>427</v>
      </c>
      <c r="AL3" s="210" t="s">
        <v>453</v>
      </c>
      <c r="AQ3" s="236"/>
    </row>
    <row r="4" spans="1:61" ht="18.75" hidden="1" outlineLevel="1" x14ac:dyDescent="0.2">
      <c r="A4" s="233"/>
      <c r="E4" s="242" t="s">
        <v>439</v>
      </c>
      <c r="G4" s="242" t="s">
        <v>438</v>
      </c>
      <c r="O4" s="236"/>
      <c r="P4" s="236"/>
      <c r="Q4" s="236"/>
      <c r="T4" s="234"/>
      <c r="U4" s="234"/>
      <c r="V4" s="234"/>
      <c r="AJ4" s="236" t="str">
        <f>$AQ$5</f>
        <v>'Credit_2013Q4'!</v>
      </c>
      <c r="AK4" s="236" t="str">
        <f t="shared" ref="AK4:AL4" si="0">$AQ$5</f>
        <v>'Credit_2013Q4'!</v>
      </c>
      <c r="AL4" s="236" t="str">
        <f t="shared" si="0"/>
        <v>'Credit_2013Q4'!</v>
      </c>
      <c r="AQ4" s="236"/>
    </row>
    <row r="5" spans="1:61" collapsed="1" x14ac:dyDescent="0.2">
      <c r="E5" s="243" t="s">
        <v>436</v>
      </c>
      <c r="G5" s="237" t="s">
        <v>424</v>
      </c>
      <c r="I5" s="314"/>
      <c r="J5" s="466" t="s">
        <v>77</v>
      </c>
      <c r="K5" s="314"/>
      <c r="L5" s="468" t="str">
        <f>"All Companies" &amp; CHAR( 10 ) &amp; "("&amp; L14 &amp; ")"</f>
        <v>All Companies
(54)</v>
      </c>
      <c r="M5" s="468"/>
      <c r="N5" s="314"/>
      <c r="O5" s="466" t="str">
        <f ca="1">"Regulated" &amp; CHAR( 10 ) &amp; "(" &amp; O14 &amp; ")"</f>
        <v>Regulated
(35)</v>
      </c>
      <c r="P5" s="470"/>
      <c r="Q5" s="314"/>
      <c r="R5" s="466" t="str">
        <f ca="1">"Mostly Regulated" &amp; CHAR( 10 ) &amp; "(" &amp; R14 &amp; ")"</f>
        <v>Mostly Regulated
(17)</v>
      </c>
      <c r="S5" s="470"/>
      <c r="T5" s="314"/>
      <c r="U5" s="466" t="str">
        <f ca="1">"Diversified" &amp; CHAR( 10 ) &amp; "(" &amp; U14 &amp; ")"</f>
        <v>Diversified
(2)</v>
      </c>
      <c r="V5" s="470"/>
      <c r="W5" s="314"/>
      <c r="AE5" s="244"/>
      <c r="AF5" s="234"/>
      <c r="AG5" s="234"/>
      <c r="AH5" s="234"/>
      <c r="AJ5" s="234"/>
      <c r="AK5" s="234"/>
      <c r="AL5" s="234"/>
      <c r="AM5" s="234"/>
      <c r="AN5" s="234"/>
      <c r="AQ5" s="432" t="s">
        <v>498</v>
      </c>
    </row>
    <row r="6" spans="1:61" ht="28.5" customHeight="1" x14ac:dyDescent="0.2">
      <c r="A6" s="299" t="s">
        <v>0</v>
      </c>
      <c r="B6" s="300" t="s">
        <v>499</v>
      </c>
      <c r="C6" s="338" t="s">
        <v>471</v>
      </c>
      <c r="D6" s="301"/>
      <c r="E6" s="302">
        <v>41274</v>
      </c>
      <c r="I6" s="315"/>
      <c r="J6" s="467"/>
      <c r="K6" s="315"/>
      <c r="L6" s="469"/>
      <c r="M6" s="469"/>
      <c r="N6" s="315"/>
      <c r="O6" s="467"/>
      <c r="P6" s="467"/>
      <c r="Q6" s="315"/>
      <c r="R6" s="467" t="s">
        <v>137</v>
      </c>
      <c r="S6" s="467"/>
      <c r="T6" s="315"/>
      <c r="U6" s="467"/>
      <c r="V6" s="467"/>
      <c r="W6" s="315"/>
      <c r="AE6" s="245"/>
      <c r="AJ6" s="246"/>
    </row>
    <row r="7" spans="1:61" x14ac:dyDescent="0.2">
      <c r="A7" s="303" t="s">
        <v>7</v>
      </c>
      <c r="B7" s="304" t="s">
        <v>2</v>
      </c>
      <c r="C7" s="304">
        <v>21</v>
      </c>
      <c r="D7" s="304" t="s">
        <v>328</v>
      </c>
      <c r="E7" s="305" t="str">
        <f t="shared" ref="E7:E58" ca="1" si="1">OFFSET( INDIRECT( E$3 &amp; E$4 ), $G7 - 1, 0 )</f>
        <v>R</v>
      </c>
      <c r="F7" s="306"/>
      <c r="G7" s="307">
        <f t="shared" ref="G7:G64" ca="1" si="2">IF( LEN( $D7 ) = 0, "", MATCH( $D7, INDIRECT( G$3 &amp; G$4 ), 0 ) )</f>
        <v>48</v>
      </c>
      <c r="H7" s="250"/>
      <c r="I7" s="316"/>
      <c r="J7" s="252"/>
      <c r="K7" s="316"/>
      <c r="L7" s="252" t="s">
        <v>81</v>
      </c>
      <c r="M7" s="252" t="s">
        <v>82</v>
      </c>
      <c r="N7" s="316"/>
      <c r="O7" s="252" t="s">
        <v>81</v>
      </c>
      <c r="P7" s="252" t="s">
        <v>82</v>
      </c>
      <c r="Q7" s="316"/>
      <c r="R7" s="252" t="s">
        <v>81</v>
      </c>
      <c r="S7" s="252" t="s">
        <v>82</v>
      </c>
      <c r="T7" s="316"/>
      <c r="U7" s="252" t="s">
        <v>81</v>
      </c>
      <c r="V7" s="252" t="s">
        <v>82</v>
      </c>
      <c r="W7" s="316"/>
      <c r="AE7" s="254"/>
      <c r="AF7" s="236">
        <f t="shared" ref="AF7:AF67" si="3">IF( LEN( C7 ) = 0, 0, IF( C7 = C6, AF6, IF( AF6 = 1, 0, 1 ) ) )</f>
        <v>1</v>
      </c>
      <c r="AG7" s="236" t="str">
        <f t="shared" ref="AG7:AG64" ca="1" si="4">IF( LEN( $C7 ) = 0, "", IF( $C7 &gt; $AL7, 1, "" ) )</f>
        <v/>
      </c>
      <c r="AH7" s="236" t="str">
        <f ca="1">IF( LEN( $C7 ) = 0, "", IF( $C7 &lt; $AL7, 1, "" ) )</f>
        <v/>
      </c>
      <c r="AJ7" s="236">
        <f t="shared" ref="AJ7:AJ67" ca="1" si="5">MATCH( $A7, INDIRECT( AJ$2 ), 0 )</f>
        <v>7</v>
      </c>
      <c r="AK7" s="236" t="str">
        <f ca="1">IF( ISNA( $AJ7 ), "", OFFSET( INDIRECT( AK$2 ), $AJ7-1, 0 ) )</f>
        <v>A</v>
      </c>
      <c r="AL7" s="236">
        <f ca="1">IF( ISNA( $AJ7 ), "", OFFSET( INDIRECT( AL$2 ), $AJ7-1, 0 ) )</f>
        <v>21</v>
      </c>
      <c r="AM7" s="236" t="str">
        <f t="shared" ref="AM7:AM67" ca="1" si="6">IF( B7 = AK7, "", "Change" )</f>
        <v/>
      </c>
      <c r="AQ7" s="286" t="s">
        <v>15</v>
      </c>
      <c r="AR7" s="286" t="s">
        <v>16</v>
      </c>
      <c r="AS7" s="286">
        <v>19</v>
      </c>
      <c r="AT7" s="286" t="s">
        <v>277</v>
      </c>
      <c r="AV7" s="234">
        <f>IF( LEN( AS7 ) = 0, 99, RANK( AS7, $AS$7:$AS$63 ) )</f>
        <v>14</v>
      </c>
      <c r="AW7" s="234">
        <f>COUNTIF( AV7:AV$7, AV7 )</f>
        <v>1</v>
      </c>
      <c r="AX7" s="287">
        <f>AV7 + AW7 / 10</f>
        <v>14.1</v>
      </c>
      <c r="AY7" s="234">
        <f>RANK( AX7, $AX$7:$AX$63, 1 )</f>
        <v>14</v>
      </c>
      <c r="AZ7" s="236"/>
      <c r="BA7" s="236"/>
      <c r="BC7" s="234">
        <f t="shared" ref="BC7" ca="1" si="7">OFFSET( BC7, -1, 0 ) + 1</f>
        <v>1</v>
      </c>
      <c r="BD7" s="288">
        <f t="shared" ref="BD7:BD62" ca="1" si="8">MATCH( BC7, $AY$7:$AY$63, 0 )</f>
        <v>46</v>
      </c>
      <c r="BF7" s="240" t="str">
        <f t="shared" ref="BF7:BI38" ca="1" si="9">OFFSET( AQ$6, $BD7, 0 )</f>
        <v>Southern Company</v>
      </c>
      <c r="BG7" s="240" t="str">
        <f t="shared" ca="1" si="9"/>
        <v>A</v>
      </c>
      <c r="BH7" s="240">
        <f t="shared" ca="1" si="9"/>
        <v>21</v>
      </c>
      <c r="BI7" s="240" t="str">
        <f t="shared" ca="1" si="9"/>
        <v>SO</v>
      </c>
    </row>
    <row r="8" spans="1:61" x14ac:dyDescent="0.2">
      <c r="A8" s="303" t="s">
        <v>17</v>
      </c>
      <c r="B8" s="304" t="s">
        <v>10</v>
      </c>
      <c r="C8" s="304">
        <v>20</v>
      </c>
      <c r="D8" s="304" t="s">
        <v>307</v>
      </c>
      <c r="E8" s="305" t="str">
        <f t="shared" ca="1" si="1"/>
        <v>R</v>
      </c>
      <c r="F8" s="306"/>
      <c r="G8" s="307">
        <f t="shared" ca="1" si="2"/>
        <v>8</v>
      </c>
      <c r="H8" s="250"/>
      <c r="I8" s="317"/>
      <c r="J8" s="293" t="s">
        <v>138</v>
      </c>
      <c r="K8" s="317"/>
      <c r="L8" s="293">
        <f t="shared" ref="L8:L13" si="10">COUNTIF($C$7:$C$67,$X8)</f>
        <v>2</v>
      </c>
      <c r="M8" s="294">
        <f t="shared" ref="M8:M13" si="11">IF( L8 = 0, "", L8/L$14 )</f>
        <v>3.7037037037037035E-2</v>
      </c>
      <c r="N8" s="317"/>
      <c r="O8" s="293">
        <f t="shared" ref="O8:O13" ca="1" si="12">COUNTIFS( $E$7:$E$66, O$3, $C$7:$C$66, $X8 )</f>
        <v>1</v>
      </c>
      <c r="P8" s="294">
        <f t="shared" ref="P8:P13" ca="1" si="13">IF( O8 = 0, "", O8/O$14 )</f>
        <v>2.8571428571428571E-2</v>
      </c>
      <c r="Q8" s="317"/>
      <c r="R8" s="293">
        <f t="shared" ref="R8:R13" ca="1" si="14">COUNTIFS( $E$7:$E$66, R$3, $C$7:$C$66, $X8 )</f>
        <v>1</v>
      </c>
      <c r="S8" s="294">
        <f t="shared" ref="S8:S13" ca="1" si="15">IF( R8 = 0, "", R8/R$14 )</f>
        <v>5.8823529411764705E-2</v>
      </c>
      <c r="T8" s="317"/>
      <c r="U8" s="293">
        <f t="shared" ref="U8:U13" ca="1" si="16">COUNTIFS( $E$7:$E$66, U$3, $C$7:$C$66, $X8 )</f>
        <v>0</v>
      </c>
      <c r="V8" s="294" t="str">
        <f t="shared" ref="V8:V13" ca="1" si="17">IF( U8 = 0, "", U8/U$14 )</f>
        <v/>
      </c>
      <c r="W8" s="317"/>
      <c r="X8" s="256" t="s">
        <v>464</v>
      </c>
      <c r="Y8" s="256">
        <v>21</v>
      </c>
      <c r="Z8" s="256">
        <v>1</v>
      </c>
      <c r="AA8" s="255">
        <f t="shared" ref="AA8:AA13" ca="1" si="18">SUM(O8, R8, U8)</f>
        <v>2</v>
      </c>
      <c r="AC8" s="257"/>
      <c r="AE8" s="254"/>
      <c r="AF8" s="236">
        <f t="shared" si="3"/>
        <v>0</v>
      </c>
      <c r="AG8" s="236" t="str">
        <f t="shared" ca="1" si="4"/>
        <v/>
      </c>
      <c r="AH8" s="236" t="str">
        <f t="shared" ref="AH8:AH67" ca="1" si="19">IF( LEN( $C8 ) = 0, "", IF( $C8 &lt; $AL8, 1, "" ) )</f>
        <v/>
      </c>
      <c r="AJ8" s="236">
        <f t="shared" ca="1" si="5"/>
        <v>8</v>
      </c>
      <c r="AK8" s="236" t="str">
        <f t="shared" ref="AK8:AL67" ca="1" si="20">IF( ISNA( $AJ8 ), "", OFFSET( INDIRECT( AK$2 ), $AJ8-1, 0 ) )</f>
        <v>A-</v>
      </c>
      <c r="AL8" s="236">
        <f t="shared" ca="1" si="20"/>
        <v>20</v>
      </c>
      <c r="AM8" s="236" t="str">
        <f t="shared" ca="1" si="6"/>
        <v/>
      </c>
      <c r="AQ8" s="286" t="s">
        <v>17</v>
      </c>
      <c r="AR8" s="286" t="s">
        <v>10</v>
      </c>
      <c r="AS8" s="286">
        <v>20</v>
      </c>
      <c r="AT8" s="286" t="s">
        <v>307</v>
      </c>
      <c r="AV8" s="234">
        <f t="shared" ref="AV8:AV63" si="21">IF( LEN( AS8 ) = 0, 99, RANK( AS8, $AS$7:$AS$63 ) )</f>
        <v>2</v>
      </c>
      <c r="AW8" s="234">
        <f>COUNTIF( AV$7:AV8, AV8 )</f>
        <v>1</v>
      </c>
      <c r="AX8" s="287">
        <f t="shared" ref="AX8:AX63" si="22">AV8 + AW8 / 10</f>
        <v>2.1</v>
      </c>
      <c r="AY8" s="234">
        <f t="shared" ref="AY8:AY63" si="23">RANK( AX8, $AX$7:$AX$63, 1 )</f>
        <v>2</v>
      </c>
      <c r="AZ8" s="236"/>
      <c r="BA8" s="236"/>
      <c r="BC8" s="234">
        <f ca="1">OFFSET( BC8, -1, 0 ) + 1</f>
        <v>2</v>
      </c>
      <c r="BD8" s="288">
        <f t="shared" ca="1" si="8"/>
        <v>2</v>
      </c>
      <c r="BF8" s="240" t="str">
        <f t="shared" ca="1" si="9"/>
        <v>Alliant Energy Corporation</v>
      </c>
      <c r="BG8" s="240" t="str">
        <f t="shared" ca="1" si="9"/>
        <v>A-</v>
      </c>
      <c r="BH8" s="240">
        <f t="shared" ca="1" si="9"/>
        <v>20</v>
      </c>
      <c r="BI8" s="240" t="str">
        <f t="shared" ca="1" si="9"/>
        <v>LNT</v>
      </c>
    </row>
    <row r="9" spans="1:61" x14ac:dyDescent="0.2">
      <c r="A9" s="303" t="s">
        <v>29</v>
      </c>
      <c r="B9" s="304" t="s">
        <v>10</v>
      </c>
      <c r="C9" s="304">
        <v>20</v>
      </c>
      <c r="D9" s="304" t="s">
        <v>286</v>
      </c>
      <c r="E9" s="305" t="str">
        <f t="shared" ca="1" si="1"/>
        <v>MR</v>
      </c>
      <c r="F9" s="306"/>
      <c r="G9" s="307">
        <f t="shared" ca="1" si="2"/>
        <v>13</v>
      </c>
      <c r="H9" s="250"/>
      <c r="I9" s="318"/>
      <c r="J9" s="295" t="s">
        <v>10</v>
      </c>
      <c r="K9" s="318"/>
      <c r="L9" s="295">
        <f t="shared" si="10"/>
        <v>12</v>
      </c>
      <c r="M9" s="296">
        <f t="shared" si="11"/>
        <v>0.22222222222222221</v>
      </c>
      <c r="N9" s="318"/>
      <c r="O9" s="295">
        <f t="shared" ca="1" si="12"/>
        <v>7</v>
      </c>
      <c r="P9" s="296">
        <f t="shared" ca="1" si="13"/>
        <v>0.2</v>
      </c>
      <c r="Q9" s="318"/>
      <c r="R9" s="295">
        <f t="shared" ca="1" si="14"/>
        <v>5</v>
      </c>
      <c r="S9" s="296">
        <f t="shared" ca="1" si="15"/>
        <v>0.29411764705882354</v>
      </c>
      <c r="T9" s="318"/>
      <c r="U9" s="295">
        <f t="shared" ca="1" si="16"/>
        <v>0</v>
      </c>
      <c r="V9" s="296" t="str">
        <f t="shared" ca="1" si="17"/>
        <v/>
      </c>
      <c r="W9" s="318"/>
      <c r="X9" s="256" t="s">
        <v>465</v>
      </c>
      <c r="Y9" s="256">
        <v>20</v>
      </c>
      <c r="Z9" s="256">
        <v>1</v>
      </c>
      <c r="AA9" s="255">
        <f t="shared" ca="1" si="18"/>
        <v>12</v>
      </c>
      <c r="AC9" s="253"/>
      <c r="AE9" s="254"/>
      <c r="AF9" s="236">
        <f t="shared" si="3"/>
        <v>0</v>
      </c>
      <c r="AG9" s="236" t="str">
        <f t="shared" ca="1" si="4"/>
        <v/>
      </c>
      <c r="AH9" s="236" t="str">
        <f t="shared" ca="1" si="19"/>
        <v/>
      </c>
      <c r="AJ9" s="236">
        <f t="shared" ca="1" si="5"/>
        <v>9</v>
      </c>
      <c r="AK9" s="236" t="str">
        <f t="shared" ca="1" si="20"/>
        <v>A-</v>
      </c>
      <c r="AL9" s="236">
        <f t="shared" ca="1" si="20"/>
        <v>20</v>
      </c>
      <c r="AM9" s="236" t="str">
        <f t="shared" ca="1" si="6"/>
        <v/>
      </c>
      <c r="AQ9" s="286" t="s">
        <v>9</v>
      </c>
      <c r="AR9" s="286" t="s">
        <v>16</v>
      </c>
      <c r="AS9" s="286">
        <v>19</v>
      </c>
      <c r="AT9" s="286" t="s">
        <v>274</v>
      </c>
      <c r="AV9" s="234">
        <f t="shared" si="21"/>
        <v>14</v>
      </c>
      <c r="AW9" s="234">
        <f>COUNTIF( AV$7:AV9, AV9 )</f>
        <v>2</v>
      </c>
      <c r="AX9" s="287">
        <f t="shared" si="22"/>
        <v>14.2</v>
      </c>
      <c r="AY9" s="234">
        <f t="shared" si="23"/>
        <v>15</v>
      </c>
      <c r="AZ9" s="236"/>
      <c r="BA9" s="236"/>
      <c r="BC9" s="234">
        <f t="shared" ref="BC9:BC63" ca="1" si="24">OFFSET( BC9, -1, 0 ) + 1</f>
        <v>3</v>
      </c>
      <c r="BD9" s="288">
        <f t="shared" ca="1" si="8"/>
        <v>7</v>
      </c>
      <c r="BF9" s="240" t="str">
        <f t="shared" ca="1" si="9"/>
        <v>CenterPoint Energy, Inc.</v>
      </c>
      <c r="BG9" s="240" t="str">
        <f t="shared" ca="1" si="9"/>
        <v>A-</v>
      </c>
      <c r="BH9" s="240">
        <f t="shared" ca="1" si="9"/>
        <v>20</v>
      </c>
      <c r="BI9" s="240" t="str">
        <f t="shared" ca="1" si="9"/>
        <v>CNP</v>
      </c>
    </row>
    <row r="10" spans="1:61" x14ac:dyDescent="0.2">
      <c r="A10" s="303" t="s">
        <v>3</v>
      </c>
      <c r="B10" s="304" t="s">
        <v>10</v>
      </c>
      <c r="C10" s="304">
        <v>20</v>
      </c>
      <c r="D10" s="304" t="s">
        <v>292</v>
      </c>
      <c r="E10" s="305" t="str">
        <f t="shared" ca="1" si="1"/>
        <v>R</v>
      </c>
      <c r="F10" s="306"/>
      <c r="G10" s="307">
        <f t="shared" ca="1" si="2"/>
        <v>16</v>
      </c>
      <c r="H10" s="250"/>
      <c r="I10" s="318"/>
      <c r="J10" s="295" t="s">
        <v>16</v>
      </c>
      <c r="K10" s="318"/>
      <c r="L10" s="295">
        <f t="shared" si="10"/>
        <v>12</v>
      </c>
      <c r="M10" s="296">
        <f t="shared" si="11"/>
        <v>0.22222222222222221</v>
      </c>
      <c r="N10" s="318"/>
      <c r="O10" s="295">
        <f t="shared" ca="1" si="12"/>
        <v>6</v>
      </c>
      <c r="P10" s="296">
        <f t="shared" ca="1" si="13"/>
        <v>0.17142857142857143</v>
      </c>
      <c r="Q10" s="318"/>
      <c r="R10" s="295">
        <f t="shared" ca="1" si="14"/>
        <v>5</v>
      </c>
      <c r="S10" s="296">
        <f t="shared" ca="1" si="15"/>
        <v>0.29411764705882354</v>
      </c>
      <c r="T10" s="318"/>
      <c r="U10" s="295">
        <f t="shared" ca="1" si="16"/>
        <v>1</v>
      </c>
      <c r="V10" s="296">
        <f t="shared" ca="1" si="17"/>
        <v>0.5</v>
      </c>
      <c r="W10" s="318"/>
      <c r="X10" s="256" t="s">
        <v>466</v>
      </c>
      <c r="Y10" s="256">
        <v>19</v>
      </c>
      <c r="Z10" s="256">
        <v>1</v>
      </c>
      <c r="AA10" s="255">
        <f t="shared" ca="1" si="18"/>
        <v>12</v>
      </c>
      <c r="AE10" s="254"/>
      <c r="AF10" s="236">
        <f t="shared" si="3"/>
        <v>0</v>
      </c>
      <c r="AG10" s="236" t="str">
        <f t="shared" ca="1" si="4"/>
        <v/>
      </c>
      <c r="AH10" s="236" t="str">
        <f t="shared" ca="1" si="19"/>
        <v/>
      </c>
      <c r="AJ10" s="236">
        <f t="shared" ca="1" si="5"/>
        <v>10</v>
      </c>
      <c r="AK10" s="236" t="str">
        <f t="shared" ca="1" si="20"/>
        <v>A-</v>
      </c>
      <c r="AL10" s="236">
        <f t="shared" ca="1" si="20"/>
        <v>20</v>
      </c>
      <c r="AM10" s="236" t="str">
        <f t="shared" ca="1" si="6"/>
        <v/>
      </c>
      <c r="AQ10" s="286" t="s">
        <v>259</v>
      </c>
      <c r="AR10" s="286" t="s">
        <v>28</v>
      </c>
      <c r="AS10" s="286">
        <v>18</v>
      </c>
      <c r="AT10" s="286" t="s">
        <v>275</v>
      </c>
      <c r="AV10" s="234">
        <f t="shared" si="21"/>
        <v>26</v>
      </c>
      <c r="AW10" s="234">
        <f>COUNTIF( AV$7:AV10, AV10 )</f>
        <v>1</v>
      </c>
      <c r="AX10" s="287">
        <f t="shared" si="22"/>
        <v>26.1</v>
      </c>
      <c r="AY10" s="234">
        <f t="shared" si="23"/>
        <v>26</v>
      </c>
      <c r="AZ10" s="236"/>
      <c r="BA10" s="236"/>
      <c r="BC10" s="234">
        <f t="shared" ca="1" si="24"/>
        <v>4</v>
      </c>
      <c r="BD10" s="288">
        <f t="shared" ca="1" si="8"/>
        <v>10</v>
      </c>
      <c r="BF10" s="240" t="str">
        <f t="shared" ca="1" si="9"/>
        <v>Consolidated Edison, Inc.</v>
      </c>
      <c r="BG10" s="240" t="str">
        <f t="shared" ca="1" si="9"/>
        <v>A-</v>
      </c>
      <c r="BH10" s="240">
        <f t="shared" ca="1" si="9"/>
        <v>20</v>
      </c>
      <c r="BI10" s="240" t="str">
        <f t="shared" ca="1" si="9"/>
        <v>ED</v>
      </c>
    </row>
    <row r="11" spans="1:61" x14ac:dyDescent="0.2">
      <c r="A11" s="303" t="s">
        <v>18</v>
      </c>
      <c r="B11" s="304" t="s">
        <v>10</v>
      </c>
      <c r="C11" s="304">
        <v>20</v>
      </c>
      <c r="D11" s="304" t="s">
        <v>86</v>
      </c>
      <c r="E11" s="305" t="str">
        <f t="shared" ca="1" si="1"/>
        <v>MR</v>
      </c>
      <c r="F11" s="306"/>
      <c r="G11" s="307">
        <f t="shared" ca="1" si="2"/>
        <v>17</v>
      </c>
      <c r="H11" s="250"/>
      <c r="I11" s="318"/>
      <c r="J11" s="295" t="s">
        <v>28</v>
      </c>
      <c r="K11" s="318"/>
      <c r="L11" s="295">
        <f t="shared" si="10"/>
        <v>20</v>
      </c>
      <c r="M11" s="296">
        <f t="shared" si="11"/>
        <v>0.37037037037037035</v>
      </c>
      <c r="N11" s="318"/>
      <c r="O11" s="295">
        <f t="shared" ca="1" si="12"/>
        <v>17</v>
      </c>
      <c r="P11" s="296">
        <f t="shared" ca="1" si="13"/>
        <v>0.48571428571428571</v>
      </c>
      <c r="Q11" s="318"/>
      <c r="R11" s="295">
        <f t="shared" ca="1" si="14"/>
        <v>3</v>
      </c>
      <c r="S11" s="296">
        <f t="shared" ca="1" si="15"/>
        <v>0.17647058823529413</v>
      </c>
      <c r="T11" s="318"/>
      <c r="U11" s="295">
        <f t="shared" ca="1" si="16"/>
        <v>0</v>
      </c>
      <c r="V11" s="296" t="str">
        <f t="shared" ca="1" si="17"/>
        <v/>
      </c>
      <c r="W11" s="318"/>
      <c r="X11" s="256" t="s">
        <v>467</v>
      </c>
      <c r="Y11" s="256">
        <v>18</v>
      </c>
      <c r="Z11" s="256">
        <v>1</v>
      </c>
      <c r="AA11" s="255">
        <f t="shared" ca="1" si="18"/>
        <v>20</v>
      </c>
      <c r="AE11" s="254"/>
      <c r="AF11" s="236">
        <f t="shared" si="3"/>
        <v>0</v>
      </c>
      <c r="AG11" s="236" t="str">
        <f t="shared" ca="1" si="4"/>
        <v/>
      </c>
      <c r="AH11" s="236" t="str">
        <f t="shared" ca="1" si="19"/>
        <v/>
      </c>
      <c r="AJ11" s="236">
        <f t="shared" ca="1" si="5"/>
        <v>11</v>
      </c>
      <c r="AK11" s="236" t="str">
        <f t="shared" ca="1" si="20"/>
        <v>A-</v>
      </c>
      <c r="AL11" s="236">
        <f t="shared" ca="1" si="20"/>
        <v>20</v>
      </c>
      <c r="AM11" s="236" t="str">
        <f t="shared" ca="1" si="6"/>
        <v/>
      </c>
      <c r="AQ11" s="286" t="s">
        <v>55</v>
      </c>
      <c r="AR11" s="286" t="s">
        <v>28</v>
      </c>
      <c r="AS11" s="286">
        <v>18</v>
      </c>
      <c r="AT11" s="286" t="s">
        <v>278</v>
      </c>
      <c r="AV11" s="234">
        <f t="shared" si="21"/>
        <v>26</v>
      </c>
      <c r="AW11" s="234">
        <f>COUNTIF( AV$7:AV11, AV11 )</f>
        <v>2</v>
      </c>
      <c r="AX11" s="287">
        <f t="shared" si="22"/>
        <v>26.2</v>
      </c>
      <c r="AY11" s="234">
        <f t="shared" si="23"/>
        <v>27</v>
      </c>
      <c r="AZ11" s="236"/>
      <c r="BA11" s="236"/>
      <c r="BC11" s="234">
        <f t="shared" ca="1" si="24"/>
        <v>5</v>
      </c>
      <c r="BD11" s="288">
        <f t="shared" ca="1" si="8"/>
        <v>11</v>
      </c>
      <c r="BF11" s="240" t="str">
        <f t="shared" ca="1" si="9"/>
        <v>Dominion Resources, Inc.</v>
      </c>
      <c r="BG11" s="240" t="str">
        <f t="shared" ca="1" si="9"/>
        <v>A-</v>
      </c>
      <c r="BH11" s="240">
        <f t="shared" ca="1" si="9"/>
        <v>20</v>
      </c>
      <c r="BI11" s="240" t="str">
        <f t="shared" ca="1" si="9"/>
        <v>D</v>
      </c>
    </row>
    <row r="12" spans="1:61" x14ac:dyDescent="0.2">
      <c r="A12" s="303" t="s">
        <v>254</v>
      </c>
      <c r="B12" s="304" t="s">
        <v>10</v>
      </c>
      <c r="C12" s="304">
        <v>20</v>
      </c>
      <c r="D12" s="304" t="s">
        <v>331</v>
      </c>
      <c r="E12" s="305" t="str">
        <f t="shared" ca="1" si="1"/>
        <v>R</v>
      </c>
      <c r="F12" s="306"/>
      <c r="G12" s="307">
        <f t="shared" ca="1" si="2"/>
        <v>29</v>
      </c>
      <c r="H12" s="250"/>
      <c r="I12" s="318"/>
      <c r="J12" s="295" t="s">
        <v>49</v>
      </c>
      <c r="K12" s="318"/>
      <c r="L12" s="295">
        <f t="shared" si="10"/>
        <v>5</v>
      </c>
      <c r="M12" s="296">
        <f t="shared" si="11"/>
        <v>9.2592592592592587E-2</v>
      </c>
      <c r="N12" s="318"/>
      <c r="O12" s="295">
        <f t="shared" ca="1" si="12"/>
        <v>2</v>
      </c>
      <c r="P12" s="296">
        <f t="shared" ca="1" si="13"/>
        <v>5.7142857142857141E-2</v>
      </c>
      <c r="Q12" s="318"/>
      <c r="R12" s="295">
        <f t="shared" ca="1" si="14"/>
        <v>3</v>
      </c>
      <c r="S12" s="296">
        <f t="shared" ca="1" si="15"/>
        <v>0.17647058823529413</v>
      </c>
      <c r="T12" s="318"/>
      <c r="U12" s="295">
        <f t="shared" ca="1" si="16"/>
        <v>0</v>
      </c>
      <c r="V12" s="296" t="str">
        <f t="shared" ca="1" si="17"/>
        <v/>
      </c>
      <c r="W12" s="318"/>
      <c r="X12" s="256" t="s">
        <v>468</v>
      </c>
      <c r="Y12" s="256">
        <v>17</v>
      </c>
      <c r="Z12" s="256">
        <v>1</v>
      </c>
      <c r="AA12" s="255">
        <f t="shared" ca="1" si="18"/>
        <v>5</v>
      </c>
      <c r="AE12" s="254"/>
      <c r="AF12" s="236">
        <f t="shared" si="3"/>
        <v>0</v>
      </c>
      <c r="AG12" s="236" t="str">
        <f t="shared" ca="1" si="4"/>
        <v/>
      </c>
      <c r="AH12" s="236" t="str">
        <f t="shared" ca="1" si="19"/>
        <v/>
      </c>
      <c r="AJ12" s="236">
        <f t="shared" ca="1" si="5"/>
        <v>12</v>
      </c>
      <c r="AK12" s="236" t="str">
        <f t="shared" ca="1" si="20"/>
        <v>A-</v>
      </c>
      <c r="AL12" s="236">
        <f t="shared" ca="1" si="20"/>
        <v>20</v>
      </c>
      <c r="AM12" s="236" t="str">
        <f t="shared" ca="1" si="6"/>
        <v/>
      </c>
      <c r="AQ12" s="286" t="s">
        <v>48</v>
      </c>
      <c r="AR12" s="286" t="s">
        <v>28</v>
      </c>
      <c r="AS12" s="286">
        <v>18</v>
      </c>
      <c r="AT12" s="286" t="s">
        <v>280</v>
      </c>
      <c r="AV12" s="234">
        <f t="shared" si="21"/>
        <v>26</v>
      </c>
      <c r="AW12" s="234">
        <f>COUNTIF( AV$7:AV12, AV12 )</f>
        <v>3</v>
      </c>
      <c r="AX12" s="287">
        <f t="shared" si="22"/>
        <v>26.3</v>
      </c>
      <c r="AY12" s="234">
        <f t="shared" si="23"/>
        <v>28</v>
      </c>
      <c r="AZ12" s="236"/>
      <c r="BA12" s="236"/>
      <c r="BC12" s="234">
        <f t="shared" ca="1" si="24"/>
        <v>6</v>
      </c>
      <c r="BD12" s="288">
        <f t="shared" ca="1" si="8"/>
        <v>26</v>
      </c>
      <c r="BF12" s="240" t="str">
        <f t="shared" ca="1" si="9"/>
        <v>Integrys Energy Group, Inc.</v>
      </c>
      <c r="BG12" s="240" t="str">
        <f t="shared" ca="1" si="9"/>
        <v>A-</v>
      </c>
      <c r="BH12" s="240">
        <f t="shared" ca="1" si="9"/>
        <v>20</v>
      </c>
      <c r="BI12" s="240" t="str">
        <f t="shared" ca="1" si="9"/>
        <v>TEG</v>
      </c>
    </row>
    <row r="13" spans="1:61" x14ac:dyDescent="0.2">
      <c r="A13" s="303" t="s">
        <v>370</v>
      </c>
      <c r="B13" s="304" t="s">
        <v>10</v>
      </c>
      <c r="C13" s="304">
        <v>20</v>
      </c>
      <c r="D13" s="304" t="s">
        <v>369</v>
      </c>
      <c r="E13" s="305" t="str">
        <f t="shared" ca="1" si="1"/>
        <v>MR</v>
      </c>
      <c r="F13" s="306"/>
      <c r="G13" s="307">
        <f t="shared" ca="1" si="2"/>
        <v>32</v>
      </c>
      <c r="H13" s="250"/>
      <c r="I13" s="319"/>
      <c r="J13" s="297" t="s">
        <v>79</v>
      </c>
      <c r="K13" s="319"/>
      <c r="L13" s="297">
        <f t="shared" si="10"/>
        <v>3</v>
      </c>
      <c r="M13" s="298">
        <f t="shared" si="11"/>
        <v>5.5555555555555552E-2</v>
      </c>
      <c r="N13" s="319"/>
      <c r="O13" s="297">
        <f t="shared" ca="1" si="12"/>
        <v>2</v>
      </c>
      <c r="P13" s="298">
        <f t="shared" ca="1" si="13"/>
        <v>5.7142857142857141E-2</v>
      </c>
      <c r="Q13" s="319"/>
      <c r="R13" s="297">
        <f t="shared" ca="1" si="14"/>
        <v>0</v>
      </c>
      <c r="S13" s="298" t="str">
        <f t="shared" ca="1" si="15"/>
        <v/>
      </c>
      <c r="T13" s="319"/>
      <c r="U13" s="297">
        <f t="shared" ca="1" si="16"/>
        <v>1</v>
      </c>
      <c r="V13" s="298">
        <f t="shared" ca="1" si="17"/>
        <v>0.5</v>
      </c>
      <c r="W13" s="319"/>
      <c r="X13" s="256" t="s">
        <v>469</v>
      </c>
      <c r="Y13" s="256">
        <v>16</v>
      </c>
      <c r="Z13" s="256">
        <v>1</v>
      </c>
      <c r="AA13" s="259">
        <f t="shared" ca="1" si="18"/>
        <v>3</v>
      </c>
      <c r="AE13" s="254"/>
      <c r="AF13" s="236">
        <f t="shared" si="3"/>
        <v>0</v>
      </c>
      <c r="AG13" s="236" t="str">
        <f t="shared" ca="1" si="4"/>
        <v/>
      </c>
      <c r="AH13" s="236" t="str">
        <f t="shared" ca="1" si="19"/>
        <v/>
      </c>
      <c r="AJ13" s="236">
        <f t="shared" ca="1" si="5"/>
        <v>13</v>
      </c>
      <c r="AK13" s="236" t="str">
        <f t="shared" ca="1" si="20"/>
        <v>A-</v>
      </c>
      <c r="AL13" s="236">
        <f t="shared" ca="1" si="20"/>
        <v>20</v>
      </c>
      <c r="AM13" s="236" t="str">
        <f t="shared" ca="1" si="6"/>
        <v/>
      </c>
      <c r="AQ13" s="286" t="s">
        <v>29</v>
      </c>
      <c r="AR13" s="286" t="s">
        <v>10</v>
      </c>
      <c r="AS13" s="286">
        <v>20</v>
      </c>
      <c r="AT13" s="286" t="s">
        <v>286</v>
      </c>
      <c r="AV13" s="234">
        <f t="shared" si="21"/>
        <v>2</v>
      </c>
      <c r="AW13" s="234">
        <f>COUNTIF( AV$7:AV13, AV13 )</f>
        <v>2</v>
      </c>
      <c r="AX13" s="287">
        <f t="shared" si="22"/>
        <v>2.2000000000000002</v>
      </c>
      <c r="AY13" s="234">
        <f t="shared" si="23"/>
        <v>3</v>
      </c>
      <c r="AZ13" s="236"/>
      <c r="BA13" s="236"/>
      <c r="BC13" s="234">
        <f t="shared" ca="1" si="24"/>
        <v>7</v>
      </c>
      <c r="BD13" s="288">
        <f t="shared" ca="1" si="8"/>
        <v>30</v>
      </c>
      <c r="BF13" s="240" t="str">
        <f t="shared" ca="1" si="9"/>
        <v>NextEra Energy, Inc.</v>
      </c>
      <c r="BG13" s="240" t="str">
        <f t="shared" ca="1" si="9"/>
        <v>A-</v>
      </c>
      <c r="BH13" s="240">
        <f t="shared" ca="1" si="9"/>
        <v>20</v>
      </c>
      <c r="BI13" s="240" t="str">
        <f t="shared" ca="1" si="9"/>
        <v>NEE</v>
      </c>
    </row>
    <row r="14" spans="1:61" x14ac:dyDescent="0.2">
      <c r="A14" s="303" t="s">
        <v>513</v>
      </c>
      <c r="B14" s="304" t="s">
        <v>10</v>
      </c>
      <c r="C14" s="304">
        <v>20</v>
      </c>
      <c r="D14" s="304" t="s">
        <v>512</v>
      </c>
      <c r="E14" s="305" t="str">
        <f t="shared" ca="1" si="1"/>
        <v>R</v>
      </c>
      <c r="F14" s="306"/>
      <c r="G14" s="307">
        <f t="shared" ca="1" si="2"/>
        <v>34</v>
      </c>
      <c r="H14" s="250"/>
      <c r="I14" s="320"/>
      <c r="J14" s="291" t="s">
        <v>80</v>
      </c>
      <c r="K14" s="320"/>
      <c r="L14" s="291">
        <f>SUM(L8:L13)</f>
        <v>54</v>
      </c>
      <c r="M14" s="292">
        <f>L14/L$14</f>
        <v>1</v>
      </c>
      <c r="N14" s="320"/>
      <c r="O14" s="291">
        <f ca="1">SUM(O8:O13)</f>
        <v>35</v>
      </c>
      <c r="P14" s="292">
        <f ca="1">O14/O$14</f>
        <v>1</v>
      </c>
      <c r="Q14" s="320"/>
      <c r="R14" s="291">
        <f ca="1">SUM(R8:R13)</f>
        <v>17</v>
      </c>
      <c r="S14" s="292">
        <f ca="1">R14/R$14</f>
        <v>1</v>
      </c>
      <c r="T14" s="320"/>
      <c r="U14" s="291">
        <f ca="1">SUM(U8:U13)</f>
        <v>2</v>
      </c>
      <c r="V14" s="292">
        <f ca="1">U14/U$14</f>
        <v>1</v>
      </c>
      <c r="W14" s="320"/>
      <c r="Y14" s="261">
        <f>SUMPRODUCT( L8:L13, Y8:Y13 ) / L14</f>
        <v>18.574074074074073</v>
      </c>
      <c r="Z14" s="261"/>
      <c r="AA14" s="431">
        <f ca="1">SUM(AA8:AA13)</f>
        <v>54</v>
      </c>
      <c r="AE14" s="254"/>
      <c r="AF14" s="236">
        <f t="shared" si="3"/>
        <v>0</v>
      </c>
      <c r="AG14" s="236" t="str">
        <f t="shared" ca="1" si="4"/>
        <v/>
      </c>
      <c r="AH14" s="236" t="str">
        <f t="shared" ca="1" si="19"/>
        <v/>
      </c>
      <c r="AJ14" s="236">
        <f t="shared" ca="1" si="5"/>
        <v>14</v>
      </c>
      <c r="AK14" s="236" t="str">
        <f t="shared" ca="1" si="20"/>
        <v>A-</v>
      </c>
      <c r="AL14" s="236">
        <f t="shared" ca="1" si="20"/>
        <v>20</v>
      </c>
      <c r="AM14" s="236" t="str">
        <f t="shared" ca="1" si="6"/>
        <v/>
      </c>
      <c r="AQ14" s="286" t="s">
        <v>30</v>
      </c>
      <c r="AR14" s="286" t="s">
        <v>16</v>
      </c>
      <c r="AS14" s="286">
        <v>19</v>
      </c>
      <c r="AT14" s="286" t="s">
        <v>285</v>
      </c>
      <c r="AV14" s="234">
        <f>IF( LEN( AS14 ) = 0, 99, RANK( AS14, $AS$7:$AS$63 ) )</f>
        <v>14</v>
      </c>
      <c r="AW14" s="234">
        <f>COUNTIF( AV$7:AV14, AV14 )</f>
        <v>3</v>
      </c>
      <c r="AX14" s="287">
        <f t="shared" si="22"/>
        <v>14.3</v>
      </c>
      <c r="AY14" s="234">
        <f t="shared" si="23"/>
        <v>16</v>
      </c>
      <c r="AZ14" s="236"/>
      <c r="BA14" s="236"/>
      <c r="BC14" s="234">
        <f t="shared" ca="1" si="24"/>
        <v>8</v>
      </c>
      <c r="BD14" s="288">
        <f t="shared" ca="1" si="8"/>
        <v>32</v>
      </c>
      <c r="BF14" s="240" t="str">
        <f t="shared" ca="1" si="9"/>
        <v>Eversource</v>
      </c>
      <c r="BG14" s="240" t="str">
        <f t="shared" ca="1" si="9"/>
        <v>A-</v>
      </c>
      <c r="BH14" s="240">
        <f t="shared" ca="1" si="9"/>
        <v>20</v>
      </c>
      <c r="BI14" s="240" t="str">
        <f t="shared" ca="1" si="9"/>
        <v>ES</v>
      </c>
    </row>
    <row r="15" spans="1:61" x14ac:dyDescent="0.2">
      <c r="A15" s="303" t="s">
        <v>21</v>
      </c>
      <c r="B15" s="304" t="s">
        <v>10</v>
      </c>
      <c r="C15" s="304">
        <v>20</v>
      </c>
      <c r="D15" s="304" t="s">
        <v>316</v>
      </c>
      <c r="E15" s="305" t="str">
        <f t="shared" ca="1" si="1"/>
        <v>MR</v>
      </c>
      <c r="F15" s="306"/>
      <c r="G15" s="307">
        <f t="shared" ca="1" si="2"/>
        <v>37</v>
      </c>
      <c r="H15" s="250"/>
      <c r="I15" s="321"/>
      <c r="K15" s="321"/>
      <c r="N15" s="321"/>
      <c r="Q15" s="321"/>
      <c r="T15" s="321"/>
      <c r="W15" s="321"/>
      <c r="X15" s="240"/>
      <c r="AA15" s="240"/>
      <c r="AE15" s="254"/>
      <c r="AF15" s="236">
        <f t="shared" si="3"/>
        <v>0</v>
      </c>
      <c r="AG15" s="236" t="str">
        <f t="shared" ca="1" si="4"/>
        <v/>
      </c>
      <c r="AH15" s="236" t="str">
        <f t="shared" ca="1" si="19"/>
        <v/>
      </c>
      <c r="AJ15" s="236">
        <f t="shared" ca="1" si="5"/>
        <v>15</v>
      </c>
      <c r="AK15" s="236" t="str">
        <f t="shared" ca="1" si="20"/>
        <v>A-</v>
      </c>
      <c r="AL15" s="236">
        <f t="shared" ca="1" si="20"/>
        <v>20</v>
      </c>
      <c r="AM15" s="236" t="str">
        <f t="shared" ca="1" si="6"/>
        <v/>
      </c>
      <c r="AQ15" s="286" t="s">
        <v>60</v>
      </c>
      <c r="AR15" s="286" t="s">
        <v>28</v>
      </c>
      <c r="AS15" s="286">
        <v>18</v>
      </c>
      <c r="AT15" s="286" t="s">
        <v>284</v>
      </c>
      <c r="AV15" s="234">
        <f t="shared" si="21"/>
        <v>26</v>
      </c>
      <c r="AW15" s="234">
        <f>COUNTIF( AV$7:AV15, AV15 )</f>
        <v>4</v>
      </c>
      <c r="AX15" s="287">
        <f t="shared" si="22"/>
        <v>26.4</v>
      </c>
      <c r="AY15" s="234">
        <f t="shared" si="23"/>
        <v>29</v>
      </c>
      <c r="AZ15" s="236"/>
      <c r="BA15" s="236"/>
      <c r="BC15" s="234">
        <f t="shared" ca="1" si="24"/>
        <v>9</v>
      </c>
      <c r="BD15" s="288">
        <f t="shared" ca="1" si="8"/>
        <v>34</v>
      </c>
      <c r="BF15" s="240" t="str">
        <f t="shared" ca="1" si="9"/>
        <v>OGE Energy Corp.</v>
      </c>
      <c r="BG15" s="240" t="str">
        <f t="shared" ca="1" si="9"/>
        <v>A-</v>
      </c>
      <c r="BH15" s="240">
        <f t="shared" ca="1" si="9"/>
        <v>20</v>
      </c>
      <c r="BI15" s="240" t="str">
        <f t="shared" ca="1" si="9"/>
        <v>OGE</v>
      </c>
    </row>
    <row r="16" spans="1:61" x14ac:dyDescent="0.2">
      <c r="A16" s="303" t="s">
        <v>41</v>
      </c>
      <c r="B16" s="304" t="s">
        <v>10</v>
      </c>
      <c r="C16" s="304">
        <v>20</v>
      </c>
      <c r="D16" s="304" t="s">
        <v>322</v>
      </c>
      <c r="E16" s="305" t="str">
        <f t="shared" ca="1" si="1"/>
        <v>R</v>
      </c>
      <c r="F16" s="306"/>
      <c r="G16" s="307">
        <f t="shared" ca="1" si="2"/>
        <v>41</v>
      </c>
      <c r="H16" s="250"/>
      <c r="I16" s="316"/>
      <c r="J16" s="290" t="s">
        <v>450</v>
      </c>
      <c r="K16" s="316"/>
      <c r="L16" s="463">
        <f t="array" ref="L16">SUM( IF( LEN( $C$7:$C$65 ) = 0, 0, $C$7:$C$65 ) ) / SUM( IF( LEN( $C$7:$C$65 ) = 0, 0, 1  ) )</f>
        <v>18.444444444444443</v>
      </c>
      <c r="M16" s="464"/>
      <c r="N16" s="316"/>
      <c r="O16" s="463">
        <f t="array" aca="1" ref="O16" ca="1">SUM( IF( LEN( $C$7:$C$65 ) = 0, 0, IF( $E$7:$E$65 = O3, $C$7:$C$65, 0 ) ) ) / SUM( IF( LEN( $C$7:$C$65 ) = 0, 0, IF( $E$7:$E$65 = O3, 1, 0 ) ) )</f>
        <v>18.457142857142856</v>
      </c>
      <c r="P16" s="464"/>
      <c r="Q16" s="316"/>
      <c r="R16" s="463">
        <f t="array" aca="1" ref="R16" ca="1">SUM( IF( LEN( $C$7:$C$65 ) = 0, 0, IF( $E$7:$E$65 = R3, $C$7:$C$65, 0 ) ) ) / SUM( IF( LEN( $C$7:$C$65 ) = 0, 0, IF( $E$7:$E$65 = R3, 1, 0 ) ) )</f>
        <v>19</v>
      </c>
      <c r="S16" s="464"/>
      <c r="T16" s="316"/>
      <c r="U16" s="463">
        <f t="array" aca="1" ref="U16" ca="1">SUM( IF( LEN( $C$7:$C$65 ) = 0, 0, IF( $E$7:$E$65 = U3, $C$7:$C$65, 0 ) ) ) / SUM( IF( LEN( $C$7:$C$65 ) = 0, 0, IF( $E$7:$E$65 = U3, 1, 0 ) ) )</f>
        <v>13.5</v>
      </c>
      <c r="V16" s="465"/>
      <c r="W16" s="316"/>
      <c r="AE16" s="254"/>
      <c r="AF16" s="236">
        <f t="shared" si="3"/>
        <v>0</v>
      </c>
      <c r="AG16" s="236" t="str">
        <f t="shared" ca="1" si="4"/>
        <v/>
      </c>
      <c r="AH16" s="236" t="str">
        <f t="shared" ca="1" si="19"/>
        <v/>
      </c>
      <c r="AJ16" s="236">
        <f t="shared" ca="1" si="5"/>
        <v>16</v>
      </c>
      <c r="AK16" s="236" t="str">
        <f t="shared" ca="1" si="20"/>
        <v>A-</v>
      </c>
      <c r="AL16" s="236">
        <f t="shared" ca="1" si="20"/>
        <v>20</v>
      </c>
      <c r="AM16" s="236" t="str">
        <f t="shared" ca="1" si="6"/>
        <v/>
      </c>
      <c r="AQ16" s="286" t="s">
        <v>3</v>
      </c>
      <c r="AR16" s="286" t="s">
        <v>10</v>
      </c>
      <c r="AS16" s="286">
        <v>20</v>
      </c>
      <c r="AT16" s="286" t="s">
        <v>292</v>
      </c>
      <c r="AV16" s="234">
        <f t="shared" si="21"/>
        <v>2</v>
      </c>
      <c r="AW16" s="234">
        <f>COUNTIF( AV$7:AV16, AV16 )</f>
        <v>3</v>
      </c>
      <c r="AX16" s="287">
        <f t="shared" si="22"/>
        <v>2.2999999999999998</v>
      </c>
      <c r="AY16" s="234">
        <f t="shared" si="23"/>
        <v>4</v>
      </c>
      <c r="AZ16" s="236"/>
      <c r="BA16" s="236"/>
      <c r="BC16" s="234">
        <f t="shared" ca="1" si="24"/>
        <v>10</v>
      </c>
      <c r="BD16" s="288">
        <f t="shared" ca="1" si="8"/>
        <v>38</v>
      </c>
      <c r="BF16" s="240" t="str">
        <f t="shared" ca="1" si="9"/>
        <v>Pinnacle West Capital Corporation</v>
      </c>
      <c r="BG16" s="240" t="str">
        <f t="shared" ca="1" si="9"/>
        <v>A-</v>
      </c>
      <c r="BH16" s="240">
        <f t="shared" ca="1" si="9"/>
        <v>20</v>
      </c>
      <c r="BI16" s="240" t="str">
        <f t="shared" ca="1" si="9"/>
        <v>PNW</v>
      </c>
    </row>
    <row r="17" spans="1:61" x14ac:dyDescent="0.2">
      <c r="A17" s="303" t="s">
        <v>14</v>
      </c>
      <c r="B17" s="304" t="s">
        <v>10</v>
      </c>
      <c r="C17" s="304">
        <v>20</v>
      </c>
      <c r="D17" s="304" t="s">
        <v>335</v>
      </c>
      <c r="E17" s="305" t="str">
        <f t="shared" ca="1" si="1"/>
        <v>MR</v>
      </c>
      <c r="F17" s="306"/>
      <c r="G17" s="307">
        <f t="shared" ca="1" si="2"/>
        <v>53</v>
      </c>
      <c r="H17" s="250"/>
      <c r="I17" s="321"/>
      <c r="K17" s="321"/>
      <c r="N17" s="321"/>
      <c r="O17" s="240"/>
      <c r="Q17" s="321"/>
      <c r="T17" s="321"/>
      <c r="W17" s="321"/>
      <c r="AE17" s="245"/>
      <c r="AF17" s="236">
        <f t="shared" si="3"/>
        <v>0</v>
      </c>
      <c r="AG17" s="236" t="str">
        <f t="shared" ca="1" si="4"/>
        <v/>
      </c>
      <c r="AH17" s="236" t="str">
        <f t="shared" ca="1" si="19"/>
        <v/>
      </c>
      <c r="AJ17" s="236">
        <f t="shared" ca="1" si="5"/>
        <v>17</v>
      </c>
      <c r="AK17" s="236" t="str">
        <f t="shared" ca="1" si="20"/>
        <v>A-</v>
      </c>
      <c r="AL17" s="236">
        <f t="shared" ca="1" si="20"/>
        <v>20</v>
      </c>
      <c r="AM17" s="236" t="str">
        <f t="shared" ca="1" si="6"/>
        <v/>
      </c>
      <c r="AQ17" s="286" t="s">
        <v>18</v>
      </c>
      <c r="AR17" s="286" t="s">
        <v>10</v>
      </c>
      <c r="AS17" s="286">
        <v>20</v>
      </c>
      <c r="AT17" s="289" t="s">
        <v>86</v>
      </c>
      <c r="AV17" s="234">
        <f t="shared" si="21"/>
        <v>2</v>
      </c>
      <c r="AW17" s="234">
        <f>COUNTIF( AV$7:AV17, AV17 )</f>
        <v>4</v>
      </c>
      <c r="AX17" s="287">
        <f t="shared" si="22"/>
        <v>2.4</v>
      </c>
      <c r="AY17" s="234">
        <f t="shared" si="23"/>
        <v>5</v>
      </c>
      <c r="AZ17" s="236"/>
      <c r="BA17" s="236"/>
      <c r="BC17" s="234">
        <f t="shared" ca="1" si="24"/>
        <v>11</v>
      </c>
      <c r="BD17" s="288">
        <f t="shared" ca="1" si="8"/>
        <v>49</v>
      </c>
      <c r="BF17" s="240" t="str">
        <f t="shared" ca="1" si="9"/>
        <v>Vectren Corporation</v>
      </c>
      <c r="BG17" s="240" t="str">
        <f t="shared" ca="1" si="9"/>
        <v>A-</v>
      </c>
      <c r="BH17" s="240">
        <f t="shared" ca="1" si="9"/>
        <v>20</v>
      </c>
      <c r="BI17" s="240" t="str">
        <f t="shared" ca="1" si="9"/>
        <v>VVC</v>
      </c>
    </row>
    <row r="18" spans="1:61" x14ac:dyDescent="0.2">
      <c r="A18" s="303" t="s">
        <v>26</v>
      </c>
      <c r="B18" s="304" t="s">
        <v>10</v>
      </c>
      <c r="C18" s="304">
        <v>20</v>
      </c>
      <c r="D18" s="304" t="s">
        <v>336</v>
      </c>
      <c r="E18" s="305" t="str">
        <f t="shared" ca="1" si="1"/>
        <v>R</v>
      </c>
      <c r="F18" s="306"/>
      <c r="G18" s="307">
        <f t="shared" ca="1" si="2"/>
        <v>55</v>
      </c>
      <c r="H18" s="250"/>
      <c r="I18" s="321"/>
      <c r="K18" s="321"/>
      <c r="N18" s="321"/>
      <c r="O18" s="240"/>
      <c r="Q18" s="321"/>
      <c r="T18" s="321"/>
      <c r="W18" s="321"/>
      <c r="AE18" s="254"/>
      <c r="AF18" s="236">
        <f t="shared" si="3"/>
        <v>0</v>
      </c>
      <c r="AG18" s="236" t="str">
        <f t="shared" ca="1" si="4"/>
        <v/>
      </c>
      <c r="AH18" s="236" t="str">
        <f t="shared" ca="1" si="19"/>
        <v/>
      </c>
      <c r="AJ18" s="236">
        <f t="shared" ca="1" si="5"/>
        <v>18</v>
      </c>
      <c r="AK18" s="236" t="str">
        <f t="shared" ca="1" si="20"/>
        <v>A-</v>
      </c>
      <c r="AL18" s="236">
        <f t="shared" ca="1" si="20"/>
        <v>20</v>
      </c>
      <c r="AM18" s="236" t="str">
        <f t="shared" ca="1" si="6"/>
        <v/>
      </c>
      <c r="AQ18" s="286" t="s">
        <v>64</v>
      </c>
      <c r="AR18" s="286" t="s">
        <v>61</v>
      </c>
      <c r="AS18" s="286">
        <v>15</v>
      </c>
      <c r="AT18" s="286" t="s">
        <v>443</v>
      </c>
      <c r="AV18" s="234">
        <f t="shared" si="21"/>
        <v>51</v>
      </c>
      <c r="AW18" s="234">
        <f>COUNTIF( AV$7:AV18, AV18 )</f>
        <v>1</v>
      </c>
      <c r="AX18" s="287">
        <f t="shared" si="22"/>
        <v>51.1</v>
      </c>
      <c r="AY18" s="234">
        <f t="shared" si="23"/>
        <v>51</v>
      </c>
      <c r="AZ18" s="236"/>
      <c r="BA18" s="236"/>
      <c r="BC18" s="234">
        <f t="shared" ca="1" si="24"/>
        <v>12</v>
      </c>
      <c r="BD18" s="288">
        <f t="shared" ca="1" si="8"/>
        <v>51</v>
      </c>
      <c r="BF18" s="240" t="str">
        <f t="shared" ca="1" si="9"/>
        <v>Wisconsin Energy Corporation</v>
      </c>
      <c r="BG18" s="240" t="str">
        <f t="shared" ca="1" si="9"/>
        <v>A-</v>
      </c>
      <c r="BH18" s="240">
        <f t="shared" ca="1" si="9"/>
        <v>20</v>
      </c>
      <c r="BI18" s="240" t="str">
        <f t="shared" ca="1" si="9"/>
        <v>WEC</v>
      </c>
    </row>
    <row r="19" spans="1:61" x14ac:dyDescent="0.2">
      <c r="A19" s="303" t="s">
        <v>258</v>
      </c>
      <c r="B19" s="304" t="s">
        <v>10</v>
      </c>
      <c r="C19" s="304">
        <v>20</v>
      </c>
      <c r="D19" s="304" t="s">
        <v>338</v>
      </c>
      <c r="E19" s="305" t="str">
        <f t="shared" ca="1" si="1"/>
        <v>R</v>
      </c>
      <c r="F19" s="306"/>
      <c r="G19" s="307">
        <f t="shared" ca="1" si="2"/>
        <v>56</v>
      </c>
      <c r="H19" s="250"/>
      <c r="I19" s="321"/>
      <c r="K19" s="321"/>
      <c r="N19" s="321"/>
      <c r="O19" s="240"/>
      <c r="Q19" s="321"/>
      <c r="T19" s="321"/>
      <c r="W19" s="321"/>
      <c r="AE19" s="254"/>
      <c r="AF19" s="236">
        <f t="shared" si="3"/>
        <v>0</v>
      </c>
      <c r="AG19" s="236" t="str">
        <f t="shared" ca="1" si="4"/>
        <v/>
      </c>
      <c r="AH19" s="236" t="str">
        <f t="shared" ca="1" si="19"/>
        <v/>
      </c>
      <c r="AJ19" s="236">
        <f t="shared" ca="1" si="5"/>
        <v>19</v>
      </c>
      <c r="AK19" s="236" t="str">
        <f t="shared" ca="1" si="20"/>
        <v>A-</v>
      </c>
      <c r="AL19" s="236">
        <f t="shared" ca="1" si="20"/>
        <v>20</v>
      </c>
      <c r="AM19" s="236" t="str">
        <f t="shared" ca="1" si="6"/>
        <v/>
      </c>
      <c r="AQ19" s="286" t="s">
        <v>31</v>
      </c>
      <c r="AR19" s="286" t="s">
        <v>16</v>
      </c>
      <c r="AS19" s="286">
        <v>19</v>
      </c>
      <c r="AT19" s="286" t="s">
        <v>289</v>
      </c>
      <c r="AV19" s="234">
        <f t="shared" si="21"/>
        <v>14</v>
      </c>
      <c r="AW19" s="234">
        <f>COUNTIF( AV$7:AV19, AV19 )</f>
        <v>4</v>
      </c>
      <c r="AX19" s="287">
        <f t="shared" si="22"/>
        <v>14.4</v>
      </c>
      <c r="AY19" s="234">
        <f t="shared" si="23"/>
        <v>17</v>
      </c>
      <c r="AZ19" s="236"/>
      <c r="BA19" s="236"/>
      <c r="BC19" s="234">
        <f t="shared" ca="1" si="24"/>
        <v>13</v>
      </c>
      <c r="BD19" s="288">
        <f t="shared" ca="1" si="8"/>
        <v>52</v>
      </c>
      <c r="BF19" s="240" t="str">
        <f t="shared" ca="1" si="9"/>
        <v>Xcel Energy Inc.</v>
      </c>
      <c r="BG19" s="240" t="str">
        <f t="shared" ca="1" si="9"/>
        <v>A-</v>
      </c>
      <c r="BH19" s="240">
        <f t="shared" ca="1" si="9"/>
        <v>20</v>
      </c>
      <c r="BI19" s="240" t="str">
        <f t="shared" ca="1" si="9"/>
        <v>XEL</v>
      </c>
    </row>
    <row r="20" spans="1:61" x14ac:dyDescent="0.2">
      <c r="A20" s="303" t="s">
        <v>15</v>
      </c>
      <c r="B20" s="304" t="s">
        <v>16</v>
      </c>
      <c r="C20" s="304">
        <v>19</v>
      </c>
      <c r="D20" s="304" t="s">
        <v>277</v>
      </c>
      <c r="E20" s="305" t="str">
        <f t="shared" ca="1" si="1"/>
        <v>R</v>
      </c>
      <c r="F20" s="306"/>
      <c r="G20" s="307">
        <f t="shared" ca="1" si="2"/>
        <v>7</v>
      </c>
      <c r="H20" s="250"/>
      <c r="I20" s="322"/>
      <c r="K20" s="322"/>
      <c r="N20" s="322"/>
      <c r="O20" s="240"/>
      <c r="Q20" s="322"/>
      <c r="T20" s="322"/>
      <c r="W20" s="322"/>
      <c r="AE20" s="254"/>
      <c r="AF20" s="236">
        <f t="shared" si="3"/>
        <v>1</v>
      </c>
      <c r="AG20" s="236" t="str">
        <f t="shared" ca="1" si="4"/>
        <v/>
      </c>
      <c r="AH20" s="236" t="str">
        <f t="shared" ca="1" si="19"/>
        <v/>
      </c>
      <c r="AJ20" s="236">
        <f t="shared" ca="1" si="5"/>
        <v>20</v>
      </c>
      <c r="AK20" s="236" t="str">
        <f t="shared" ca="1" si="20"/>
        <v>BBB+</v>
      </c>
      <c r="AL20" s="236">
        <f t="shared" ca="1" si="20"/>
        <v>19</v>
      </c>
      <c r="AM20" s="236" t="str">
        <f t="shared" ca="1" si="6"/>
        <v/>
      </c>
      <c r="AQ20" s="286" t="s">
        <v>32</v>
      </c>
      <c r="AR20" s="286" t="s">
        <v>16</v>
      </c>
      <c r="AS20" s="286">
        <v>19</v>
      </c>
      <c r="AT20" s="286" t="s">
        <v>290</v>
      </c>
      <c r="AV20" s="234">
        <f t="shared" si="21"/>
        <v>14</v>
      </c>
      <c r="AW20" s="234">
        <f>COUNTIF( AV$7:AV20, AV20 )</f>
        <v>5</v>
      </c>
      <c r="AX20" s="287">
        <f t="shared" si="22"/>
        <v>14.5</v>
      </c>
      <c r="AY20" s="234">
        <f t="shared" si="23"/>
        <v>18</v>
      </c>
      <c r="AZ20" s="236"/>
      <c r="BA20" s="236"/>
      <c r="BC20" s="234">
        <f t="shared" ca="1" si="24"/>
        <v>14</v>
      </c>
      <c r="BD20" s="288">
        <f t="shared" ca="1" si="8"/>
        <v>1</v>
      </c>
      <c r="BF20" s="240" t="str">
        <f t="shared" ca="1" si="9"/>
        <v>ALLETE, Inc.</v>
      </c>
      <c r="BG20" s="240" t="str">
        <f t="shared" ca="1" si="9"/>
        <v>BBB+</v>
      </c>
      <c r="BH20" s="240">
        <f t="shared" ca="1" si="9"/>
        <v>19</v>
      </c>
      <c r="BI20" s="240" t="str">
        <f t="shared" ca="1" si="9"/>
        <v>ALE</v>
      </c>
    </row>
    <row r="21" spans="1:61" x14ac:dyDescent="0.2">
      <c r="A21" s="303" t="s">
        <v>9</v>
      </c>
      <c r="B21" s="304" t="s">
        <v>16</v>
      </c>
      <c r="C21" s="304">
        <v>19</v>
      </c>
      <c r="D21" s="304" t="s">
        <v>274</v>
      </c>
      <c r="E21" s="305" t="str">
        <f t="shared" ca="1" si="1"/>
        <v>R</v>
      </c>
      <c r="F21" s="306"/>
      <c r="G21" s="307">
        <f t="shared" ca="1" si="2"/>
        <v>9</v>
      </c>
      <c r="H21" s="250"/>
      <c r="I21" s="321"/>
      <c r="K21" s="321"/>
      <c r="N21" s="321"/>
      <c r="Q21" s="321"/>
      <c r="T21" s="321"/>
      <c r="W21" s="321"/>
      <c r="AE21" s="254"/>
      <c r="AF21" s="236">
        <f t="shared" si="3"/>
        <v>1</v>
      </c>
      <c r="AG21" s="236" t="str">
        <f t="shared" ca="1" si="4"/>
        <v/>
      </c>
      <c r="AH21" s="236" t="str">
        <f t="shared" ca="1" si="19"/>
        <v/>
      </c>
      <c r="AJ21" s="236">
        <f t="shared" ca="1" si="5"/>
        <v>21</v>
      </c>
      <c r="AK21" s="236" t="str">
        <f t="shared" ca="1" si="20"/>
        <v>BBB+</v>
      </c>
      <c r="AL21" s="236">
        <f t="shared" ca="1" si="20"/>
        <v>19</v>
      </c>
      <c r="AM21" s="236" t="str">
        <f t="shared" ca="1" si="6"/>
        <v/>
      </c>
      <c r="AQ21" s="286" t="s">
        <v>57</v>
      </c>
      <c r="AR21" s="286" t="s">
        <v>49</v>
      </c>
      <c r="AS21" s="286">
        <v>17</v>
      </c>
      <c r="AT21" s="286" t="s">
        <v>296</v>
      </c>
      <c r="AV21" s="234">
        <f t="shared" si="21"/>
        <v>45</v>
      </c>
      <c r="AW21" s="234">
        <f>COUNTIF( AV$7:AV21, AV21 )</f>
        <v>1</v>
      </c>
      <c r="AX21" s="287">
        <f t="shared" si="22"/>
        <v>45.1</v>
      </c>
      <c r="AY21" s="234">
        <f t="shared" si="23"/>
        <v>45</v>
      </c>
      <c r="AZ21" s="236"/>
      <c r="BA21" s="236"/>
      <c r="BC21" s="234">
        <f t="shared" ca="1" si="24"/>
        <v>15</v>
      </c>
      <c r="BD21" s="288">
        <f t="shared" ca="1" si="8"/>
        <v>3</v>
      </c>
      <c r="BF21" s="240" t="str">
        <f t="shared" ca="1" si="9"/>
        <v>Ameren Corporation</v>
      </c>
      <c r="BG21" s="240" t="str">
        <f t="shared" ca="1" si="9"/>
        <v>BBB+</v>
      </c>
      <c r="BH21" s="240">
        <f t="shared" ca="1" si="9"/>
        <v>19</v>
      </c>
      <c r="BI21" s="240" t="str">
        <f t="shared" ca="1" si="9"/>
        <v>AEE</v>
      </c>
    </row>
    <row r="22" spans="1:61" x14ac:dyDescent="0.2">
      <c r="A22" s="303" t="s">
        <v>30</v>
      </c>
      <c r="B22" s="304" t="s">
        <v>16</v>
      </c>
      <c r="C22" s="304">
        <v>19</v>
      </c>
      <c r="D22" s="304" t="s">
        <v>285</v>
      </c>
      <c r="E22" s="305" t="str">
        <f t="shared" ca="1" si="1"/>
        <v>R</v>
      </c>
      <c r="F22" s="306"/>
      <c r="G22" s="307">
        <f t="shared" ca="1" si="2"/>
        <v>14</v>
      </c>
      <c r="H22" s="250"/>
      <c r="I22" s="321"/>
      <c r="K22" s="321"/>
      <c r="N22" s="321"/>
      <c r="Q22" s="321"/>
      <c r="T22" s="321"/>
      <c r="W22" s="321"/>
      <c r="AE22" s="254"/>
      <c r="AF22" s="236">
        <f t="shared" si="3"/>
        <v>1</v>
      </c>
      <c r="AG22" s="236" t="str">
        <f t="shared" ca="1" si="4"/>
        <v/>
      </c>
      <c r="AH22" s="236" t="str">
        <f t="shared" ca="1" si="19"/>
        <v/>
      </c>
      <c r="AJ22" s="236">
        <f t="shared" ca="1" si="5"/>
        <v>22</v>
      </c>
      <c r="AK22" s="236" t="str">
        <f t="shared" ca="1" si="20"/>
        <v>BBB+</v>
      </c>
      <c r="AL22" s="236">
        <f t="shared" ca="1" si="20"/>
        <v>19</v>
      </c>
      <c r="AM22" s="236" t="str">
        <f t="shared" ca="1" si="6"/>
        <v/>
      </c>
      <c r="AQ22" s="286" t="s">
        <v>34</v>
      </c>
      <c r="AR22" s="286" t="s">
        <v>28</v>
      </c>
      <c r="AS22" s="286">
        <v>18</v>
      </c>
      <c r="AT22" s="289" t="s">
        <v>294</v>
      </c>
      <c r="AV22" s="234">
        <f t="shared" si="21"/>
        <v>26</v>
      </c>
      <c r="AW22" s="234">
        <f>COUNTIF( AV$7:AV22, AV22 )</f>
        <v>5</v>
      </c>
      <c r="AX22" s="287">
        <f t="shared" si="22"/>
        <v>26.5</v>
      </c>
      <c r="AY22" s="234">
        <f t="shared" si="23"/>
        <v>30</v>
      </c>
      <c r="AZ22" s="236"/>
      <c r="BA22" s="236"/>
      <c r="BC22" s="234">
        <f t="shared" ca="1" si="24"/>
        <v>16</v>
      </c>
      <c r="BD22" s="288">
        <f t="shared" ca="1" si="8"/>
        <v>8</v>
      </c>
      <c r="BF22" s="240" t="str">
        <f t="shared" ca="1" si="9"/>
        <v>Cleco Corporation</v>
      </c>
      <c r="BG22" s="240" t="str">
        <f t="shared" ca="1" si="9"/>
        <v>BBB+</v>
      </c>
      <c r="BH22" s="240">
        <f t="shared" ca="1" si="9"/>
        <v>19</v>
      </c>
      <c r="BI22" s="240" t="str">
        <f t="shared" ca="1" si="9"/>
        <v>CNL</v>
      </c>
    </row>
    <row r="23" spans="1:61" x14ac:dyDescent="0.2">
      <c r="A23" s="303" t="s">
        <v>31</v>
      </c>
      <c r="B23" s="304" t="s">
        <v>16</v>
      </c>
      <c r="C23" s="304">
        <v>19</v>
      </c>
      <c r="D23" s="304" t="s">
        <v>289</v>
      </c>
      <c r="E23" s="305" t="str">
        <f t="shared" ca="1" si="1"/>
        <v>R</v>
      </c>
      <c r="F23" s="306"/>
      <c r="G23" s="307">
        <f t="shared" ca="1" si="2"/>
        <v>18</v>
      </c>
      <c r="H23" s="250"/>
      <c r="I23" s="321"/>
      <c r="K23" s="321"/>
      <c r="N23" s="321"/>
      <c r="Q23" s="321"/>
      <c r="T23" s="321"/>
      <c r="W23" s="321"/>
      <c r="AE23" s="254"/>
      <c r="AF23" s="236">
        <f t="shared" si="3"/>
        <v>1</v>
      </c>
      <c r="AG23" s="236" t="str">
        <f t="shared" ca="1" si="4"/>
        <v/>
      </c>
      <c r="AH23" s="236" t="str">
        <f t="shared" ca="1" si="19"/>
        <v/>
      </c>
      <c r="AJ23" s="236">
        <f t="shared" ca="1" si="5"/>
        <v>23</v>
      </c>
      <c r="AK23" s="236" t="str">
        <f t="shared" ca="1" si="20"/>
        <v>BBB+</v>
      </c>
      <c r="AL23" s="236">
        <f t="shared" ca="1" si="20"/>
        <v>19</v>
      </c>
      <c r="AM23" s="236" t="str">
        <f t="shared" ca="1" si="6"/>
        <v/>
      </c>
      <c r="AQ23" s="286" t="s">
        <v>35</v>
      </c>
      <c r="AR23" s="286" t="s">
        <v>28</v>
      </c>
      <c r="AS23" s="286">
        <v>18</v>
      </c>
      <c r="AT23" s="289" t="s">
        <v>293</v>
      </c>
      <c r="AV23" s="234">
        <f t="shared" si="21"/>
        <v>26</v>
      </c>
      <c r="AW23" s="234">
        <f>COUNTIF( AV$7:AV23, AV23 )</f>
        <v>6</v>
      </c>
      <c r="AX23" s="287">
        <f t="shared" si="22"/>
        <v>26.6</v>
      </c>
      <c r="AY23" s="234">
        <f t="shared" si="23"/>
        <v>31</v>
      </c>
      <c r="AZ23" s="236"/>
      <c r="BA23" s="236"/>
      <c r="BC23" s="234">
        <f t="shared" ca="1" si="24"/>
        <v>17</v>
      </c>
      <c r="BD23" s="288">
        <f t="shared" ca="1" si="8"/>
        <v>13</v>
      </c>
      <c r="BF23" s="240" t="str">
        <f t="shared" ca="1" si="9"/>
        <v>DTE Energy Company</v>
      </c>
      <c r="BG23" s="240" t="str">
        <f t="shared" ca="1" si="9"/>
        <v>BBB+</v>
      </c>
      <c r="BH23" s="240">
        <f t="shared" ca="1" si="9"/>
        <v>19</v>
      </c>
      <c r="BI23" s="240" t="str">
        <f t="shared" ca="1" si="9"/>
        <v>DTE</v>
      </c>
    </row>
    <row r="24" spans="1:61" x14ac:dyDescent="0.2">
      <c r="A24" s="303" t="s">
        <v>32</v>
      </c>
      <c r="B24" s="304" t="s">
        <v>16</v>
      </c>
      <c r="C24" s="304">
        <v>19</v>
      </c>
      <c r="D24" s="304" t="s">
        <v>290</v>
      </c>
      <c r="E24" s="305" t="str">
        <f t="shared" ca="1" si="1"/>
        <v>R</v>
      </c>
      <c r="F24" s="306"/>
      <c r="G24" s="307">
        <f t="shared" ca="1" si="2"/>
        <v>19</v>
      </c>
      <c r="H24" s="250"/>
      <c r="I24" s="321"/>
      <c r="J24" s="262"/>
      <c r="K24" s="321"/>
      <c r="N24" s="321"/>
      <c r="Q24" s="321"/>
      <c r="T24" s="321"/>
      <c r="W24" s="321"/>
      <c r="AE24" s="254"/>
      <c r="AF24" s="236">
        <f t="shared" si="3"/>
        <v>1</v>
      </c>
      <c r="AG24" s="236" t="str">
        <f t="shared" ca="1" si="4"/>
        <v/>
      </c>
      <c r="AH24" s="236" t="str">
        <f t="shared" ca="1" si="19"/>
        <v/>
      </c>
      <c r="AJ24" s="236">
        <f t="shared" ca="1" si="5"/>
        <v>24</v>
      </c>
      <c r="AK24" s="236" t="str">
        <f t="shared" ca="1" si="20"/>
        <v>BBB+</v>
      </c>
      <c r="AL24" s="236">
        <f t="shared" ca="1" si="20"/>
        <v>19</v>
      </c>
      <c r="AM24" s="236" t="str">
        <f t="shared" ca="1" si="6"/>
        <v/>
      </c>
      <c r="AQ24" s="286" t="s">
        <v>249</v>
      </c>
      <c r="AR24" s="286" t="s">
        <v>127</v>
      </c>
      <c r="AS24" s="286">
        <v>8</v>
      </c>
      <c r="AT24" s="286" t="s">
        <v>445</v>
      </c>
      <c r="AV24" s="234">
        <f t="shared" si="21"/>
        <v>52</v>
      </c>
      <c r="AW24" s="234">
        <f>COUNTIF( AV$7:AV24, AV24 )</f>
        <v>1</v>
      </c>
      <c r="AX24" s="287">
        <f t="shared" si="22"/>
        <v>52.1</v>
      </c>
      <c r="AY24" s="234">
        <f t="shared" si="23"/>
        <v>52</v>
      </c>
      <c r="AZ24" s="236"/>
      <c r="BA24" s="236"/>
      <c r="BC24" s="234">
        <f t="shared" ca="1" si="24"/>
        <v>18</v>
      </c>
      <c r="BD24" s="288">
        <f t="shared" ca="1" si="8"/>
        <v>14</v>
      </c>
      <c r="BF24" s="240" t="str">
        <f t="shared" ca="1" si="9"/>
        <v>Duke Energy Corporation</v>
      </c>
      <c r="BG24" s="240" t="str">
        <f t="shared" ca="1" si="9"/>
        <v>BBB+</v>
      </c>
      <c r="BH24" s="240">
        <f t="shared" ca="1" si="9"/>
        <v>19</v>
      </c>
      <c r="BI24" s="240" t="str">
        <f t="shared" ca="1" si="9"/>
        <v>DUK</v>
      </c>
    </row>
    <row r="25" spans="1:61" x14ac:dyDescent="0.2">
      <c r="A25" s="303" t="s">
        <v>12</v>
      </c>
      <c r="B25" s="304" t="s">
        <v>16</v>
      </c>
      <c r="C25" s="304">
        <v>19</v>
      </c>
      <c r="D25" s="304" t="s">
        <v>309</v>
      </c>
      <c r="E25" s="305" t="str">
        <f t="shared" ca="1" si="1"/>
        <v>D</v>
      </c>
      <c r="F25" s="306"/>
      <c r="G25" s="307">
        <f t="shared" ca="1" si="2"/>
        <v>30</v>
      </c>
      <c r="H25" s="250"/>
      <c r="I25" s="321"/>
      <c r="J25" s="262"/>
      <c r="K25" s="321"/>
      <c r="N25" s="321"/>
      <c r="Q25" s="321"/>
      <c r="T25" s="321"/>
      <c r="W25" s="321"/>
      <c r="AE25" s="254"/>
      <c r="AF25" s="236">
        <f t="shared" si="3"/>
        <v>1</v>
      </c>
      <c r="AG25" s="236" t="str">
        <f t="shared" ca="1" si="4"/>
        <v/>
      </c>
      <c r="AH25" s="236" t="str">
        <f t="shared" ca="1" si="19"/>
        <v/>
      </c>
      <c r="AJ25" s="236">
        <f t="shared" ca="1" si="5"/>
        <v>25</v>
      </c>
      <c r="AK25" s="236" t="str">
        <f t="shared" ca="1" si="20"/>
        <v>BBB+</v>
      </c>
      <c r="AL25" s="236">
        <f t="shared" ca="1" si="20"/>
        <v>19</v>
      </c>
      <c r="AM25" s="236" t="str">
        <f t="shared" ca="1" si="6"/>
        <v/>
      </c>
      <c r="AQ25" s="286" t="s">
        <v>36</v>
      </c>
      <c r="AR25" s="286" t="s">
        <v>28</v>
      </c>
      <c r="AS25" s="286">
        <v>18</v>
      </c>
      <c r="AT25" s="286" t="s">
        <v>297</v>
      </c>
      <c r="AV25" s="234">
        <f t="shared" si="21"/>
        <v>26</v>
      </c>
      <c r="AW25" s="234">
        <f>COUNTIF( AV$7:AV25, AV25 )</f>
        <v>7</v>
      </c>
      <c r="AX25" s="287">
        <f t="shared" si="22"/>
        <v>26.7</v>
      </c>
      <c r="AY25" s="234">
        <f t="shared" si="23"/>
        <v>32</v>
      </c>
      <c r="AZ25" s="236"/>
      <c r="BA25" s="236"/>
      <c r="BC25" s="234">
        <f t="shared" ca="1" si="24"/>
        <v>19</v>
      </c>
      <c r="BD25" s="288">
        <f t="shared" ca="1" si="8"/>
        <v>28</v>
      </c>
      <c r="BF25" s="240" t="str">
        <f t="shared" ca="1" si="9"/>
        <v>MDU Resources Group, Inc.</v>
      </c>
      <c r="BG25" s="240" t="str">
        <f t="shared" ca="1" si="9"/>
        <v>BBB+</v>
      </c>
      <c r="BH25" s="240">
        <f t="shared" ca="1" si="9"/>
        <v>19</v>
      </c>
      <c r="BI25" s="240" t="str">
        <f t="shared" ca="1" si="9"/>
        <v>MDU</v>
      </c>
    </row>
    <row r="26" spans="1:61" x14ac:dyDescent="0.2">
      <c r="A26" s="303" t="s">
        <v>52</v>
      </c>
      <c r="B26" s="304" t="s">
        <v>16</v>
      </c>
      <c r="C26" s="304">
        <v>19</v>
      </c>
      <c r="D26" s="304" t="s">
        <v>447</v>
      </c>
      <c r="E26" s="305" t="str">
        <f t="shared" ca="1" si="1"/>
        <v>MR</v>
      </c>
      <c r="F26" s="306"/>
      <c r="G26" s="307">
        <f t="shared" ca="1" si="2"/>
        <v>62</v>
      </c>
      <c r="H26" s="250"/>
      <c r="I26" s="321"/>
      <c r="J26" s="262"/>
      <c r="K26" s="321"/>
      <c r="N26" s="321"/>
      <c r="Q26" s="321"/>
      <c r="T26" s="321"/>
      <c r="W26" s="321"/>
      <c r="AE26" s="254"/>
      <c r="AF26" s="236">
        <f t="shared" si="3"/>
        <v>1</v>
      </c>
      <c r="AG26" s="236" t="str">
        <f t="shared" ca="1" si="4"/>
        <v/>
      </c>
      <c r="AH26" s="236" t="str">
        <f t="shared" ca="1" si="19"/>
        <v/>
      </c>
      <c r="AJ26" s="236">
        <f t="shared" ca="1" si="5"/>
        <v>26</v>
      </c>
      <c r="AK26" s="236" t="str">
        <f t="shared" ca="1" si="20"/>
        <v>BBB+</v>
      </c>
      <c r="AL26" s="236">
        <f t="shared" ca="1" si="20"/>
        <v>19</v>
      </c>
      <c r="AM26" s="236" t="str">
        <f t="shared" ca="1" si="6"/>
        <v/>
      </c>
      <c r="AQ26" s="286" t="s">
        <v>11</v>
      </c>
      <c r="AR26" s="286" t="s">
        <v>28</v>
      </c>
      <c r="AS26" s="286">
        <v>18</v>
      </c>
      <c r="AT26" s="286" t="s">
        <v>298</v>
      </c>
      <c r="AV26" s="234">
        <f t="shared" si="21"/>
        <v>26</v>
      </c>
      <c r="AW26" s="234">
        <f>COUNTIF( AV$7:AV26, AV26 )</f>
        <v>8</v>
      </c>
      <c r="AX26" s="287">
        <f t="shared" si="22"/>
        <v>26.8</v>
      </c>
      <c r="AY26" s="234">
        <f t="shared" si="23"/>
        <v>33</v>
      </c>
      <c r="AZ26" s="236"/>
      <c r="BA26" s="236"/>
      <c r="BC26" s="234">
        <f t="shared" ca="1" si="24"/>
        <v>20</v>
      </c>
      <c r="BD26" s="288">
        <f t="shared" ca="1" si="8"/>
        <v>29</v>
      </c>
      <c r="BF26" s="240" t="str">
        <f t="shared" ca="1" si="9"/>
        <v>MidAmerican Energy Holdings Company</v>
      </c>
      <c r="BG26" s="240" t="str">
        <f t="shared" ca="1" si="9"/>
        <v>BBB+</v>
      </c>
      <c r="BH26" s="240">
        <f t="shared" ca="1" si="9"/>
        <v>19</v>
      </c>
      <c r="BI26" s="240" t="str">
        <f t="shared" ca="1" si="9"/>
        <v>**BRK</v>
      </c>
    </row>
    <row r="27" spans="1:61" x14ac:dyDescent="0.2">
      <c r="A27" s="303" t="s">
        <v>23</v>
      </c>
      <c r="B27" s="304" t="s">
        <v>16</v>
      </c>
      <c r="C27" s="304">
        <v>19</v>
      </c>
      <c r="D27" s="304" t="s">
        <v>323</v>
      </c>
      <c r="E27" s="305" t="str">
        <f t="shared" ca="1" si="1"/>
        <v>MR</v>
      </c>
      <c r="F27" s="306"/>
      <c r="G27" s="307">
        <f t="shared" ca="1" si="2"/>
        <v>39</v>
      </c>
      <c r="H27" s="250"/>
      <c r="I27" s="321"/>
      <c r="J27" s="262"/>
      <c r="K27" s="321"/>
      <c r="N27" s="321"/>
      <c r="Q27" s="321"/>
      <c r="T27" s="321"/>
      <c r="W27" s="321"/>
      <c r="AE27" s="254"/>
      <c r="AF27" s="236">
        <f t="shared" si="3"/>
        <v>1</v>
      </c>
      <c r="AG27" s="236" t="str">
        <f t="shared" ca="1" si="4"/>
        <v/>
      </c>
      <c r="AH27" s="236" t="str">
        <f t="shared" ca="1" si="19"/>
        <v/>
      </c>
      <c r="AJ27" s="236">
        <f t="shared" ca="1" si="5"/>
        <v>27</v>
      </c>
      <c r="AK27" s="236" t="str">
        <f t="shared" ca="1" si="20"/>
        <v>BBB+</v>
      </c>
      <c r="AL27" s="236">
        <f t="shared" ca="1" si="20"/>
        <v>19</v>
      </c>
      <c r="AM27" s="236" t="str">
        <f t="shared" ca="1" si="6"/>
        <v/>
      </c>
      <c r="AQ27" s="286" t="s">
        <v>51</v>
      </c>
      <c r="AR27" s="286" t="s">
        <v>49</v>
      </c>
      <c r="AS27" s="286">
        <v>17</v>
      </c>
      <c r="AT27" s="286" t="s">
        <v>299</v>
      </c>
      <c r="AV27" s="234">
        <f t="shared" si="21"/>
        <v>45</v>
      </c>
      <c r="AW27" s="234">
        <f>COUNTIF( AV$7:AV27, AV27 )</f>
        <v>2</v>
      </c>
      <c r="AX27" s="287">
        <f t="shared" si="22"/>
        <v>45.2</v>
      </c>
      <c r="AY27" s="234">
        <f t="shared" si="23"/>
        <v>46</v>
      </c>
      <c r="AZ27" s="236"/>
      <c r="BA27" s="236"/>
      <c r="BC27" s="234">
        <f t="shared" ca="1" si="24"/>
        <v>21</v>
      </c>
      <c r="BD27" s="288">
        <f t="shared" ca="1" si="8"/>
        <v>36</v>
      </c>
      <c r="BF27" s="240" t="str">
        <f t="shared" ca="1" si="9"/>
        <v>Pepco Holdings, Inc.</v>
      </c>
      <c r="BG27" s="240" t="str">
        <f t="shared" ca="1" si="9"/>
        <v>BBB+</v>
      </c>
      <c r="BH27" s="240">
        <f t="shared" ca="1" si="9"/>
        <v>19</v>
      </c>
      <c r="BI27" s="240" t="str">
        <f t="shared" ca="1" si="9"/>
        <v>POM</v>
      </c>
    </row>
    <row r="28" spans="1:61" x14ac:dyDescent="0.2">
      <c r="A28" s="303" t="s">
        <v>45</v>
      </c>
      <c r="B28" s="304" t="s">
        <v>16</v>
      </c>
      <c r="C28" s="304">
        <v>19</v>
      </c>
      <c r="D28" s="304" t="s">
        <v>319</v>
      </c>
      <c r="E28" s="305" t="str">
        <f t="shared" ca="1" si="1"/>
        <v>MR</v>
      </c>
      <c r="F28" s="306"/>
      <c r="G28" s="307">
        <f t="shared" ca="1" si="2"/>
        <v>45</v>
      </c>
      <c r="H28" s="250"/>
      <c r="I28" s="321"/>
      <c r="J28" s="262"/>
      <c r="K28" s="321"/>
      <c r="N28" s="321"/>
      <c r="Q28" s="321"/>
      <c r="T28" s="321"/>
      <c r="W28" s="321"/>
      <c r="AE28" s="245"/>
      <c r="AF28" s="236">
        <f t="shared" si="3"/>
        <v>1</v>
      </c>
      <c r="AG28" s="236" t="str">
        <f t="shared" ca="1" si="4"/>
        <v/>
      </c>
      <c r="AH28" s="236" t="str">
        <f t="shared" ca="1" si="19"/>
        <v/>
      </c>
      <c r="AJ28" s="236">
        <f t="shared" ca="1" si="5"/>
        <v>28</v>
      </c>
      <c r="AK28" s="236" t="str">
        <f t="shared" ca="1" si="20"/>
        <v>BBB+</v>
      </c>
      <c r="AL28" s="236">
        <f t="shared" ca="1" si="20"/>
        <v>19</v>
      </c>
      <c r="AM28" s="236" t="str">
        <f t="shared" ca="1" si="6"/>
        <v/>
      </c>
      <c r="AQ28" s="286" t="s">
        <v>261</v>
      </c>
      <c r="AR28" s="286" t="s">
        <v>28</v>
      </c>
      <c r="AS28" s="286">
        <v>18</v>
      </c>
      <c r="AT28" s="286" t="s">
        <v>301</v>
      </c>
      <c r="AV28" s="234">
        <f t="shared" si="21"/>
        <v>26</v>
      </c>
      <c r="AW28" s="234">
        <f>COUNTIF( AV$7:AV28, AV28 )</f>
        <v>9</v>
      </c>
      <c r="AX28" s="287">
        <f t="shared" si="22"/>
        <v>26.9</v>
      </c>
      <c r="AY28" s="234">
        <f t="shared" si="23"/>
        <v>34</v>
      </c>
      <c r="AZ28" s="236"/>
      <c r="BA28" s="236"/>
      <c r="BC28" s="234">
        <f t="shared" ca="1" si="24"/>
        <v>22</v>
      </c>
      <c r="BD28" s="288">
        <f t="shared" ca="1" si="8"/>
        <v>42</v>
      </c>
      <c r="BF28" s="240" t="str">
        <f t="shared" ca="1" si="9"/>
        <v>Public Service Enterprise Group Incorporated</v>
      </c>
      <c r="BG28" s="240" t="str">
        <f t="shared" ca="1" si="9"/>
        <v>BBB+</v>
      </c>
      <c r="BH28" s="240">
        <f t="shared" ca="1" si="9"/>
        <v>19</v>
      </c>
      <c r="BI28" s="240" t="str">
        <f t="shared" ca="1" si="9"/>
        <v>PEG</v>
      </c>
    </row>
    <row r="29" spans="1:61" x14ac:dyDescent="0.2">
      <c r="A29" s="303" t="s">
        <v>13</v>
      </c>
      <c r="B29" s="304" t="s">
        <v>16</v>
      </c>
      <c r="C29" s="304">
        <v>19</v>
      </c>
      <c r="D29" s="304" t="s">
        <v>327</v>
      </c>
      <c r="E29" s="305" t="str">
        <f t="shared" ca="1" si="1"/>
        <v>MR</v>
      </c>
      <c r="F29" s="306"/>
      <c r="G29" s="307">
        <f t="shared" ca="1" si="2"/>
        <v>46</v>
      </c>
      <c r="H29" s="250"/>
      <c r="I29" s="321"/>
      <c r="J29" s="262"/>
      <c r="K29" s="321"/>
      <c r="N29" s="321"/>
      <c r="Q29" s="321"/>
      <c r="T29" s="321"/>
      <c r="W29" s="321"/>
      <c r="AF29" s="236">
        <f t="shared" si="3"/>
        <v>1</v>
      </c>
      <c r="AG29" s="236" t="str">
        <f t="shared" ca="1" si="4"/>
        <v/>
      </c>
      <c r="AH29" s="236" t="str">
        <f t="shared" ca="1" si="19"/>
        <v/>
      </c>
      <c r="AJ29" s="236">
        <f t="shared" ca="1" si="5"/>
        <v>29</v>
      </c>
      <c r="AK29" s="236" t="str">
        <f t="shared" ca="1" si="20"/>
        <v>BBB+</v>
      </c>
      <c r="AL29" s="236">
        <f t="shared" ca="1" si="20"/>
        <v>19</v>
      </c>
      <c r="AM29" s="236" t="str">
        <f t="shared" ca="1" si="6"/>
        <v/>
      </c>
      <c r="AQ29" s="286" t="s">
        <v>39</v>
      </c>
      <c r="AR29" s="286" t="s">
        <v>49</v>
      </c>
      <c r="AS29" s="286">
        <v>17</v>
      </c>
      <c r="AT29" s="286" t="s">
        <v>302</v>
      </c>
      <c r="AV29" s="234">
        <f t="shared" si="21"/>
        <v>45</v>
      </c>
      <c r="AW29" s="234">
        <f>COUNTIF( AV$7:AV29, AV29 )</f>
        <v>3</v>
      </c>
      <c r="AX29" s="287">
        <f t="shared" si="22"/>
        <v>45.3</v>
      </c>
      <c r="AY29" s="234">
        <f t="shared" si="23"/>
        <v>47</v>
      </c>
      <c r="AZ29" s="236"/>
      <c r="BA29" s="236"/>
      <c r="BC29" s="234">
        <f t="shared" ca="1" si="24"/>
        <v>23</v>
      </c>
      <c r="BD29" s="288">
        <f t="shared" ca="1" si="8"/>
        <v>44</v>
      </c>
      <c r="BF29" s="240" t="str">
        <f t="shared" ca="1" si="9"/>
        <v>SCANA Corporation</v>
      </c>
      <c r="BG29" s="240" t="str">
        <f t="shared" ca="1" si="9"/>
        <v>BBB+</v>
      </c>
      <c r="BH29" s="240">
        <f t="shared" ca="1" si="9"/>
        <v>19</v>
      </c>
      <c r="BI29" s="240" t="str">
        <f t="shared" ca="1" si="9"/>
        <v>SCG</v>
      </c>
    </row>
    <row r="30" spans="1:61" x14ac:dyDescent="0.2">
      <c r="A30" s="303" t="s">
        <v>25</v>
      </c>
      <c r="B30" s="304" t="s">
        <v>16</v>
      </c>
      <c r="C30" s="304">
        <v>19</v>
      </c>
      <c r="D30" s="304" t="s">
        <v>329</v>
      </c>
      <c r="E30" s="305" t="str">
        <f t="shared" ca="1" si="1"/>
        <v>MR</v>
      </c>
      <c r="F30" s="306"/>
      <c r="G30" s="307">
        <f t="shared" ca="1" si="2"/>
        <v>47</v>
      </c>
      <c r="H30" s="250"/>
      <c r="I30" s="321"/>
      <c r="J30" s="262"/>
      <c r="K30" s="321"/>
      <c r="N30" s="321"/>
      <c r="Q30" s="321"/>
      <c r="T30" s="321"/>
      <c r="W30" s="321"/>
      <c r="AF30" s="236">
        <f t="shared" si="3"/>
        <v>1</v>
      </c>
      <c r="AG30" s="236" t="str">
        <f t="shared" ca="1" si="4"/>
        <v/>
      </c>
      <c r="AH30" s="236" t="str">
        <f t="shared" ca="1" si="19"/>
        <v/>
      </c>
      <c r="AJ30" s="236">
        <f t="shared" ca="1" si="5"/>
        <v>30</v>
      </c>
      <c r="AK30" s="236" t="str">
        <f t="shared" ca="1" si="20"/>
        <v>BBB+</v>
      </c>
      <c r="AL30" s="236">
        <f t="shared" ca="1" si="20"/>
        <v>19</v>
      </c>
      <c r="AM30" s="236" t="str">
        <f t="shared" ca="1" si="6"/>
        <v/>
      </c>
      <c r="AQ30" s="286" t="s">
        <v>452</v>
      </c>
      <c r="AR30" s="286" t="s">
        <v>28</v>
      </c>
      <c r="AS30" s="286">
        <v>18</v>
      </c>
      <c r="AT30" s="286" t="s">
        <v>444</v>
      </c>
      <c r="AV30" s="234">
        <f t="shared" si="21"/>
        <v>26</v>
      </c>
      <c r="AW30" s="234">
        <f>COUNTIF( AV$7:AV30, AV30 )</f>
        <v>10</v>
      </c>
      <c r="AX30" s="287">
        <f t="shared" si="22"/>
        <v>27</v>
      </c>
      <c r="AY30" s="234">
        <f t="shared" si="23"/>
        <v>35</v>
      </c>
      <c r="AZ30" s="236"/>
      <c r="BA30" s="236"/>
      <c r="BC30" s="234">
        <f t="shared" ca="1" si="24"/>
        <v>24</v>
      </c>
      <c r="BD30" s="288">
        <f t="shared" ca="1" si="8"/>
        <v>45</v>
      </c>
      <c r="BF30" s="240" t="str">
        <f t="shared" ca="1" si="9"/>
        <v>Sempra Energy</v>
      </c>
      <c r="BG30" s="240" t="str">
        <f t="shared" ca="1" si="9"/>
        <v>BBB+</v>
      </c>
      <c r="BH30" s="240">
        <f t="shared" ca="1" si="9"/>
        <v>19</v>
      </c>
      <c r="BI30" s="240" t="str">
        <f t="shared" ca="1" si="9"/>
        <v>SRE</v>
      </c>
    </row>
    <row r="31" spans="1:61" x14ac:dyDescent="0.2">
      <c r="A31" s="303" t="s">
        <v>62</v>
      </c>
      <c r="B31" s="304" t="s">
        <v>16</v>
      </c>
      <c r="C31" s="304">
        <v>19</v>
      </c>
      <c r="D31" s="304" t="s">
        <v>330</v>
      </c>
      <c r="E31" s="305" t="str">
        <f t="shared" ca="1" si="1"/>
        <v>R</v>
      </c>
      <c r="F31" s="306"/>
      <c r="G31" s="307">
        <f t="shared" ca="1" si="2"/>
        <v>49</v>
      </c>
      <c r="H31" s="250"/>
      <c r="I31" s="321"/>
      <c r="J31" s="262"/>
      <c r="K31" s="321"/>
      <c r="N31" s="321"/>
      <c r="O31" s="253"/>
      <c r="Q31" s="321"/>
      <c r="T31" s="321"/>
      <c r="W31" s="321"/>
      <c r="AF31" s="236">
        <f t="shared" si="3"/>
        <v>1</v>
      </c>
      <c r="AG31" s="236" t="str">
        <f t="shared" ca="1" si="4"/>
        <v/>
      </c>
      <c r="AH31" s="236" t="str">
        <f t="shared" ca="1" si="19"/>
        <v/>
      </c>
      <c r="AJ31" s="236">
        <f t="shared" ca="1" si="5"/>
        <v>31</v>
      </c>
      <c r="AK31" s="236" t="str">
        <f t="shared" ca="1" si="20"/>
        <v>BBB+</v>
      </c>
      <c r="AL31" s="236">
        <f t="shared" ca="1" si="20"/>
        <v>19</v>
      </c>
      <c r="AM31" s="236" t="str">
        <f t="shared" ca="1" si="6"/>
        <v/>
      </c>
      <c r="AQ31" s="286" t="s">
        <v>20</v>
      </c>
      <c r="AR31" s="286" t="s">
        <v>28</v>
      </c>
      <c r="AS31" s="286">
        <v>18</v>
      </c>
      <c r="AT31" s="286" t="s">
        <v>303</v>
      </c>
      <c r="AV31" s="234">
        <f t="shared" si="21"/>
        <v>26</v>
      </c>
      <c r="AW31" s="234">
        <f>COUNTIF( AV$7:AV31, AV31 )</f>
        <v>11</v>
      </c>
      <c r="AX31" s="287">
        <f t="shared" si="22"/>
        <v>27.1</v>
      </c>
      <c r="AY31" s="234">
        <f t="shared" si="23"/>
        <v>36</v>
      </c>
      <c r="AZ31" s="236"/>
      <c r="BA31" s="236"/>
      <c r="BC31" s="234">
        <f t="shared" ca="1" si="24"/>
        <v>25</v>
      </c>
      <c r="BD31" s="288">
        <f t="shared" ca="1" si="8"/>
        <v>47</v>
      </c>
      <c r="BF31" s="240" t="str">
        <f t="shared" ca="1" si="9"/>
        <v>TECO Energy, Inc.</v>
      </c>
      <c r="BG31" s="240" t="str">
        <f t="shared" ca="1" si="9"/>
        <v>BBB+</v>
      </c>
      <c r="BH31" s="240">
        <f t="shared" ca="1" si="9"/>
        <v>19</v>
      </c>
      <c r="BI31" s="240" t="str">
        <f t="shared" ca="1" si="9"/>
        <v>TE</v>
      </c>
    </row>
    <row r="32" spans="1:61" x14ac:dyDescent="0.2">
      <c r="A32" s="303" t="s">
        <v>259</v>
      </c>
      <c r="B32" s="304" t="s">
        <v>28</v>
      </c>
      <c r="C32" s="304">
        <v>18</v>
      </c>
      <c r="D32" s="304" t="s">
        <v>275</v>
      </c>
      <c r="E32" s="305" t="str">
        <f t="shared" ca="1" si="1"/>
        <v>R</v>
      </c>
      <c r="F32" s="306"/>
      <c r="G32" s="307">
        <f t="shared" ca="1" si="2"/>
        <v>10</v>
      </c>
      <c r="H32" s="250"/>
      <c r="I32" s="321"/>
      <c r="J32" s="262"/>
      <c r="K32" s="321"/>
      <c r="N32" s="321"/>
      <c r="Q32" s="321"/>
      <c r="T32" s="321"/>
      <c r="W32" s="321"/>
      <c r="AF32" s="236">
        <f t="shared" si="3"/>
        <v>0</v>
      </c>
      <c r="AG32" s="236" t="str">
        <f t="shared" ca="1" si="4"/>
        <v/>
      </c>
      <c r="AH32" s="236" t="str">
        <f t="shared" ca="1" si="19"/>
        <v/>
      </c>
      <c r="AJ32" s="236">
        <f t="shared" ca="1" si="5"/>
        <v>32</v>
      </c>
      <c r="AK32" s="236" t="str">
        <f t="shared" ca="1" si="20"/>
        <v>BBB</v>
      </c>
      <c r="AL32" s="236">
        <f t="shared" ca="1" si="20"/>
        <v>18</v>
      </c>
      <c r="AM32" s="236" t="str">
        <f t="shared" ca="1" si="6"/>
        <v/>
      </c>
      <c r="AQ32" s="286" t="s">
        <v>254</v>
      </c>
      <c r="AR32" s="286" t="s">
        <v>10</v>
      </c>
      <c r="AS32" s="286">
        <v>20</v>
      </c>
      <c r="AT32" s="286" t="s">
        <v>331</v>
      </c>
      <c r="AV32" s="234">
        <f t="shared" si="21"/>
        <v>2</v>
      </c>
      <c r="AW32" s="234">
        <f>COUNTIF( AV$7:AV32, AV32 )</f>
        <v>5</v>
      </c>
      <c r="AX32" s="287">
        <f t="shared" si="22"/>
        <v>2.5</v>
      </c>
      <c r="AY32" s="234">
        <f t="shared" si="23"/>
        <v>6</v>
      </c>
      <c r="AZ32" s="236"/>
      <c r="BA32" s="236"/>
      <c r="BC32" s="234">
        <f t="shared" ca="1" si="24"/>
        <v>26</v>
      </c>
      <c r="BD32" s="288">
        <f t="shared" ca="1" si="8"/>
        <v>4</v>
      </c>
      <c r="BF32" s="240" t="str">
        <f t="shared" ca="1" si="9"/>
        <v>American Electric Power Company, Inc.</v>
      </c>
      <c r="BG32" s="240" t="str">
        <f t="shared" ca="1" si="9"/>
        <v>BBB</v>
      </c>
      <c r="BH32" s="240">
        <f t="shared" ca="1" si="9"/>
        <v>18</v>
      </c>
      <c r="BI32" s="240" t="str">
        <f t="shared" ca="1" si="9"/>
        <v>AEP</v>
      </c>
    </row>
    <row r="33" spans="1:61" x14ac:dyDescent="0.2">
      <c r="A33" s="303" t="s">
        <v>55</v>
      </c>
      <c r="B33" s="304" t="s">
        <v>28</v>
      </c>
      <c r="C33" s="304">
        <v>18</v>
      </c>
      <c r="D33" s="304" t="s">
        <v>278</v>
      </c>
      <c r="E33" s="305" t="str">
        <f t="shared" ca="1" si="1"/>
        <v>R</v>
      </c>
      <c r="F33" s="306"/>
      <c r="G33" s="307">
        <f t="shared" ca="1" si="2"/>
        <v>11</v>
      </c>
      <c r="H33" s="250"/>
      <c r="I33" s="321"/>
      <c r="J33" s="262"/>
      <c r="K33" s="321"/>
      <c r="N33" s="321"/>
      <c r="Q33" s="321"/>
      <c r="T33" s="321"/>
      <c r="W33" s="321"/>
      <c r="AF33" s="236">
        <f t="shared" si="3"/>
        <v>0</v>
      </c>
      <c r="AG33" s="236" t="str">
        <f t="shared" ca="1" si="4"/>
        <v/>
      </c>
      <c r="AH33" s="236" t="str">
        <f t="shared" ca="1" si="19"/>
        <v/>
      </c>
      <c r="AJ33" s="236">
        <f t="shared" ca="1" si="5"/>
        <v>33</v>
      </c>
      <c r="AK33" s="236" t="str">
        <f t="shared" ca="1" si="20"/>
        <v>BBB</v>
      </c>
      <c r="AL33" s="236">
        <f t="shared" ca="1" si="20"/>
        <v>18</v>
      </c>
      <c r="AM33" s="236" t="str">
        <f t="shared" ca="1" si="6"/>
        <v/>
      </c>
      <c r="AQ33" s="286" t="s">
        <v>58</v>
      </c>
      <c r="AR33" s="286" t="s">
        <v>56</v>
      </c>
      <c r="AS33" s="286">
        <v>16</v>
      </c>
      <c r="AT33" s="286" t="s">
        <v>446</v>
      </c>
      <c r="AV33" s="234">
        <f t="shared" si="21"/>
        <v>50</v>
      </c>
      <c r="AW33" s="234">
        <f>COUNTIF( AV$7:AV33, AV33 )</f>
        <v>1</v>
      </c>
      <c r="AX33" s="287">
        <f t="shared" si="22"/>
        <v>50.1</v>
      </c>
      <c r="AY33" s="234">
        <f t="shared" si="23"/>
        <v>50</v>
      </c>
      <c r="AZ33" s="236"/>
      <c r="BA33" s="236"/>
      <c r="BC33" s="234">
        <f t="shared" ca="1" si="24"/>
        <v>27</v>
      </c>
      <c r="BD33" s="288">
        <f t="shared" ca="1" si="8"/>
        <v>5</v>
      </c>
      <c r="BF33" s="240" t="str">
        <f t="shared" ca="1" si="9"/>
        <v>Avista Corporation</v>
      </c>
      <c r="BG33" s="240" t="str">
        <f t="shared" ca="1" si="9"/>
        <v>BBB</v>
      </c>
      <c r="BH33" s="240">
        <f t="shared" ca="1" si="9"/>
        <v>18</v>
      </c>
      <c r="BI33" s="240" t="str">
        <f t="shared" ca="1" si="9"/>
        <v>AVA</v>
      </c>
    </row>
    <row r="34" spans="1:61" x14ac:dyDescent="0.2">
      <c r="A34" s="303" t="s">
        <v>48</v>
      </c>
      <c r="B34" s="304" t="s">
        <v>28</v>
      </c>
      <c r="C34" s="304">
        <v>18</v>
      </c>
      <c r="D34" s="304" t="s">
        <v>280</v>
      </c>
      <c r="E34" s="305" t="str">
        <f t="shared" ca="1" si="1"/>
        <v>R</v>
      </c>
      <c r="F34" s="306"/>
      <c r="G34" s="307">
        <f t="shared" ca="1" si="2"/>
        <v>12</v>
      </c>
      <c r="H34" s="250"/>
      <c r="I34" s="321"/>
      <c r="J34" s="262"/>
      <c r="K34" s="321"/>
      <c r="L34" s="235"/>
      <c r="M34" s="235"/>
      <c r="N34" s="321"/>
      <c r="Q34" s="321"/>
      <c r="T34" s="321"/>
      <c r="W34" s="321"/>
      <c r="AF34" s="236">
        <f t="shared" si="3"/>
        <v>0</v>
      </c>
      <c r="AG34" s="236" t="str">
        <f t="shared" ca="1" si="4"/>
        <v/>
      </c>
      <c r="AH34" s="236" t="str">
        <f t="shared" ca="1" si="19"/>
        <v/>
      </c>
      <c r="AJ34" s="236">
        <f t="shared" ca="1" si="5"/>
        <v>34</v>
      </c>
      <c r="AK34" s="236" t="str">
        <f t="shared" ca="1" si="20"/>
        <v>BBB</v>
      </c>
      <c r="AL34" s="236">
        <f t="shared" ca="1" si="20"/>
        <v>18</v>
      </c>
      <c r="AM34" s="236" t="str">
        <f t="shared" ca="1" si="6"/>
        <v/>
      </c>
      <c r="AQ34" s="286" t="s">
        <v>12</v>
      </c>
      <c r="AR34" s="286" t="s">
        <v>16</v>
      </c>
      <c r="AS34" s="286">
        <v>19</v>
      </c>
      <c r="AT34" s="286" t="s">
        <v>309</v>
      </c>
      <c r="AV34" s="234">
        <f t="shared" si="21"/>
        <v>14</v>
      </c>
      <c r="AW34" s="234">
        <f>COUNTIF( AV$7:AV34, AV34 )</f>
        <v>6</v>
      </c>
      <c r="AX34" s="287">
        <f t="shared" si="22"/>
        <v>14.6</v>
      </c>
      <c r="AY34" s="234">
        <f t="shared" si="23"/>
        <v>19</v>
      </c>
      <c r="AZ34" s="236"/>
      <c r="BA34" s="236"/>
      <c r="BC34" s="234">
        <f t="shared" ca="1" si="24"/>
        <v>28</v>
      </c>
      <c r="BD34" s="288">
        <f t="shared" ca="1" si="8"/>
        <v>6</v>
      </c>
      <c r="BF34" s="240" t="str">
        <f t="shared" ca="1" si="9"/>
        <v>Black Hills Corporation</v>
      </c>
      <c r="BG34" s="240" t="str">
        <f t="shared" ca="1" si="9"/>
        <v>BBB</v>
      </c>
      <c r="BH34" s="240">
        <f t="shared" ca="1" si="9"/>
        <v>18</v>
      </c>
      <c r="BI34" s="240" t="str">
        <f t="shared" ca="1" si="9"/>
        <v>BKH</v>
      </c>
    </row>
    <row r="35" spans="1:61" x14ac:dyDescent="0.2">
      <c r="A35" s="303" t="s">
        <v>60</v>
      </c>
      <c r="B35" s="304" t="s">
        <v>28</v>
      </c>
      <c r="C35" s="304">
        <v>18</v>
      </c>
      <c r="D35" s="304" t="s">
        <v>284</v>
      </c>
      <c r="E35" s="305" t="str">
        <f t="shared" ca="1" si="1"/>
        <v>R</v>
      </c>
      <c r="F35" s="306"/>
      <c r="G35" s="307">
        <f t="shared" ca="1" si="2"/>
        <v>15</v>
      </c>
      <c r="H35" s="250"/>
      <c r="I35" s="321"/>
      <c r="K35" s="321"/>
      <c r="L35" s="235"/>
      <c r="M35" s="235"/>
      <c r="N35" s="321"/>
      <c r="Q35" s="321"/>
      <c r="T35" s="321"/>
      <c r="W35" s="321"/>
      <c r="AF35" s="236">
        <f t="shared" si="3"/>
        <v>0</v>
      </c>
      <c r="AG35" s="236" t="str">
        <f t="shared" ca="1" si="4"/>
        <v/>
      </c>
      <c r="AH35" s="236" t="str">
        <f t="shared" ca="1" si="19"/>
        <v/>
      </c>
      <c r="AJ35" s="236">
        <f t="shared" ca="1" si="5"/>
        <v>35</v>
      </c>
      <c r="AK35" s="236" t="str">
        <f t="shared" ca="1" si="20"/>
        <v>BBB</v>
      </c>
      <c r="AL35" s="236">
        <f t="shared" ca="1" si="20"/>
        <v>18</v>
      </c>
      <c r="AM35" s="236" t="str">
        <f t="shared" ca="1" si="6"/>
        <v/>
      </c>
      <c r="AQ35" s="286" t="s">
        <v>52</v>
      </c>
      <c r="AR35" s="286" t="s">
        <v>16</v>
      </c>
      <c r="AS35" s="286">
        <v>19</v>
      </c>
      <c r="AT35" s="286" t="s">
        <v>447</v>
      </c>
      <c r="AV35" s="234">
        <f t="shared" si="21"/>
        <v>14</v>
      </c>
      <c r="AW35" s="234">
        <f>COUNTIF( AV$7:AV35, AV35 )</f>
        <v>7</v>
      </c>
      <c r="AX35" s="287">
        <f t="shared" si="22"/>
        <v>14.7</v>
      </c>
      <c r="AY35" s="234">
        <f t="shared" si="23"/>
        <v>20</v>
      </c>
      <c r="AZ35" s="236"/>
      <c r="BA35" s="236"/>
      <c r="BC35" s="234">
        <f t="shared" ca="1" si="24"/>
        <v>29</v>
      </c>
      <c r="BD35" s="288">
        <f t="shared" ca="1" si="8"/>
        <v>9</v>
      </c>
      <c r="BF35" s="240" t="str">
        <f t="shared" ca="1" si="9"/>
        <v>CMS Energy Corporation</v>
      </c>
      <c r="BG35" s="240" t="str">
        <f t="shared" ca="1" si="9"/>
        <v>BBB</v>
      </c>
      <c r="BH35" s="240">
        <f t="shared" ca="1" si="9"/>
        <v>18</v>
      </c>
      <c r="BI35" s="240" t="str">
        <f t="shared" ca="1" si="9"/>
        <v>CMS</v>
      </c>
    </row>
    <row r="36" spans="1:61" x14ac:dyDescent="0.2">
      <c r="A36" s="303" t="s">
        <v>34</v>
      </c>
      <c r="B36" s="304" t="s">
        <v>28</v>
      </c>
      <c r="C36" s="304">
        <v>18</v>
      </c>
      <c r="D36" s="304" t="s">
        <v>294</v>
      </c>
      <c r="E36" s="305" t="str">
        <f t="shared" ca="1" si="1"/>
        <v>R</v>
      </c>
      <c r="F36" s="306"/>
      <c r="G36" s="307">
        <f t="shared" ca="1" si="2"/>
        <v>21</v>
      </c>
      <c r="H36" s="250"/>
      <c r="I36" s="321"/>
      <c r="J36" s="262"/>
      <c r="K36" s="321"/>
      <c r="L36" s="263"/>
      <c r="M36" s="263"/>
      <c r="N36" s="321"/>
      <c r="Q36" s="321"/>
      <c r="T36" s="321"/>
      <c r="W36" s="321"/>
      <c r="AF36" s="236">
        <f t="shared" si="3"/>
        <v>0</v>
      </c>
      <c r="AG36" s="236" t="str">
        <f t="shared" ca="1" si="4"/>
        <v/>
      </c>
      <c r="AH36" s="236" t="str">
        <f t="shared" ca="1" si="19"/>
        <v/>
      </c>
      <c r="AJ36" s="236">
        <f t="shared" ca="1" si="5"/>
        <v>36</v>
      </c>
      <c r="AK36" s="236" t="str">
        <f t="shared" ca="1" si="20"/>
        <v>BBB</v>
      </c>
      <c r="AL36" s="236">
        <f t="shared" ca="1" si="20"/>
        <v>18</v>
      </c>
      <c r="AM36" s="236" t="str">
        <f t="shared" ca="1" si="6"/>
        <v/>
      </c>
      <c r="AQ36" s="286" t="s">
        <v>370</v>
      </c>
      <c r="AR36" s="286" t="s">
        <v>10</v>
      </c>
      <c r="AS36" s="286">
        <v>20</v>
      </c>
      <c r="AT36" s="286" t="s">
        <v>369</v>
      </c>
      <c r="AV36" s="234">
        <f t="shared" si="21"/>
        <v>2</v>
      </c>
      <c r="AW36" s="234">
        <f>COUNTIF( AV$7:AV36, AV36 )</f>
        <v>6</v>
      </c>
      <c r="AX36" s="287">
        <f t="shared" si="22"/>
        <v>2.6</v>
      </c>
      <c r="AY36" s="234">
        <f t="shared" si="23"/>
        <v>7</v>
      </c>
      <c r="AZ36" s="236"/>
      <c r="BA36" s="236"/>
      <c r="BC36" s="234">
        <f t="shared" ca="1" si="24"/>
        <v>30</v>
      </c>
      <c r="BD36" s="288">
        <f t="shared" ca="1" si="8"/>
        <v>16</v>
      </c>
      <c r="BF36" s="240" t="str">
        <f t="shared" ca="1" si="9"/>
        <v>El Paso Electric Company</v>
      </c>
      <c r="BG36" s="240" t="str">
        <f t="shared" ca="1" si="9"/>
        <v>BBB</v>
      </c>
      <c r="BH36" s="240">
        <f t="shared" ca="1" si="9"/>
        <v>18</v>
      </c>
      <c r="BI36" s="240" t="str">
        <f t="shared" ca="1" si="9"/>
        <v>EE</v>
      </c>
    </row>
    <row r="37" spans="1:61" x14ac:dyDescent="0.2">
      <c r="A37" s="303" t="s">
        <v>35</v>
      </c>
      <c r="B37" s="304" t="s">
        <v>28</v>
      </c>
      <c r="C37" s="304">
        <v>18</v>
      </c>
      <c r="D37" s="304" t="s">
        <v>293</v>
      </c>
      <c r="E37" s="305" t="str">
        <f t="shared" ca="1" si="1"/>
        <v>R</v>
      </c>
      <c r="F37" s="306"/>
      <c r="G37" s="307">
        <f t="shared" ca="1" si="2"/>
        <v>22</v>
      </c>
      <c r="H37" s="250"/>
      <c r="I37" s="321"/>
      <c r="K37" s="321"/>
      <c r="L37" s="264"/>
      <c r="M37" s="235"/>
      <c r="N37" s="321"/>
      <c r="Q37" s="321"/>
      <c r="T37" s="321"/>
      <c r="W37" s="321"/>
      <c r="AF37" s="236">
        <f t="shared" si="3"/>
        <v>0</v>
      </c>
      <c r="AG37" s="236" t="str">
        <f t="shared" ca="1" si="4"/>
        <v/>
      </c>
      <c r="AH37" s="236" t="str">
        <f t="shared" ca="1" si="19"/>
        <v/>
      </c>
      <c r="AJ37" s="236">
        <f t="shared" ca="1" si="5"/>
        <v>37</v>
      </c>
      <c r="AK37" s="236" t="str">
        <f t="shared" ca="1" si="20"/>
        <v>BBB</v>
      </c>
      <c r="AL37" s="236">
        <f t="shared" ca="1" si="20"/>
        <v>18</v>
      </c>
      <c r="AM37" s="236" t="str">
        <f t="shared" ca="1" si="6"/>
        <v/>
      </c>
      <c r="AQ37" s="286" t="s">
        <v>40</v>
      </c>
      <c r="AR37" s="286" t="s">
        <v>49</v>
      </c>
      <c r="AS37" s="286">
        <v>17</v>
      </c>
      <c r="AT37" s="286" t="s">
        <v>311</v>
      </c>
      <c r="AV37" s="234">
        <f t="shared" si="21"/>
        <v>45</v>
      </c>
      <c r="AW37" s="234">
        <f>COUNTIF( AV$7:AV37, AV37 )</f>
        <v>4</v>
      </c>
      <c r="AX37" s="287">
        <f t="shared" si="22"/>
        <v>45.4</v>
      </c>
      <c r="AY37" s="234">
        <f t="shared" si="23"/>
        <v>48</v>
      </c>
      <c r="AZ37" s="236"/>
      <c r="BA37" s="236"/>
      <c r="BC37" s="234">
        <f t="shared" ca="1" si="24"/>
        <v>31</v>
      </c>
      <c r="BD37" s="288">
        <f t="shared" ca="1" si="8"/>
        <v>17</v>
      </c>
      <c r="BF37" s="240" t="str">
        <f t="shared" ca="1" si="9"/>
        <v>Empire District Electric Company</v>
      </c>
      <c r="BG37" s="240" t="str">
        <f t="shared" ca="1" si="9"/>
        <v>BBB</v>
      </c>
      <c r="BH37" s="240">
        <f t="shared" ca="1" si="9"/>
        <v>18</v>
      </c>
      <c r="BI37" s="240" t="str">
        <f t="shared" ca="1" si="9"/>
        <v>EDE</v>
      </c>
    </row>
    <row r="38" spans="1:61" x14ac:dyDescent="0.2">
      <c r="A38" s="303" t="s">
        <v>36</v>
      </c>
      <c r="B38" s="304" t="s">
        <v>28</v>
      </c>
      <c r="C38" s="304">
        <v>18</v>
      </c>
      <c r="D38" s="304" t="s">
        <v>297</v>
      </c>
      <c r="E38" s="305" t="str">
        <f t="shared" ca="1" si="1"/>
        <v>R</v>
      </c>
      <c r="F38" s="306"/>
      <c r="G38" s="307">
        <f t="shared" ca="1" si="2"/>
        <v>23</v>
      </c>
      <c r="H38" s="250"/>
      <c r="I38" s="321"/>
      <c r="J38" s="262"/>
      <c r="K38" s="321"/>
      <c r="L38" s="264"/>
      <c r="M38" s="235"/>
      <c r="N38" s="321"/>
      <c r="Q38" s="321"/>
      <c r="T38" s="321"/>
      <c r="W38" s="321"/>
      <c r="AF38" s="236">
        <f t="shared" si="3"/>
        <v>0</v>
      </c>
      <c r="AG38" s="236" t="str">
        <f t="shared" ca="1" si="4"/>
        <v/>
      </c>
      <c r="AH38" s="236" t="str">
        <f t="shared" ca="1" si="19"/>
        <v/>
      </c>
      <c r="AJ38" s="236">
        <f t="shared" ca="1" si="5"/>
        <v>38</v>
      </c>
      <c r="AK38" s="236" t="str">
        <f t="shared" ca="1" si="20"/>
        <v>BBB</v>
      </c>
      <c r="AL38" s="236">
        <f t="shared" ca="1" si="20"/>
        <v>18</v>
      </c>
      <c r="AM38" s="236" t="str">
        <f t="shared" ca="1" si="6"/>
        <v/>
      </c>
      <c r="AQ38" s="286" t="s">
        <v>513</v>
      </c>
      <c r="AR38" s="286" t="s">
        <v>10</v>
      </c>
      <c r="AS38" s="286">
        <v>20</v>
      </c>
      <c r="AT38" s="286" t="s">
        <v>512</v>
      </c>
      <c r="AV38" s="234">
        <f t="shared" si="21"/>
        <v>2</v>
      </c>
      <c r="AW38" s="234">
        <f>COUNTIF( AV$7:AV38, AV38 )</f>
        <v>7</v>
      </c>
      <c r="AX38" s="287">
        <f t="shared" si="22"/>
        <v>2.7</v>
      </c>
      <c r="AY38" s="234">
        <f t="shared" si="23"/>
        <v>8</v>
      </c>
      <c r="AZ38" s="236"/>
      <c r="BA38" s="236"/>
      <c r="BC38" s="234">
        <f t="shared" ca="1" si="24"/>
        <v>32</v>
      </c>
      <c r="BD38" s="288">
        <f t="shared" ca="1" si="8"/>
        <v>19</v>
      </c>
      <c r="BF38" s="240" t="str">
        <f t="shared" ca="1" si="9"/>
        <v>Entergy Corporation</v>
      </c>
      <c r="BG38" s="240" t="str">
        <f t="shared" ca="1" si="9"/>
        <v>BBB</v>
      </c>
      <c r="BH38" s="240">
        <f t="shared" ca="1" si="9"/>
        <v>18</v>
      </c>
      <c r="BI38" s="240" t="str">
        <f t="shared" ca="1" si="9"/>
        <v>ETR</v>
      </c>
    </row>
    <row r="39" spans="1:61" x14ac:dyDescent="0.2">
      <c r="A39" s="303" t="s">
        <v>11</v>
      </c>
      <c r="B39" s="304" t="s">
        <v>28</v>
      </c>
      <c r="C39" s="304">
        <v>18</v>
      </c>
      <c r="D39" s="304" t="s">
        <v>298</v>
      </c>
      <c r="E39" s="305" t="str">
        <f t="shared" ca="1" si="1"/>
        <v>MR</v>
      </c>
      <c r="F39" s="306"/>
      <c r="G39" s="307">
        <f t="shared" ca="1" si="2"/>
        <v>24</v>
      </c>
      <c r="H39" s="250"/>
      <c r="I39" s="321"/>
      <c r="K39" s="321"/>
      <c r="L39" s="264"/>
      <c r="M39" s="235"/>
      <c r="N39" s="321"/>
      <c r="Q39" s="321"/>
      <c r="T39" s="321"/>
      <c r="W39" s="321"/>
      <c r="AF39" s="236">
        <f t="shared" si="3"/>
        <v>0</v>
      </c>
      <c r="AG39" s="236" t="str">
        <f t="shared" ca="1" si="4"/>
        <v/>
      </c>
      <c r="AH39" s="236" t="str">
        <f t="shared" ca="1" si="19"/>
        <v/>
      </c>
      <c r="AJ39" s="236">
        <f t="shared" ca="1" si="5"/>
        <v>39</v>
      </c>
      <c r="AK39" s="236" t="str">
        <f t="shared" ca="1" si="20"/>
        <v>BBB</v>
      </c>
      <c r="AL39" s="236">
        <f t="shared" ca="1" si="20"/>
        <v>18</v>
      </c>
      <c r="AM39" s="236" t="str">
        <f t="shared" ca="1" si="6"/>
        <v/>
      </c>
      <c r="AQ39" s="286" t="s">
        <v>66</v>
      </c>
      <c r="AR39" s="286" t="s">
        <v>28</v>
      </c>
      <c r="AS39" s="286">
        <v>18</v>
      </c>
      <c r="AT39" s="286" t="s">
        <v>315</v>
      </c>
      <c r="AV39" s="234">
        <f t="shared" si="21"/>
        <v>26</v>
      </c>
      <c r="AW39" s="234">
        <f>COUNTIF( AV$7:AV39, AV39 )</f>
        <v>12</v>
      </c>
      <c r="AX39" s="287">
        <f t="shared" si="22"/>
        <v>27.2</v>
      </c>
      <c r="AY39" s="234">
        <f t="shared" si="23"/>
        <v>37</v>
      </c>
      <c r="AZ39" s="236"/>
      <c r="BA39" s="236"/>
      <c r="BC39" s="234">
        <f t="shared" ca="1" si="24"/>
        <v>33</v>
      </c>
      <c r="BD39" s="288">
        <f t="shared" ca="1" si="8"/>
        <v>20</v>
      </c>
      <c r="BF39" s="240" t="str">
        <f t="shared" ref="BF39:BI63" ca="1" si="25">OFFSET( AQ$6, $BD39, 0 )</f>
        <v>Exelon Corporation</v>
      </c>
      <c r="BG39" s="240" t="str">
        <f t="shared" ca="1" si="25"/>
        <v>BBB</v>
      </c>
      <c r="BH39" s="240">
        <f t="shared" ca="1" si="25"/>
        <v>18</v>
      </c>
      <c r="BI39" s="240" t="str">
        <f t="shared" ca="1" si="25"/>
        <v>EXC</v>
      </c>
    </row>
    <row r="40" spans="1:61" x14ac:dyDescent="0.2">
      <c r="A40" s="303" t="s">
        <v>261</v>
      </c>
      <c r="B40" s="304" t="s">
        <v>28</v>
      </c>
      <c r="C40" s="304">
        <v>18</v>
      </c>
      <c r="D40" s="304" t="s">
        <v>301</v>
      </c>
      <c r="E40" s="305" t="str">
        <f t="shared" ca="1" si="1"/>
        <v>R</v>
      </c>
      <c r="F40" s="306"/>
      <c r="G40" s="307">
        <f t="shared" ca="1" si="2"/>
        <v>26</v>
      </c>
      <c r="H40" s="250"/>
      <c r="I40" s="321"/>
      <c r="J40" s="262"/>
      <c r="K40" s="321"/>
      <c r="L40" s="264"/>
      <c r="M40" s="235"/>
      <c r="N40" s="321"/>
      <c r="Q40" s="321"/>
      <c r="T40" s="321"/>
      <c r="W40" s="321"/>
      <c r="AF40" s="236">
        <f t="shared" si="3"/>
        <v>0</v>
      </c>
      <c r="AG40" s="236" t="str">
        <f t="shared" ca="1" si="4"/>
        <v/>
      </c>
      <c r="AH40" s="236" t="str">
        <f t="shared" ca="1" si="19"/>
        <v/>
      </c>
      <c r="AJ40" s="236">
        <f t="shared" ca="1" si="5"/>
        <v>40</v>
      </c>
      <c r="AK40" s="236" t="str">
        <f t="shared" ca="1" si="20"/>
        <v>BBB</v>
      </c>
      <c r="AL40" s="236">
        <f t="shared" ca="1" si="20"/>
        <v>18</v>
      </c>
      <c r="AM40" s="236" t="str">
        <f t="shared" ca="1" si="6"/>
        <v/>
      </c>
      <c r="AQ40" s="286" t="s">
        <v>21</v>
      </c>
      <c r="AR40" s="286" t="s">
        <v>10</v>
      </c>
      <c r="AS40" s="286">
        <v>20</v>
      </c>
      <c r="AT40" s="289" t="s">
        <v>316</v>
      </c>
      <c r="AV40" s="234">
        <f t="shared" si="21"/>
        <v>2</v>
      </c>
      <c r="AW40" s="234">
        <f>COUNTIF( AV$7:AV40, AV40 )</f>
        <v>8</v>
      </c>
      <c r="AX40" s="287">
        <f t="shared" si="22"/>
        <v>2.8</v>
      </c>
      <c r="AY40" s="234">
        <f t="shared" si="23"/>
        <v>9</v>
      </c>
      <c r="AZ40" s="236"/>
      <c r="BA40" s="236"/>
      <c r="BC40" s="234">
        <f t="shared" ca="1" si="24"/>
        <v>34</v>
      </c>
      <c r="BD40" s="288">
        <f t="shared" ca="1" si="8"/>
        <v>22</v>
      </c>
      <c r="BF40" s="240" t="str">
        <f t="shared" ca="1" si="25"/>
        <v>Great Plains Energy Inc.</v>
      </c>
      <c r="BG40" s="240" t="str">
        <f t="shared" ca="1" si="25"/>
        <v>BBB</v>
      </c>
      <c r="BH40" s="240">
        <f t="shared" ca="1" si="25"/>
        <v>18</v>
      </c>
      <c r="BI40" s="240" t="str">
        <f t="shared" ca="1" si="25"/>
        <v>GXP</v>
      </c>
    </row>
    <row r="41" spans="1:61" x14ac:dyDescent="0.2">
      <c r="A41" s="303" t="s">
        <v>452</v>
      </c>
      <c r="B41" s="304" t="s">
        <v>28</v>
      </c>
      <c r="C41" s="304">
        <v>18</v>
      </c>
      <c r="D41" s="304" t="s">
        <v>444</v>
      </c>
      <c r="E41" s="305" t="str">
        <f t="shared" ca="1" si="1"/>
        <v>R</v>
      </c>
      <c r="F41" s="306"/>
      <c r="G41" s="307">
        <f t="shared" ca="1" si="2"/>
        <v>58</v>
      </c>
      <c r="H41" s="250"/>
      <c r="I41" s="321"/>
      <c r="J41" s="262"/>
      <c r="K41" s="321"/>
      <c r="L41" s="264"/>
      <c r="M41" s="235"/>
      <c r="N41" s="321"/>
      <c r="Q41" s="321"/>
      <c r="T41" s="321"/>
      <c r="W41" s="321"/>
      <c r="AF41" s="236">
        <f t="shared" si="3"/>
        <v>0</v>
      </c>
      <c r="AG41" s="236" t="str">
        <f t="shared" ca="1" si="4"/>
        <v/>
      </c>
      <c r="AH41" s="236" t="str">
        <f t="shared" ca="1" si="19"/>
        <v/>
      </c>
      <c r="AJ41" s="236">
        <f t="shared" ca="1" si="5"/>
        <v>41</v>
      </c>
      <c r="AK41" s="236" t="str">
        <f t="shared" ca="1" si="20"/>
        <v>BBB</v>
      </c>
      <c r="AL41" s="236">
        <f t="shared" ca="1" si="20"/>
        <v>18</v>
      </c>
      <c r="AM41" s="236" t="str">
        <f t="shared" ca="1" si="6"/>
        <v/>
      </c>
      <c r="AQ41" s="286" t="s">
        <v>22</v>
      </c>
      <c r="AR41" s="286" t="s">
        <v>28</v>
      </c>
      <c r="AS41" s="286">
        <v>18</v>
      </c>
      <c r="AT41" s="286" t="s">
        <v>317</v>
      </c>
      <c r="AV41" s="234">
        <f t="shared" si="21"/>
        <v>26</v>
      </c>
      <c r="AW41" s="234">
        <f>COUNTIF( AV$7:AV41, AV41 )</f>
        <v>13</v>
      </c>
      <c r="AX41" s="287">
        <f t="shared" si="22"/>
        <v>27.3</v>
      </c>
      <c r="AY41" s="234">
        <f t="shared" si="23"/>
        <v>38</v>
      </c>
      <c r="AZ41" s="236"/>
      <c r="BA41" s="236"/>
      <c r="BC41" s="234">
        <f t="shared" ca="1" si="24"/>
        <v>35</v>
      </c>
      <c r="BD41" s="288">
        <f t="shared" ca="1" si="8"/>
        <v>24</v>
      </c>
      <c r="BF41" s="240" t="str">
        <f t="shared" ca="1" si="25"/>
        <v>Iberdrola USA</v>
      </c>
      <c r="BG41" s="240" t="str">
        <f t="shared" ca="1" si="25"/>
        <v>BBB</v>
      </c>
      <c r="BH41" s="240">
        <f t="shared" ca="1" si="25"/>
        <v>18</v>
      </c>
      <c r="BI41" s="240" t="str">
        <f t="shared" ca="1" si="25"/>
        <v>**EAST</v>
      </c>
    </row>
    <row r="42" spans="1:61" x14ac:dyDescent="0.2">
      <c r="A42" s="303" t="s">
        <v>20</v>
      </c>
      <c r="B42" s="304" t="s">
        <v>28</v>
      </c>
      <c r="C42" s="304">
        <v>18</v>
      </c>
      <c r="D42" s="304" t="s">
        <v>303</v>
      </c>
      <c r="E42" s="305" t="str">
        <f t="shared" ca="1" si="1"/>
        <v>R</v>
      </c>
      <c r="F42" s="306"/>
      <c r="G42" s="307">
        <f t="shared" ca="1" si="2"/>
        <v>28</v>
      </c>
      <c r="H42" s="250"/>
      <c r="I42" s="321"/>
      <c r="J42" s="262"/>
      <c r="K42" s="321"/>
      <c r="L42" s="264"/>
      <c r="M42" s="235"/>
      <c r="N42" s="321"/>
      <c r="Q42" s="321"/>
      <c r="T42" s="321"/>
      <c r="W42" s="321"/>
      <c r="AF42" s="236">
        <f t="shared" si="3"/>
        <v>0</v>
      </c>
      <c r="AG42" s="236" t="str">
        <f t="shared" ca="1" si="4"/>
        <v/>
      </c>
      <c r="AH42" s="236" t="str">
        <f t="shared" ca="1" si="19"/>
        <v/>
      </c>
      <c r="AJ42" s="236">
        <f t="shared" ca="1" si="5"/>
        <v>42</v>
      </c>
      <c r="AK42" s="236" t="str">
        <f t="shared" ca="1" si="20"/>
        <v>BBB</v>
      </c>
      <c r="AL42" s="236">
        <f t="shared" ca="1" si="20"/>
        <v>18</v>
      </c>
      <c r="AM42" s="236" t="str">
        <f t="shared" ca="1" si="6"/>
        <v/>
      </c>
      <c r="AQ42" s="286" t="s">
        <v>23</v>
      </c>
      <c r="AR42" s="286" t="s">
        <v>16</v>
      </c>
      <c r="AS42" s="286">
        <v>19</v>
      </c>
      <c r="AT42" s="286" t="s">
        <v>323</v>
      </c>
      <c r="AV42" s="234">
        <f t="shared" si="21"/>
        <v>14</v>
      </c>
      <c r="AW42" s="234">
        <f>COUNTIF( AV$7:AV42, AV42 )</f>
        <v>8</v>
      </c>
      <c r="AX42" s="287">
        <f t="shared" si="22"/>
        <v>14.8</v>
      </c>
      <c r="AY42" s="234">
        <f t="shared" si="23"/>
        <v>21</v>
      </c>
      <c r="AZ42" s="236"/>
      <c r="BA42" s="236"/>
      <c r="BC42" s="234">
        <f t="shared" ca="1" si="24"/>
        <v>36</v>
      </c>
      <c r="BD42" s="288">
        <f t="shared" ca="1" si="8"/>
        <v>25</v>
      </c>
      <c r="BF42" s="240" t="str">
        <f t="shared" ca="1" si="25"/>
        <v>IDACORP, Inc.</v>
      </c>
      <c r="BG42" s="240" t="str">
        <f t="shared" ca="1" si="25"/>
        <v>BBB</v>
      </c>
      <c r="BH42" s="240">
        <f t="shared" ca="1" si="25"/>
        <v>18</v>
      </c>
      <c r="BI42" s="240" t="str">
        <f t="shared" ca="1" si="25"/>
        <v>IDA</v>
      </c>
    </row>
    <row r="43" spans="1:61" x14ac:dyDescent="0.2">
      <c r="A43" s="303" t="s">
        <v>66</v>
      </c>
      <c r="B43" s="304" t="s">
        <v>28</v>
      </c>
      <c r="C43" s="304">
        <v>18</v>
      </c>
      <c r="D43" s="304" t="s">
        <v>315</v>
      </c>
      <c r="E43" s="305" t="str">
        <f t="shared" ca="1" si="1"/>
        <v>R</v>
      </c>
      <c r="F43" s="306"/>
      <c r="G43" s="307">
        <f t="shared" ca="1" si="2"/>
        <v>35</v>
      </c>
      <c r="H43" s="250"/>
      <c r="I43" s="321"/>
      <c r="J43" s="262"/>
      <c r="K43" s="321"/>
      <c r="L43" s="235"/>
      <c r="M43" s="235"/>
      <c r="N43" s="321"/>
      <c r="Q43" s="321"/>
      <c r="T43" s="321"/>
      <c r="W43" s="321"/>
      <c r="AF43" s="236">
        <f t="shared" si="3"/>
        <v>0</v>
      </c>
      <c r="AG43" s="236" t="str">
        <f t="shared" ca="1" si="4"/>
        <v/>
      </c>
      <c r="AH43" s="236" t="str">
        <f t="shared" ca="1" si="19"/>
        <v/>
      </c>
      <c r="AJ43" s="236">
        <f t="shared" ca="1" si="5"/>
        <v>43</v>
      </c>
      <c r="AK43" s="236" t="str">
        <f t="shared" ca="1" si="20"/>
        <v>BBB</v>
      </c>
      <c r="AL43" s="236">
        <f t="shared" ca="1" si="20"/>
        <v>18</v>
      </c>
      <c r="AM43" s="236" t="str">
        <f t="shared" ca="1" si="6"/>
        <v/>
      </c>
      <c r="AQ43" s="286" t="s">
        <v>53</v>
      </c>
      <c r="AR43" s="286" t="s">
        <v>28</v>
      </c>
      <c r="AS43" s="286">
        <v>18</v>
      </c>
      <c r="AT43" s="286" t="s">
        <v>318</v>
      </c>
      <c r="AV43" s="234">
        <f t="shared" si="21"/>
        <v>26</v>
      </c>
      <c r="AW43" s="234">
        <f>COUNTIF( AV$7:AV43, AV43 )</f>
        <v>14</v>
      </c>
      <c r="AX43" s="287">
        <f t="shared" si="22"/>
        <v>27.4</v>
      </c>
      <c r="AY43" s="234">
        <f t="shared" si="23"/>
        <v>39</v>
      </c>
      <c r="AZ43" s="236"/>
      <c r="BA43" s="236"/>
      <c r="BC43" s="234">
        <f t="shared" ca="1" si="24"/>
        <v>37</v>
      </c>
      <c r="BD43" s="288">
        <f t="shared" ca="1" si="8"/>
        <v>33</v>
      </c>
      <c r="BF43" s="240" t="str">
        <f t="shared" ca="1" si="25"/>
        <v>NorthWestern Corporation</v>
      </c>
      <c r="BG43" s="240" t="str">
        <f t="shared" ca="1" si="25"/>
        <v>BBB</v>
      </c>
      <c r="BH43" s="240">
        <f t="shared" ca="1" si="25"/>
        <v>18</v>
      </c>
      <c r="BI43" s="240" t="str">
        <f t="shared" ca="1" si="25"/>
        <v>NWE</v>
      </c>
    </row>
    <row r="44" spans="1:61" x14ac:dyDescent="0.2">
      <c r="A44" s="303" t="s">
        <v>22</v>
      </c>
      <c r="B44" s="304" t="s">
        <v>28</v>
      </c>
      <c r="C44" s="304">
        <v>18</v>
      </c>
      <c r="D44" s="304" t="s">
        <v>317</v>
      </c>
      <c r="E44" s="305" t="str">
        <f t="shared" ca="1" si="1"/>
        <v>MR</v>
      </c>
      <c r="F44" s="306"/>
      <c r="G44" s="307">
        <f t="shared" ca="1" si="2"/>
        <v>38</v>
      </c>
      <c r="H44" s="250"/>
      <c r="I44" s="321"/>
      <c r="J44" s="262"/>
      <c r="K44" s="321"/>
      <c r="L44" s="235"/>
      <c r="M44" s="235"/>
      <c r="N44" s="321"/>
      <c r="Q44" s="321"/>
      <c r="T44" s="321"/>
      <c r="W44" s="321"/>
      <c r="AF44" s="236">
        <f t="shared" si="3"/>
        <v>0</v>
      </c>
      <c r="AG44" s="236" t="str">
        <f t="shared" ca="1" si="4"/>
        <v/>
      </c>
      <c r="AH44" s="236" t="str">
        <f t="shared" ca="1" si="19"/>
        <v/>
      </c>
      <c r="AJ44" s="236">
        <f t="shared" ca="1" si="5"/>
        <v>44</v>
      </c>
      <c r="AK44" s="236" t="str">
        <f t="shared" ca="1" si="20"/>
        <v>BBB</v>
      </c>
      <c r="AL44" s="236">
        <f t="shared" ca="1" si="20"/>
        <v>18</v>
      </c>
      <c r="AM44" s="236" t="str">
        <f t="shared" ca="1" si="6"/>
        <v/>
      </c>
      <c r="AQ44" s="286" t="s">
        <v>41</v>
      </c>
      <c r="AR44" s="286" t="s">
        <v>10</v>
      </c>
      <c r="AS44" s="286">
        <v>20</v>
      </c>
      <c r="AT44" s="286" t="s">
        <v>322</v>
      </c>
      <c r="AV44" s="234">
        <f t="shared" si="21"/>
        <v>2</v>
      </c>
      <c r="AW44" s="234">
        <f>COUNTIF( AV$7:AV44, AV44 )</f>
        <v>9</v>
      </c>
      <c r="AX44" s="287">
        <f t="shared" si="22"/>
        <v>2.9</v>
      </c>
      <c r="AY44" s="234">
        <f t="shared" si="23"/>
        <v>10</v>
      </c>
      <c r="AZ44" s="236"/>
      <c r="BA44" s="236"/>
      <c r="BC44" s="234">
        <f t="shared" ca="1" si="24"/>
        <v>38</v>
      </c>
      <c r="BD44" s="288">
        <f t="shared" ca="1" si="8"/>
        <v>35</v>
      </c>
      <c r="BF44" s="240" t="str">
        <f t="shared" ca="1" si="25"/>
        <v>Otter Tail Corporation</v>
      </c>
      <c r="BG44" s="240" t="str">
        <f t="shared" ca="1" si="25"/>
        <v>BBB</v>
      </c>
      <c r="BH44" s="240">
        <f t="shared" ca="1" si="25"/>
        <v>18</v>
      </c>
      <c r="BI44" s="240" t="str">
        <f t="shared" ca="1" si="25"/>
        <v>OTTR</v>
      </c>
    </row>
    <row r="45" spans="1:61" x14ac:dyDescent="0.2">
      <c r="A45" s="303" t="s">
        <v>53</v>
      </c>
      <c r="B45" s="304" t="s">
        <v>28</v>
      </c>
      <c r="C45" s="304">
        <v>18</v>
      </c>
      <c r="D45" s="304" t="s">
        <v>318</v>
      </c>
      <c r="E45" s="305" t="str">
        <f t="shared" ca="1" si="1"/>
        <v>R</v>
      </c>
      <c r="F45" s="306"/>
      <c r="G45" s="307">
        <f t="shared" ca="1" si="2"/>
        <v>40</v>
      </c>
      <c r="H45" s="250"/>
      <c r="I45" s="321"/>
      <c r="J45" s="262"/>
      <c r="K45" s="321"/>
      <c r="L45" s="235"/>
      <c r="M45" s="235"/>
      <c r="N45" s="321"/>
      <c r="Q45" s="321"/>
      <c r="T45" s="321"/>
      <c r="W45" s="321"/>
      <c r="AF45" s="236">
        <f t="shared" si="3"/>
        <v>0</v>
      </c>
      <c r="AG45" s="236" t="str">
        <f t="shared" ca="1" si="4"/>
        <v/>
      </c>
      <c r="AH45" s="236" t="str">
        <f t="shared" ca="1" si="19"/>
        <v/>
      </c>
      <c r="AJ45" s="236">
        <f t="shared" ca="1" si="5"/>
        <v>45</v>
      </c>
      <c r="AK45" s="236" t="str">
        <f t="shared" ca="1" si="20"/>
        <v>BBB</v>
      </c>
      <c r="AL45" s="236">
        <f t="shared" ca="1" si="20"/>
        <v>18</v>
      </c>
      <c r="AM45" s="236" t="str">
        <f t="shared" ca="1" si="6"/>
        <v/>
      </c>
      <c r="AQ45" s="286" t="s">
        <v>42</v>
      </c>
      <c r="AR45" s="286" t="s">
        <v>28</v>
      </c>
      <c r="AS45" s="286">
        <v>18</v>
      </c>
      <c r="AT45" s="286" t="s">
        <v>321</v>
      </c>
      <c r="AV45" s="234">
        <f t="shared" si="21"/>
        <v>26</v>
      </c>
      <c r="AW45" s="234">
        <f>COUNTIF( AV$7:AV45, AV45 )</f>
        <v>15</v>
      </c>
      <c r="AX45" s="287">
        <f t="shared" si="22"/>
        <v>27.5</v>
      </c>
      <c r="AY45" s="234">
        <f t="shared" si="23"/>
        <v>40</v>
      </c>
      <c r="AZ45" s="236"/>
      <c r="BA45" s="236"/>
      <c r="BC45" s="234">
        <f t="shared" ca="1" si="24"/>
        <v>39</v>
      </c>
      <c r="BD45" s="288">
        <f t="shared" ca="1" si="8"/>
        <v>37</v>
      </c>
      <c r="BF45" s="240" t="str">
        <f t="shared" ca="1" si="25"/>
        <v>PG&amp;E Corporation</v>
      </c>
      <c r="BG45" s="240" t="str">
        <f t="shared" ca="1" si="25"/>
        <v>BBB</v>
      </c>
      <c r="BH45" s="240">
        <f t="shared" ca="1" si="25"/>
        <v>18</v>
      </c>
      <c r="BI45" s="240" t="str">
        <f t="shared" ca="1" si="25"/>
        <v>PCG</v>
      </c>
    </row>
    <row r="46" spans="1:61" x14ac:dyDescent="0.2">
      <c r="A46" s="303" t="s">
        <v>42</v>
      </c>
      <c r="B46" s="304" t="s">
        <v>28</v>
      </c>
      <c r="C46" s="304">
        <v>18</v>
      </c>
      <c r="D46" s="304" t="s">
        <v>321</v>
      </c>
      <c r="E46" s="305" t="str">
        <f t="shared" ca="1" si="1"/>
        <v>R</v>
      </c>
      <c r="F46" s="306"/>
      <c r="G46" s="307">
        <f t="shared" ca="1" si="2"/>
        <v>42</v>
      </c>
      <c r="H46" s="250"/>
      <c r="I46" s="262"/>
      <c r="K46" s="262"/>
      <c r="N46" s="257"/>
      <c r="W46" s="262"/>
      <c r="AF46" s="236">
        <f t="shared" si="3"/>
        <v>0</v>
      </c>
      <c r="AG46" s="236" t="str">
        <f t="shared" ca="1" si="4"/>
        <v/>
      </c>
      <c r="AH46" s="236" t="str">
        <f t="shared" ca="1" si="19"/>
        <v/>
      </c>
      <c r="AJ46" s="236">
        <f t="shared" ca="1" si="5"/>
        <v>46</v>
      </c>
      <c r="AK46" s="236" t="str">
        <f t="shared" ca="1" si="20"/>
        <v>BBB</v>
      </c>
      <c r="AL46" s="236">
        <f t="shared" ca="1" si="20"/>
        <v>18</v>
      </c>
      <c r="AM46" s="236" t="str">
        <f t="shared" ca="1" si="6"/>
        <v/>
      </c>
      <c r="AQ46" s="286" t="s">
        <v>24</v>
      </c>
      <c r="AR46" s="286" t="s">
        <v>28</v>
      </c>
      <c r="AS46" s="286">
        <v>18</v>
      </c>
      <c r="AT46" s="286" t="s">
        <v>324</v>
      </c>
      <c r="AV46" s="234">
        <f t="shared" si="21"/>
        <v>26</v>
      </c>
      <c r="AW46" s="234">
        <f>COUNTIF( AV$7:AV46, AV46 )</f>
        <v>16</v>
      </c>
      <c r="AX46" s="287">
        <f t="shared" si="22"/>
        <v>27.6</v>
      </c>
      <c r="AY46" s="234">
        <f t="shared" si="23"/>
        <v>41</v>
      </c>
      <c r="AZ46" s="236"/>
      <c r="BA46" s="236"/>
      <c r="BC46" s="234">
        <f t="shared" ca="1" si="24"/>
        <v>40</v>
      </c>
      <c r="BD46" s="288">
        <f t="shared" ca="1" si="8"/>
        <v>39</v>
      </c>
      <c r="BF46" s="240" t="str">
        <f t="shared" ca="1" si="25"/>
        <v>PNM Resources, Inc.</v>
      </c>
      <c r="BG46" s="240" t="str">
        <f t="shared" ca="1" si="25"/>
        <v>BBB</v>
      </c>
      <c r="BH46" s="240">
        <f t="shared" ca="1" si="25"/>
        <v>18</v>
      </c>
      <c r="BI46" s="240" t="str">
        <f t="shared" ca="1" si="25"/>
        <v>PNM</v>
      </c>
    </row>
    <row r="47" spans="1:61" x14ac:dyDescent="0.2">
      <c r="A47" s="303" t="s">
        <v>24</v>
      </c>
      <c r="B47" s="304" t="s">
        <v>28</v>
      </c>
      <c r="C47" s="304">
        <v>18</v>
      </c>
      <c r="D47" s="304" t="s">
        <v>324</v>
      </c>
      <c r="E47" s="305" t="str">
        <f t="shared" ca="1" si="1"/>
        <v>R</v>
      </c>
      <c r="F47" s="306"/>
      <c r="G47" s="307">
        <f t="shared" ca="1" si="2"/>
        <v>43</v>
      </c>
      <c r="H47" s="250"/>
      <c r="I47" s="250"/>
      <c r="J47" s="258" t="s">
        <v>268</v>
      </c>
      <c r="K47" s="262"/>
      <c r="M47" s="253"/>
      <c r="N47" s="253"/>
      <c r="AF47" s="236">
        <f t="shared" si="3"/>
        <v>0</v>
      </c>
      <c r="AG47" s="236" t="str">
        <f t="shared" ca="1" si="4"/>
        <v/>
      </c>
      <c r="AH47" s="236" t="str">
        <f t="shared" ca="1" si="19"/>
        <v/>
      </c>
      <c r="AJ47" s="236">
        <f t="shared" ca="1" si="5"/>
        <v>47</v>
      </c>
      <c r="AK47" s="236" t="str">
        <f t="shared" ca="1" si="20"/>
        <v>BBB</v>
      </c>
      <c r="AL47" s="236">
        <f t="shared" ca="1" si="20"/>
        <v>18</v>
      </c>
      <c r="AM47" s="236" t="str">
        <f t="shared" ca="1" si="6"/>
        <v/>
      </c>
      <c r="AQ47" s="286" t="s">
        <v>43</v>
      </c>
      <c r="AR47" s="286" t="s">
        <v>28</v>
      </c>
      <c r="AS47" s="286">
        <v>18</v>
      </c>
      <c r="AT47" s="286" t="s">
        <v>325</v>
      </c>
      <c r="AV47" s="234">
        <f t="shared" si="21"/>
        <v>26</v>
      </c>
      <c r="AW47" s="234">
        <f>COUNTIF( AV$7:AV47, AV47 )</f>
        <v>17</v>
      </c>
      <c r="AX47" s="287">
        <f t="shared" si="22"/>
        <v>27.7</v>
      </c>
      <c r="AY47" s="234">
        <f t="shared" si="23"/>
        <v>42</v>
      </c>
      <c r="AZ47" s="236"/>
      <c r="BA47" s="236"/>
      <c r="BC47" s="234">
        <f t="shared" ca="1" si="24"/>
        <v>41</v>
      </c>
      <c r="BD47" s="288">
        <f t="shared" ca="1" si="8"/>
        <v>40</v>
      </c>
      <c r="BF47" s="240" t="str">
        <f t="shared" ca="1" si="25"/>
        <v>Portland General Electric Company</v>
      </c>
      <c r="BG47" s="240" t="str">
        <f t="shared" ca="1" si="25"/>
        <v>BBB</v>
      </c>
      <c r="BH47" s="240">
        <f t="shared" ca="1" si="25"/>
        <v>18</v>
      </c>
      <c r="BI47" s="240" t="str">
        <f t="shared" ca="1" si="25"/>
        <v>POR</v>
      </c>
    </row>
    <row r="48" spans="1:61" x14ac:dyDescent="0.2">
      <c r="A48" s="303" t="s">
        <v>43</v>
      </c>
      <c r="B48" s="304" t="s">
        <v>28</v>
      </c>
      <c r="C48" s="304">
        <v>18</v>
      </c>
      <c r="D48" s="304" t="s">
        <v>325</v>
      </c>
      <c r="E48" s="305" t="str">
        <f t="shared" ca="1" si="1"/>
        <v>MR</v>
      </c>
      <c r="F48" s="306"/>
      <c r="G48" s="307">
        <f t="shared" ca="1" si="2"/>
        <v>44</v>
      </c>
      <c r="H48" s="250"/>
      <c r="I48" s="250"/>
      <c r="K48" s="262"/>
      <c r="M48" s="253"/>
      <c r="N48" s="253"/>
      <c r="AF48" s="236">
        <f t="shared" si="3"/>
        <v>0</v>
      </c>
      <c r="AG48" s="236" t="str">
        <f t="shared" ca="1" si="4"/>
        <v/>
      </c>
      <c r="AH48" s="236" t="str">
        <f t="shared" ca="1" si="19"/>
        <v/>
      </c>
      <c r="AJ48" s="236">
        <f t="shared" ca="1" si="5"/>
        <v>48</v>
      </c>
      <c r="AK48" s="236" t="str">
        <f t="shared" ca="1" si="20"/>
        <v>BBB</v>
      </c>
      <c r="AL48" s="236">
        <f t="shared" ca="1" si="20"/>
        <v>18</v>
      </c>
      <c r="AM48" s="236" t="str">
        <f t="shared" ca="1" si="6"/>
        <v/>
      </c>
      <c r="AQ48" s="286" t="s">
        <v>45</v>
      </c>
      <c r="AR48" s="286" t="s">
        <v>16</v>
      </c>
      <c r="AS48" s="286">
        <v>19</v>
      </c>
      <c r="AT48" s="286" t="s">
        <v>319</v>
      </c>
      <c r="AV48" s="234">
        <f t="shared" si="21"/>
        <v>14</v>
      </c>
      <c r="AW48" s="234">
        <f>COUNTIF( AV$7:AV48, AV48 )</f>
        <v>9</v>
      </c>
      <c r="AX48" s="287">
        <f t="shared" si="22"/>
        <v>14.9</v>
      </c>
      <c r="AY48" s="234">
        <f t="shared" si="23"/>
        <v>22</v>
      </c>
      <c r="AZ48" s="236"/>
      <c r="BA48" s="236"/>
      <c r="BC48" s="234">
        <f t="shared" ca="1" si="24"/>
        <v>42</v>
      </c>
      <c r="BD48" s="288">
        <f t="shared" ca="1" si="8"/>
        <v>41</v>
      </c>
      <c r="BF48" s="240" t="str">
        <f t="shared" ca="1" si="25"/>
        <v>PPL Corporation</v>
      </c>
      <c r="BG48" s="240" t="str">
        <f t="shared" ca="1" si="25"/>
        <v>BBB</v>
      </c>
      <c r="BH48" s="240">
        <f t="shared" ca="1" si="25"/>
        <v>18</v>
      </c>
      <c r="BI48" s="240" t="str">
        <f t="shared" ca="1" si="25"/>
        <v>PPL</v>
      </c>
    </row>
    <row r="49" spans="1:61" x14ac:dyDescent="0.2">
      <c r="A49" s="303" t="s">
        <v>75</v>
      </c>
      <c r="B49" s="304" t="s">
        <v>28</v>
      </c>
      <c r="C49" s="304">
        <v>18</v>
      </c>
      <c r="D49" s="304" t="s">
        <v>332</v>
      </c>
      <c r="E49" s="305" t="str">
        <f t="shared" ca="1" si="1"/>
        <v>R</v>
      </c>
      <c r="F49" s="306"/>
      <c r="G49" s="307">
        <f t="shared" ca="1" si="2"/>
        <v>50</v>
      </c>
      <c r="H49" s="250"/>
      <c r="I49" s="250"/>
      <c r="J49" s="262"/>
      <c r="K49" s="262"/>
      <c r="M49" s="253"/>
      <c r="N49" s="253"/>
      <c r="AF49" s="236">
        <f t="shared" si="3"/>
        <v>0</v>
      </c>
      <c r="AG49" s="236" t="str">
        <f t="shared" ca="1" si="4"/>
        <v/>
      </c>
      <c r="AH49" s="236" t="str">
        <f t="shared" ca="1" si="19"/>
        <v/>
      </c>
      <c r="AJ49" s="236">
        <f t="shared" ca="1" si="5"/>
        <v>49</v>
      </c>
      <c r="AK49" s="236" t="str">
        <f t="shared" ca="1" si="20"/>
        <v>BBB</v>
      </c>
      <c r="AL49" s="236">
        <f t="shared" ca="1" si="20"/>
        <v>18</v>
      </c>
      <c r="AM49" s="236" t="str">
        <f t="shared" ca="1" si="6"/>
        <v/>
      </c>
      <c r="AQ49" s="286" t="s">
        <v>54</v>
      </c>
      <c r="AR49" s="286" t="s">
        <v>49</v>
      </c>
      <c r="AS49" s="286">
        <v>17</v>
      </c>
      <c r="AT49" s="286" t="s">
        <v>449</v>
      </c>
      <c r="AV49" s="234">
        <f t="shared" si="21"/>
        <v>45</v>
      </c>
      <c r="AW49" s="234">
        <f>COUNTIF( AV$7:AV49, AV49 )</f>
        <v>5</v>
      </c>
      <c r="AX49" s="287">
        <f t="shared" si="22"/>
        <v>45.5</v>
      </c>
      <c r="AY49" s="234">
        <f t="shared" si="23"/>
        <v>49</v>
      </c>
      <c r="AZ49" s="236"/>
      <c r="BA49" s="236"/>
      <c r="BC49" s="234">
        <f t="shared" ca="1" si="24"/>
        <v>43</v>
      </c>
      <c r="BD49" s="288">
        <f t="shared" ca="1" si="8"/>
        <v>48</v>
      </c>
      <c r="BF49" s="240" t="str">
        <f t="shared" ca="1" si="25"/>
        <v>UIL Holdings Corporation</v>
      </c>
      <c r="BG49" s="240" t="str">
        <f t="shared" ca="1" si="25"/>
        <v>BBB</v>
      </c>
      <c r="BH49" s="240">
        <f t="shared" ca="1" si="25"/>
        <v>18</v>
      </c>
      <c r="BI49" s="240" t="str">
        <f t="shared" ca="1" si="25"/>
        <v>UIL</v>
      </c>
    </row>
    <row r="50" spans="1:61" x14ac:dyDescent="0.2">
      <c r="A50" s="303" t="s">
        <v>59</v>
      </c>
      <c r="B50" s="304" t="s">
        <v>28</v>
      </c>
      <c r="C50" s="304">
        <v>18</v>
      </c>
      <c r="D50" s="304" t="s">
        <v>337</v>
      </c>
      <c r="E50" s="305" t="str">
        <f t="shared" ca="1" si="1"/>
        <v>R</v>
      </c>
      <c r="F50" s="306"/>
      <c r="G50" s="307">
        <f t="shared" ca="1" si="2"/>
        <v>54</v>
      </c>
      <c r="H50" s="250"/>
      <c r="I50" s="250"/>
      <c r="J50" s="262"/>
      <c r="K50" s="262"/>
      <c r="L50" s="235"/>
      <c r="M50" s="257"/>
      <c r="N50" s="257"/>
      <c r="AF50" s="236">
        <f t="shared" si="3"/>
        <v>0</v>
      </c>
      <c r="AG50" s="236" t="str">
        <f t="shared" ca="1" si="4"/>
        <v/>
      </c>
      <c r="AH50" s="236" t="str">
        <f t="shared" ca="1" si="19"/>
        <v/>
      </c>
      <c r="AJ50" s="236">
        <f t="shared" ca="1" si="5"/>
        <v>50</v>
      </c>
      <c r="AK50" s="236" t="str">
        <f t="shared" ca="1" si="20"/>
        <v>BBB</v>
      </c>
      <c r="AL50" s="236">
        <f t="shared" ca="1" si="20"/>
        <v>18</v>
      </c>
      <c r="AM50" s="236" t="str">
        <f t="shared" ca="1" si="6"/>
        <v/>
      </c>
      <c r="AQ50" s="286" t="s">
        <v>13</v>
      </c>
      <c r="AR50" s="286" t="s">
        <v>16</v>
      </c>
      <c r="AS50" s="286">
        <v>19</v>
      </c>
      <c r="AT50" s="286" t="s">
        <v>327</v>
      </c>
      <c r="AV50" s="234">
        <f t="shared" si="21"/>
        <v>14</v>
      </c>
      <c r="AW50" s="234">
        <f>COUNTIF( AV$7:AV50, AV50 )</f>
        <v>10</v>
      </c>
      <c r="AX50" s="287">
        <f t="shared" si="22"/>
        <v>15</v>
      </c>
      <c r="AY50" s="234">
        <f t="shared" si="23"/>
        <v>23</v>
      </c>
      <c r="AZ50" s="236"/>
      <c r="BA50" s="236"/>
      <c r="BC50" s="234">
        <f t="shared" ca="1" si="24"/>
        <v>44</v>
      </c>
      <c r="BD50" s="288">
        <f t="shared" ca="1" si="8"/>
        <v>50</v>
      </c>
      <c r="BF50" s="240" t="str">
        <f t="shared" ca="1" si="25"/>
        <v>Westar Energy, Inc.</v>
      </c>
      <c r="BG50" s="240" t="str">
        <f t="shared" ca="1" si="25"/>
        <v>BBB</v>
      </c>
      <c r="BH50" s="240">
        <f t="shared" ca="1" si="25"/>
        <v>18</v>
      </c>
      <c r="BI50" s="240" t="str">
        <f t="shared" ca="1" si="25"/>
        <v>WR</v>
      </c>
    </row>
    <row r="51" spans="1:61" x14ac:dyDescent="0.2">
      <c r="A51" s="303" t="s">
        <v>57</v>
      </c>
      <c r="B51" s="304" t="s">
        <v>49</v>
      </c>
      <c r="C51" s="304">
        <v>17</v>
      </c>
      <c r="D51" s="304" t="s">
        <v>296</v>
      </c>
      <c r="E51" s="305" t="str">
        <f t="shared" ca="1" si="1"/>
        <v>R</v>
      </c>
      <c r="F51" s="306"/>
      <c r="G51" s="307">
        <f t="shared" ca="1" si="2"/>
        <v>20</v>
      </c>
      <c r="H51" s="250"/>
      <c r="I51" s="250"/>
      <c r="J51" s="262"/>
      <c r="K51" s="262"/>
      <c r="L51" s="235"/>
      <c r="M51" s="257"/>
      <c r="N51" s="257"/>
      <c r="AF51" s="236">
        <f t="shared" si="3"/>
        <v>1</v>
      </c>
      <c r="AG51" s="236" t="str">
        <f t="shared" ca="1" si="4"/>
        <v/>
      </c>
      <c r="AH51" s="236" t="str">
        <f t="shared" ca="1" si="19"/>
        <v/>
      </c>
      <c r="AJ51" s="236">
        <f t="shared" ca="1" si="5"/>
        <v>51</v>
      </c>
      <c r="AK51" s="236" t="str">
        <f t="shared" ca="1" si="20"/>
        <v>BBB-</v>
      </c>
      <c r="AL51" s="236">
        <f t="shared" ca="1" si="20"/>
        <v>17</v>
      </c>
      <c r="AM51" s="236" t="str">
        <f t="shared" ca="1" si="6"/>
        <v/>
      </c>
      <c r="AQ51" s="286" t="s">
        <v>25</v>
      </c>
      <c r="AR51" s="286" t="s">
        <v>16</v>
      </c>
      <c r="AS51" s="286">
        <v>19</v>
      </c>
      <c r="AT51" s="289" t="s">
        <v>329</v>
      </c>
      <c r="AV51" s="234">
        <f t="shared" si="21"/>
        <v>14</v>
      </c>
      <c r="AW51" s="234">
        <f>COUNTIF( AV$7:AV51, AV51 )</f>
        <v>11</v>
      </c>
      <c r="AX51" s="287">
        <f t="shared" si="22"/>
        <v>15.1</v>
      </c>
      <c r="AY51" s="234">
        <f t="shared" si="23"/>
        <v>24</v>
      </c>
      <c r="AZ51" s="236"/>
      <c r="BA51" s="236"/>
      <c r="BC51" s="234">
        <f t="shared" ca="1" si="24"/>
        <v>45</v>
      </c>
      <c r="BD51" s="288">
        <f t="shared" ca="1" si="8"/>
        <v>15</v>
      </c>
      <c r="BF51" s="240" t="str">
        <f t="shared" ca="1" si="25"/>
        <v>Edison International</v>
      </c>
      <c r="BG51" s="240" t="str">
        <f t="shared" ca="1" si="25"/>
        <v>BBB-</v>
      </c>
      <c r="BH51" s="240">
        <f t="shared" ca="1" si="25"/>
        <v>17</v>
      </c>
      <c r="BI51" s="240" t="str">
        <f t="shared" ca="1" si="25"/>
        <v>EIX</v>
      </c>
    </row>
    <row r="52" spans="1:61" x14ac:dyDescent="0.2">
      <c r="A52" s="303" t="s">
        <v>51</v>
      </c>
      <c r="B52" s="304" t="s">
        <v>49</v>
      </c>
      <c r="C52" s="304">
        <v>17</v>
      </c>
      <c r="D52" s="304" t="s">
        <v>299</v>
      </c>
      <c r="E52" s="305" t="str">
        <f t="shared" ca="1" si="1"/>
        <v>MR</v>
      </c>
      <c r="F52" s="306"/>
      <c r="G52" s="307">
        <f t="shared" ca="1" si="2"/>
        <v>25</v>
      </c>
      <c r="H52" s="250"/>
      <c r="I52" s="250"/>
      <c r="J52" s="262"/>
      <c r="K52" s="262"/>
      <c r="AF52" s="236">
        <f t="shared" si="3"/>
        <v>1</v>
      </c>
      <c r="AG52" s="236" t="str">
        <f t="shared" ca="1" si="4"/>
        <v/>
      </c>
      <c r="AH52" s="236" t="str">
        <f t="shared" ca="1" si="19"/>
        <v/>
      </c>
      <c r="AJ52" s="236">
        <f t="shared" ca="1" si="5"/>
        <v>52</v>
      </c>
      <c r="AK52" s="236" t="str">
        <f t="shared" ca="1" si="20"/>
        <v>BBB-</v>
      </c>
      <c r="AL52" s="236">
        <f t="shared" ca="1" si="20"/>
        <v>17</v>
      </c>
      <c r="AM52" s="236" t="str">
        <f t="shared" ca="1" si="6"/>
        <v/>
      </c>
      <c r="AQ52" s="286" t="s">
        <v>7</v>
      </c>
      <c r="AR52" s="286" t="s">
        <v>2</v>
      </c>
      <c r="AS52" s="286">
        <v>21</v>
      </c>
      <c r="AT52" s="286" t="s">
        <v>328</v>
      </c>
      <c r="AV52" s="234">
        <f t="shared" si="21"/>
        <v>1</v>
      </c>
      <c r="AW52" s="234">
        <f>COUNTIF( AV$7:AV52, AV52 )</f>
        <v>1</v>
      </c>
      <c r="AX52" s="287">
        <f t="shared" si="22"/>
        <v>1.1000000000000001</v>
      </c>
      <c r="AY52" s="234">
        <f t="shared" si="23"/>
        <v>1</v>
      </c>
      <c r="AZ52" s="236"/>
      <c r="BA52" s="236"/>
      <c r="BC52" s="234">
        <f t="shared" ca="1" si="24"/>
        <v>46</v>
      </c>
      <c r="BD52" s="288">
        <f t="shared" ca="1" si="8"/>
        <v>21</v>
      </c>
      <c r="BF52" s="240" t="str">
        <f t="shared" ca="1" si="25"/>
        <v>FirstEnergy Corp.</v>
      </c>
      <c r="BG52" s="240" t="str">
        <f t="shared" ca="1" si="25"/>
        <v>BBB-</v>
      </c>
      <c r="BH52" s="240">
        <f t="shared" ca="1" si="25"/>
        <v>17</v>
      </c>
      <c r="BI52" s="240" t="str">
        <f t="shared" ca="1" si="25"/>
        <v>FE</v>
      </c>
    </row>
    <row r="53" spans="1:61" x14ac:dyDescent="0.2">
      <c r="A53" s="303" t="s">
        <v>39</v>
      </c>
      <c r="B53" s="304" t="s">
        <v>49</v>
      </c>
      <c r="C53" s="304">
        <v>17</v>
      </c>
      <c r="D53" s="304" t="s">
        <v>302</v>
      </c>
      <c r="E53" s="305" t="str">
        <f t="shared" ca="1" si="1"/>
        <v>MR</v>
      </c>
      <c r="F53" s="306"/>
      <c r="G53" s="307">
        <f t="shared" ca="1" si="2"/>
        <v>27</v>
      </c>
      <c r="H53" s="250"/>
      <c r="I53" s="250"/>
      <c r="J53" s="262"/>
      <c r="K53" s="262"/>
      <c r="AF53" s="236">
        <f t="shared" si="3"/>
        <v>1</v>
      </c>
      <c r="AG53" s="236" t="str">
        <f t="shared" ca="1" si="4"/>
        <v/>
      </c>
      <c r="AH53" s="236" t="str">
        <f t="shared" ca="1" si="19"/>
        <v/>
      </c>
      <c r="AJ53" s="236">
        <f t="shared" ca="1" si="5"/>
        <v>53</v>
      </c>
      <c r="AK53" s="236" t="str">
        <f t="shared" ca="1" si="20"/>
        <v>BBB-</v>
      </c>
      <c r="AL53" s="236">
        <f t="shared" ca="1" si="20"/>
        <v>17</v>
      </c>
      <c r="AM53" s="236" t="str">
        <f t="shared" ca="1" si="6"/>
        <v/>
      </c>
      <c r="AQ53" s="286" t="s">
        <v>62</v>
      </c>
      <c r="AR53" s="286" t="s">
        <v>16</v>
      </c>
      <c r="AS53" s="286">
        <v>19</v>
      </c>
      <c r="AT53" s="286" t="s">
        <v>330</v>
      </c>
      <c r="AV53" s="234">
        <f t="shared" si="21"/>
        <v>14</v>
      </c>
      <c r="AW53" s="234">
        <f>COUNTIF( AV$7:AV53, AV53 )</f>
        <v>12</v>
      </c>
      <c r="AX53" s="287">
        <f t="shared" si="22"/>
        <v>15.2</v>
      </c>
      <c r="AY53" s="234">
        <f t="shared" si="23"/>
        <v>25</v>
      </c>
      <c r="AZ53" s="236"/>
      <c r="BA53" s="236"/>
      <c r="BC53" s="234">
        <f t="shared" ca="1" si="24"/>
        <v>47</v>
      </c>
      <c r="BD53" s="288">
        <f t="shared" ca="1" si="8"/>
        <v>23</v>
      </c>
      <c r="BF53" s="240" t="str">
        <f t="shared" ca="1" si="25"/>
        <v>Hawaiian Electric Industries, Inc.</v>
      </c>
      <c r="BG53" s="240" t="str">
        <f t="shared" ca="1" si="25"/>
        <v>BBB-</v>
      </c>
      <c r="BH53" s="240">
        <f t="shared" ca="1" si="25"/>
        <v>17</v>
      </c>
      <c r="BI53" s="240" t="str">
        <f t="shared" ca="1" si="25"/>
        <v>HE</v>
      </c>
    </row>
    <row r="54" spans="1:61" x14ac:dyDescent="0.2">
      <c r="A54" s="303" t="s">
        <v>40</v>
      </c>
      <c r="B54" s="304" t="s">
        <v>49</v>
      </c>
      <c r="C54" s="304">
        <v>17</v>
      </c>
      <c r="D54" s="304" t="s">
        <v>311</v>
      </c>
      <c r="E54" s="305" t="str">
        <f t="shared" ca="1" si="1"/>
        <v>MR</v>
      </c>
      <c r="F54" s="306"/>
      <c r="G54" s="307">
        <f t="shared" ca="1" si="2"/>
        <v>33</v>
      </c>
      <c r="H54" s="250"/>
      <c r="I54" s="250"/>
      <c r="J54" s="262"/>
      <c r="K54" s="262"/>
      <c r="AF54" s="236">
        <f t="shared" si="3"/>
        <v>1</v>
      </c>
      <c r="AG54" s="236" t="str">
        <f t="shared" ca="1" si="4"/>
        <v/>
      </c>
      <c r="AH54" s="236" t="str">
        <f t="shared" ca="1" si="19"/>
        <v/>
      </c>
      <c r="AJ54" s="236">
        <f t="shared" ca="1" si="5"/>
        <v>54</v>
      </c>
      <c r="AK54" s="236" t="str">
        <f t="shared" ca="1" si="20"/>
        <v>BBB-</v>
      </c>
      <c r="AL54" s="236">
        <f t="shared" ca="1" si="20"/>
        <v>17</v>
      </c>
      <c r="AM54" s="236" t="str">
        <f t="shared" ca="1" si="6"/>
        <v/>
      </c>
      <c r="AQ54" s="286" t="s">
        <v>75</v>
      </c>
      <c r="AR54" s="286" t="s">
        <v>28</v>
      </c>
      <c r="AS54" s="286">
        <v>18</v>
      </c>
      <c r="AT54" s="286" t="s">
        <v>332</v>
      </c>
      <c r="AV54" s="234">
        <f t="shared" si="21"/>
        <v>26</v>
      </c>
      <c r="AW54" s="234">
        <f>COUNTIF( AV$7:AV54, AV54 )</f>
        <v>18</v>
      </c>
      <c r="AX54" s="287">
        <f t="shared" si="22"/>
        <v>27.8</v>
      </c>
      <c r="AY54" s="234">
        <f t="shared" si="23"/>
        <v>43</v>
      </c>
      <c r="AZ54" s="236"/>
      <c r="BA54" s="236"/>
      <c r="BC54" s="234">
        <f t="shared" ca="1" si="24"/>
        <v>48</v>
      </c>
      <c r="BD54" s="288">
        <f t="shared" ca="1" si="8"/>
        <v>31</v>
      </c>
      <c r="BF54" s="240" t="str">
        <f t="shared" ca="1" si="25"/>
        <v>NiSource Inc.</v>
      </c>
      <c r="BG54" s="240" t="str">
        <f t="shared" ca="1" si="25"/>
        <v>BBB-</v>
      </c>
      <c r="BH54" s="240">
        <f t="shared" ca="1" si="25"/>
        <v>17</v>
      </c>
      <c r="BI54" s="240" t="str">
        <f t="shared" ca="1" si="25"/>
        <v>NI</v>
      </c>
    </row>
    <row r="55" spans="1:61" x14ac:dyDescent="0.2">
      <c r="A55" s="303" t="s">
        <v>54</v>
      </c>
      <c r="B55" s="304" t="s">
        <v>49</v>
      </c>
      <c r="C55" s="304">
        <v>17</v>
      </c>
      <c r="D55" s="304" t="s">
        <v>449</v>
      </c>
      <c r="E55" s="305" t="str">
        <f t="shared" ca="1" si="1"/>
        <v>R</v>
      </c>
      <c r="F55" s="306"/>
      <c r="G55" s="307">
        <f t="shared" ca="1" si="2"/>
        <v>63</v>
      </c>
      <c r="H55" s="250"/>
      <c r="I55" s="250"/>
      <c r="J55" s="262"/>
      <c r="K55" s="262"/>
      <c r="AF55" s="236">
        <f t="shared" si="3"/>
        <v>1</v>
      </c>
      <c r="AG55" s="236" t="str">
        <f t="shared" ca="1" si="4"/>
        <v/>
      </c>
      <c r="AH55" s="236" t="str">
        <f t="shared" ca="1" si="19"/>
        <v/>
      </c>
      <c r="AJ55" s="236">
        <f t="shared" ca="1" si="5"/>
        <v>55</v>
      </c>
      <c r="AK55" s="236" t="str">
        <f t="shared" ca="1" si="20"/>
        <v>BBB-</v>
      </c>
      <c r="AL55" s="236">
        <f t="shared" ca="1" si="20"/>
        <v>17</v>
      </c>
      <c r="AM55" s="236" t="str">
        <f t="shared" ca="1" si="6"/>
        <v/>
      </c>
      <c r="AQ55" s="286" t="s">
        <v>14</v>
      </c>
      <c r="AR55" s="286" t="s">
        <v>10</v>
      </c>
      <c r="AS55" s="286">
        <v>20</v>
      </c>
      <c r="AT55" s="286" t="s">
        <v>335</v>
      </c>
      <c r="AV55" s="234">
        <f t="shared" si="21"/>
        <v>2</v>
      </c>
      <c r="AW55" s="234">
        <f>COUNTIF( AV$7:AV55, AV55 )</f>
        <v>10</v>
      </c>
      <c r="AX55" s="287">
        <f t="shared" si="22"/>
        <v>3</v>
      </c>
      <c r="AY55" s="234">
        <f t="shared" si="23"/>
        <v>11</v>
      </c>
      <c r="AZ55" s="236"/>
      <c r="BA55" s="236"/>
      <c r="BC55" s="234">
        <f t="shared" ca="1" si="24"/>
        <v>49</v>
      </c>
      <c r="BD55" s="288">
        <f t="shared" ca="1" si="8"/>
        <v>43</v>
      </c>
      <c r="BF55" s="240" t="str">
        <f t="shared" ca="1" si="25"/>
        <v>Puget Energy, Inc.</v>
      </c>
      <c r="BG55" s="240" t="str">
        <f t="shared" ca="1" si="25"/>
        <v>BBB-</v>
      </c>
      <c r="BH55" s="240">
        <f t="shared" ca="1" si="25"/>
        <v>17</v>
      </c>
      <c r="BI55" s="240" t="str">
        <f t="shared" ca="1" si="25"/>
        <v>**PSD</v>
      </c>
    </row>
    <row r="56" spans="1:61" x14ac:dyDescent="0.2">
      <c r="A56" s="303" t="s">
        <v>58</v>
      </c>
      <c r="B56" s="304" t="s">
        <v>56</v>
      </c>
      <c r="C56" s="304">
        <v>16</v>
      </c>
      <c r="D56" s="304" t="s">
        <v>446</v>
      </c>
      <c r="E56" s="305" t="str">
        <f t="shared" ca="1" si="1"/>
        <v>R</v>
      </c>
      <c r="F56" s="306"/>
      <c r="G56" s="307">
        <f t="shared" ca="1" si="2"/>
        <v>61</v>
      </c>
      <c r="H56" s="250"/>
      <c r="I56" s="250"/>
      <c r="J56" s="262"/>
      <c r="K56" s="262"/>
      <c r="AF56" s="236">
        <f t="shared" si="3"/>
        <v>0</v>
      </c>
      <c r="AG56" s="236" t="str">
        <f t="shared" ca="1" si="4"/>
        <v/>
      </c>
      <c r="AH56" s="236" t="str">
        <f t="shared" ca="1" si="19"/>
        <v/>
      </c>
      <c r="AJ56" s="236">
        <f t="shared" ca="1" si="5"/>
        <v>56</v>
      </c>
      <c r="AK56" s="236" t="str">
        <f t="shared" ca="1" si="20"/>
        <v>BB+</v>
      </c>
      <c r="AL56" s="236">
        <f t="shared" ca="1" si="20"/>
        <v>16</v>
      </c>
      <c r="AM56" s="236" t="str">
        <f t="shared" ca="1" si="6"/>
        <v/>
      </c>
      <c r="AQ56" s="286" t="s">
        <v>59</v>
      </c>
      <c r="AR56" s="286" t="s">
        <v>28</v>
      </c>
      <c r="AS56" s="286">
        <v>18</v>
      </c>
      <c r="AT56" s="286" t="s">
        <v>337</v>
      </c>
      <c r="AV56" s="234">
        <f t="shared" si="21"/>
        <v>26</v>
      </c>
      <c r="AW56" s="234">
        <f>COUNTIF( AV$7:AV56, AV56 )</f>
        <v>19</v>
      </c>
      <c r="AX56" s="287">
        <f t="shared" si="22"/>
        <v>27.9</v>
      </c>
      <c r="AY56" s="234">
        <f t="shared" si="23"/>
        <v>44</v>
      </c>
      <c r="AZ56" s="236"/>
      <c r="BA56" s="236"/>
      <c r="BC56" s="234">
        <f t="shared" ca="1" si="24"/>
        <v>50</v>
      </c>
      <c r="BD56" s="288">
        <f t="shared" ca="1" si="8"/>
        <v>27</v>
      </c>
      <c r="BF56" s="240" t="str">
        <f t="shared" ca="1" si="25"/>
        <v>IPALCO Enterprises, Inc.</v>
      </c>
      <c r="BG56" s="240" t="str">
        <f t="shared" ca="1" si="25"/>
        <v>BB+</v>
      </c>
      <c r="BH56" s="240">
        <f t="shared" ca="1" si="25"/>
        <v>16</v>
      </c>
      <c r="BI56" s="240" t="str">
        <f t="shared" ca="1" si="25"/>
        <v>**IPALCO</v>
      </c>
    </row>
    <row r="57" spans="1:61" x14ac:dyDescent="0.2">
      <c r="A57" s="303" t="s">
        <v>64</v>
      </c>
      <c r="B57" s="304" t="s">
        <v>61</v>
      </c>
      <c r="C57" s="304">
        <v>15</v>
      </c>
      <c r="D57" s="304" t="s">
        <v>443</v>
      </c>
      <c r="E57" s="305" t="str">
        <f t="shared" ca="1" si="1"/>
        <v>R</v>
      </c>
      <c r="F57" s="306"/>
      <c r="G57" s="307">
        <f t="shared" ca="1" si="2"/>
        <v>59</v>
      </c>
      <c r="H57" s="250"/>
      <c r="I57" s="250"/>
      <c r="J57" s="262"/>
      <c r="K57" s="262"/>
      <c r="AF57" s="236">
        <f t="shared" si="3"/>
        <v>1</v>
      </c>
      <c r="AG57" s="236" t="str">
        <f t="shared" ca="1" si="4"/>
        <v/>
      </c>
      <c r="AH57" s="236" t="str">
        <f t="shared" ca="1" si="19"/>
        <v/>
      </c>
      <c r="AJ57" s="236">
        <f t="shared" ca="1" si="5"/>
        <v>57</v>
      </c>
      <c r="AK57" s="236" t="str">
        <f t="shared" ca="1" si="20"/>
        <v>BB</v>
      </c>
      <c r="AL57" s="236">
        <f t="shared" ca="1" si="20"/>
        <v>15</v>
      </c>
      <c r="AM57" s="236" t="str">
        <f t="shared" ca="1" si="6"/>
        <v/>
      </c>
      <c r="AQ57" s="286" t="s">
        <v>26</v>
      </c>
      <c r="AR57" s="286" t="s">
        <v>10</v>
      </c>
      <c r="AS57" s="286">
        <v>20</v>
      </c>
      <c r="AT57" s="286" t="s">
        <v>336</v>
      </c>
      <c r="AV57" s="234">
        <f t="shared" si="21"/>
        <v>2</v>
      </c>
      <c r="AW57" s="234">
        <f>COUNTIF( AV$7:AV57, AV57 )</f>
        <v>11</v>
      </c>
      <c r="AX57" s="287">
        <f t="shared" si="22"/>
        <v>3.1</v>
      </c>
      <c r="AY57" s="234">
        <f t="shared" si="23"/>
        <v>12</v>
      </c>
      <c r="AZ57" s="236"/>
      <c r="BA57" s="236"/>
      <c r="BC57" s="234">
        <f t="shared" ca="1" si="24"/>
        <v>51</v>
      </c>
      <c r="BD57" s="288">
        <f t="shared" ca="1" si="8"/>
        <v>12</v>
      </c>
      <c r="BF57" s="240" t="str">
        <f t="shared" ca="1" si="25"/>
        <v>DPL Inc.</v>
      </c>
      <c r="BG57" s="240" t="str">
        <f t="shared" ca="1" si="25"/>
        <v>BB</v>
      </c>
      <c r="BH57" s="240">
        <f t="shared" ca="1" si="25"/>
        <v>15</v>
      </c>
      <c r="BI57" s="240" t="str">
        <f t="shared" ca="1" si="25"/>
        <v>**DPL</v>
      </c>
    </row>
    <row r="58" spans="1:61" x14ac:dyDescent="0.2">
      <c r="A58" s="303" t="s">
        <v>249</v>
      </c>
      <c r="B58" s="304" t="s">
        <v>127</v>
      </c>
      <c r="C58" s="304">
        <v>8</v>
      </c>
      <c r="D58" s="304" t="s">
        <v>445</v>
      </c>
      <c r="E58" s="305" t="str">
        <f t="shared" ca="1" si="1"/>
        <v>D</v>
      </c>
      <c r="F58" s="306"/>
      <c r="G58" s="307">
        <f t="shared" ca="1" si="2"/>
        <v>60</v>
      </c>
      <c r="H58" s="250"/>
      <c r="I58" s="250"/>
      <c r="J58" s="262"/>
      <c r="K58" s="262"/>
      <c r="AF58" s="236">
        <f t="shared" si="3"/>
        <v>0</v>
      </c>
      <c r="AG58" s="236" t="str">
        <f t="shared" ca="1" si="4"/>
        <v/>
      </c>
      <c r="AH58" s="236" t="str">
        <f t="shared" ca="1" si="19"/>
        <v/>
      </c>
      <c r="AJ58" s="236">
        <f t="shared" ca="1" si="5"/>
        <v>58</v>
      </c>
      <c r="AK58" s="236" t="str">
        <f t="shared" ca="1" si="20"/>
        <v>CCC-</v>
      </c>
      <c r="AL58" s="236">
        <f t="shared" ca="1" si="20"/>
        <v>8</v>
      </c>
      <c r="AM58" s="236" t="str">
        <f t="shared" ca="1" si="6"/>
        <v/>
      </c>
      <c r="AQ58" s="286" t="s">
        <v>258</v>
      </c>
      <c r="AR58" s="286" t="s">
        <v>10</v>
      </c>
      <c r="AS58" s="286">
        <v>20</v>
      </c>
      <c r="AT58" s="286" t="s">
        <v>338</v>
      </c>
      <c r="AV58" s="234">
        <f t="shared" si="21"/>
        <v>2</v>
      </c>
      <c r="AW58" s="234">
        <f>COUNTIF( AV$7:AV58, AV58 )</f>
        <v>12</v>
      </c>
      <c r="AX58" s="287">
        <f t="shared" si="22"/>
        <v>3.2</v>
      </c>
      <c r="AY58" s="234">
        <f t="shared" si="23"/>
        <v>13</v>
      </c>
      <c r="AZ58" s="236"/>
      <c r="BA58" s="236"/>
      <c r="BC58" s="234">
        <f t="shared" ca="1" si="24"/>
        <v>52</v>
      </c>
      <c r="BD58" s="288">
        <f t="shared" ca="1" si="8"/>
        <v>18</v>
      </c>
      <c r="BF58" s="240" t="str">
        <f t="shared" ca="1" si="25"/>
        <v>Energy Future Holdings Corp.</v>
      </c>
      <c r="BG58" s="240" t="str">
        <f t="shared" ca="1" si="25"/>
        <v>CCC-</v>
      </c>
      <c r="BH58" s="240">
        <f t="shared" ca="1" si="25"/>
        <v>8</v>
      </c>
      <c r="BI58" s="240" t="str">
        <f t="shared" ca="1" si="25"/>
        <v>**EFH</v>
      </c>
    </row>
    <row r="59" spans="1:61" x14ac:dyDescent="0.2">
      <c r="A59" s="303"/>
      <c r="B59" s="304"/>
      <c r="C59" s="304"/>
      <c r="D59" s="304"/>
      <c r="E59" s="305"/>
      <c r="F59" s="306"/>
      <c r="G59" s="307" t="str">
        <f t="shared" ca="1" si="2"/>
        <v/>
      </c>
      <c r="H59" s="250"/>
      <c r="I59" s="250"/>
      <c r="J59" s="262"/>
      <c r="K59" s="262"/>
      <c r="AF59" s="236">
        <f t="shared" si="3"/>
        <v>0</v>
      </c>
      <c r="AG59" s="236" t="str">
        <f t="shared" si="4"/>
        <v/>
      </c>
      <c r="AH59" s="236" t="str">
        <f t="shared" si="19"/>
        <v/>
      </c>
      <c r="AJ59" s="236" t="e">
        <f t="shared" ca="1" si="5"/>
        <v>#N/A</v>
      </c>
      <c r="AK59" s="236" t="str">
        <f t="shared" ca="1" si="20"/>
        <v/>
      </c>
      <c r="AL59" s="236" t="str">
        <f t="shared" ca="1" si="20"/>
        <v/>
      </c>
      <c r="AM59" s="236" t="str">
        <f t="shared" ca="1" si="6"/>
        <v/>
      </c>
      <c r="AQ59" s="286"/>
      <c r="AR59" s="286"/>
      <c r="AS59" s="286"/>
      <c r="AT59" s="286"/>
      <c r="AV59" s="234">
        <f t="shared" si="21"/>
        <v>99</v>
      </c>
      <c r="AW59" s="234">
        <f>COUNTIF( AV$7:AV59, AV59 )</f>
        <v>1</v>
      </c>
      <c r="AX59" s="287">
        <f t="shared" si="22"/>
        <v>99.1</v>
      </c>
      <c r="AY59" s="234">
        <f t="shared" si="23"/>
        <v>53</v>
      </c>
      <c r="AZ59" s="236"/>
      <c r="BA59" s="236"/>
      <c r="BC59" s="234">
        <f t="shared" ca="1" si="24"/>
        <v>53</v>
      </c>
      <c r="BD59" s="288">
        <f t="shared" ca="1" si="8"/>
        <v>53</v>
      </c>
      <c r="BF59" s="240">
        <f t="shared" ca="1" si="25"/>
        <v>0</v>
      </c>
      <c r="BG59" s="240">
        <f t="shared" ca="1" si="25"/>
        <v>0</v>
      </c>
      <c r="BH59" s="240">
        <f t="shared" ca="1" si="25"/>
        <v>0</v>
      </c>
      <c r="BI59" s="240">
        <f t="shared" ca="1" si="25"/>
        <v>0</v>
      </c>
    </row>
    <row r="60" spans="1:61" x14ac:dyDescent="0.2">
      <c r="A60" s="247"/>
      <c r="B60" s="248"/>
      <c r="C60" s="248"/>
      <c r="D60" s="248"/>
      <c r="E60" s="249"/>
      <c r="F60" s="250"/>
      <c r="G60" s="251" t="str">
        <f t="shared" ca="1" si="2"/>
        <v/>
      </c>
      <c r="H60" s="250"/>
      <c r="I60" s="250"/>
      <c r="AF60" s="236">
        <f t="shared" si="3"/>
        <v>0</v>
      </c>
      <c r="AG60" s="236" t="str">
        <f t="shared" si="4"/>
        <v/>
      </c>
      <c r="AH60" s="236" t="str">
        <f t="shared" si="19"/>
        <v/>
      </c>
      <c r="AJ60" s="236" t="e">
        <f t="shared" ca="1" si="5"/>
        <v>#N/A</v>
      </c>
      <c r="AK60" s="236" t="str">
        <f t="shared" ca="1" si="20"/>
        <v/>
      </c>
      <c r="AL60" s="236" t="str">
        <f t="shared" ca="1" si="20"/>
        <v/>
      </c>
      <c r="AM60" s="236" t="str">
        <f t="shared" ca="1" si="6"/>
        <v/>
      </c>
      <c r="AQ60" s="286"/>
      <c r="AR60" s="286"/>
      <c r="AS60" s="286"/>
      <c r="AT60" s="286"/>
      <c r="AV60" s="234">
        <f t="shared" si="21"/>
        <v>99</v>
      </c>
      <c r="AW60" s="234">
        <f>COUNTIF( AV$7:AV60, AV60 )</f>
        <v>2</v>
      </c>
      <c r="AX60" s="287">
        <f t="shared" si="22"/>
        <v>99.2</v>
      </c>
      <c r="AY60" s="234">
        <f t="shared" si="23"/>
        <v>54</v>
      </c>
      <c r="AZ60" s="236"/>
      <c r="BA60" s="236"/>
      <c r="BC60" s="234">
        <f t="shared" ca="1" si="24"/>
        <v>54</v>
      </c>
      <c r="BD60" s="288">
        <f t="shared" ca="1" si="8"/>
        <v>54</v>
      </c>
      <c r="BF60" s="240">
        <f t="shared" ca="1" si="25"/>
        <v>0</v>
      </c>
      <c r="BG60" s="240">
        <f t="shared" ca="1" si="25"/>
        <v>0</v>
      </c>
      <c r="BH60" s="240">
        <f t="shared" ca="1" si="25"/>
        <v>0</v>
      </c>
      <c r="BI60" s="240">
        <f t="shared" ca="1" si="25"/>
        <v>0</v>
      </c>
    </row>
    <row r="61" spans="1:61" ht="13.5" thickBot="1" x14ac:dyDescent="0.25">
      <c r="A61" s="265"/>
      <c r="B61" s="266"/>
      <c r="C61" s="266"/>
      <c r="D61" s="266"/>
      <c r="E61" s="267"/>
      <c r="F61" s="250"/>
      <c r="G61" s="251" t="str">
        <f t="shared" ca="1" si="2"/>
        <v/>
      </c>
      <c r="H61" s="250"/>
      <c r="I61" s="250"/>
      <c r="AF61" s="236">
        <f t="shared" si="3"/>
        <v>0</v>
      </c>
      <c r="AG61" s="236" t="str">
        <f t="shared" si="4"/>
        <v/>
      </c>
      <c r="AH61" s="236" t="str">
        <f t="shared" si="19"/>
        <v/>
      </c>
      <c r="AJ61" s="236" t="e">
        <f t="shared" ca="1" si="5"/>
        <v>#N/A</v>
      </c>
      <c r="AK61" s="236" t="str">
        <f t="shared" ca="1" si="20"/>
        <v/>
      </c>
      <c r="AL61" s="236" t="str">
        <f t="shared" ca="1" si="20"/>
        <v/>
      </c>
      <c r="AM61" s="236" t="str">
        <f t="shared" ca="1" si="6"/>
        <v/>
      </c>
      <c r="AQ61" s="286"/>
      <c r="AR61" s="286"/>
      <c r="AS61" s="286"/>
      <c r="AT61" s="286"/>
      <c r="AV61" s="234">
        <f t="shared" si="21"/>
        <v>99</v>
      </c>
      <c r="AW61" s="234">
        <f>COUNTIF( AV$7:AV61, AV61 )</f>
        <v>3</v>
      </c>
      <c r="AX61" s="287">
        <f t="shared" si="22"/>
        <v>99.3</v>
      </c>
      <c r="AY61" s="234">
        <f t="shared" si="23"/>
        <v>55</v>
      </c>
      <c r="AZ61" s="236"/>
      <c r="BA61" s="236"/>
      <c r="BC61" s="234">
        <f t="shared" ca="1" si="24"/>
        <v>55</v>
      </c>
      <c r="BD61" s="288">
        <f t="shared" ca="1" si="8"/>
        <v>55</v>
      </c>
      <c r="BF61" s="240">
        <f t="shared" ca="1" si="25"/>
        <v>0</v>
      </c>
      <c r="BG61" s="240">
        <f t="shared" ca="1" si="25"/>
        <v>0</v>
      </c>
      <c r="BH61" s="240">
        <f t="shared" ca="1" si="25"/>
        <v>0</v>
      </c>
      <c r="BI61" s="240">
        <f t="shared" ca="1" si="25"/>
        <v>0</v>
      </c>
    </row>
    <row r="62" spans="1:61" x14ac:dyDescent="0.2">
      <c r="A62" s="308" t="s">
        <v>474</v>
      </c>
      <c r="B62" s="309" t="s">
        <v>108</v>
      </c>
      <c r="C62" s="309">
        <v>23</v>
      </c>
      <c r="D62" s="309" t="s">
        <v>440</v>
      </c>
      <c r="E62" s="310" t="str">
        <f ca="1">OFFSET( INDIRECT( E$3 &amp; E$4 ), $G62 - 1, 0 )</f>
        <v>MR</v>
      </c>
      <c r="F62" s="311"/>
      <c r="G62" s="312">
        <f t="shared" ca="1" si="2"/>
        <v>31</v>
      </c>
      <c r="H62" s="250"/>
      <c r="I62" s="250"/>
      <c r="AF62" s="236">
        <f t="shared" si="3"/>
        <v>1</v>
      </c>
      <c r="AG62" s="236" t="str">
        <f t="shared" ca="1" si="4"/>
        <v/>
      </c>
      <c r="AH62" s="236" t="str">
        <f t="shared" ca="1" si="19"/>
        <v/>
      </c>
      <c r="AJ62" s="236">
        <f t="shared" ca="1" si="5"/>
        <v>62</v>
      </c>
      <c r="AK62" s="236" t="str">
        <f t="shared" ca="1" si="20"/>
        <v>AA-</v>
      </c>
      <c r="AL62" s="236">
        <f t="shared" ca="1" si="20"/>
        <v>23</v>
      </c>
      <c r="AM62" s="236" t="str">
        <f t="shared" ca="1" si="6"/>
        <v/>
      </c>
      <c r="AQ62" s="286"/>
      <c r="AR62" s="286"/>
      <c r="AS62" s="286"/>
      <c r="AT62" s="286"/>
      <c r="AV62" s="234">
        <f t="shared" si="21"/>
        <v>99</v>
      </c>
      <c r="AW62" s="234">
        <f>COUNTIF( AV$7:AV62, AV62 )</f>
        <v>4</v>
      </c>
      <c r="AX62" s="287">
        <f t="shared" si="22"/>
        <v>99.4</v>
      </c>
      <c r="AY62" s="234">
        <f t="shared" si="23"/>
        <v>56</v>
      </c>
      <c r="AZ62" s="236"/>
      <c r="BA62" s="236"/>
      <c r="BC62" s="234">
        <f t="shared" ca="1" si="24"/>
        <v>56</v>
      </c>
      <c r="BD62" s="288">
        <f t="shared" ca="1" si="8"/>
        <v>56</v>
      </c>
      <c r="BF62" s="240">
        <f t="shared" ca="1" si="25"/>
        <v>0</v>
      </c>
      <c r="BG62" s="240">
        <f t="shared" ca="1" si="25"/>
        <v>0</v>
      </c>
      <c r="BH62" s="240">
        <f t="shared" ca="1" si="25"/>
        <v>0</v>
      </c>
      <c r="BI62" s="240">
        <f t="shared" ca="1" si="25"/>
        <v>0</v>
      </c>
    </row>
    <row r="63" spans="1:61" x14ac:dyDescent="0.2">
      <c r="A63" s="303" t="s">
        <v>476</v>
      </c>
      <c r="B63" s="304" t="s">
        <v>28</v>
      </c>
      <c r="C63" s="304">
        <v>18</v>
      </c>
      <c r="D63" s="304" t="s">
        <v>442</v>
      </c>
      <c r="E63" s="305" t="str">
        <f ca="1">OFFSET( INDIRECT( E$3 &amp; E$4 ), $G63 - 1, 0 )</f>
        <v>R</v>
      </c>
      <c r="F63" s="306"/>
      <c r="G63" s="307">
        <f t="shared" ca="1" si="2"/>
        <v>52</v>
      </c>
      <c r="H63" s="250"/>
      <c r="I63" s="250"/>
      <c r="AF63" s="236">
        <f t="shared" si="3"/>
        <v>0</v>
      </c>
      <c r="AG63" s="236" t="str">
        <f t="shared" ca="1" si="4"/>
        <v/>
      </c>
      <c r="AH63" s="236" t="str">
        <f t="shared" ca="1" si="19"/>
        <v/>
      </c>
      <c r="AJ63" s="236">
        <f t="shared" ca="1" si="5"/>
        <v>63</v>
      </c>
      <c r="AK63" s="236" t="str">
        <f t="shared" ca="1" si="20"/>
        <v>BBB</v>
      </c>
      <c r="AL63" s="236">
        <f t="shared" ca="1" si="20"/>
        <v>18</v>
      </c>
      <c r="AM63" s="236" t="str">
        <f t="shared" ca="1" si="6"/>
        <v/>
      </c>
      <c r="AQ63" s="286"/>
      <c r="AR63" s="286"/>
      <c r="AS63" s="286"/>
      <c r="AT63" s="286"/>
      <c r="AU63" s="286"/>
      <c r="AV63" s="234">
        <f t="shared" si="21"/>
        <v>99</v>
      </c>
      <c r="AW63" s="234">
        <f>COUNTIF( AV$7:AV63, AV63 )</f>
        <v>5</v>
      </c>
      <c r="AX63" s="287">
        <f t="shared" si="22"/>
        <v>99.5</v>
      </c>
      <c r="AY63" s="234">
        <f t="shared" si="23"/>
        <v>57</v>
      </c>
      <c r="AZ63" s="236"/>
      <c r="BA63" s="236"/>
      <c r="BC63" s="234">
        <f t="shared" ca="1" si="24"/>
        <v>57</v>
      </c>
      <c r="BD63" s="288">
        <f ca="1">MATCH( BC63, $AY$7:$AY$63, 0 )</f>
        <v>57</v>
      </c>
      <c r="BF63" s="240">
        <f t="shared" ca="1" si="25"/>
        <v>0</v>
      </c>
      <c r="BG63" s="240">
        <f t="shared" ca="1" si="25"/>
        <v>0</v>
      </c>
      <c r="BH63" s="240">
        <f t="shared" ca="1" si="25"/>
        <v>0</v>
      </c>
      <c r="BI63" s="240">
        <f t="shared" ca="1" si="25"/>
        <v>0</v>
      </c>
    </row>
    <row r="64" spans="1:61" x14ac:dyDescent="0.2">
      <c r="A64" s="303" t="s">
        <v>477</v>
      </c>
      <c r="B64" s="304"/>
      <c r="C64" s="304"/>
      <c r="D64" s="304" t="s">
        <v>448</v>
      </c>
      <c r="E64" s="305" t="str">
        <f ca="1">OFFSET( INDIRECT( E$3 &amp; E$4 ), $G64 - 1, 0 )</f>
        <v>R</v>
      </c>
      <c r="F64" s="306"/>
      <c r="G64" s="307">
        <f t="shared" ca="1" si="2"/>
        <v>51</v>
      </c>
      <c r="H64" s="250"/>
      <c r="I64" s="250"/>
      <c r="AF64" s="236">
        <f t="shared" si="3"/>
        <v>0</v>
      </c>
      <c r="AG64" s="236" t="str">
        <f t="shared" si="4"/>
        <v/>
      </c>
      <c r="AH64" s="236" t="str">
        <f t="shared" si="19"/>
        <v/>
      </c>
      <c r="AJ64" s="236">
        <f t="shared" ca="1" si="5"/>
        <v>64</v>
      </c>
      <c r="AK64" s="236">
        <f t="shared" ca="1" si="20"/>
        <v>0</v>
      </c>
      <c r="AL64" s="236">
        <f t="shared" ca="1" si="20"/>
        <v>0</v>
      </c>
      <c r="AM64" s="236" t="str">
        <f t="shared" ca="1" si="6"/>
        <v/>
      </c>
      <c r="AQ64" s="286"/>
      <c r="AR64" s="286"/>
      <c r="AS64" s="286"/>
      <c r="AT64" s="286"/>
      <c r="AU64" s="286"/>
      <c r="AZ64" s="236"/>
      <c r="BA64" s="236"/>
      <c r="BF64" s="236"/>
    </row>
    <row r="65" spans="1:58" x14ac:dyDescent="0.2">
      <c r="A65" s="303"/>
      <c r="B65" s="313"/>
      <c r="C65" s="304"/>
      <c r="D65" s="304"/>
      <c r="E65" s="305"/>
      <c r="F65" s="306"/>
      <c r="G65" s="307"/>
      <c r="H65" s="250"/>
      <c r="I65" s="250"/>
      <c r="N65" s="234" t="s">
        <v>73</v>
      </c>
      <c r="AF65" s="236">
        <f t="shared" si="3"/>
        <v>0</v>
      </c>
      <c r="AG65" s="236" t="str">
        <f>IF( LEN( $C65 ) = 0, "", IF( $C65 &gt; $AL65, 1, "" ) )</f>
        <v/>
      </c>
      <c r="AH65" s="236" t="str">
        <f t="shared" si="19"/>
        <v/>
      </c>
      <c r="AJ65" s="236" t="e">
        <f t="shared" ca="1" si="5"/>
        <v>#N/A</v>
      </c>
      <c r="AK65" s="236" t="str">
        <f t="shared" ca="1" si="20"/>
        <v/>
      </c>
      <c r="AL65" s="236" t="str">
        <f t="shared" ca="1" si="20"/>
        <v/>
      </c>
      <c r="AM65" s="236" t="str">
        <f t="shared" ca="1" si="6"/>
        <v/>
      </c>
      <c r="AQ65" s="286"/>
      <c r="AR65" s="286"/>
      <c r="AS65" s="286"/>
      <c r="AT65" s="286"/>
      <c r="AU65" s="286"/>
      <c r="AZ65" s="236"/>
      <c r="BA65" s="236"/>
      <c r="BF65" s="236"/>
    </row>
    <row r="66" spans="1:58" x14ac:dyDescent="0.2">
      <c r="A66" s="268"/>
      <c r="B66" s="269"/>
      <c r="C66" s="270"/>
      <c r="D66" s="270"/>
      <c r="E66" s="249"/>
      <c r="F66" s="250"/>
      <c r="H66" s="250"/>
      <c r="I66" s="250"/>
      <c r="AF66" s="236">
        <f t="shared" si="3"/>
        <v>0</v>
      </c>
      <c r="AG66" s="236" t="str">
        <f t="shared" ref="AG66:AG67" si="26">IF( LEN( $C66 ) = 0, "", IF( $C66 &gt; $AL66, 1, "" ) )</f>
        <v/>
      </c>
      <c r="AH66" s="236" t="str">
        <f t="shared" si="19"/>
        <v/>
      </c>
      <c r="AJ66" s="236" t="e">
        <f t="shared" ca="1" si="5"/>
        <v>#N/A</v>
      </c>
      <c r="AK66" s="236" t="str">
        <f t="shared" ca="1" si="20"/>
        <v/>
      </c>
      <c r="AL66" s="236" t="str">
        <f t="shared" ca="1" si="20"/>
        <v/>
      </c>
      <c r="AM66" s="236" t="str">
        <f t="shared" ca="1" si="6"/>
        <v/>
      </c>
      <c r="AQ66" s="286" t="s">
        <v>474</v>
      </c>
      <c r="AR66" s="286" t="s">
        <v>108</v>
      </c>
      <c r="AS66" s="286">
        <v>23</v>
      </c>
      <c r="AT66" s="286" t="s">
        <v>440</v>
      </c>
      <c r="AU66" s="286"/>
      <c r="AX66" s="287"/>
      <c r="AZ66" s="236"/>
      <c r="BA66" s="236"/>
      <c r="BD66" s="288"/>
      <c r="BF66" s="236"/>
    </row>
    <row r="67" spans="1:58" ht="13.5" thickBot="1" x14ac:dyDescent="0.25">
      <c r="A67" s="271"/>
      <c r="B67" s="272"/>
      <c r="C67" s="337"/>
      <c r="D67" s="272"/>
      <c r="E67" s="273"/>
      <c r="F67" s="250"/>
      <c r="H67" s="250"/>
      <c r="I67" s="250"/>
      <c r="AF67" s="236">
        <f t="shared" si="3"/>
        <v>0</v>
      </c>
      <c r="AG67" s="236" t="str">
        <f t="shared" si="26"/>
        <v/>
      </c>
      <c r="AH67" s="236" t="str">
        <f t="shared" si="19"/>
        <v/>
      </c>
      <c r="AJ67" s="236" t="e">
        <f t="shared" ca="1" si="5"/>
        <v>#N/A</v>
      </c>
      <c r="AK67" s="236" t="str">
        <f t="shared" ca="1" si="20"/>
        <v/>
      </c>
      <c r="AL67" s="236" t="str">
        <f t="shared" ca="1" si="20"/>
        <v/>
      </c>
      <c r="AM67" s="236" t="str">
        <f t="shared" ca="1" si="6"/>
        <v/>
      </c>
      <c r="AQ67" s="286" t="s">
        <v>428</v>
      </c>
      <c r="AR67" s="286" t="s">
        <v>28</v>
      </c>
      <c r="AS67" s="286">
        <v>18</v>
      </c>
      <c r="AT67" s="286" t="s">
        <v>442</v>
      </c>
      <c r="AX67" s="287"/>
      <c r="AZ67" s="236"/>
      <c r="BA67" s="236"/>
      <c r="BD67" s="288"/>
      <c r="BF67" s="236"/>
    </row>
    <row r="68" spans="1:58" x14ac:dyDescent="0.2">
      <c r="A68" s="274" t="s">
        <v>135</v>
      </c>
      <c r="B68" s="275" t="s">
        <v>28</v>
      </c>
      <c r="C68" s="276">
        <f>AVERAGE(C7:C65)</f>
        <v>18.444444444444443</v>
      </c>
      <c r="D68" s="276"/>
      <c r="E68" s="276"/>
      <c r="F68" s="250"/>
      <c r="H68" s="250"/>
      <c r="I68" s="250"/>
      <c r="J68" s="253"/>
      <c r="K68" s="253"/>
      <c r="AQ68" s="286" t="s">
        <v>477</v>
      </c>
      <c r="AR68" s="286"/>
      <c r="AS68" s="286"/>
      <c r="AT68" s="286" t="s">
        <v>448</v>
      </c>
      <c r="AX68" s="287"/>
      <c r="AZ68" s="236"/>
      <c r="BA68" s="236"/>
      <c r="BD68" s="288"/>
      <c r="BF68" s="236"/>
    </row>
    <row r="69" spans="1:58" x14ac:dyDescent="0.2">
      <c r="A69" s="277"/>
      <c r="B69" s="278"/>
      <c r="F69" s="250"/>
      <c r="H69" s="250"/>
      <c r="I69" s="250"/>
      <c r="AX69" s="287"/>
      <c r="AZ69" s="236"/>
      <c r="BA69" s="236"/>
      <c r="BD69" s="288"/>
      <c r="BF69" s="236"/>
    </row>
    <row r="70" spans="1:58" x14ac:dyDescent="0.2">
      <c r="A70" s="277"/>
      <c r="B70" s="278"/>
      <c r="F70" s="240"/>
      <c r="H70" s="240"/>
      <c r="I70" s="240"/>
      <c r="J70" s="253"/>
      <c r="K70" s="253"/>
    </row>
    <row r="71" spans="1:58" x14ac:dyDescent="0.2">
      <c r="A71" s="279" t="s">
        <v>267</v>
      </c>
      <c r="F71" s="240"/>
      <c r="H71" s="240"/>
      <c r="I71" s="240"/>
    </row>
    <row r="72" spans="1:58" x14ac:dyDescent="0.2">
      <c r="A72" s="279" t="s">
        <v>366</v>
      </c>
      <c r="B72" s="240"/>
      <c r="D72" s="264"/>
      <c r="E72" s="264"/>
      <c r="F72" s="280"/>
      <c r="H72" s="280"/>
      <c r="I72" s="280"/>
    </row>
    <row r="73" spans="1:58" x14ac:dyDescent="0.2">
      <c r="A73" s="281" t="s">
        <v>357</v>
      </c>
      <c r="B73" s="240"/>
      <c r="D73" s="264"/>
      <c r="E73" s="264"/>
      <c r="F73" s="280"/>
      <c r="H73" s="280"/>
      <c r="I73" s="280"/>
    </row>
    <row r="74" spans="1:58" x14ac:dyDescent="0.2">
      <c r="A74" s="281" t="s">
        <v>470</v>
      </c>
      <c r="D74" s="280"/>
      <c r="E74" s="234"/>
      <c r="F74" s="282"/>
      <c r="H74" s="282"/>
      <c r="I74" s="282"/>
    </row>
    <row r="75" spans="1:58" x14ac:dyDescent="0.2">
      <c r="A75" s="279" t="s">
        <v>359</v>
      </c>
      <c r="D75" s="280"/>
      <c r="E75" s="234"/>
      <c r="F75" s="282"/>
      <c r="H75" s="282"/>
      <c r="I75" s="282"/>
      <c r="AQ75" s="286"/>
      <c r="AR75" s="286"/>
      <c r="AS75" s="286"/>
    </row>
    <row r="76" spans="1:58" x14ac:dyDescent="0.2">
      <c r="A76" s="279" t="s">
        <v>507</v>
      </c>
      <c r="D76" s="280"/>
      <c r="E76" s="234"/>
      <c r="F76" s="282"/>
      <c r="H76" s="282"/>
      <c r="I76" s="282"/>
      <c r="AQ76" s="286"/>
      <c r="AR76" s="286"/>
      <c r="AS76" s="286"/>
    </row>
    <row r="77" spans="1:58" x14ac:dyDescent="0.2">
      <c r="A77" s="279"/>
      <c r="AQ77" s="286"/>
      <c r="AR77" s="286"/>
      <c r="AS77" s="286"/>
    </row>
    <row r="78" spans="1:58" x14ac:dyDescent="0.2">
      <c r="C78" s="339">
        <f>SUMPRODUCT( L8:L13, Y8:Y13 ) / L14</f>
        <v>18.574074074074073</v>
      </c>
      <c r="E78" s="283"/>
      <c r="G78" s="251"/>
      <c r="J78" s="240"/>
      <c r="K78" s="240"/>
      <c r="AQ78" s="286"/>
      <c r="AR78" s="286"/>
      <c r="AS78" s="286"/>
    </row>
    <row r="79" spans="1:58" s="240" customFormat="1" x14ac:dyDescent="0.2">
      <c r="A79" s="284"/>
      <c r="B79" s="285"/>
      <c r="C79" s="285"/>
      <c r="D79" s="285"/>
      <c r="E79" s="249"/>
      <c r="F79" s="234"/>
      <c r="G79" s="236"/>
      <c r="H79" s="234"/>
      <c r="I79" s="234"/>
      <c r="Q79" s="234"/>
      <c r="T79" s="236"/>
      <c r="U79" s="236"/>
      <c r="V79" s="236"/>
      <c r="AF79" s="236"/>
      <c r="AG79" s="236"/>
      <c r="AH79" s="236"/>
      <c r="AJ79" s="236"/>
      <c r="AK79" s="236"/>
      <c r="AL79" s="236"/>
      <c r="AM79" s="236"/>
      <c r="AN79" s="236"/>
      <c r="AQ79" s="286"/>
      <c r="AR79" s="286"/>
      <c r="AS79" s="286"/>
    </row>
  </sheetData>
  <sortState ref="AQ7:AT58">
    <sortCondition ref="AQ7"/>
  </sortState>
  <mergeCells count="9">
    <mergeCell ref="L16:M16"/>
    <mergeCell ref="O16:P16"/>
    <mergeCell ref="R16:S16"/>
    <mergeCell ref="U16:V16"/>
    <mergeCell ref="J5:J6"/>
    <mergeCell ref="L5:M6"/>
    <mergeCell ref="O5:P6"/>
    <mergeCell ref="R5:S6"/>
    <mergeCell ref="U5:V6"/>
  </mergeCells>
  <conditionalFormatting sqref="A60:E61 E7:E59 E62:E65">
    <cfRule type="expression" dxfId="443" priority="28" stopIfTrue="1">
      <formula>IF( $AH7 = 1, TRUE, FALSE )</formula>
    </cfRule>
    <cfRule type="expression" dxfId="442" priority="29" stopIfTrue="1">
      <formula>IF( $AG7 = 1, TRUE, FALSE )</formula>
    </cfRule>
    <cfRule type="expression" dxfId="441" priority="30" stopIfTrue="1">
      <formula>IF( $AF7 = 1, TRUE, FALSE )</formula>
    </cfRule>
  </conditionalFormatting>
  <conditionalFormatting sqref="A67:E67">
    <cfRule type="expression" dxfId="440" priority="31" stopIfTrue="1">
      <formula>IF( $AH67 = 1, TRUE, FALSE )</formula>
    </cfRule>
    <cfRule type="expression" dxfId="439" priority="32" stopIfTrue="1">
      <formula>IF( $AG67 = 1, TRUE, FALSE )</formula>
    </cfRule>
    <cfRule type="expression" dxfId="438" priority="33" stopIfTrue="1">
      <formula>IF( $AF67 = 1, TRUE, FALSE )</formula>
    </cfRule>
  </conditionalFormatting>
  <conditionalFormatting sqref="A66:E66">
    <cfRule type="expression" dxfId="437" priority="25" stopIfTrue="1">
      <formula>IF( $AH66 = 1, TRUE, FALSE )</formula>
    </cfRule>
    <cfRule type="expression" dxfId="436" priority="26" stopIfTrue="1">
      <formula>IF( $AG66 = 1, TRUE, FALSE )</formula>
    </cfRule>
    <cfRule type="expression" dxfId="435" priority="27" stopIfTrue="1">
      <formula>IF( $AF66 = 1, TRUE, FALSE )</formula>
    </cfRule>
  </conditionalFormatting>
  <conditionalFormatting sqref="A8:D58 B7:D7">
    <cfRule type="expression" dxfId="434" priority="22" stopIfTrue="1">
      <formula>IF( $AH7 = 1, TRUE, FALSE )</formula>
    </cfRule>
    <cfRule type="expression" dxfId="433" priority="23" stopIfTrue="1">
      <formula>IF( $AG7 = 1, TRUE, FALSE )</formula>
    </cfRule>
    <cfRule type="expression" dxfId="432" priority="24" stopIfTrue="1">
      <formula>IF( $AF7 = 1, TRUE, FALSE )</formula>
    </cfRule>
  </conditionalFormatting>
  <conditionalFormatting sqref="A59:D59">
    <cfRule type="expression" dxfId="431" priority="19" stopIfTrue="1">
      <formula>IF( $AH59 = 1, TRUE, FALSE )</formula>
    </cfRule>
    <cfRule type="expression" dxfId="430" priority="20" stopIfTrue="1">
      <formula>IF( $AG59 = 1, TRUE, FALSE )</formula>
    </cfRule>
    <cfRule type="expression" dxfId="429" priority="21" stopIfTrue="1">
      <formula>IF( $AF59 = 1, TRUE, FALSE )</formula>
    </cfRule>
  </conditionalFormatting>
  <conditionalFormatting sqref="A62:D65">
    <cfRule type="expression" dxfId="428" priority="16" stopIfTrue="1">
      <formula>IF( $AH62 = 1, TRUE, FALSE )</formula>
    </cfRule>
    <cfRule type="expression" dxfId="427" priority="17" stopIfTrue="1">
      <formula>IF( $AG62 = 1, TRUE, FALSE )</formula>
    </cfRule>
    <cfRule type="expression" dxfId="426" priority="18" stopIfTrue="1">
      <formula>IF( $AF62 = 1, TRUE, FALSE )</formula>
    </cfRule>
  </conditionalFormatting>
  <conditionalFormatting sqref="U8:U12">
    <cfRule type="cellIs" dxfId="425" priority="15" operator="equal">
      <formula>0</formula>
    </cfRule>
  </conditionalFormatting>
  <conditionalFormatting sqref="O8:O12 Q8:Q12">
    <cfRule type="cellIs" dxfId="424" priority="14" operator="equal">
      <formula>0</formula>
    </cfRule>
  </conditionalFormatting>
  <conditionalFormatting sqref="V8:V12">
    <cfRule type="cellIs" dxfId="423" priority="13" operator="equal">
      <formula>0</formula>
    </cfRule>
  </conditionalFormatting>
  <conditionalFormatting sqref="S8:S12">
    <cfRule type="cellIs" dxfId="422" priority="11" operator="equal">
      <formula>0</formula>
    </cfRule>
  </conditionalFormatting>
  <conditionalFormatting sqref="R8:R12">
    <cfRule type="cellIs" dxfId="421" priority="12" operator="equal">
      <formula>0</formula>
    </cfRule>
  </conditionalFormatting>
  <conditionalFormatting sqref="P8:P12">
    <cfRule type="cellIs" dxfId="420" priority="10" operator="equal">
      <formula>0</formula>
    </cfRule>
  </conditionalFormatting>
  <conditionalFormatting sqref="M8:M12">
    <cfRule type="cellIs" dxfId="419" priority="9" operator="equal">
      <formula>0</formula>
    </cfRule>
  </conditionalFormatting>
  <conditionalFormatting sqref="T8:T12">
    <cfRule type="cellIs" dxfId="418" priority="8" operator="equal">
      <formula>0</formula>
    </cfRule>
  </conditionalFormatting>
  <conditionalFormatting sqref="N8:N12">
    <cfRule type="cellIs" dxfId="417" priority="7" operator="equal">
      <formula>0</formula>
    </cfRule>
  </conditionalFormatting>
  <conditionalFormatting sqref="K8:K12">
    <cfRule type="cellIs" dxfId="416" priority="6" operator="equal">
      <formula>0</formula>
    </cfRule>
  </conditionalFormatting>
  <conditionalFormatting sqref="I8:I12">
    <cfRule type="cellIs" dxfId="415" priority="5" operator="equal">
      <formula>0</formula>
    </cfRule>
  </conditionalFormatting>
  <conditionalFormatting sqref="W8:W12">
    <cfRule type="cellIs" dxfId="414" priority="4" operator="equal">
      <formula>0</formula>
    </cfRule>
  </conditionalFormatting>
  <conditionalFormatting sqref="A7">
    <cfRule type="expression" dxfId="413" priority="1" stopIfTrue="1">
      <formula>IF( $AH7 = 1, TRUE, FALSE )</formula>
    </cfRule>
    <cfRule type="expression" dxfId="412" priority="2" stopIfTrue="1">
      <formula>IF( $AG7 = 1, TRUE, FALSE )</formula>
    </cfRule>
    <cfRule type="expression" dxfId="411" priority="3" stopIfTrue="1">
      <formula>IF( $AF7 = 1, TRUE, FALSE )</formula>
    </cfRule>
  </conditionalFormatting>
  <pageMargins left="0.17" right="0.18" top="0.28000000000000003" bottom="0.17" header="0.3" footer="0.3"/>
  <pageSetup scale="19" orientation="portrait" horizontalDpi="1200" verticalDpi="120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BJ79"/>
  <sheetViews>
    <sheetView showGridLines="0" zoomScale="70" zoomScaleNormal="70" workbookViewId="0">
      <pane ySplit="6" topLeftCell="A7" activePane="bottomLeft" state="frozen"/>
      <selection activeCell="A7" sqref="A7"/>
      <selection pane="bottomLeft" activeCell="A7" sqref="A7"/>
    </sheetView>
  </sheetViews>
  <sheetFormatPr defaultColWidth="9.140625" defaultRowHeight="12.75" outlineLevelRow="1" outlineLevelCol="2" x14ac:dyDescent="0.2"/>
  <cols>
    <col min="1" max="1" width="35.140625" style="234" customWidth="1"/>
    <col min="2" max="2" width="9.140625" style="234"/>
    <col min="3" max="3" width="9.42578125" style="263" customWidth="1"/>
    <col min="4" max="4" width="9.140625" style="235" customWidth="1" outlineLevel="1"/>
    <col min="5" max="5" width="12.5703125" style="235" customWidth="1" outlineLevel="1"/>
    <col min="6" max="6" width="3.42578125" style="234" customWidth="1" outlineLevel="1"/>
    <col min="7" max="7" width="17.7109375" style="236" hidden="1" customWidth="1" outlineLevel="2"/>
    <col min="8" max="8" width="3.42578125" style="234" hidden="1" customWidth="1" outlineLevel="2" collapsed="1"/>
    <col min="9" max="9" width="3.28515625" style="234" customWidth="1" outlineLevel="1" collapsed="1"/>
    <col min="10" max="10" width="22" style="234" customWidth="1"/>
    <col min="11" max="11" width="2" style="234" customWidth="1"/>
    <col min="12" max="13" width="10.42578125" style="234" customWidth="1"/>
    <col min="14" max="14" width="2" style="234" customWidth="1"/>
    <col min="15" max="16" width="10.42578125" style="234" customWidth="1"/>
    <col min="17" max="17" width="2" style="234" customWidth="1"/>
    <col min="18" max="19" width="10.42578125" style="234" customWidth="1"/>
    <col min="20" max="20" width="2" style="236" customWidth="1"/>
    <col min="21" max="22" width="10.42578125" style="236" customWidth="1"/>
    <col min="23" max="23" width="2" style="234" customWidth="1"/>
    <col min="24" max="24" width="4.140625" style="234" customWidth="1"/>
    <col min="25" max="25" width="5.5703125" style="234" customWidth="1"/>
    <col min="26" max="26" width="2.42578125" style="234" customWidth="1"/>
    <col min="27" max="27" width="4.28515625" style="234" customWidth="1"/>
    <col min="28" max="30" width="2.42578125" style="234" hidden="1" customWidth="1" outlineLevel="1"/>
    <col min="31" max="31" width="4.42578125" style="234" hidden="1" customWidth="1" outlineLevel="1"/>
    <col min="32" max="32" width="6.5703125" style="236" hidden="1" customWidth="1" outlineLevel="1" collapsed="1"/>
    <col min="33" max="34" width="6.5703125" style="236" hidden="1" customWidth="1" outlineLevel="1"/>
    <col min="35" max="35" width="3.140625" style="234" hidden="1" customWidth="1" outlineLevel="1"/>
    <col min="36" max="36" width="7.85546875" style="236" hidden="1" customWidth="1" outlineLevel="1" collapsed="1"/>
    <col min="37" max="38" width="9" style="236" hidden="1" customWidth="1" outlineLevel="1"/>
    <col min="39" max="39" width="8.42578125" style="236" hidden="1" customWidth="1" outlineLevel="1"/>
    <col min="40" max="40" width="11.85546875" style="236" hidden="1" customWidth="1" outlineLevel="1"/>
    <col min="41" max="41" width="3.42578125" style="234" customWidth="1" collapsed="1"/>
    <col min="42" max="42" width="3.42578125" style="234" customWidth="1"/>
    <col min="43" max="43" width="29.7109375" style="234" hidden="1" customWidth="1" outlineLevel="1"/>
    <col min="44" max="44" width="6.42578125" style="234" hidden="1" customWidth="1" outlineLevel="1"/>
    <col min="45" max="45" width="3.42578125" style="234" hidden="1" customWidth="1" outlineLevel="1"/>
    <col min="46" max="46" width="8.7109375" style="234" hidden="1" customWidth="1" outlineLevel="1"/>
    <col min="47" max="47" width="3.140625" style="234" hidden="1" customWidth="1" outlineLevel="1"/>
    <col min="48" max="56" width="9.140625" style="234" hidden="1" customWidth="1" outlineLevel="2"/>
    <col min="57" max="57" width="5.42578125" style="234" hidden="1" customWidth="1" outlineLevel="1" collapsed="1"/>
    <col min="58" max="58" width="36.85546875" style="234" hidden="1" customWidth="1" outlineLevel="1"/>
    <col min="59" max="59" width="6.42578125" style="234" hidden="1" customWidth="1" outlineLevel="1"/>
    <col min="60" max="60" width="3.42578125" style="234" hidden="1" customWidth="1" outlineLevel="1"/>
    <col min="61" max="61" width="9.140625" style="234" hidden="1" customWidth="1" outlineLevel="1"/>
    <col min="62" max="62" width="9.140625" style="234" collapsed="1"/>
    <col min="63" max="16384" width="9.140625" style="234"/>
  </cols>
  <sheetData>
    <row r="1" spans="1:61" ht="18.75" x14ac:dyDescent="0.2">
      <c r="A1" s="323" t="str">
        <f>"I.  S&amp;P Utility Credit Ratings Distribution -- " &amp; B6</f>
        <v>I.  S&amp;P Utility Credit Ratings Distribution -- 2013 Q4</v>
      </c>
      <c r="AF1" s="237" t="s">
        <v>420</v>
      </c>
      <c r="AG1" s="237" t="s">
        <v>421</v>
      </c>
      <c r="AH1" s="237" t="s">
        <v>422</v>
      </c>
      <c r="AJ1" s="237" t="s">
        <v>424</v>
      </c>
      <c r="AK1" s="237" t="s">
        <v>426</v>
      </c>
      <c r="AL1" s="237" t="s">
        <v>426</v>
      </c>
      <c r="AM1" s="237" t="s">
        <v>424</v>
      </c>
      <c r="AN1" s="237"/>
      <c r="AQ1" s="237" t="s">
        <v>497</v>
      </c>
    </row>
    <row r="2" spans="1:61" ht="18.75" hidden="1" outlineLevel="1" x14ac:dyDescent="0.2">
      <c r="A2" s="233"/>
      <c r="E2" s="238" t="str">
        <f>G2</f>
        <v>Reg_Percent_2012</v>
      </c>
      <c r="G2" s="239" t="s">
        <v>478</v>
      </c>
      <c r="AJ2" s="240" t="str">
        <f>AJ4 &amp; AJ3</f>
        <v>'Credit_2013Q3'!a:a</v>
      </c>
      <c r="AK2" s="240" t="str">
        <f>AK4 &amp; AK3</f>
        <v>'Credit_2013Q3'!b1</v>
      </c>
      <c r="AL2" s="240" t="str">
        <f>AL4 &amp; AL3</f>
        <v>'Credit_2013Q3'!c1</v>
      </c>
      <c r="AQ2" s="236"/>
    </row>
    <row r="3" spans="1:61" ht="18.75" hidden="1" outlineLevel="1" x14ac:dyDescent="0.2">
      <c r="A3" s="233"/>
      <c r="E3" s="241" t="str">
        <f>"'" &amp; E2 &amp; "'!"</f>
        <v>'Reg_Percent_2012'!</v>
      </c>
      <c r="G3" s="234" t="str">
        <f>"'" &amp; G2 &amp; "'!"</f>
        <v>'Reg_Percent_2012'!</v>
      </c>
      <c r="O3" s="242" t="s">
        <v>371</v>
      </c>
      <c r="P3" s="242"/>
      <c r="Q3" s="242"/>
      <c r="R3" s="242" t="s">
        <v>372</v>
      </c>
      <c r="T3" s="234"/>
      <c r="U3" s="242" t="s">
        <v>86</v>
      </c>
      <c r="V3" s="234"/>
      <c r="X3" s="242"/>
      <c r="Y3" s="242"/>
      <c r="Z3" s="242"/>
      <c r="AA3" s="242"/>
      <c r="AJ3" s="210" t="s">
        <v>425</v>
      </c>
      <c r="AK3" s="210" t="s">
        <v>427</v>
      </c>
      <c r="AL3" s="210" t="s">
        <v>453</v>
      </c>
      <c r="AQ3" s="236"/>
    </row>
    <row r="4" spans="1:61" ht="18.75" hidden="1" outlineLevel="1" x14ac:dyDescent="0.2">
      <c r="A4" s="233"/>
      <c r="E4" s="242" t="s">
        <v>439</v>
      </c>
      <c r="G4" s="242" t="s">
        <v>438</v>
      </c>
      <c r="O4" s="236"/>
      <c r="P4" s="236"/>
      <c r="Q4" s="236"/>
      <c r="T4" s="234"/>
      <c r="U4" s="234"/>
      <c r="V4" s="234"/>
      <c r="AJ4" s="236" t="str">
        <f>$AQ$5</f>
        <v>'Credit_2013Q3'!</v>
      </c>
      <c r="AK4" s="236" t="str">
        <f t="shared" ref="AK4:AL4" si="0">$AQ$5</f>
        <v>'Credit_2013Q3'!</v>
      </c>
      <c r="AL4" s="236" t="str">
        <f t="shared" si="0"/>
        <v>'Credit_2013Q3'!</v>
      </c>
      <c r="AQ4" s="236"/>
    </row>
    <row r="5" spans="1:61" collapsed="1" x14ac:dyDescent="0.2">
      <c r="E5" s="243" t="s">
        <v>436</v>
      </c>
      <c r="G5" s="237" t="s">
        <v>424</v>
      </c>
      <c r="I5" s="314"/>
      <c r="J5" s="466" t="s">
        <v>77</v>
      </c>
      <c r="K5" s="314"/>
      <c r="L5" s="468" t="str">
        <f>"All Companies" &amp; CHAR( 10 ) &amp; "("&amp; L14 &amp; ")"</f>
        <v>All Companies
(54)</v>
      </c>
      <c r="M5" s="468"/>
      <c r="N5" s="314"/>
      <c r="O5" s="466" t="str">
        <f ca="1">"Regulated" &amp; CHAR( 10 ) &amp; "(" &amp; O14 &amp; ")"</f>
        <v>Regulated
(35)</v>
      </c>
      <c r="P5" s="470"/>
      <c r="Q5" s="314"/>
      <c r="R5" s="466" t="str">
        <f ca="1">"Mostly Regulated" &amp; CHAR( 10 ) &amp; "(" &amp; R14 &amp; ")"</f>
        <v>Mostly Regulated
(17)</v>
      </c>
      <c r="S5" s="470"/>
      <c r="T5" s="314"/>
      <c r="U5" s="466" t="str">
        <f ca="1">"Diversified" &amp; CHAR( 10 ) &amp; "(" &amp; U14 &amp; ")"</f>
        <v>Diversified
(2)</v>
      </c>
      <c r="V5" s="470"/>
      <c r="W5" s="314"/>
      <c r="AE5" s="244"/>
      <c r="AF5" s="234"/>
      <c r="AG5" s="234"/>
      <c r="AH5" s="234"/>
      <c r="AJ5" s="234"/>
      <c r="AK5" s="234"/>
      <c r="AL5" s="234"/>
      <c r="AM5" s="234"/>
      <c r="AN5" s="234"/>
      <c r="AQ5" s="432" t="s">
        <v>496</v>
      </c>
    </row>
    <row r="6" spans="1:61" ht="28.5" customHeight="1" x14ac:dyDescent="0.2">
      <c r="A6" s="299" t="s">
        <v>0</v>
      </c>
      <c r="B6" s="300" t="s">
        <v>432</v>
      </c>
      <c r="C6" s="338" t="s">
        <v>471</v>
      </c>
      <c r="D6" s="301"/>
      <c r="E6" s="302">
        <v>41274</v>
      </c>
      <c r="I6" s="315"/>
      <c r="J6" s="467"/>
      <c r="K6" s="315"/>
      <c r="L6" s="469"/>
      <c r="M6" s="469"/>
      <c r="N6" s="315"/>
      <c r="O6" s="467"/>
      <c r="P6" s="467"/>
      <c r="Q6" s="315"/>
      <c r="R6" s="467" t="s">
        <v>137</v>
      </c>
      <c r="S6" s="467"/>
      <c r="T6" s="315"/>
      <c r="U6" s="467"/>
      <c r="V6" s="467"/>
      <c r="W6" s="315"/>
      <c r="AE6" s="245"/>
      <c r="AJ6" s="246"/>
    </row>
    <row r="7" spans="1:61" x14ac:dyDescent="0.2">
      <c r="A7" s="303" t="s">
        <v>7</v>
      </c>
      <c r="B7" s="304" t="s">
        <v>2</v>
      </c>
      <c r="C7" s="304">
        <v>21</v>
      </c>
      <c r="D7" s="304" t="s">
        <v>328</v>
      </c>
      <c r="E7" s="305" t="str">
        <f t="shared" ref="E7:E58" ca="1" si="1">OFFSET( INDIRECT( E$3 &amp; E$4 ), $G7 - 1, 0 )</f>
        <v>R</v>
      </c>
      <c r="F7" s="306"/>
      <c r="G7" s="307">
        <f t="shared" ref="G7:G64" ca="1" si="2">IF( LEN( $D7 ) = 0, "", MATCH( $D7, INDIRECT( G$3 &amp; G$4 ), 0 ) )</f>
        <v>48</v>
      </c>
      <c r="H7" s="250"/>
      <c r="I7" s="316"/>
      <c r="J7" s="252"/>
      <c r="K7" s="316"/>
      <c r="L7" s="252" t="s">
        <v>81</v>
      </c>
      <c r="M7" s="252" t="s">
        <v>82</v>
      </c>
      <c r="N7" s="316"/>
      <c r="O7" s="252" t="s">
        <v>81</v>
      </c>
      <c r="P7" s="252" t="s">
        <v>82</v>
      </c>
      <c r="Q7" s="316"/>
      <c r="R7" s="252" t="s">
        <v>81</v>
      </c>
      <c r="S7" s="252" t="s">
        <v>82</v>
      </c>
      <c r="T7" s="316"/>
      <c r="U7" s="252" t="s">
        <v>81</v>
      </c>
      <c r="V7" s="252" t="s">
        <v>82</v>
      </c>
      <c r="W7" s="316"/>
      <c r="AE7" s="254"/>
      <c r="AF7" s="236">
        <f t="shared" ref="AF7:AF67" si="3">IF( LEN( C7 ) = 0, 0, IF( C7 = C6, AF6, IF( AF6 = 1, 0, 1 ) ) )</f>
        <v>1</v>
      </c>
      <c r="AG7" s="236" t="str">
        <f t="shared" ref="AG7:AG64" ca="1" si="4">IF( LEN( $C7 ) = 0, "", IF( $C7 &gt; $AL7, 1, "" ) )</f>
        <v/>
      </c>
      <c r="AH7" s="236" t="str">
        <f ca="1">IF( LEN( $C7 ) = 0, "", IF( $C7 &lt; $AL7, 1, "" ) )</f>
        <v/>
      </c>
      <c r="AJ7" s="236">
        <f t="shared" ref="AJ7:AJ67" ca="1" si="5">MATCH( $A7, INDIRECT( AJ$2 ), 0 )</f>
        <v>7</v>
      </c>
      <c r="AK7" s="236" t="str">
        <f ca="1">IF( ISNA( $AJ7 ), "", OFFSET( INDIRECT( AK$2 ), $AJ7-1, 0 ) )</f>
        <v>A</v>
      </c>
      <c r="AL7" s="236">
        <f ca="1">IF( ISNA( $AJ7 ), "", OFFSET( INDIRECT( AL$2 ), $AJ7-1, 0 ) )</f>
        <v>21</v>
      </c>
      <c r="AM7" s="236" t="str">
        <f t="shared" ref="AM7:AM67" ca="1" si="6">IF( B7 = AK7, "", "Change" )</f>
        <v/>
      </c>
      <c r="AQ7" s="286" t="s">
        <v>15</v>
      </c>
      <c r="AR7" s="286" t="s">
        <v>16</v>
      </c>
      <c r="AS7" s="286">
        <v>19</v>
      </c>
      <c r="AT7" s="286" t="s">
        <v>277</v>
      </c>
      <c r="AV7" s="234">
        <f>IF( LEN( AS7 ) = 0, 99, RANK( AS7, $AS$7:$AS$63 ) )</f>
        <v>14</v>
      </c>
      <c r="AW7" s="234">
        <f>COUNTIF( AV7:AV$7, AV7 )</f>
        <v>1</v>
      </c>
      <c r="AX7" s="287">
        <f>AV7 + AW7 / 10</f>
        <v>14.1</v>
      </c>
      <c r="AY7" s="234">
        <f>RANK( AX7, $AX$7:$AX$63, 1 )</f>
        <v>14</v>
      </c>
      <c r="AZ7" s="236"/>
      <c r="BA7" s="236"/>
      <c r="BC7" s="234">
        <f t="shared" ref="BC7" ca="1" si="7">OFFSET( BC7, -1, 0 ) + 1</f>
        <v>1</v>
      </c>
      <c r="BD7" s="288">
        <f t="shared" ref="BD7:BD62" ca="1" si="8">MATCH( BC7, $AY$7:$AY$63, 0 )</f>
        <v>46</v>
      </c>
      <c r="BF7" s="240" t="str">
        <f t="shared" ref="BF7:BI38" ca="1" si="9">OFFSET( AQ$6, $BD7, 0 )</f>
        <v>Southern Company</v>
      </c>
      <c r="BG7" s="240" t="str">
        <f t="shared" ca="1" si="9"/>
        <v>A</v>
      </c>
      <c r="BH7" s="240">
        <f t="shared" ca="1" si="9"/>
        <v>21</v>
      </c>
      <c r="BI7" s="240" t="str">
        <f t="shared" ca="1" si="9"/>
        <v>SO</v>
      </c>
    </row>
    <row r="8" spans="1:61" x14ac:dyDescent="0.2">
      <c r="A8" s="303" t="s">
        <v>17</v>
      </c>
      <c r="B8" s="304" t="s">
        <v>10</v>
      </c>
      <c r="C8" s="304">
        <v>20</v>
      </c>
      <c r="D8" s="304" t="s">
        <v>307</v>
      </c>
      <c r="E8" s="305" t="str">
        <f t="shared" ca="1" si="1"/>
        <v>R</v>
      </c>
      <c r="F8" s="306"/>
      <c r="G8" s="307">
        <f t="shared" ca="1" si="2"/>
        <v>8</v>
      </c>
      <c r="H8" s="250"/>
      <c r="I8" s="317"/>
      <c r="J8" s="293" t="s">
        <v>138</v>
      </c>
      <c r="K8" s="317"/>
      <c r="L8" s="293">
        <f t="shared" ref="L8:L13" si="10">COUNTIF($C$7:$C$67,$X8)</f>
        <v>2</v>
      </c>
      <c r="M8" s="294">
        <f t="shared" ref="M8:M13" si="11">IF( L8 = 0, "", L8/L$14 )</f>
        <v>3.7037037037037035E-2</v>
      </c>
      <c r="N8" s="317"/>
      <c r="O8" s="293">
        <f t="shared" ref="O8:O13" ca="1" si="12">COUNTIFS( $E$7:$E$66, O$3, $C$7:$C$66, $X8 )</f>
        <v>1</v>
      </c>
      <c r="P8" s="294">
        <f t="shared" ref="P8:P13" ca="1" si="13">IF( O8 = 0, "", O8/O$14 )</f>
        <v>2.8571428571428571E-2</v>
      </c>
      <c r="Q8" s="317"/>
      <c r="R8" s="293">
        <f t="shared" ref="R8:R13" ca="1" si="14">COUNTIFS( $E$7:$E$66, R$3, $C$7:$C$66, $X8 )</f>
        <v>1</v>
      </c>
      <c r="S8" s="294">
        <f t="shared" ref="S8:S13" ca="1" si="15">IF( R8 = 0, "", R8/R$14 )</f>
        <v>5.8823529411764705E-2</v>
      </c>
      <c r="T8" s="317"/>
      <c r="U8" s="293">
        <f t="shared" ref="U8:U13" ca="1" si="16">COUNTIFS( $E$7:$E$66, U$3, $C$7:$C$66, $X8 )</f>
        <v>0</v>
      </c>
      <c r="V8" s="294" t="str">
        <f t="shared" ref="V8:V13" ca="1" si="17">IF( U8 = 0, "", U8/U$14 )</f>
        <v/>
      </c>
      <c r="W8" s="317"/>
      <c r="X8" s="256" t="s">
        <v>464</v>
      </c>
      <c r="Y8" s="256">
        <v>21</v>
      </c>
      <c r="Z8" s="256">
        <v>1</v>
      </c>
      <c r="AA8" s="255">
        <f t="shared" ref="AA8:AA13" ca="1" si="18">SUM(O8, R8, U8)</f>
        <v>2</v>
      </c>
      <c r="AC8" s="257"/>
      <c r="AE8" s="254"/>
      <c r="AF8" s="236">
        <f t="shared" si="3"/>
        <v>0</v>
      </c>
      <c r="AG8" s="236" t="str">
        <f t="shared" ca="1" si="4"/>
        <v/>
      </c>
      <c r="AH8" s="236" t="str">
        <f t="shared" ref="AH8:AH67" ca="1" si="19">IF( LEN( $C8 ) = 0, "", IF( $C8 &lt; $AL8, 1, "" ) )</f>
        <v/>
      </c>
      <c r="AJ8" s="236">
        <f t="shared" ca="1" si="5"/>
        <v>8</v>
      </c>
      <c r="AK8" s="236" t="str">
        <f t="shared" ref="AK8:AL67" ca="1" si="20">IF( ISNA( $AJ8 ), "", OFFSET( INDIRECT( AK$2 ), $AJ8-1, 0 ) )</f>
        <v>A-</v>
      </c>
      <c r="AL8" s="236">
        <f t="shared" ca="1" si="20"/>
        <v>20</v>
      </c>
      <c r="AM8" s="236" t="str">
        <f t="shared" ca="1" si="6"/>
        <v/>
      </c>
      <c r="AQ8" s="286" t="s">
        <v>17</v>
      </c>
      <c r="AR8" s="286" t="s">
        <v>10</v>
      </c>
      <c r="AS8" s="286">
        <v>20</v>
      </c>
      <c r="AT8" s="286" t="s">
        <v>307</v>
      </c>
      <c r="AV8" s="234">
        <f t="shared" ref="AV8:AV63" si="21">IF( LEN( AS8 ) = 0, 99, RANK( AS8, $AS$7:$AS$63 ) )</f>
        <v>2</v>
      </c>
      <c r="AW8" s="234">
        <f>COUNTIF( AV$7:AV8, AV8 )</f>
        <v>1</v>
      </c>
      <c r="AX8" s="287">
        <f t="shared" ref="AX8:AX63" si="22">AV8 + AW8 / 10</f>
        <v>2.1</v>
      </c>
      <c r="AY8" s="234">
        <f t="shared" ref="AY8:AY63" si="23">RANK( AX8, $AX$7:$AX$63, 1 )</f>
        <v>2</v>
      </c>
      <c r="AZ8" s="236"/>
      <c r="BA8" s="236"/>
      <c r="BC8" s="234">
        <f ca="1">OFFSET( BC8, -1, 0 ) + 1</f>
        <v>2</v>
      </c>
      <c r="BD8" s="288">
        <f t="shared" ca="1" si="8"/>
        <v>2</v>
      </c>
      <c r="BF8" s="240" t="str">
        <f t="shared" ca="1" si="9"/>
        <v>Alliant Energy Corporation</v>
      </c>
      <c r="BG8" s="240" t="str">
        <f t="shared" ca="1" si="9"/>
        <v>A-</v>
      </c>
      <c r="BH8" s="240">
        <f t="shared" ca="1" si="9"/>
        <v>20</v>
      </c>
      <c r="BI8" s="240" t="str">
        <f t="shared" ca="1" si="9"/>
        <v>LNT</v>
      </c>
    </row>
    <row r="9" spans="1:61" x14ac:dyDescent="0.2">
      <c r="A9" s="303" t="s">
        <v>29</v>
      </c>
      <c r="B9" s="304" t="s">
        <v>10</v>
      </c>
      <c r="C9" s="304">
        <v>20</v>
      </c>
      <c r="D9" s="304" t="s">
        <v>286</v>
      </c>
      <c r="E9" s="305" t="str">
        <f t="shared" ca="1" si="1"/>
        <v>MR</v>
      </c>
      <c r="F9" s="306"/>
      <c r="G9" s="307">
        <f t="shared" ca="1" si="2"/>
        <v>13</v>
      </c>
      <c r="H9" s="250"/>
      <c r="I9" s="318"/>
      <c r="J9" s="295" t="s">
        <v>10</v>
      </c>
      <c r="K9" s="318"/>
      <c r="L9" s="295">
        <f t="shared" si="10"/>
        <v>12</v>
      </c>
      <c r="M9" s="296">
        <f t="shared" si="11"/>
        <v>0.22222222222222221</v>
      </c>
      <c r="N9" s="318"/>
      <c r="O9" s="295">
        <f t="shared" ca="1" si="12"/>
        <v>7</v>
      </c>
      <c r="P9" s="296">
        <f t="shared" ca="1" si="13"/>
        <v>0.2</v>
      </c>
      <c r="Q9" s="318"/>
      <c r="R9" s="295">
        <f t="shared" ca="1" si="14"/>
        <v>5</v>
      </c>
      <c r="S9" s="296">
        <f t="shared" ca="1" si="15"/>
        <v>0.29411764705882354</v>
      </c>
      <c r="T9" s="318"/>
      <c r="U9" s="295">
        <f t="shared" ca="1" si="16"/>
        <v>0</v>
      </c>
      <c r="V9" s="296" t="str">
        <f t="shared" ca="1" si="17"/>
        <v/>
      </c>
      <c r="W9" s="318"/>
      <c r="X9" s="256" t="s">
        <v>465</v>
      </c>
      <c r="Y9" s="256">
        <v>20</v>
      </c>
      <c r="Z9" s="256">
        <v>1</v>
      </c>
      <c r="AA9" s="255">
        <f t="shared" ca="1" si="18"/>
        <v>12</v>
      </c>
      <c r="AC9" s="253"/>
      <c r="AE9" s="254"/>
      <c r="AF9" s="236">
        <f t="shared" si="3"/>
        <v>0</v>
      </c>
      <c r="AG9" s="236" t="str">
        <f t="shared" ca="1" si="4"/>
        <v/>
      </c>
      <c r="AH9" s="236" t="str">
        <f t="shared" ca="1" si="19"/>
        <v/>
      </c>
      <c r="AJ9" s="236">
        <f t="shared" ca="1" si="5"/>
        <v>9</v>
      </c>
      <c r="AK9" s="236" t="str">
        <f t="shared" ca="1" si="20"/>
        <v>A-</v>
      </c>
      <c r="AL9" s="236">
        <f t="shared" ca="1" si="20"/>
        <v>20</v>
      </c>
      <c r="AM9" s="236" t="str">
        <f t="shared" ca="1" si="6"/>
        <v/>
      </c>
      <c r="AQ9" s="286" t="s">
        <v>9</v>
      </c>
      <c r="AR9" s="286" t="s">
        <v>16</v>
      </c>
      <c r="AS9" s="286">
        <v>19</v>
      </c>
      <c r="AT9" s="286" t="s">
        <v>274</v>
      </c>
      <c r="AV9" s="234">
        <f t="shared" si="21"/>
        <v>14</v>
      </c>
      <c r="AW9" s="234">
        <f>COUNTIF( AV$7:AV9, AV9 )</f>
        <v>2</v>
      </c>
      <c r="AX9" s="287">
        <f t="shared" si="22"/>
        <v>14.2</v>
      </c>
      <c r="AY9" s="234">
        <f t="shared" si="23"/>
        <v>15</v>
      </c>
      <c r="AZ9" s="236"/>
      <c r="BA9" s="236"/>
      <c r="BC9" s="234">
        <f t="shared" ref="BC9:BC63" ca="1" si="24">OFFSET( BC9, -1, 0 ) + 1</f>
        <v>3</v>
      </c>
      <c r="BD9" s="288">
        <f t="shared" ca="1" si="8"/>
        <v>7</v>
      </c>
      <c r="BF9" s="240" t="str">
        <f t="shared" ca="1" si="9"/>
        <v>CenterPoint Energy, Inc.</v>
      </c>
      <c r="BG9" s="240" t="str">
        <f t="shared" ca="1" si="9"/>
        <v>A-</v>
      </c>
      <c r="BH9" s="240">
        <f t="shared" ca="1" si="9"/>
        <v>20</v>
      </c>
      <c r="BI9" s="240" t="str">
        <f t="shared" ca="1" si="9"/>
        <v>CNP</v>
      </c>
    </row>
    <row r="10" spans="1:61" x14ac:dyDescent="0.2">
      <c r="A10" s="303" t="s">
        <v>3</v>
      </c>
      <c r="B10" s="304" t="s">
        <v>10</v>
      </c>
      <c r="C10" s="304">
        <v>20</v>
      </c>
      <c r="D10" s="304" t="s">
        <v>292</v>
      </c>
      <c r="E10" s="305" t="str">
        <f t="shared" ca="1" si="1"/>
        <v>R</v>
      </c>
      <c r="F10" s="306"/>
      <c r="G10" s="307">
        <f t="shared" ca="1" si="2"/>
        <v>16</v>
      </c>
      <c r="H10" s="250"/>
      <c r="I10" s="318"/>
      <c r="J10" s="295" t="s">
        <v>16</v>
      </c>
      <c r="K10" s="318"/>
      <c r="L10" s="295">
        <f t="shared" si="10"/>
        <v>12</v>
      </c>
      <c r="M10" s="296">
        <f t="shared" si="11"/>
        <v>0.22222222222222221</v>
      </c>
      <c r="N10" s="318"/>
      <c r="O10" s="295">
        <f t="shared" ca="1" si="12"/>
        <v>6</v>
      </c>
      <c r="P10" s="296">
        <f t="shared" ca="1" si="13"/>
        <v>0.17142857142857143</v>
      </c>
      <c r="Q10" s="318"/>
      <c r="R10" s="295">
        <f t="shared" ca="1" si="14"/>
        <v>5</v>
      </c>
      <c r="S10" s="296">
        <f t="shared" ca="1" si="15"/>
        <v>0.29411764705882354</v>
      </c>
      <c r="T10" s="318"/>
      <c r="U10" s="295">
        <f t="shared" ca="1" si="16"/>
        <v>1</v>
      </c>
      <c r="V10" s="296">
        <f t="shared" ca="1" si="17"/>
        <v>0.5</v>
      </c>
      <c r="W10" s="318"/>
      <c r="X10" s="256" t="s">
        <v>466</v>
      </c>
      <c r="Y10" s="256">
        <v>19</v>
      </c>
      <c r="Z10" s="256">
        <v>1</v>
      </c>
      <c r="AA10" s="255">
        <f t="shared" ca="1" si="18"/>
        <v>12</v>
      </c>
      <c r="AE10" s="254"/>
      <c r="AF10" s="236">
        <f t="shared" si="3"/>
        <v>0</v>
      </c>
      <c r="AG10" s="236" t="str">
        <f t="shared" ca="1" si="4"/>
        <v/>
      </c>
      <c r="AH10" s="236" t="str">
        <f t="shared" ca="1" si="19"/>
        <v/>
      </c>
      <c r="AJ10" s="236">
        <f t="shared" ca="1" si="5"/>
        <v>10</v>
      </c>
      <c r="AK10" s="236" t="str">
        <f t="shared" ca="1" si="20"/>
        <v>A-</v>
      </c>
      <c r="AL10" s="236">
        <f t="shared" ca="1" si="20"/>
        <v>20</v>
      </c>
      <c r="AM10" s="236" t="str">
        <f t="shared" ca="1" si="6"/>
        <v/>
      </c>
      <c r="AQ10" s="286" t="s">
        <v>259</v>
      </c>
      <c r="AR10" s="286" t="s">
        <v>28</v>
      </c>
      <c r="AS10" s="286">
        <v>18</v>
      </c>
      <c r="AT10" s="286" t="s">
        <v>275</v>
      </c>
      <c r="AV10" s="234">
        <f t="shared" si="21"/>
        <v>26</v>
      </c>
      <c r="AW10" s="234">
        <f>COUNTIF( AV$7:AV10, AV10 )</f>
        <v>1</v>
      </c>
      <c r="AX10" s="287">
        <f t="shared" si="22"/>
        <v>26.1</v>
      </c>
      <c r="AY10" s="234">
        <f t="shared" si="23"/>
        <v>26</v>
      </c>
      <c r="AZ10" s="236"/>
      <c r="BA10" s="236"/>
      <c r="BC10" s="234">
        <f t="shared" ca="1" si="24"/>
        <v>4</v>
      </c>
      <c r="BD10" s="288">
        <f t="shared" ca="1" si="8"/>
        <v>10</v>
      </c>
      <c r="BF10" s="240" t="str">
        <f t="shared" ca="1" si="9"/>
        <v>Consolidated Edison, Inc.</v>
      </c>
      <c r="BG10" s="240" t="str">
        <f t="shared" ca="1" si="9"/>
        <v>A-</v>
      </c>
      <c r="BH10" s="240">
        <f t="shared" ca="1" si="9"/>
        <v>20</v>
      </c>
      <c r="BI10" s="240" t="str">
        <f t="shared" ca="1" si="9"/>
        <v>ED</v>
      </c>
    </row>
    <row r="11" spans="1:61" x14ac:dyDescent="0.2">
      <c r="A11" s="303" t="s">
        <v>18</v>
      </c>
      <c r="B11" s="304" t="s">
        <v>10</v>
      </c>
      <c r="C11" s="304">
        <v>20</v>
      </c>
      <c r="D11" s="304" t="s">
        <v>86</v>
      </c>
      <c r="E11" s="305" t="str">
        <f t="shared" ca="1" si="1"/>
        <v>MR</v>
      </c>
      <c r="F11" s="306"/>
      <c r="G11" s="307">
        <f t="shared" ca="1" si="2"/>
        <v>17</v>
      </c>
      <c r="H11" s="250"/>
      <c r="I11" s="318"/>
      <c r="J11" s="295" t="s">
        <v>28</v>
      </c>
      <c r="K11" s="318"/>
      <c r="L11" s="295">
        <f t="shared" si="10"/>
        <v>20</v>
      </c>
      <c r="M11" s="296">
        <f t="shared" si="11"/>
        <v>0.37037037037037035</v>
      </c>
      <c r="N11" s="318"/>
      <c r="O11" s="295">
        <f t="shared" ca="1" si="12"/>
        <v>17</v>
      </c>
      <c r="P11" s="296">
        <f t="shared" ca="1" si="13"/>
        <v>0.48571428571428571</v>
      </c>
      <c r="Q11" s="318"/>
      <c r="R11" s="295">
        <f t="shared" ca="1" si="14"/>
        <v>3</v>
      </c>
      <c r="S11" s="296">
        <f t="shared" ca="1" si="15"/>
        <v>0.17647058823529413</v>
      </c>
      <c r="T11" s="318"/>
      <c r="U11" s="295">
        <f t="shared" ca="1" si="16"/>
        <v>0</v>
      </c>
      <c r="V11" s="296" t="str">
        <f t="shared" ca="1" si="17"/>
        <v/>
      </c>
      <c r="W11" s="318"/>
      <c r="X11" s="256" t="s">
        <v>467</v>
      </c>
      <c r="Y11" s="256">
        <v>18</v>
      </c>
      <c r="Z11" s="256">
        <v>1</v>
      </c>
      <c r="AA11" s="255">
        <f t="shared" ca="1" si="18"/>
        <v>20</v>
      </c>
      <c r="AE11" s="254"/>
      <c r="AF11" s="236">
        <f t="shared" si="3"/>
        <v>0</v>
      </c>
      <c r="AG11" s="236" t="str">
        <f t="shared" ca="1" si="4"/>
        <v/>
      </c>
      <c r="AH11" s="236" t="str">
        <f t="shared" ca="1" si="19"/>
        <v/>
      </c>
      <c r="AJ11" s="236">
        <f t="shared" ca="1" si="5"/>
        <v>11</v>
      </c>
      <c r="AK11" s="236" t="str">
        <f t="shared" ca="1" si="20"/>
        <v>A-</v>
      </c>
      <c r="AL11" s="236">
        <f t="shared" ca="1" si="20"/>
        <v>20</v>
      </c>
      <c r="AM11" s="236" t="str">
        <f t="shared" ca="1" si="6"/>
        <v/>
      </c>
      <c r="AQ11" s="286" t="s">
        <v>55</v>
      </c>
      <c r="AR11" s="286" t="s">
        <v>28</v>
      </c>
      <c r="AS11" s="286">
        <v>18</v>
      </c>
      <c r="AT11" s="286" t="s">
        <v>278</v>
      </c>
      <c r="AV11" s="234">
        <f t="shared" si="21"/>
        <v>26</v>
      </c>
      <c r="AW11" s="234">
        <f>COUNTIF( AV$7:AV11, AV11 )</f>
        <v>2</v>
      </c>
      <c r="AX11" s="287">
        <f t="shared" si="22"/>
        <v>26.2</v>
      </c>
      <c r="AY11" s="234">
        <f t="shared" si="23"/>
        <v>27</v>
      </c>
      <c r="AZ11" s="236"/>
      <c r="BA11" s="236"/>
      <c r="BC11" s="234">
        <f t="shared" ca="1" si="24"/>
        <v>5</v>
      </c>
      <c r="BD11" s="288">
        <f t="shared" ca="1" si="8"/>
        <v>11</v>
      </c>
      <c r="BF11" s="240" t="str">
        <f t="shared" ca="1" si="9"/>
        <v>Dominion Resources, Inc.</v>
      </c>
      <c r="BG11" s="240" t="str">
        <f t="shared" ca="1" si="9"/>
        <v>A-</v>
      </c>
      <c r="BH11" s="240">
        <f t="shared" ca="1" si="9"/>
        <v>20</v>
      </c>
      <c r="BI11" s="240" t="str">
        <f t="shared" ca="1" si="9"/>
        <v>D</v>
      </c>
    </row>
    <row r="12" spans="1:61" x14ac:dyDescent="0.2">
      <c r="A12" s="303" t="s">
        <v>254</v>
      </c>
      <c r="B12" s="304" t="s">
        <v>10</v>
      </c>
      <c r="C12" s="304">
        <v>20</v>
      </c>
      <c r="D12" s="304" t="s">
        <v>331</v>
      </c>
      <c r="E12" s="305" t="str">
        <f t="shared" ca="1" si="1"/>
        <v>R</v>
      </c>
      <c r="F12" s="306"/>
      <c r="G12" s="307">
        <f t="shared" ca="1" si="2"/>
        <v>29</v>
      </c>
      <c r="H12" s="250"/>
      <c r="I12" s="318"/>
      <c r="J12" s="295" t="s">
        <v>49</v>
      </c>
      <c r="K12" s="318"/>
      <c r="L12" s="295">
        <f t="shared" si="10"/>
        <v>5</v>
      </c>
      <c r="M12" s="296">
        <f t="shared" si="11"/>
        <v>9.2592592592592587E-2</v>
      </c>
      <c r="N12" s="318"/>
      <c r="O12" s="295">
        <f t="shared" ca="1" si="12"/>
        <v>2</v>
      </c>
      <c r="P12" s="296">
        <f t="shared" ca="1" si="13"/>
        <v>5.7142857142857141E-2</v>
      </c>
      <c r="Q12" s="318"/>
      <c r="R12" s="295">
        <f t="shared" ca="1" si="14"/>
        <v>3</v>
      </c>
      <c r="S12" s="296">
        <f t="shared" ca="1" si="15"/>
        <v>0.17647058823529413</v>
      </c>
      <c r="T12" s="318"/>
      <c r="U12" s="295">
        <f t="shared" ca="1" si="16"/>
        <v>0</v>
      </c>
      <c r="V12" s="296" t="str">
        <f t="shared" ca="1" si="17"/>
        <v/>
      </c>
      <c r="W12" s="318"/>
      <c r="X12" s="256" t="s">
        <v>468</v>
      </c>
      <c r="Y12" s="256">
        <v>17</v>
      </c>
      <c r="Z12" s="256">
        <v>1</v>
      </c>
      <c r="AA12" s="255">
        <f t="shared" ca="1" si="18"/>
        <v>5</v>
      </c>
      <c r="AE12" s="254"/>
      <c r="AF12" s="236">
        <f t="shared" si="3"/>
        <v>0</v>
      </c>
      <c r="AG12" s="236" t="str">
        <f t="shared" ca="1" si="4"/>
        <v/>
      </c>
      <c r="AH12" s="236" t="str">
        <f t="shared" ca="1" si="19"/>
        <v/>
      </c>
      <c r="AJ12" s="236">
        <f t="shared" ca="1" si="5"/>
        <v>12</v>
      </c>
      <c r="AK12" s="236" t="str">
        <f t="shared" ca="1" si="20"/>
        <v>A-</v>
      </c>
      <c r="AL12" s="236">
        <f t="shared" ca="1" si="20"/>
        <v>20</v>
      </c>
      <c r="AM12" s="236" t="str">
        <f t="shared" ca="1" si="6"/>
        <v/>
      </c>
      <c r="AQ12" s="286" t="s">
        <v>48</v>
      </c>
      <c r="AR12" s="286" t="s">
        <v>28</v>
      </c>
      <c r="AS12" s="286">
        <v>18</v>
      </c>
      <c r="AT12" s="286" t="s">
        <v>280</v>
      </c>
      <c r="AV12" s="234">
        <f t="shared" si="21"/>
        <v>26</v>
      </c>
      <c r="AW12" s="234">
        <f>COUNTIF( AV$7:AV12, AV12 )</f>
        <v>3</v>
      </c>
      <c r="AX12" s="287">
        <f t="shared" si="22"/>
        <v>26.3</v>
      </c>
      <c r="AY12" s="234">
        <f t="shared" si="23"/>
        <v>28</v>
      </c>
      <c r="AZ12" s="236"/>
      <c r="BA12" s="236"/>
      <c r="BC12" s="234">
        <f t="shared" ca="1" si="24"/>
        <v>6</v>
      </c>
      <c r="BD12" s="288">
        <f t="shared" ca="1" si="8"/>
        <v>26</v>
      </c>
      <c r="BF12" s="240" t="str">
        <f t="shared" ca="1" si="9"/>
        <v>Integrys Energy Group, Inc.</v>
      </c>
      <c r="BG12" s="240" t="str">
        <f t="shared" ca="1" si="9"/>
        <v>A-</v>
      </c>
      <c r="BH12" s="240">
        <f t="shared" ca="1" si="9"/>
        <v>20</v>
      </c>
      <c r="BI12" s="240" t="str">
        <f t="shared" ca="1" si="9"/>
        <v>TEG</v>
      </c>
    </row>
    <row r="13" spans="1:61" x14ac:dyDescent="0.2">
      <c r="A13" s="303" t="s">
        <v>370</v>
      </c>
      <c r="B13" s="304" t="s">
        <v>10</v>
      </c>
      <c r="C13" s="304">
        <v>20</v>
      </c>
      <c r="D13" s="304" t="s">
        <v>369</v>
      </c>
      <c r="E13" s="305" t="str">
        <f t="shared" ca="1" si="1"/>
        <v>MR</v>
      </c>
      <c r="F13" s="306"/>
      <c r="G13" s="307">
        <f t="shared" ca="1" si="2"/>
        <v>32</v>
      </c>
      <c r="H13" s="250"/>
      <c r="I13" s="319"/>
      <c r="J13" s="297" t="s">
        <v>79</v>
      </c>
      <c r="K13" s="319"/>
      <c r="L13" s="297">
        <f t="shared" si="10"/>
        <v>3</v>
      </c>
      <c r="M13" s="298">
        <f t="shared" si="11"/>
        <v>5.5555555555555552E-2</v>
      </c>
      <c r="N13" s="319"/>
      <c r="O13" s="297">
        <f t="shared" ca="1" si="12"/>
        <v>2</v>
      </c>
      <c r="P13" s="298">
        <f t="shared" ca="1" si="13"/>
        <v>5.7142857142857141E-2</v>
      </c>
      <c r="Q13" s="319"/>
      <c r="R13" s="297">
        <f t="shared" ca="1" si="14"/>
        <v>0</v>
      </c>
      <c r="S13" s="298" t="str">
        <f t="shared" ca="1" si="15"/>
        <v/>
      </c>
      <c r="T13" s="319"/>
      <c r="U13" s="297">
        <f t="shared" ca="1" si="16"/>
        <v>1</v>
      </c>
      <c r="V13" s="298">
        <f t="shared" ca="1" si="17"/>
        <v>0.5</v>
      </c>
      <c r="W13" s="319"/>
      <c r="X13" s="256" t="s">
        <v>469</v>
      </c>
      <c r="Y13" s="256">
        <v>16</v>
      </c>
      <c r="Z13" s="256">
        <v>1</v>
      </c>
      <c r="AA13" s="259">
        <f t="shared" ca="1" si="18"/>
        <v>3</v>
      </c>
      <c r="AE13" s="254"/>
      <c r="AF13" s="236">
        <f t="shared" si="3"/>
        <v>0</v>
      </c>
      <c r="AG13" s="236" t="str">
        <f t="shared" ca="1" si="4"/>
        <v/>
      </c>
      <c r="AH13" s="236" t="str">
        <f t="shared" ca="1" si="19"/>
        <v/>
      </c>
      <c r="AJ13" s="236">
        <f t="shared" ca="1" si="5"/>
        <v>13</v>
      </c>
      <c r="AK13" s="236" t="str">
        <f t="shared" ca="1" si="20"/>
        <v>A-</v>
      </c>
      <c r="AL13" s="236">
        <f t="shared" ca="1" si="20"/>
        <v>20</v>
      </c>
      <c r="AM13" s="236" t="str">
        <f t="shared" ca="1" si="6"/>
        <v/>
      </c>
      <c r="AQ13" s="286" t="s">
        <v>29</v>
      </c>
      <c r="AR13" s="286" t="s">
        <v>10</v>
      </c>
      <c r="AS13" s="286">
        <v>20</v>
      </c>
      <c r="AT13" s="286" t="s">
        <v>286</v>
      </c>
      <c r="AV13" s="234">
        <f t="shared" si="21"/>
        <v>2</v>
      </c>
      <c r="AW13" s="234">
        <f>COUNTIF( AV$7:AV13, AV13 )</f>
        <v>2</v>
      </c>
      <c r="AX13" s="287">
        <f t="shared" si="22"/>
        <v>2.2000000000000002</v>
      </c>
      <c r="AY13" s="234">
        <f t="shared" si="23"/>
        <v>3</v>
      </c>
      <c r="AZ13" s="236"/>
      <c r="BA13" s="236"/>
      <c r="BC13" s="234">
        <f t="shared" ca="1" si="24"/>
        <v>7</v>
      </c>
      <c r="BD13" s="288">
        <f t="shared" ca="1" si="8"/>
        <v>30</v>
      </c>
      <c r="BF13" s="240" t="str">
        <f t="shared" ca="1" si="9"/>
        <v>NextEra Energy, Inc.</v>
      </c>
      <c r="BG13" s="240" t="str">
        <f t="shared" ca="1" si="9"/>
        <v>A-</v>
      </c>
      <c r="BH13" s="240">
        <f t="shared" ca="1" si="9"/>
        <v>20</v>
      </c>
      <c r="BI13" s="240" t="str">
        <f t="shared" ca="1" si="9"/>
        <v>NEE</v>
      </c>
    </row>
    <row r="14" spans="1:61" x14ac:dyDescent="0.2">
      <c r="A14" s="303" t="s">
        <v>513</v>
      </c>
      <c r="B14" s="304" t="s">
        <v>10</v>
      </c>
      <c r="C14" s="304">
        <v>20</v>
      </c>
      <c r="D14" s="304" t="s">
        <v>512</v>
      </c>
      <c r="E14" s="305" t="str">
        <f t="shared" ca="1" si="1"/>
        <v>R</v>
      </c>
      <c r="F14" s="306"/>
      <c r="G14" s="307">
        <f t="shared" ca="1" si="2"/>
        <v>34</v>
      </c>
      <c r="H14" s="250"/>
      <c r="I14" s="320"/>
      <c r="J14" s="291" t="s">
        <v>80</v>
      </c>
      <c r="K14" s="320"/>
      <c r="L14" s="291">
        <f>SUM(L8:L13)</f>
        <v>54</v>
      </c>
      <c r="M14" s="292">
        <f>L14/L$14</f>
        <v>1</v>
      </c>
      <c r="N14" s="320"/>
      <c r="O14" s="291">
        <f ca="1">SUM(O8:O13)</f>
        <v>35</v>
      </c>
      <c r="P14" s="292">
        <f ca="1">O14/O$14</f>
        <v>1</v>
      </c>
      <c r="Q14" s="320"/>
      <c r="R14" s="291">
        <f ca="1">SUM(R8:R13)</f>
        <v>17</v>
      </c>
      <c r="S14" s="292">
        <f ca="1">R14/R$14</f>
        <v>1</v>
      </c>
      <c r="T14" s="320"/>
      <c r="U14" s="291">
        <f ca="1">SUM(U8:U13)</f>
        <v>2</v>
      </c>
      <c r="V14" s="292">
        <f ca="1">U14/U$14</f>
        <v>1</v>
      </c>
      <c r="W14" s="320"/>
      <c r="Y14" s="261">
        <f>SUMPRODUCT( L8:L13, Y8:Y13 ) / L14</f>
        <v>18.574074074074073</v>
      </c>
      <c r="Z14" s="261"/>
      <c r="AA14" s="430">
        <f ca="1">SUM(AA8:AA13)</f>
        <v>54</v>
      </c>
      <c r="AE14" s="254"/>
      <c r="AF14" s="236">
        <f t="shared" si="3"/>
        <v>0</v>
      </c>
      <c r="AG14" s="236" t="str">
        <f t="shared" ca="1" si="4"/>
        <v/>
      </c>
      <c r="AH14" s="236" t="str">
        <f t="shared" ca="1" si="19"/>
        <v/>
      </c>
      <c r="AJ14" s="236">
        <f t="shared" ca="1" si="5"/>
        <v>14</v>
      </c>
      <c r="AK14" s="236" t="str">
        <f t="shared" ca="1" si="20"/>
        <v>A-</v>
      </c>
      <c r="AL14" s="236">
        <f t="shared" ca="1" si="20"/>
        <v>20</v>
      </c>
      <c r="AM14" s="236" t="str">
        <f t="shared" ca="1" si="6"/>
        <v/>
      </c>
      <c r="AQ14" s="286" t="s">
        <v>30</v>
      </c>
      <c r="AR14" s="286" t="s">
        <v>16</v>
      </c>
      <c r="AS14" s="286">
        <v>19</v>
      </c>
      <c r="AT14" s="286" t="s">
        <v>285</v>
      </c>
      <c r="AV14" s="234">
        <f>IF( LEN( AS14 ) = 0, 99, RANK( AS14, $AS$7:$AS$63 ) )</f>
        <v>14</v>
      </c>
      <c r="AW14" s="234">
        <f>COUNTIF( AV$7:AV14, AV14 )</f>
        <v>3</v>
      </c>
      <c r="AX14" s="287">
        <f t="shared" si="22"/>
        <v>14.3</v>
      </c>
      <c r="AY14" s="234">
        <f t="shared" si="23"/>
        <v>16</v>
      </c>
      <c r="AZ14" s="236"/>
      <c r="BA14" s="236"/>
      <c r="BC14" s="234">
        <f t="shared" ca="1" si="24"/>
        <v>8</v>
      </c>
      <c r="BD14" s="288">
        <f t="shared" ca="1" si="8"/>
        <v>32</v>
      </c>
      <c r="BF14" s="240" t="str">
        <f t="shared" ca="1" si="9"/>
        <v>Eversource</v>
      </c>
      <c r="BG14" s="240" t="str">
        <f t="shared" ca="1" si="9"/>
        <v>A-</v>
      </c>
      <c r="BH14" s="240">
        <f t="shared" ca="1" si="9"/>
        <v>20</v>
      </c>
      <c r="BI14" s="240" t="str">
        <f t="shared" ca="1" si="9"/>
        <v>ES</v>
      </c>
    </row>
    <row r="15" spans="1:61" x14ac:dyDescent="0.2">
      <c r="A15" s="303" t="s">
        <v>21</v>
      </c>
      <c r="B15" s="304" t="s">
        <v>10</v>
      </c>
      <c r="C15" s="304">
        <v>20</v>
      </c>
      <c r="D15" s="304" t="s">
        <v>316</v>
      </c>
      <c r="E15" s="305" t="str">
        <f t="shared" ca="1" si="1"/>
        <v>MR</v>
      </c>
      <c r="F15" s="306"/>
      <c r="G15" s="307">
        <f t="shared" ca="1" si="2"/>
        <v>37</v>
      </c>
      <c r="H15" s="250"/>
      <c r="I15" s="321"/>
      <c r="K15" s="321"/>
      <c r="N15" s="321"/>
      <c r="Q15" s="321"/>
      <c r="T15" s="321"/>
      <c r="W15" s="321"/>
      <c r="X15" s="240"/>
      <c r="AA15" s="240"/>
      <c r="AE15" s="254"/>
      <c r="AF15" s="236">
        <f t="shared" si="3"/>
        <v>0</v>
      </c>
      <c r="AG15" s="236" t="str">
        <f t="shared" ca="1" si="4"/>
        <v/>
      </c>
      <c r="AH15" s="236" t="str">
        <f t="shared" ca="1" si="19"/>
        <v/>
      </c>
      <c r="AJ15" s="236">
        <f t="shared" ca="1" si="5"/>
        <v>15</v>
      </c>
      <c r="AK15" s="236" t="str">
        <f t="shared" ca="1" si="20"/>
        <v>A-</v>
      </c>
      <c r="AL15" s="236">
        <f t="shared" ca="1" si="20"/>
        <v>20</v>
      </c>
      <c r="AM15" s="236" t="str">
        <f t="shared" ca="1" si="6"/>
        <v/>
      </c>
      <c r="AQ15" s="286" t="s">
        <v>60</v>
      </c>
      <c r="AR15" s="286" t="s">
        <v>28</v>
      </c>
      <c r="AS15" s="286">
        <v>18</v>
      </c>
      <c r="AT15" s="286" t="s">
        <v>284</v>
      </c>
      <c r="AV15" s="234">
        <f t="shared" si="21"/>
        <v>26</v>
      </c>
      <c r="AW15" s="234">
        <f>COUNTIF( AV$7:AV15, AV15 )</f>
        <v>4</v>
      </c>
      <c r="AX15" s="287">
        <f t="shared" si="22"/>
        <v>26.4</v>
      </c>
      <c r="AY15" s="234">
        <f t="shared" si="23"/>
        <v>29</v>
      </c>
      <c r="AZ15" s="236"/>
      <c r="BA15" s="236"/>
      <c r="BC15" s="234">
        <f t="shared" ca="1" si="24"/>
        <v>9</v>
      </c>
      <c r="BD15" s="288">
        <f t="shared" ca="1" si="8"/>
        <v>34</v>
      </c>
      <c r="BF15" s="240" t="str">
        <f t="shared" ca="1" si="9"/>
        <v>OGE Energy Corp.</v>
      </c>
      <c r="BG15" s="240" t="str">
        <f t="shared" ca="1" si="9"/>
        <v>A-</v>
      </c>
      <c r="BH15" s="240">
        <f t="shared" ca="1" si="9"/>
        <v>20</v>
      </c>
      <c r="BI15" s="240" t="str">
        <f t="shared" ca="1" si="9"/>
        <v>OGE</v>
      </c>
    </row>
    <row r="16" spans="1:61" x14ac:dyDescent="0.2">
      <c r="A16" s="303" t="s">
        <v>41</v>
      </c>
      <c r="B16" s="304" t="s">
        <v>10</v>
      </c>
      <c r="C16" s="304">
        <v>20</v>
      </c>
      <c r="D16" s="304" t="s">
        <v>322</v>
      </c>
      <c r="E16" s="305" t="str">
        <f t="shared" ca="1" si="1"/>
        <v>R</v>
      </c>
      <c r="F16" s="306"/>
      <c r="G16" s="307">
        <f t="shared" ca="1" si="2"/>
        <v>41</v>
      </c>
      <c r="H16" s="250"/>
      <c r="I16" s="316"/>
      <c r="J16" s="290" t="s">
        <v>450</v>
      </c>
      <c r="K16" s="316"/>
      <c r="L16" s="463">
        <f t="array" ref="L16">SUM( IF( LEN( $C$7:$C$65 ) = 0, 0, $C$7:$C$65 ) ) / SUM( IF( LEN( $C$7:$C$65 ) = 0, 0, 1  ) )</f>
        <v>18.444444444444443</v>
      </c>
      <c r="M16" s="464"/>
      <c r="N16" s="316"/>
      <c r="O16" s="463">
        <f t="array" aca="1" ref="O16" ca="1">SUM( IF( LEN( $C$7:$C$65 ) = 0, 0, IF( $E$7:$E$65 = O3, $C$7:$C$65, 0 ) ) ) / SUM( IF( LEN( $C$7:$C$65 ) = 0, 0, IF( $E$7:$E$65 = O3, 1, 0 ) ) )</f>
        <v>18.457142857142856</v>
      </c>
      <c r="P16" s="464"/>
      <c r="Q16" s="316"/>
      <c r="R16" s="463">
        <f t="array" aca="1" ref="R16" ca="1">SUM( IF( LEN( $C$7:$C$65 ) = 0, 0, IF( $E$7:$E$65 = R3, $C$7:$C$65, 0 ) ) ) / SUM( IF( LEN( $C$7:$C$65 ) = 0, 0, IF( $E$7:$E$65 = R3, 1, 0 ) ) )</f>
        <v>19</v>
      </c>
      <c r="S16" s="464"/>
      <c r="T16" s="316"/>
      <c r="U16" s="463">
        <f t="array" aca="1" ref="U16" ca="1">SUM( IF( LEN( $C$7:$C$65 ) = 0, 0, IF( $E$7:$E$65 = U3, $C$7:$C$65, 0 ) ) ) / SUM( IF( LEN( $C$7:$C$65 ) = 0, 0, IF( $E$7:$E$65 = U3, 1, 0 ) ) )</f>
        <v>13.5</v>
      </c>
      <c r="V16" s="465"/>
      <c r="W16" s="316"/>
      <c r="AE16" s="254"/>
      <c r="AF16" s="236">
        <f t="shared" si="3"/>
        <v>0</v>
      </c>
      <c r="AG16" s="236">
        <f t="shared" ca="1" si="4"/>
        <v>1</v>
      </c>
      <c r="AH16" s="236" t="str">
        <f t="shared" ca="1" si="19"/>
        <v/>
      </c>
      <c r="AJ16" s="236">
        <f t="shared" ca="1" si="5"/>
        <v>26</v>
      </c>
      <c r="AK16" s="236" t="str">
        <f t="shared" ca="1" si="20"/>
        <v>BBB+</v>
      </c>
      <c r="AL16" s="236">
        <f t="shared" ca="1" si="20"/>
        <v>19</v>
      </c>
      <c r="AM16" s="236" t="str">
        <f t="shared" ca="1" si="6"/>
        <v>Change</v>
      </c>
      <c r="AQ16" s="286" t="s">
        <v>3</v>
      </c>
      <c r="AR16" s="286" t="s">
        <v>10</v>
      </c>
      <c r="AS16" s="286">
        <v>20</v>
      </c>
      <c r="AT16" s="286" t="s">
        <v>292</v>
      </c>
      <c r="AV16" s="234">
        <f t="shared" si="21"/>
        <v>2</v>
      </c>
      <c r="AW16" s="234">
        <f>COUNTIF( AV$7:AV16, AV16 )</f>
        <v>3</v>
      </c>
      <c r="AX16" s="287">
        <f t="shared" si="22"/>
        <v>2.2999999999999998</v>
      </c>
      <c r="AY16" s="234">
        <f t="shared" si="23"/>
        <v>4</v>
      </c>
      <c r="AZ16" s="236"/>
      <c r="BA16" s="236"/>
      <c r="BC16" s="234">
        <f t="shared" ca="1" si="24"/>
        <v>10</v>
      </c>
      <c r="BD16" s="288">
        <f t="shared" ca="1" si="8"/>
        <v>38</v>
      </c>
      <c r="BF16" s="240" t="str">
        <f t="shared" ca="1" si="9"/>
        <v>Pinnacle West Capital Corporation</v>
      </c>
      <c r="BG16" s="240" t="str">
        <f t="shared" ca="1" si="9"/>
        <v>A-</v>
      </c>
      <c r="BH16" s="240">
        <f t="shared" ca="1" si="9"/>
        <v>20</v>
      </c>
      <c r="BI16" s="240" t="str">
        <f t="shared" ca="1" si="9"/>
        <v>PNW</v>
      </c>
    </row>
    <row r="17" spans="1:61" x14ac:dyDescent="0.2">
      <c r="A17" s="303" t="s">
        <v>14</v>
      </c>
      <c r="B17" s="304" t="s">
        <v>10</v>
      </c>
      <c r="C17" s="304">
        <v>20</v>
      </c>
      <c r="D17" s="304" t="s">
        <v>335</v>
      </c>
      <c r="E17" s="305" t="str">
        <f t="shared" ca="1" si="1"/>
        <v>MR</v>
      </c>
      <c r="F17" s="306"/>
      <c r="G17" s="307">
        <f t="shared" ca="1" si="2"/>
        <v>53</v>
      </c>
      <c r="H17" s="250"/>
      <c r="I17" s="321"/>
      <c r="K17" s="321"/>
      <c r="N17" s="321"/>
      <c r="O17" s="240"/>
      <c r="Q17" s="321"/>
      <c r="T17" s="321"/>
      <c r="W17" s="321"/>
      <c r="AE17" s="245"/>
      <c r="AF17" s="236">
        <f t="shared" si="3"/>
        <v>0</v>
      </c>
      <c r="AG17" s="236" t="str">
        <f t="shared" ca="1" si="4"/>
        <v/>
      </c>
      <c r="AH17" s="236" t="str">
        <f t="shared" ca="1" si="19"/>
        <v/>
      </c>
      <c r="AJ17" s="236">
        <f t="shared" ca="1" si="5"/>
        <v>16</v>
      </c>
      <c r="AK17" s="236" t="str">
        <f t="shared" ca="1" si="20"/>
        <v>A-</v>
      </c>
      <c r="AL17" s="236">
        <f t="shared" ca="1" si="20"/>
        <v>20</v>
      </c>
      <c r="AM17" s="236" t="str">
        <f t="shared" ca="1" si="6"/>
        <v/>
      </c>
      <c r="AQ17" s="286" t="s">
        <v>18</v>
      </c>
      <c r="AR17" s="286" t="s">
        <v>10</v>
      </c>
      <c r="AS17" s="286">
        <v>20</v>
      </c>
      <c r="AT17" s="289" t="s">
        <v>86</v>
      </c>
      <c r="AV17" s="234">
        <f t="shared" si="21"/>
        <v>2</v>
      </c>
      <c r="AW17" s="234">
        <f>COUNTIF( AV$7:AV17, AV17 )</f>
        <v>4</v>
      </c>
      <c r="AX17" s="287">
        <f t="shared" si="22"/>
        <v>2.4</v>
      </c>
      <c r="AY17" s="234">
        <f t="shared" si="23"/>
        <v>5</v>
      </c>
      <c r="AZ17" s="236"/>
      <c r="BA17" s="236"/>
      <c r="BC17" s="234">
        <f t="shared" ca="1" si="24"/>
        <v>11</v>
      </c>
      <c r="BD17" s="288">
        <f t="shared" ca="1" si="8"/>
        <v>49</v>
      </c>
      <c r="BF17" s="240" t="str">
        <f t="shared" ca="1" si="9"/>
        <v>Vectren Corporation</v>
      </c>
      <c r="BG17" s="240" t="str">
        <f t="shared" ca="1" si="9"/>
        <v>A-</v>
      </c>
      <c r="BH17" s="240">
        <f t="shared" ca="1" si="9"/>
        <v>20</v>
      </c>
      <c r="BI17" s="240" t="str">
        <f t="shared" ca="1" si="9"/>
        <v>VVC</v>
      </c>
    </row>
    <row r="18" spans="1:61" x14ac:dyDescent="0.2">
      <c r="A18" s="303" t="s">
        <v>26</v>
      </c>
      <c r="B18" s="304" t="s">
        <v>10</v>
      </c>
      <c r="C18" s="304">
        <v>20</v>
      </c>
      <c r="D18" s="304" t="s">
        <v>336</v>
      </c>
      <c r="E18" s="305" t="str">
        <f t="shared" ca="1" si="1"/>
        <v>R</v>
      </c>
      <c r="F18" s="306"/>
      <c r="G18" s="307">
        <f t="shared" ca="1" si="2"/>
        <v>55</v>
      </c>
      <c r="H18" s="250"/>
      <c r="I18" s="321"/>
      <c r="K18" s="321"/>
      <c r="N18" s="321"/>
      <c r="O18" s="240"/>
      <c r="Q18" s="321"/>
      <c r="T18" s="321"/>
      <c r="W18" s="321"/>
      <c r="AE18" s="254"/>
      <c r="AF18" s="236">
        <f t="shared" si="3"/>
        <v>0</v>
      </c>
      <c r="AG18" s="236" t="str">
        <f t="shared" ca="1" si="4"/>
        <v/>
      </c>
      <c r="AH18" s="236" t="str">
        <f t="shared" ca="1" si="19"/>
        <v/>
      </c>
      <c r="AJ18" s="236">
        <f t="shared" ca="1" si="5"/>
        <v>17</v>
      </c>
      <c r="AK18" s="236" t="str">
        <f t="shared" ca="1" si="20"/>
        <v>A-</v>
      </c>
      <c r="AL18" s="236">
        <f t="shared" ca="1" si="20"/>
        <v>20</v>
      </c>
      <c r="AM18" s="236" t="str">
        <f t="shared" ca="1" si="6"/>
        <v/>
      </c>
      <c r="AQ18" s="286" t="s">
        <v>64</v>
      </c>
      <c r="AR18" s="286" t="s">
        <v>61</v>
      </c>
      <c r="AS18" s="286">
        <v>15</v>
      </c>
      <c r="AT18" s="286" t="s">
        <v>443</v>
      </c>
      <c r="AV18" s="234">
        <f t="shared" si="21"/>
        <v>51</v>
      </c>
      <c r="AW18" s="234">
        <f>COUNTIF( AV$7:AV18, AV18 )</f>
        <v>1</v>
      </c>
      <c r="AX18" s="287">
        <f t="shared" si="22"/>
        <v>51.1</v>
      </c>
      <c r="AY18" s="234">
        <f t="shared" si="23"/>
        <v>51</v>
      </c>
      <c r="AZ18" s="236"/>
      <c r="BA18" s="236"/>
      <c r="BC18" s="234">
        <f t="shared" ca="1" si="24"/>
        <v>12</v>
      </c>
      <c r="BD18" s="288">
        <f t="shared" ca="1" si="8"/>
        <v>51</v>
      </c>
      <c r="BF18" s="240" t="str">
        <f t="shared" ca="1" si="9"/>
        <v>Wisconsin Energy Corporation</v>
      </c>
      <c r="BG18" s="240" t="str">
        <f t="shared" ca="1" si="9"/>
        <v>A-</v>
      </c>
      <c r="BH18" s="240">
        <f t="shared" ca="1" si="9"/>
        <v>20</v>
      </c>
      <c r="BI18" s="240" t="str">
        <f t="shared" ca="1" si="9"/>
        <v>WEC</v>
      </c>
    </row>
    <row r="19" spans="1:61" x14ac:dyDescent="0.2">
      <c r="A19" s="303" t="s">
        <v>258</v>
      </c>
      <c r="B19" s="304" t="s">
        <v>10</v>
      </c>
      <c r="C19" s="304">
        <v>20</v>
      </c>
      <c r="D19" s="304" t="s">
        <v>338</v>
      </c>
      <c r="E19" s="305" t="str">
        <f t="shared" ca="1" si="1"/>
        <v>R</v>
      </c>
      <c r="F19" s="306"/>
      <c r="G19" s="307">
        <f t="shared" ca="1" si="2"/>
        <v>56</v>
      </c>
      <c r="H19" s="250"/>
      <c r="I19" s="321"/>
      <c r="K19" s="321"/>
      <c r="N19" s="321"/>
      <c r="O19" s="240"/>
      <c r="Q19" s="321"/>
      <c r="T19" s="321"/>
      <c r="W19" s="321"/>
      <c r="AE19" s="254"/>
      <c r="AF19" s="236">
        <f t="shared" si="3"/>
        <v>0</v>
      </c>
      <c r="AG19" s="236" t="str">
        <f t="shared" ca="1" si="4"/>
        <v/>
      </c>
      <c r="AH19" s="236" t="str">
        <f t="shared" ca="1" si="19"/>
        <v/>
      </c>
      <c r="AJ19" s="236">
        <f t="shared" ca="1" si="5"/>
        <v>18</v>
      </c>
      <c r="AK19" s="236" t="str">
        <f t="shared" ca="1" si="20"/>
        <v>A-</v>
      </c>
      <c r="AL19" s="236">
        <f t="shared" ca="1" si="20"/>
        <v>20</v>
      </c>
      <c r="AM19" s="236" t="str">
        <f t="shared" ca="1" si="6"/>
        <v/>
      </c>
      <c r="AQ19" s="286" t="s">
        <v>31</v>
      </c>
      <c r="AR19" s="286" t="s">
        <v>16</v>
      </c>
      <c r="AS19" s="286">
        <v>19</v>
      </c>
      <c r="AT19" s="286" t="s">
        <v>289</v>
      </c>
      <c r="AV19" s="234">
        <f t="shared" si="21"/>
        <v>14</v>
      </c>
      <c r="AW19" s="234">
        <f>COUNTIF( AV$7:AV19, AV19 )</f>
        <v>4</v>
      </c>
      <c r="AX19" s="287">
        <f t="shared" si="22"/>
        <v>14.4</v>
      </c>
      <c r="AY19" s="234">
        <f t="shared" si="23"/>
        <v>17</v>
      </c>
      <c r="AZ19" s="236"/>
      <c r="BA19" s="236"/>
      <c r="BC19" s="234">
        <f t="shared" ca="1" si="24"/>
        <v>13</v>
      </c>
      <c r="BD19" s="288">
        <f t="shared" ca="1" si="8"/>
        <v>52</v>
      </c>
      <c r="BF19" s="240" t="str">
        <f t="shared" ca="1" si="9"/>
        <v>Xcel Energy Inc.</v>
      </c>
      <c r="BG19" s="240" t="str">
        <f t="shared" ca="1" si="9"/>
        <v>A-</v>
      </c>
      <c r="BH19" s="240">
        <f t="shared" ca="1" si="9"/>
        <v>20</v>
      </c>
      <c r="BI19" s="240" t="str">
        <f t="shared" ca="1" si="9"/>
        <v>XEL</v>
      </c>
    </row>
    <row r="20" spans="1:61" x14ac:dyDescent="0.2">
      <c r="A20" s="303" t="s">
        <v>15</v>
      </c>
      <c r="B20" s="304" t="s">
        <v>16</v>
      </c>
      <c r="C20" s="304">
        <v>19</v>
      </c>
      <c r="D20" s="304" t="s">
        <v>277</v>
      </c>
      <c r="E20" s="305" t="str">
        <f t="shared" ca="1" si="1"/>
        <v>R</v>
      </c>
      <c r="F20" s="306"/>
      <c r="G20" s="307">
        <f t="shared" ca="1" si="2"/>
        <v>7</v>
      </c>
      <c r="H20" s="250"/>
      <c r="I20" s="322"/>
      <c r="K20" s="322"/>
      <c r="N20" s="322"/>
      <c r="O20" s="240"/>
      <c r="Q20" s="322"/>
      <c r="T20" s="322"/>
      <c r="W20" s="322"/>
      <c r="AE20" s="254"/>
      <c r="AF20" s="236">
        <f t="shared" si="3"/>
        <v>1</v>
      </c>
      <c r="AG20" s="236" t="str">
        <f t="shared" ca="1" si="4"/>
        <v/>
      </c>
      <c r="AH20" s="236" t="str">
        <f t="shared" ca="1" si="19"/>
        <v/>
      </c>
      <c r="AJ20" s="236">
        <f t="shared" ca="1" si="5"/>
        <v>19</v>
      </c>
      <c r="AK20" s="236" t="str">
        <f t="shared" ca="1" si="20"/>
        <v>BBB+</v>
      </c>
      <c r="AL20" s="236">
        <f t="shared" ca="1" si="20"/>
        <v>19</v>
      </c>
      <c r="AM20" s="236" t="str">
        <f t="shared" ca="1" si="6"/>
        <v/>
      </c>
      <c r="AQ20" s="286" t="s">
        <v>32</v>
      </c>
      <c r="AR20" s="286" t="s">
        <v>16</v>
      </c>
      <c r="AS20" s="286">
        <v>19</v>
      </c>
      <c r="AT20" s="286" t="s">
        <v>290</v>
      </c>
      <c r="AV20" s="234">
        <f t="shared" si="21"/>
        <v>14</v>
      </c>
      <c r="AW20" s="234">
        <f>COUNTIF( AV$7:AV20, AV20 )</f>
        <v>5</v>
      </c>
      <c r="AX20" s="287">
        <f t="shared" si="22"/>
        <v>14.5</v>
      </c>
      <c r="AY20" s="234">
        <f t="shared" si="23"/>
        <v>18</v>
      </c>
      <c r="AZ20" s="236"/>
      <c r="BA20" s="236"/>
      <c r="BC20" s="234">
        <f t="shared" ca="1" si="24"/>
        <v>14</v>
      </c>
      <c r="BD20" s="288">
        <f t="shared" ca="1" si="8"/>
        <v>1</v>
      </c>
      <c r="BF20" s="240" t="str">
        <f t="shared" ca="1" si="9"/>
        <v>ALLETE, Inc.</v>
      </c>
      <c r="BG20" s="240" t="str">
        <f t="shared" ca="1" si="9"/>
        <v>BBB+</v>
      </c>
      <c r="BH20" s="240">
        <f t="shared" ca="1" si="9"/>
        <v>19</v>
      </c>
      <c r="BI20" s="240" t="str">
        <f t="shared" ca="1" si="9"/>
        <v>ALE</v>
      </c>
    </row>
    <row r="21" spans="1:61" x14ac:dyDescent="0.2">
      <c r="A21" s="303" t="s">
        <v>9</v>
      </c>
      <c r="B21" s="304" t="s">
        <v>16</v>
      </c>
      <c r="C21" s="304">
        <v>19</v>
      </c>
      <c r="D21" s="304" t="s">
        <v>274</v>
      </c>
      <c r="E21" s="305" t="str">
        <f t="shared" ca="1" si="1"/>
        <v>R</v>
      </c>
      <c r="F21" s="306"/>
      <c r="G21" s="307">
        <f t="shared" ca="1" si="2"/>
        <v>9</v>
      </c>
      <c r="H21" s="250"/>
      <c r="I21" s="321"/>
      <c r="K21" s="321"/>
      <c r="N21" s="321"/>
      <c r="Q21" s="321"/>
      <c r="T21" s="321"/>
      <c r="W21" s="321"/>
      <c r="AE21" s="254"/>
      <c r="AF21" s="236">
        <f t="shared" si="3"/>
        <v>1</v>
      </c>
      <c r="AG21" s="236">
        <f t="shared" ca="1" si="4"/>
        <v>1</v>
      </c>
      <c r="AH21" s="236" t="str">
        <f t="shared" ca="1" si="19"/>
        <v/>
      </c>
      <c r="AJ21" s="236">
        <f t="shared" ca="1" si="5"/>
        <v>31</v>
      </c>
      <c r="AK21" s="236" t="str">
        <f t="shared" ca="1" si="20"/>
        <v>BBB</v>
      </c>
      <c r="AL21" s="236">
        <f t="shared" ca="1" si="20"/>
        <v>18</v>
      </c>
      <c r="AM21" s="236" t="str">
        <f t="shared" ca="1" si="6"/>
        <v>Change</v>
      </c>
      <c r="AQ21" s="286" t="s">
        <v>57</v>
      </c>
      <c r="AR21" s="286" t="s">
        <v>49</v>
      </c>
      <c r="AS21" s="286">
        <v>17</v>
      </c>
      <c r="AT21" s="289" t="s">
        <v>296</v>
      </c>
      <c r="AV21" s="234">
        <f t="shared" si="21"/>
        <v>45</v>
      </c>
      <c r="AW21" s="234">
        <f>COUNTIF( AV$7:AV21, AV21 )</f>
        <v>1</v>
      </c>
      <c r="AX21" s="287">
        <f t="shared" si="22"/>
        <v>45.1</v>
      </c>
      <c r="AY21" s="234">
        <f t="shared" si="23"/>
        <v>45</v>
      </c>
      <c r="AZ21" s="236"/>
      <c r="BA21" s="236"/>
      <c r="BC21" s="234">
        <f t="shared" ca="1" si="24"/>
        <v>15</v>
      </c>
      <c r="BD21" s="288">
        <f t="shared" ca="1" si="8"/>
        <v>3</v>
      </c>
      <c r="BF21" s="240" t="str">
        <f t="shared" ca="1" si="9"/>
        <v>Ameren Corporation</v>
      </c>
      <c r="BG21" s="240" t="str">
        <f t="shared" ca="1" si="9"/>
        <v>BBB+</v>
      </c>
      <c r="BH21" s="240">
        <f t="shared" ca="1" si="9"/>
        <v>19</v>
      </c>
      <c r="BI21" s="240" t="str">
        <f t="shared" ca="1" si="9"/>
        <v>AEE</v>
      </c>
    </row>
    <row r="22" spans="1:61" x14ac:dyDescent="0.2">
      <c r="A22" s="303" t="s">
        <v>30</v>
      </c>
      <c r="B22" s="304" t="s">
        <v>16</v>
      </c>
      <c r="C22" s="304">
        <v>19</v>
      </c>
      <c r="D22" s="304" t="s">
        <v>285</v>
      </c>
      <c r="E22" s="305" t="str">
        <f t="shared" ca="1" si="1"/>
        <v>R</v>
      </c>
      <c r="F22" s="306"/>
      <c r="G22" s="307">
        <f t="shared" ca="1" si="2"/>
        <v>14</v>
      </c>
      <c r="H22" s="250"/>
      <c r="I22" s="321"/>
      <c r="K22" s="321"/>
      <c r="N22" s="321"/>
      <c r="Q22" s="321"/>
      <c r="T22" s="321"/>
      <c r="W22" s="321"/>
      <c r="AE22" s="254"/>
      <c r="AF22" s="236">
        <f t="shared" si="3"/>
        <v>1</v>
      </c>
      <c r="AG22" s="236" t="str">
        <f t="shared" ca="1" si="4"/>
        <v/>
      </c>
      <c r="AH22" s="236" t="str">
        <f t="shared" ca="1" si="19"/>
        <v/>
      </c>
      <c r="AJ22" s="236">
        <f t="shared" ca="1" si="5"/>
        <v>20</v>
      </c>
      <c r="AK22" s="236" t="str">
        <f t="shared" ca="1" si="20"/>
        <v>BBB+</v>
      </c>
      <c r="AL22" s="236">
        <f t="shared" ca="1" si="20"/>
        <v>19</v>
      </c>
      <c r="AM22" s="236" t="str">
        <f t="shared" ca="1" si="6"/>
        <v/>
      </c>
      <c r="AQ22" s="286" t="s">
        <v>34</v>
      </c>
      <c r="AR22" s="286" t="s">
        <v>28</v>
      </c>
      <c r="AS22" s="286">
        <v>18</v>
      </c>
      <c r="AT22" s="289" t="s">
        <v>294</v>
      </c>
      <c r="AV22" s="234">
        <f t="shared" si="21"/>
        <v>26</v>
      </c>
      <c r="AW22" s="234">
        <f>COUNTIF( AV$7:AV22, AV22 )</f>
        <v>5</v>
      </c>
      <c r="AX22" s="287">
        <f t="shared" si="22"/>
        <v>26.5</v>
      </c>
      <c r="AY22" s="234">
        <f t="shared" si="23"/>
        <v>30</v>
      </c>
      <c r="AZ22" s="236"/>
      <c r="BA22" s="236"/>
      <c r="BC22" s="234">
        <f t="shared" ca="1" si="24"/>
        <v>16</v>
      </c>
      <c r="BD22" s="288">
        <f t="shared" ca="1" si="8"/>
        <v>8</v>
      </c>
      <c r="BF22" s="240" t="str">
        <f t="shared" ca="1" si="9"/>
        <v>Cleco Corporation</v>
      </c>
      <c r="BG22" s="240" t="str">
        <f t="shared" ca="1" si="9"/>
        <v>BBB+</v>
      </c>
      <c r="BH22" s="240">
        <f t="shared" ca="1" si="9"/>
        <v>19</v>
      </c>
      <c r="BI22" s="240" t="str">
        <f t="shared" ca="1" si="9"/>
        <v>CNL</v>
      </c>
    </row>
    <row r="23" spans="1:61" x14ac:dyDescent="0.2">
      <c r="A23" s="303" t="s">
        <v>31</v>
      </c>
      <c r="B23" s="304" t="s">
        <v>16</v>
      </c>
      <c r="C23" s="304">
        <v>19</v>
      </c>
      <c r="D23" s="304" t="s">
        <v>289</v>
      </c>
      <c r="E23" s="305" t="str">
        <f t="shared" ca="1" si="1"/>
        <v>R</v>
      </c>
      <c r="F23" s="306"/>
      <c r="G23" s="307">
        <f t="shared" ca="1" si="2"/>
        <v>18</v>
      </c>
      <c r="H23" s="250"/>
      <c r="I23" s="321"/>
      <c r="K23" s="321"/>
      <c r="N23" s="321"/>
      <c r="Q23" s="321"/>
      <c r="T23" s="321"/>
      <c r="W23" s="321"/>
      <c r="AE23" s="254"/>
      <c r="AF23" s="236">
        <f t="shared" si="3"/>
        <v>1</v>
      </c>
      <c r="AG23" s="236" t="str">
        <f t="shared" ca="1" si="4"/>
        <v/>
      </c>
      <c r="AH23" s="236" t="str">
        <f t="shared" ca="1" si="19"/>
        <v/>
      </c>
      <c r="AJ23" s="236">
        <f t="shared" ca="1" si="5"/>
        <v>21</v>
      </c>
      <c r="AK23" s="236" t="str">
        <f t="shared" ca="1" si="20"/>
        <v>BBB+</v>
      </c>
      <c r="AL23" s="236">
        <f t="shared" ca="1" si="20"/>
        <v>19</v>
      </c>
      <c r="AM23" s="236" t="str">
        <f t="shared" ca="1" si="6"/>
        <v/>
      </c>
      <c r="AQ23" s="286" t="s">
        <v>35</v>
      </c>
      <c r="AR23" s="286" t="s">
        <v>28</v>
      </c>
      <c r="AS23" s="286">
        <v>18</v>
      </c>
      <c r="AT23" s="286" t="s">
        <v>293</v>
      </c>
      <c r="AV23" s="234">
        <f t="shared" si="21"/>
        <v>26</v>
      </c>
      <c r="AW23" s="234">
        <f>COUNTIF( AV$7:AV23, AV23 )</f>
        <v>6</v>
      </c>
      <c r="AX23" s="287">
        <f t="shared" si="22"/>
        <v>26.6</v>
      </c>
      <c r="AY23" s="234">
        <f t="shared" si="23"/>
        <v>31</v>
      </c>
      <c r="AZ23" s="236"/>
      <c r="BA23" s="236"/>
      <c r="BC23" s="234">
        <f t="shared" ca="1" si="24"/>
        <v>17</v>
      </c>
      <c r="BD23" s="288">
        <f t="shared" ca="1" si="8"/>
        <v>13</v>
      </c>
      <c r="BF23" s="240" t="str">
        <f t="shared" ca="1" si="9"/>
        <v>DTE Energy Company</v>
      </c>
      <c r="BG23" s="240" t="str">
        <f t="shared" ca="1" si="9"/>
        <v>BBB+</v>
      </c>
      <c r="BH23" s="240">
        <f t="shared" ca="1" si="9"/>
        <v>19</v>
      </c>
      <c r="BI23" s="240" t="str">
        <f t="shared" ca="1" si="9"/>
        <v>DTE</v>
      </c>
    </row>
    <row r="24" spans="1:61" x14ac:dyDescent="0.2">
      <c r="A24" s="303" t="s">
        <v>32</v>
      </c>
      <c r="B24" s="304" t="s">
        <v>16</v>
      </c>
      <c r="C24" s="304">
        <v>19</v>
      </c>
      <c r="D24" s="304" t="s">
        <v>290</v>
      </c>
      <c r="E24" s="305" t="str">
        <f t="shared" ca="1" si="1"/>
        <v>R</v>
      </c>
      <c r="F24" s="306"/>
      <c r="G24" s="307">
        <f t="shared" ca="1" si="2"/>
        <v>19</v>
      </c>
      <c r="H24" s="250"/>
      <c r="I24" s="321"/>
      <c r="J24" s="262"/>
      <c r="K24" s="321"/>
      <c r="N24" s="321"/>
      <c r="Q24" s="321"/>
      <c r="T24" s="321"/>
      <c r="W24" s="321"/>
      <c r="AE24" s="254"/>
      <c r="AF24" s="236">
        <f t="shared" si="3"/>
        <v>1</v>
      </c>
      <c r="AG24" s="236" t="str">
        <f t="shared" ca="1" si="4"/>
        <v/>
      </c>
      <c r="AH24" s="236" t="str">
        <f t="shared" ca="1" si="19"/>
        <v/>
      </c>
      <c r="AJ24" s="236">
        <f t="shared" ca="1" si="5"/>
        <v>22</v>
      </c>
      <c r="AK24" s="236" t="str">
        <f t="shared" ca="1" si="20"/>
        <v>BBB+</v>
      </c>
      <c r="AL24" s="236">
        <f t="shared" ca="1" si="20"/>
        <v>19</v>
      </c>
      <c r="AM24" s="236" t="str">
        <f t="shared" ca="1" si="6"/>
        <v/>
      </c>
      <c r="AQ24" s="286" t="s">
        <v>249</v>
      </c>
      <c r="AR24" s="286" t="s">
        <v>127</v>
      </c>
      <c r="AS24" s="286">
        <v>8</v>
      </c>
      <c r="AT24" s="286" t="s">
        <v>445</v>
      </c>
      <c r="AV24" s="234">
        <f t="shared" si="21"/>
        <v>52</v>
      </c>
      <c r="AW24" s="234">
        <f>COUNTIF( AV$7:AV24, AV24 )</f>
        <v>1</v>
      </c>
      <c r="AX24" s="287">
        <f t="shared" si="22"/>
        <v>52.1</v>
      </c>
      <c r="AY24" s="234">
        <f t="shared" si="23"/>
        <v>52</v>
      </c>
      <c r="AZ24" s="236"/>
      <c r="BA24" s="236"/>
      <c r="BC24" s="234">
        <f t="shared" ca="1" si="24"/>
        <v>18</v>
      </c>
      <c r="BD24" s="288">
        <f t="shared" ca="1" si="8"/>
        <v>14</v>
      </c>
      <c r="BF24" s="240" t="str">
        <f t="shared" ca="1" si="9"/>
        <v>Duke Energy Corporation</v>
      </c>
      <c r="BG24" s="240" t="str">
        <f t="shared" ca="1" si="9"/>
        <v>BBB+</v>
      </c>
      <c r="BH24" s="240">
        <f t="shared" ca="1" si="9"/>
        <v>19</v>
      </c>
      <c r="BI24" s="240" t="str">
        <f t="shared" ca="1" si="9"/>
        <v>DUK</v>
      </c>
    </row>
    <row r="25" spans="1:61" x14ac:dyDescent="0.2">
      <c r="A25" s="303" t="s">
        <v>12</v>
      </c>
      <c r="B25" s="304" t="s">
        <v>16</v>
      </c>
      <c r="C25" s="304">
        <v>19</v>
      </c>
      <c r="D25" s="304" t="s">
        <v>309</v>
      </c>
      <c r="E25" s="305" t="str">
        <f t="shared" ca="1" si="1"/>
        <v>D</v>
      </c>
      <c r="F25" s="306"/>
      <c r="G25" s="307">
        <f t="shared" ca="1" si="2"/>
        <v>30</v>
      </c>
      <c r="H25" s="250"/>
      <c r="I25" s="321"/>
      <c r="J25" s="262"/>
      <c r="K25" s="321"/>
      <c r="N25" s="321"/>
      <c r="Q25" s="321"/>
      <c r="T25" s="321"/>
      <c r="W25" s="321"/>
      <c r="AE25" s="254"/>
      <c r="AF25" s="236">
        <f t="shared" si="3"/>
        <v>1</v>
      </c>
      <c r="AG25" s="236" t="str">
        <f t="shared" ca="1" si="4"/>
        <v/>
      </c>
      <c r="AH25" s="236" t="str">
        <f t="shared" ca="1" si="19"/>
        <v/>
      </c>
      <c r="AJ25" s="236">
        <f t="shared" ca="1" si="5"/>
        <v>23</v>
      </c>
      <c r="AK25" s="236" t="str">
        <f t="shared" ca="1" si="20"/>
        <v>BBB+</v>
      </c>
      <c r="AL25" s="236">
        <f t="shared" ca="1" si="20"/>
        <v>19</v>
      </c>
      <c r="AM25" s="236" t="str">
        <f t="shared" ca="1" si="6"/>
        <v/>
      </c>
      <c r="AQ25" s="286" t="s">
        <v>36</v>
      </c>
      <c r="AR25" s="286" t="s">
        <v>28</v>
      </c>
      <c r="AS25" s="286">
        <v>18</v>
      </c>
      <c r="AT25" s="286" t="s">
        <v>297</v>
      </c>
      <c r="AV25" s="234">
        <f t="shared" si="21"/>
        <v>26</v>
      </c>
      <c r="AW25" s="234">
        <f>COUNTIF( AV$7:AV25, AV25 )</f>
        <v>7</v>
      </c>
      <c r="AX25" s="287">
        <f t="shared" si="22"/>
        <v>26.7</v>
      </c>
      <c r="AY25" s="234">
        <f t="shared" si="23"/>
        <v>32</v>
      </c>
      <c r="AZ25" s="236"/>
      <c r="BA25" s="236"/>
      <c r="BC25" s="234">
        <f t="shared" ca="1" si="24"/>
        <v>19</v>
      </c>
      <c r="BD25" s="288">
        <f t="shared" ca="1" si="8"/>
        <v>28</v>
      </c>
      <c r="BF25" s="240" t="str">
        <f t="shared" ca="1" si="9"/>
        <v>MDU Resources Group, Inc.</v>
      </c>
      <c r="BG25" s="240" t="str">
        <f t="shared" ca="1" si="9"/>
        <v>BBB+</v>
      </c>
      <c r="BH25" s="240">
        <f t="shared" ca="1" si="9"/>
        <v>19</v>
      </c>
      <c r="BI25" s="240" t="str">
        <f t="shared" ca="1" si="9"/>
        <v>MDU</v>
      </c>
    </row>
    <row r="26" spans="1:61" x14ac:dyDescent="0.2">
      <c r="A26" s="303" t="s">
        <v>52</v>
      </c>
      <c r="B26" s="304" t="s">
        <v>16</v>
      </c>
      <c r="C26" s="304">
        <v>19</v>
      </c>
      <c r="D26" s="304" t="s">
        <v>447</v>
      </c>
      <c r="E26" s="305" t="str">
        <f t="shared" ca="1" si="1"/>
        <v>MR</v>
      </c>
      <c r="F26" s="306"/>
      <c r="G26" s="307">
        <f t="shared" ca="1" si="2"/>
        <v>62</v>
      </c>
      <c r="H26" s="250"/>
      <c r="I26" s="321"/>
      <c r="J26" s="262"/>
      <c r="K26" s="321"/>
      <c r="N26" s="321"/>
      <c r="Q26" s="321"/>
      <c r="T26" s="321"/>
      <c r="W26" s="321"/>
      <c r="AE26" s="254"/>
      <c r="AF26" s="236">
        <f t="shared" si="3"/>
        <v>1</v>
      </c>
      <c r="AG26" s="236" t="str">
        <f t="shared" ca="1" si="4"/>
        <v/>
      </c>
      <c r="AH26" s="236" t="str">
        <f t="shared" ca="1" si="19"/>
        <v/>
      </c>
      <c r="AJ26" s="236">
        <f t="shared" ca="1" si="5"/>
        <v>24</v>
      </c>
      <c r="AK26" s="236" t="str">
        <f t="shared" ca="1" si="20"/>
        <v>BBB+</v>
      </c>
      <c r="AL26" s="236">
        <f t="shared" ca="1" si="20"/>
        <v>19</v>
      </c>
      <c r="AM26" s="236" t="str">
        <f t="shared" ca="1" si="6"/>
        <v/>
      </c>
      <c r="AQ26" s="286" t="s">
        <v>11</v>
      </c>
      <c r="AR26" s="286" t="s">
        <v>28</v>
      </c>
      <c r="AS26" s="286">
        <v>18</v>
      </c>
      <c r="AT26" s="286" t="s">
        <v>298</v>
      </c>
      <c r="AV26" s="234">
        <f t="shared" si="21"/>
        <v>26</v>
      </c>
      <c r="AW26" s="234">
        <f>COUNTIF( AV$7:AV26, AV26 )</f>
        <v>8</v>
      </c>
      <c r="AX26" s="287">
        <f t="shared" si="22"/>
        <v>26.8</v>
      </c>
      <c r="AY26" s="234">
        <f t="shared" si="23"/>
        <v>33</v>
      </c>
      <c r="AZ26" s="236"/>
      <c r="BA26" s="236"/>
      <c r="BC26" s="234">
        <f t="shared" ca="1" si="24"/>
        <v>20</v>
      </c>
      <c r="BD26" s="288">
        <f t="shared" ca="1" si="8"/>
        <v>29</v>
      </c>
      <c r="BF26" s="240" t="str">
        <f t="shared" ca="1" si="9"/>
        <v>MidAmerican Energy Holdings Company</v>
      </c>
      <c r="BG26" s="240" t="str">
        <f t="shared" ca="1" si="9"/>
        <v>BBB+</v>
      </c>
      <c r="BH26" s="240">
        <f t="shared" ca="1" si="9"/>
        <v>19</v>
      </c>
      <c r="BI26" s="240" t="str">
        <f t="shared" ca="1" si="9"/>
        <v>**BRK</v>
      </c>
    </row>
    <row r="27" spans="1:61" x14ac:dyDescent="0.2">
      <c r="A27" s="303" t="s">
        <v>23</v>
      </c>
      <c r="B27" s="304" t="s">
        <v>16</v>
      </c>
      <c r="C27" s="304">
        <v>19</v>
      </c>
      <c r="D27" s="304" t="s">
        <v>323</v>
      </c>
      <c r="E27" s="305" t="str">
        <f t="shared" ca="1" si="1"/>
        <v>MR</v>
      </c>
      <c r="F27" s="306"/>
      <c r="G27" s="307">
        <f t="shared" ca="1" si="2"/>
        <v>39</v>
      </c>
      <c r="H27" s="250"/>
      <c r="I27" s="321"/>
      <c r="J27" s="262"/>
      <c r="K27" s="321"/>
      <c r="N27" s="321"/>
      <c r="Q27" s="321"/>
      <c r="T27" s="321"/>
      <c r="W27" s="321"/>
      <c r="AE27" s="254"/>
      <c r="AF27" s="236">
        <f t="shared" si="3"/>
        <v>1</v>
      </c>
      <c r="AG27" s="236" t="str">
        <f t="shared" ca="1" si="4"/>
        <v/>
      </c>
      <c r="AH27" s="236" t="str">
        <f t="shared" ca="1" si="19"/>
        <v/>
      </c>
      <c r="AJ27" s="236">
        <f t="shared" ca="1" si="5"/>
        <v>25</v>
      </c>
      <c r="AK27" s="236" t="str">
        <f t="shared" ca="1" si="20"/>
        <v>BBB+</v>
      </c>
      <c r="AL27" s="236">
        <f t="shared" ca="1" si="20"/>
        <v>19</v>
      </c>
      <c r="AM27" s="236" t="str">
        <f t="shared" ca="1" si="6"/>
        <v/>
      </c>
      <c r="AQ27" s="286" t="s">
        <v>51</v>
      </c>
      <c r="AR27" s="286" t="s">
        <v>49</v>
      </c>
      <c r="AS27" s="286">
        <v>17</v>
      </c>
      <c r="AT27" s="286" t="s">
        <v>299</v>
      </c>
      <c r="AV27" s="234">
        <f t="shared" si="21"/>
        <v>45</v>
      </c>
      <c r="AW27" s="234">
        <f>COUNTIF( AV$7:AV27, AV27 )</f>
        <v>2</v>
      </c>
      <c r="AX27" s="287">
        <f t="shared" si="22"/>
        <v>45.2</v>
      </c>
      <c r="AY27" s="234">
        <f t="shared" si="23"/>
        <v>46</v>
      </c>
      <c r="AZ27" s="236"/>
      <c r="BA27" s="236"/>
      <c r="BC27" s="234">
        <f t="shared" ca="1" si="24"/>
        <v>21</v>
      </c>
      <c r="BD27" s="288">
        <f t="shared" ca="1" si="8"/>
        <v>36</v>
      </c>
      <c r="BF27" s="240" t="str">
        <f t="shared" ca="1" si="9"/>
        <v>Pepco Holdings, Inc.</v>
      </c>
      <c r="BG27" s="240" t="str">
        <f t="shared" ca="1" si="9"/>
        <v>BBB+</v>
      </c>
      <c r="BH27" s="240">
        <f t="shared" ca="1" si="9"/>
        <v>19</v>
      </c>
      <c r="BI27" s="240" t="str">
        <f t="shared" ca="1" si="9"/>
        <v>POM</v>
      </c>
    </row>
    <row r="28" spans="1:61" x14ac:dyDescent="0.2">
      <c r="A28" s="303" t="s">
        <v>45</v>
      </c>
      <c r="B28" s="304" t="s">
        <v>16</v>
      </c>
      <c r="C28" s="304">
        <v>19</v>
      </c>
      <c r="D28" s="304" t="s">
        <v>319</v>
      </c>
      <c r="E28" s="305" t="str">
        <f t="shared" ca="1" si="1"/>
        <v>MR</v>
      </c>
      <c r="F28" s="306"/>
      <c r="G28" s="307">
        <f t="shared" ca="1" si="2"/>
        <v>45</v>
      </c>
      <c r="H28" s="250"/>
      <c r="I28" s="321"/>
      <c r="J28" s="262"/>
      <c r="K28" s="321"/>
      <c r="N28" s="321"/>
      <c r="Q28" s="321"/>
      <c r="T28" s="321"/>
      <c r="W28" s="321"/>
      <c r="AE28" s="245"/>
      <c r="AF28" s="236">
        <f t="shared" si="3"/>
        <v>1</v>
      </c>
      <c r="AG28" s="236" t="str">
        <f t="shared" ca="1" si="4"/>
        <v/>
      </c>
      <c r="AH28" s="236" t="str">
        <f t="shared" ca="1" si="19"/>
        <v/>
      </c>
      <c r="AJ28" s="236">
        <f t="shared" ca="1" si="5"/>
        <v>27</v>
      </c>
      <c r="AK28" s="236" t="str">
        <f t="shared" ca="1" si="20"/>
        <v>BBB+</v>
      </c>
      <c r="AL28" s="236">
        <f t="shared" ca="1" si="20"/>
        <v>19</v>
      </c>
      <c r="AM28" s="236" t="str">
        <f t="shared" ca="1" si="6"/>
        <v/>
      </c>
      <c r="AQ28" s="286" t="s">
        <v>261</v>
      </c>
      <c r="AR28" s="286" t="s">
        <v>28</v>
      </c>
      <c r="AS28" s="286">
        <v>18</v>
      </c>
      <c r="AT28" s="286" t="s">
        <v>301</v>
      </c>
      <c r="AV28" s="234">
        <f t="shared" si="21"/>
        <v>26</v>
      </c>
      <c r="AW28" s="234">
        <f>COUNTIF( AV$7:AV28, AV28 )</f>
        <v>9</v>
      </c>
      <c r="AX28" s="287">
        <f t="shared" si="22"/>
        <v>26.9</v>
      </c>
      <c r="AY28" s="234">
        <f t="shared" si="23"/>
        <v>34</v>
      </c>
      <c r="AZ28" s="236"/>
      <c r="BA28" s="236"/>
      <c r="BC28" s="234">
        <f t="shared" ca="1" si="24"/>
        <v>22</v>
      </c>
      <c r="BD28" s="288">
        <f t="shared" ca="1" si="8"/>
        <v>42</v>
      </c>
      <c r="BF28" s="240" t="str">
        <f t="shared" ca="1" si="9"/>
        <v>Public Service Enterprise Group Incorporated</v>
      </c>
      <c r="BG28" s="240" t="str">
        <f t="shared" ca="1" si="9"/>
        <v>BBB+</v>
      </c>
      <c r="BH28" s="240">
        <f t="shared" ca="1" si="9"/>
        <v>19</v>
      </c>
      <c r="BI28" s="240" t="str">
        <f t="shared" ca="1" si="9"/>
        <v>PEG</v>
      </c>
    </row>
    <row r="29" spans="1:61" x14ac:dyDescent="0.2">
      <c r="A29" s="303" t="s">
        <v>13</v>
      </c>
      <c r="B29" s="304" t="s">
        <v>16</v>
      </c>
      <c r="C29" s="304">
        <v>19</v>
      </c>
      <c r="D29" s="304" t="s">
        <v>327</v>
      </c>
      <c r="E29" s="305" t="str">
        <f t="shared" ca="1" si="1"/>
        <v>MR</v>
      </c>
      <c r="F29" s="306"/>
      <c r="G29" s="307">
        <f t="shared" ca="1" si="2"/>
        <v>46</v>
      </c>
      <c r="H29" s="250"/>
      <c r="I29" s="321"/>
      <c r="J29" s="262"/>
      <c r="K29" s="321"/>
      <c r="N29" s="321"/>
      <c r="Q29" s="321"/>
      <c r="T29" s="321"/>
      <c r="W29" s="321"/>
      <c r="AF29" s="236">
        <f t="shared" si="3"/>
        <v>1</v>
      </c>
      <c r="AG29" s="236" t="str">
        <f t="shared" ca="1" si="4"/>
        <v/>
      </c>
      <c r="AH29" s="236" t="str">
        <f t="shared" ca="1" si="19"/>
        <v/>
      </c>
      <c r="AJ29" s="236">
        <f t="shared" ca="1" si="5"/>
        <v>28</v>
      </c>
      <c r="AK29" s="236" t="str">
        <f t="shared" ca="1" si="20"/>
        <v>BBB+</v>
      </c>
      <c r="AL29" s="236">
        <f t="shared" ca="1" si="20"/>
        <v>19</v>
      </c>
      <c r="AM29" s="236" t="str">
        <f t="shared" ca="1" si="6"/>
        <v/>
      </c>
      <c r="AQ29" s="286" t="s">
        <v>39</v>
      </c>
      <c r="AR29" s="286" t="s">
        <v>49</v>
      </c>
      <c r="AS29" s="286">
        <v>17</v>
      </c>
      <c r="AT29" s="286" t="s">
        <v>302</v>
      </c>
      <c r="AV29" s="234">
        <f t="shared" si="21"/>
        <v>45</v>
      </c>
      <c r="AW29" s="234">
        <f>COUNTIF( AV$7:AV29, AV29 )</f>
        <v>3</v>
      </c>
      <c r="AX29" s="287">
        <f t="shared" si="22"/>
        <v>45.3</v>
      </c>
      <c r="AY29" s="234">
        <f t="shared" si="23"/>
        <v>47</v>
      </c>
      <c r="AZ29" s="236"/>
      <c r="BA29" s="236"/>
      <c r="BC29" s="234">
        <f t="shared" ca="1" si="24"/>
        <v>23</v>
      </c>
      <c r="BD29" s="288">
        <f t="shared" ca="1" si="8"/>
        <v>44</v>
      </c>
      <c r="BF29" s="240" t="str">
        <f t="shared" ca="1" si="9"/>
        <v>SCANA Corporation</v>
      </c>
      <c r="BG29" s="240" t="str">
        <f t="shared" ca="1" si="9"/>
        <v>BBB+</v>
      </c>
      <c r="BH29" s="240">
        <f t="shared" ca="1" si="9"/>
        <v>19</v>
      </c>
      <c r="BI29" s="240" t="str">
        <f t="shared" ca="1" si="9"/>
        <v>SCG</v>
      </c>
    </row>
    <row r="30" spans="1:61" x14ac:dyDescent="0.2">
      <c r="A30" s="303" t="s">
        <v>25</v>
      </c>
      <c r="B30" s="304" t="s">
        <v>16</v>
      </c>
      <c r="C30" s="304">
        <v>19</v>
      </c>
      <c r="D30" s="304" t="s">
        <v>329</v>
      </c>
      <c r="E30" s="305" t="str">
        <f t="shared" ca="1" si="1"/>
        <v>MR</v>
      </c>
      <c r="F30" s="306"/>
      <c r="G30" s="307">
        <f t="shared" ca="1" si="2"/>
        <v>47</v>
      </c>
      <c r="H30" s="250"/>
      <c r="I30" s="321"/>
      <c r="J30" s="262"/>
      <c r="K30" s="321"/>
      <c r="N30" s="321"/>
      <c r="Q30" s="321"/>
      <c r="T30" s="321"/>
      <c r="W30" s="321"/>
      <c r="AF30" s="236">
        <f t="shared" si="3"/>
        <v>1</v>
      </c>
      <c r="AG30" s="236" t="str">
        <f t="shared" ca="1" si="4"/>
        <v/>
      </c>
      <c r="AH30" s="236" t="str">
        <f t="shared" ca="1" si="19"/>
        <v/>
      </c>
      <c r="AJ30" s="236">
        <f t="shared" ca="1" si="5"/>
        <v>29</v>
      </c>
      <c r="AK30" s="236" t="str">
        <f t="shared" ca="1" si="20"/>
        <v>BBB+</v>
      </c>
      <c r="AL30" s="236">
        <f t="shared" ca="1" si="20"/>
        <v>19</v>
      </c>
      <c r="AM30" s="236" t="str">
        <f t="shared" ca="1" si="6"/>
        <v/>
      </c>
      <c r="AQ30" s="286" t="s">
        <v>452</v>
      </c>
      <c r="AR30" s="286" t="s">
        <v>28</v>
      </c>
      <c r="AS30" s="286">
        <v>18</v>
      </c>
      <c r="AT30" s="286" t="s">
        <v>444</v>
      </c>
      <c r="AV30" s="234">
        <f t="shared" si="21"/>
        <v>26</v>
      </c>
      <c r="AW30" s="234">
        <f>COUNTIF( AV$7:AV30, AV30 )</f>
        <v>10</v>
      </c>
      <c r="AX30" s="287">
        <f t="shared" si="22"/>
        <v>27</v>
      </c>
      <c r="AY30" s="234">
        <f t="shared" si="23"/>
        <v>35</v>
      </c>
      <c r="AZ30" s="236"/>
      <c r="BA30" s="236"/>
      <c r="BC30" s="234">
        <f t="shared" ca="1" si="24"/>
        <v>24</v>
      </c>
      <c r="BD30" s="288">
        <f t="shared" ca="1" si="8"/>
        <v>45</v>
      </c>
      <c r="BF30" s="240" t="str">
        <f t="shared" ca="1" si="9"/>
        <v>Sempra Energy</v>
      </c>
      <c r="BG30" s="240" t="str">
        <f t="shared" ca="1" si="9"/>
        <v>BBB+</v>
      </c>
      <c r="BH30" s="240">
        <f t="shared" ca="1" si="9"/>
        <v>19</v>
      </c>
      <c r="BI30" s="240" t="str">
        <f t="shared" ca="1" si="9"/>
        <v>SRE</v>
      </c>
    </row>
    <row r="31" spans="1:61" x14ac:dyDescent="0.2">
      <c r="A31" s="303" t="s">
        <v>62</v>
      </c>
      <c r="B31" s="304" t="s">
        <v>16</v>
      </c>
      <c r="C31" s="304">
        <v>19</v>
      </c>
      <c r="D31" s="304" t="s">
        <v>330</v>
      </c>
      <c r="E31" s="305" t="str">
        <f t="shared" ca="1" si="1"/>
        <v>R</v>
      </c>
      <c r="F31" s="306"/>
      <c r="G31" s="307">
        <f t="shared" ca="1" si="2"/>
        <v>49</v>
      </c>
      <c r="H31" s="250"/>
      <c r="I31" s="321"/>
      <c r="J31" s="262"/>
      <c r="K31" s="321"/>
      <c r="N31" s="321"/>
      <c r="O31" s="253"/>
      <c r="Q31" s="321"/>
      <c r="T31" s="321"/>
      <c r="W31" s="321"/>
      <c r="AF31" s="236">
        <f t="shared" si="3"/>
        <v>1</v>
      </c>
      <c r="AG31" s="236" t="str">
        <f t="shared" ca="1" si="4"/>
        <v/>
      </c>
      <c r="AH31" s="236" t="str">
        <f t="shared" ca="1" si="19"/>
        <v/>
      </c>
      <c r="AJ31" s="236">
        <f t="shared" ca="1" si="5"/>
        <v>30</v>
      </c>
      <c r="AK31" s="236" t="str">
        <f t="shared" ca="1" si="20"/>
        <v>BBB+</v>
      </c>
      <c r="AL31" s="236">
        <f t="shared" ca="1" si="20"/>
        <v>19</v>
      </c>
      <c r="AM31" s="236" t="str">
        <f t="shared" ca="1" si="6"/>
        <v/>
      </c>
      <c r="AQ31" s="286" t="s">
        <v>20</v>
      </c>
      <c r="AR31" s="286" t="s">
        <v>28</v>
      </c>
      <c r="AS31" s="286">
        <v>18</v>
      </c>
      <c r="AT31" s="286" t="s">
        <v>303</v>
      </c>
      <c r="AV31" s="234">
        <f t="shared" si="21"/>
        <v>26</v>
      </c>
      <c r="AW31" s="234">
        <f>COUNTIF( AV$7:AV31, AV31 )</f>
        <v>11</v>
      </c>
      <c r="AX31" s="287">
        <f t="shared" si="22"/>
        <v>27.1</v>
      </c>
      <c r="AY31" s="234">
        <f t="shared" si="23"/>
        <v>36</v>
      </c>
      <c r="AZ31" s="236"/>
      <c r="BA31" s="236"/>
      <c r="BC31" s="234">
        <f t="shared" ca="1" si="24"/>
        <v>25</v>
      </c>
      <c r="BD31" s="288">
        <f t="shared" ca="1" si="8"/>
        <v>47</v>
      </c>
      <c r="BF31" s="240" t="str">
        <f t="shared" ca="1" si="9"/>
        <v>TECO Energy, Inc.</v>
      </c>
      <c r="BG31" s="240" t="str">
        <f t="shared" ca="1" si="9"/>
        <v>BBB+</v>
      </c>
      <c r="BH31" s="240">
        <f t="shared" ca="1" si="9"/>
        <v>19</v>
      </c>
      <c r="BI31" s="240" t="str">
        <f t="shared" ca="1" si="9"/>
        <v>TE</v>
      </c>
    </row>
    <row r="32" spans="1:61" x14ac:dyDescent="0.2">
      <c r="A32" s="303" t="s">
        <v>259</v>
      </c>
      <c r="B32" s="304" t="s">
        <v>28</v>
      </c>
      <c r="C32" s="304">
        <v>18</v>
      </c>
      <c r="D32" s="304" t="s">
        <v>275</v>
      </c>
      <c r="E32" s="305" t="str">
        <f t="shared" ca="1" si="1"/>
        <v>R</v>
      </c>
      <c r="F32" s="306"/>
      <c r="G32" s="307">
        <f t="shared" ca="1" si="2"/>
        <v>10</v>
      </c>
      <c r="H32" s="250"/>
      <c r="I32" s="321"/>
      <c r="J32" s="262"/>
      <c r="K32" s="321"/>
      <c r="N32" s="321"/>
      <c r="Q32" s="321"/>
      <c r="T32" s="321"/>
      <c r="W32" s="321"/>
      <c r="AF32" s="236">
        <f t="shared" si="3"/>
        <v>0</v>
      </c>
      <c r="AG32" s="236" t="str">
        <f t="shared" ca="1" si="4"/>
        <v/>
      </c>
      <c r="AH32" s="236" t="str">
        <f t="shared" ca="1" si="19"/>
        <v/>
      </c>
      <c r="AJ32" s="236">
        <f t="shared" ca="1" si="5"/>
        <v>32</v>
      </c>
      <c r="AK32" s="236" t="str">
        <f t="shared" ca="1" si="20"/>
        <v>BBB</v>
      </c>
      <c r="AL32" s="236">
        <f t="shared" ca="1" si="20"/>
        <v>18</v>
      </c>
      <c r="AM32" s="236" t="str">
        <f t="shared" ca="1" si="6"/>
        <v/>
      </c>
      <c r="AQ32" s="286" t="s">
        <v>254</v>
      </c>
      <c r="AR32" s="286" t="s">
        <v>10</v>
      </c>
      <c r="AS32" s="286">
        <v>20</v>
      </c>
      <c r="AT32" s="286" t="s">
        <v>331</v>
      </c>
      <c r="AV32" s="234">
        <f t="shared" si="21"/>
        <v>2</v>
      </c>
      <c r="AW32" s="234">
        <f>COUNTIF( AV$7:AV32, AV32 )</f>
        <v>5</v>
      </c>
      <c r="AX32" s="287">
        <f t="shared" si="22"/>
        <v>2.5</v>
      </c>
      <c r="AY32" s="234">
        <f t="shared" si="23"/>
        <v>6</v>
      </c>
      <c r="AZ32" s="236"/>
      <c r="BA32" s="236"/>
      <c r="BC32" s="234">
        <f t="shared" ca="1" si="24"/>
        <v>26</v>
      </c>
      <c r="BD32" s="288">
        <f t="shared" ca="1" si="8"/>
        <v>4</v>
      </c>
      <c r="BF32" s="240" t="str">
        <f t="shared" ca="1" si="9"/>
        <v>American Electric Power Company, Inc.</v>
      </c>
      <c r="BG32" s="240" t="str">
        <f t="shared" ca="1" si="9"/>
        <v>BBB</v>
      </c>
      <c r="BH32" s="240">
        <f t="shared" ca="1" si="9"/>
        <v>18</v>
      </c>
      <c r="BI32" s="240" t="str">
        <f t="shared" ca="1" si="9"/>
        <v>AEP</v>
      </c>
    </row>
    <row r="33" spans="1:61" x14ac:dyDescent="0.2">
      <c r="A33" s="303" t="s">
        <v>55</v>
      </c>
      <c r="B33" s="304" t="s">
        <v>28</v>
      </c>
      <c r="C33" s="304">
        <v>18</v>
      </c>
      <c r="D33" s="304" t="s">
        <v>278</v>
      </c>
      <c r="E33" s="305" t="str">
        <f t="shared" ca="1" si="1"/>
        <v>R</v>
      </c>
      <c r="F33" s="306"/>
      <c r="G33" s="307">
        <f t="shared" ca="1" si="2"/>
        <v>11</v>
      </c>
      <c r="H33" s="250"/>
      <c r="I33" s="321"/>
      <c r="J33" s="262"/>
      <c r="K33" s="321"/>
      <c r="N33" s="321"/>
      <c r="Q33" s="321"/>
      <c r="T33" s="321"/>
      <c r="W33" s="321"/>
      <c r="AF33" s="236">
        <f t="shared" si="3"/>
        <v>0</v>
      </c>
      <c r="AG33" s="236" t="str">
        <f t="shared" ca="1" si="4"/>
        <v/>
      </c>
      <c r="AH33" s="236" t="str">
        <f t="shared" ca="1" si="19"/>
        <v/>
      </c>
      <c r="AJ33" s="236">
        <f t="shared" ca="1" si="5"/>
        <v>33</v>
      </c>
      <c r="AK33" s="236" t="str">
        <f t="shared" ca="1" si="20"/>
        <v>BBB</v>
      </c>
      <c r="AL33" s="236">
        <f t="shared" ca="1" si="20"/>
        <v>18</v>
      </c>
      <c r="AM33" s="236" t="str">
        <f t="shared" ca="1" si="6"/>
        <v/>
      </c>
      <c r="AQ33" s="286" t="s">
        <v>58</v>
      </c>
      <c r="AR33" s="286" t="s">
        <v>56</v>
      </c>
      <c r="AS33" s="286">
        <v>16</v>
      </c>
      <c r="AT33" s="286" t="s">
        <v>446</v>
      </c>
      <c r="AV33" s="234">
        <f t="shared" si="21"/>
        <v>50</v>
      </c>
      <c r="AW33" s="234">
        <f>COUNTIF( AV$7:AV33, AV33 )</f>
        <v>1</v>
      </c>
      <c r="AX33" s="287">
        <f t="shared" si="22"/>
        <v>50.1</v>
      </c>
      <c r="AY33" s="234">
        <f t="shared" si="23"/>
        <v>50</v>
      </c>
      <c r="AZ33" s="236"/>
      <c r="BA33" s="236"/>
      <c r="BC33" s="234">
        <f t="shared" ca="1" si="24"/>
        <v>27</v>
      </c>
      <c r="BD33" s="288">
        <f t="shared" ca="1" si="8"/>
        <v>5</v>
      </c>
      <c r="BF33" s="240" t="str">
        <f t="shared" ca="1" si="9"/>
        <v>Avista Corporation</v>
      </c>
      <c r="BG33" s="240" t="str">
        <f t="shared" ca="1" si="9"/>
        <v>BBB</v>
      </c>
      <c r="BH33" s="240">
        <f t="shared" ca="1" si="9"/>
        <v>18</v>
      </c>
      <c r="BI33" s="240" t="str">
        <f t="shared" ca="1" si="9"/>
        <v>AVA</v>
      </c>
    </row>
    <row r="34" spans="1:61" x14ac:dyDescent="0.2">
      <c r="A34" s="303" t="s">
        <v>48</v>
      </c>
      <c r="B34" s="304" t="s">
        <v>28</v>
      </c>
      <c r="C34" s="304">
        <v>18</v>
      </c>
      <c r="D34" s="304" t="s">
        <v>280</v>
      </c>
      <c r="E34" s="305" t="str">
        <f t="shared" ca="1" si="1"/>
        <v>R</v>
      </c>
      <c r="F34" s="306"/>
      <c r="G34" s="307">
        <f t="shared" ca="1" si="2"/>
        <v>12</v>
      </c>
      <c r="H34" s="250"/>
      <c r="I34" s="321"/>
      <c r="J34" s="262"/>
      <c r="K34" s="321"/>
      <c r="L34" s="235"/>
      <c r="M34" s="235"/>
      <c r="N34" s="321"/>
      <c r="Q34" s="321"/>
      <c r="T34" s="321"/>
      <c r="W34" s="321"/>
      <c r="AF34" s="236">
        <f t="shared" si="3"/>
        <v>0</v>
      </c>
      <c r="AG34" s="236" t="str">
        <f t="shared" ca="1" si="4"/>
        <v/>
      </c>
      <c r="AH34" s="236" t="str">
        <f t="shared" ca="1" si="19"/>
        <v/>
      </c>
      <c r="AJ34" s="236">
        <f t="shared" ca="1" si="5"/>
        <v>34</v>
      </c>
      <c r="AK34" s="236" t="str">
        <f t="shared" ca="1" si="20"/>
        <v>BBB</v>
      </c>
      <c r="AL34" s="236">
        <f t="shared" ca="1" si="20"/>
        <v>18</v>
      </c>
      <c r="AM34" s="236" t="str">
        <f t="shared" ca="1" si="6"/>
        <v/>
      </c>
      <c r="AQ34" s="286" t="s">
        <v>12</v>
      </c>
      <c r="AR34" s="286" t="s">
        <v>16</v>
      </c>
      <c r="AS34" s="286">
        <v>19</v>
      </c>
      <c r="AT34" s="286" t="s">
        <v>309</v>
      </c>
      <c r="AV34" s="234">
        <f t="shared" si="21"/>
        <v>14</v>
      </c>
      <c r="AW34" s="234">
        <f>COUNTIF( AV$7:AV34, AV34 )</f>
        <v>6</v>
      </c>
      <c r="AX34" s="287">
        <f t="shared" si="22"/>
        <v>14.6</v>
      </c>
      <c r="AY34" s="234">
        <f t="shared" si="23"/>
        <v>19</v>
      </c>
      <c r="AZ34" s="236"/>
      <c r="BA34" s="236"/>
      <c r="BC34" s="234">
        <f t="shared" ca="1" si="24"/>
        <v>28</v>
      </c>
      <c r="BD34" s="288">
        <f t="shared" ca="1" si="8"/>
        <v>6</v>
      </c>
      <c r="BF34" s="240" t="str">
        <f t="shared" ca="1" si="9"/>
        <v>Black Hills Corporation</v>
      </c>
      <c r="BG34" s="240" t="str">
        <f t="shared" ca="1" si="9"/>
        <v>BBB</v>
      </c>
      <c r="BH34" s="240">
        <f t="shared" ca="1" si="9"/>
        <v>18</v>
      </c>
      <c r="BI34" s="240" t="str">
        <f t="shared" ca="1" si="9"/>
        <v>BKH</v>
      </c>
    </row>
    <row r="35" spans="1:61" x14ac:dyDescent="0.2">
      <c r="A35" s="303" t="s">
        <v>60</v>
      </c>
      <c r="B35" s="304" t="s">
        <v>28</v>
      </c>
      <c r="C35" s="304">
        <v>18</v>
      </c>
      <c r="D35" s="304" t="s">
        <v>284</v>
      </c>
      <c r="E35" s="305" t="str">
        <f t="shared" ca="1" si="1"/>
        <v>R</v>
      </c>
      <c r="F35" s="306"/>
      <c r="G35" s="307">
        <f t="shared" ca="1" si="2"/>
        <v>15</v>
      </c>
      <c r="H35" s="250"/>
      <c r="I35" s="321"/>
      <c r="K35" s="321"/>
      <c r="L35" s="235"/>
      <c r="M35" s="235"/>
      <c r="N35" s="321"/>
      <c r="Q35" s="321"/>
      <c r="T35" s="321"/>
      <c r="W35" s="321"/>
      <c r="AF35" s="236">
        <f t="shared" si="3"/>
        <v>0</v>
      </c>
      <c r="AG35" s="236" t="str">
        <f t="shared" ca="1" si="4"/>
        <v/>
      </c>
      <c r="AH35" s="236" t="str">
        <f t="shared" ca="1" si="19"/>
        <v/>
      </c>
      <c r="AJ35" s="236">
        <f t="shared" ca="1" si="5"/>
        <v>35</v>
      </c>
      <c r="AK35" s="236" t="str">
        <f t="shared" ca="1" si="20"/>
        <v>BBB</v>
      </c>
      <c r="AL35" s="236">
        <f t="shared" ca="1" si="20"/>
        <v>18</v>
      </c>
      <c r="AM35" s="236" t="str">
        <f t="shared" ca="1" si="6"/>
        <v/>
      </c>
      <c r="AQ35" s="286" t="s">
        <v>52</v>
      </c>
      <c r="AR35" s="286" t="s">
        <v>16</v>
      </c>
      <c r="AS35" s="286">
        <v>19</v>
      </c>
      <c r="AT35" s="286" t="s">
        <v>447</v>
      </c>
      <c r="AV35" s="234">
        <f t="shared" si="21"/>
        <v>14</v>
      </c>
      <c r="AW35" s="234">
        <f>COUNTIF( AV$7:AV35, AV35 )</f>
        <v>7</v>
      </c>
      <c r="AX35" s="287">
        <f t="shared" si="22"/>
        <v>14.7</v>
      </c>
      <c r="AY35" s="234">
        <f t="shared" si="23"/>
        <v>20</v>
      </c>
      <c r="AZ35" s="236"/>
      <c r="BA35" s="236"/>
      <c r="BC35" s="234">
        <f t="shared" ca="1" si="24"/>
        <v>29</v>
      </c>
      <c r="BD35" s="288">
        <f t="shared" ca="1" si="8"/>
        <v>9</v>
      </c>
      <c r="BF35" s="240" t="str">
        <f t="shared" ca="1" si="9"/>
        <v>CMS Energy Corporation</v>
      </c>
      <c r="BG35" s="240" t="str">
        <f t="shared" ca="1" si="9"/>
        <v>BBB</v>
      </c>
      <c r="BH35" s="240">
        <f t="shared" ca="1" si="9"/>
        <v>18</v>
      </c>
      <c r="BI35" s="240" t="str">
        <f t="shared" ca="1" si="9"/>
        <v>CMS</v>
      </c>
    </row>
    <row r="36" spans="1:61" x14ac:dyDescent="0.2">
      <c r="A36" s="303" t="s">
        <v>34</v>
      </c>
      <c r="B36" s="304" t="s">
        <v>28</v>
      </c>
      <c r="C36" s="304">
        <v>18</v>
      </c>
      <c r="D36" s="304" t="s">
        <v>294</v>
      </c>
      <c r="E36" s="305" t="str">
        <f t="shared" ca="1" si="1"/>
        <v>R</v>
      </c>
      <c r="F36" s="306"/>
      <c r="G36" s="307">
        <f t="shared" ca="1" si="2"/>
        <v>21</v>
      </c>
      <c r="H36" s="250"/>
      <c r="I36" s="321"/>
      <c r="J36" s="262"/>
      <c r="K36" s="321"/>
      <c r="L36" s="263"/>
      <c r="M36" s="263"/>
      <c r="N36" s="321"/>
      <c r="Q36" s="321"/>
      <c r="T36" s="321"/>
      <c r="W36" s="321"/>
      <c r="AF36" s="236">
        <f t="shared" si="3"/>
        <v>0</v>
      </c>
      <c r="AG36" s="236" t="str">
        <f t="shared" ca="1" si="4"/>
        <v/>
      </c>
      <c r="AH36" s="236" t="str">
        <f t="shared" ca="1" si="19"/>
        <v/>
      </c>
      <c r="AJ36" s="236">
        <f t="shared" ca="1" si="5"/>
        <v>36</v>
      </c>
      <c r="AK36" s="236" t="str">
        <f t="shared" ca="1" si="20"/>
        <v>BBB</v>
      </c>
      <c r="AL36" s="236">
        <f t="shared" ca="1" si="20"/>
        <v>18</v>
      </c>
      <c r="AM36" s="236" t="str">
        <f t="shared" ca="1" si="6"/>
        <v/>
      </c>
      <c r="AQ36" s="286" t="s">
        <v>370</v>
      </c>
      <c r="AR36" s="286" t="s">
        <v>10</v>
      </c>
      <c r="AS36" s="286">
        <v>20</v>
      </c>
      <c r="AT36" s="289" t="s">
        <v>369</v>
      </c>
      <c r="AV36" s="234">
        <f t="shared" si="21"/>
        <v>2</v>
      </c>
      <c r="AW36" s="234">
        <f>COUNTIF( AV$7:AV36, AV36 )</f>
        <v>6</v>
      </c>
      <c r="AX36" s="287">
        <f t="shared" si="22"/>
        <v>2.6</v>
      </c>
      <c r="AY36" s="234">
        <f t="shared" si="23"/>
        <v>7</v>
      </c>
      <c r="AZ36" s="236"/>
      <c r="BA36" s="236"/>
      <c r="BC36" s="234">
        <f t="shared" ca="1" si="24"/>
        <v>30</v>
      </c>
      <c r="BD36" s="288">
        <f t="shared" ca="1" si="8"/>
        <v>16</v>
      </c>
      <c r="BF36" s="240" t="str">
        <f t="shared" ca="1" si="9"/>
        <v>El Paso Electric Company</v>
      </c>
      <c r="BG36" s="240" t="str">
        <f t="shared" ca="1" si="9"/>
        <v>BBB</v>
      </c>
      <c r="BH36" s="240">
        <f t="shared" ca="1" si="9"/>
        <v>18</v>
      </c>
      <c r="BI36" s="240" t="str">
        <f t="shared" ca="1" si="9"/>
        <v>EE</v>
      </c>
    </row>
    <row r="37" spans="1:61" x14ac:dyDescent="0.2">
      <c r="A37" s="303" t="s">
        <v>35</v>
      </c>
      <c r="B37" s="304" t="s">
        <v>28</v>
      </c>
      <c r="C37" s="304">
        <v>18</v>
      </c>
      <c r="D37" s="304" t="s">
        <v>293</v>
      </c>
      <c r="E37" s="305" t="str">
        <f t="shared" ca="1" si="1"/>
        <v>R</v>
      </c>
      <c r="F37" s="306"/>
      <c r="G37" s="307">
        <f t="shared" ca="1" si="2"/>
        <v>22</v>
      </c>
      <c r="H37" s="250"/>
      <c r="I37" s="321"/>
      <c r="K37" s="321"/>
      <c r="L37" s="264"/>
      <c r="M37" s="235"/>
      <c r="N37" s="321"/>
      <c r="Q37" s="321"/>
      <c r="T37" s="321"/>
      <c r="W37" s="321"/>
      <c r="AF37" s="236">
        <f t="shared" si="3"/>
        <v>0</v>
      </c>
      <c r="AG37" s="236" t="str">
        <f t="shared" ca="1" si="4"/>
        <v/>
      </c>
      <c r="AH37" s="236" t="str">
        <f t="shared" ca="1" si="19"/>
        <v/>
      </c>
      <c r="AJ37" s="236">
        <f t="shared" ca="1" si="5"/>
        <v>37</v>
      </c>
      <c r="AK37" s="236" t="str">
        <f t="shared" ca="1" si="20"/>
        <v>BBB</v>
      </c>
      <c r="AL37" s="236">
        <f t="shared" ca="1" si="20"/>
        <v>18</v>
      </c>
      <c r="AM37" s="236" t="str">
        <f t="shared" ca="1" si="6"/>
        <v/>
      </c>
      <c r="AQ37" s="286" t="s">
        <v>40</v>
      </c>
      <c r="AR37" s="286" t="s">
        <v>49</v>
      </c>
      <c r="AS37" s="286">
        <v>17</v>
      </c>
      <c r="AT37" s="286" t="s">
        <v>311</v>
      </c>
      <c r="AV37" s="234">
        <f t="shared" si="21"/>
        <v>45</v>
      </c>
      <c r="AW37" s="234">
        <f>COUNTIF( AV$7:AV37, AV37 )</f>
        <v>4</v>
      </c>
      <c r="AX37" s="287">
        <f t="shared" si="22"/>
        <v>45.4</v>
      </c>
      <c r="AY37" s="234">
        <f t="shared" si="23"/>
        <v>48</v>
      </c>
      <c r="AZ37" s="236"/>
      <c r="BA37" s="236"/>
      <c r="BC37" s="234">
        <f t="shared" ca="1" si="24"/>
        <v>31</v>
      </c>
      <c r="BD37" s="288">
        <f t="shared" ca="1" si="8"/>
        <v>17</v>
      </c>
      <c r="BF37" s="240" t="str">
        <f t="shared" ca="1" si="9"/>
        <v>Empire District Electric Company</v>
      </c>
      <c r="BG37" s="240" t="str">
        <f t="shared" ca="1" si="9"/>
        <v>BBB</v>
      </c>
      <c r="BH37" s="240">
        <f t="shared" ca="1" si="9"/>
        <v>18</v>
      </c>
      <c r="BI37" s="240" t="str">
        <f t="shared" ca="1" si="9"/>
        <v>EDE</v>
      </c>
    </row>
    <row r="38" spans="1:61" x14ac:dyDescent="0.2">
      <c r="A38" s="303" t="s">
        <v>36</v>
      </c>
      <c r="B38" s="304" t="s">
        <v>28</v>
      </c>
      <c r="C38" s="304">
        <v>18</v>
      </c>
      <c r="D38" s="304" t="s">
        <v>297</v>
      </c>
      <c r="E38" s="305" t="str">
        <f t="shared" ca="1" si="1"/>
        <v>R</v>
      </c>
      <c r="F38" s="306"/>
      <c r="G38" s="307">
        <f t="shared" ca="1" si="2"/>
        <v>23</v>
      </c>
      <c r="H38" s="250"/>
      <c r="I38" s="321"/>
      <c r="J38" s="262"/>
      <c r="K38" s="321"/>
      <c r="L38" s="264"/>
      <c r="M38" s="235"/>
      <c r="N38" s="321"/>
      <c r="Q38" s="321"/>
      <c r="T38" s="321"/>
      <c r="W38" s="321"/>
      <c r="AF38" s="236">
        <f t="shared" si="3"/>
        <v>0</v>
      </c>
      <c r="AG38" s="236" t="str">
        <f t="shared" ca="1" si="4"/>
        <v/>
      </c>
      <c r="AH38" s="236" t="str">
        <f t="shared" ca="1" si="19"/>
        <v/>
      </c>
      <c r="AJ38" s="236">
        <f t="shared" ca="1" si="5"/>
        <v>38</v>
      </c>
      <c r="AK38" s="236" t="str">
        <f t="shared" ca="1" si="20"/>
        <v>BBB</v>
      </c>
      <c r="AL38" s="236">
        <f t="shared" ca="1" si="20"/>
        <v>18</v>
      </c>
      <c r="AM38" s="236" t="str">
        <f t="shared" ca="1" si="6"/>
        <v/>
      </c>
      <c r="AQ38" s="286" t="s">
        <v>513</v>
      </c>
      <c r="AR38" s="286" t="s">
        <v>10</v>
      </c>
      <c r="AS38" s="286">
        <v>20</v>
      </c>
      <c r="AT38" s="286" t="s">
        <v>512</v>
      </c>
      <c r="AV38" s="234">
        <f t="shared" si="21"/>
        <v>2</v>
      </c>
      <c r="AW38" s="234">
        <f>COUNTIF( AV$7:AV38, AV38 )</f>
        <v>7</v>
      </c>
      <c r="AX38" s="287">
        <f t="shared" si="22"/>
        <v>2.7</v>
      </c>
      <c r="AY38" s="234">
        <f t="shared" si="23"/>
        <v>8</v>
      </c>
      <c r="AZ38" s="236"/>
      <c r="BA38" s="236"/>
      <c r="BC38" s="234">
        <f t="shared" ca="1" si="24"/>
        <v>32</v>
      </c>
      <c r="BD38" s="288">
        <f t="shared" ca="1" si="8"/>
        <v>19</v>
      </c>
      <c r="BF38" s="240" t="str">
        <f t="shared" ca="1" si="9"/>
        <v>Entergy Corporation</v>
      </c>
      <c r="BG38" s="240" t="str">
        <f t="shared" ca="1" si="9"/>
        <v>BBB</v>
      </c>
      <c r="BH38" s="240">
        <f t="shared" ca="1" si="9"/>
        <v>18</v>
      </c>
      <c r="BI38" s="240" t="str">
        <f t="shared" ca="1" si="9"/>
        <v>ETR</v>
      </c>
    </row>
    <row r="39" spans="1:61" x14ac:dyDescent="0.2">
      <c r="A39" s="303" t="s">
        <v>11</v>
      </c>
      <c r="B39" s="304" t="s">
        <v>28</v>
      </c>
      <c r="C39" s="304">
        <v>18</v>
      </c>
      <c r="D39" s="304" t="s">
        <v>298</v>
      </c>
      <c r="E39" s="305" t="str">
        <f t="shared" ca="1" si="1"/>
        <v>MR</v>
      </c>
      <c r="F39" s="306"/>
      <c r="G39" s="307">
        <f t="shared" ca="1" si="2"/>
        <v>24</v>
      </c>
      <c r="H39" s="250"/>
      <c r="I39" s="321"/>
      <c r="K39" s="321"/>
      <c r="L39" s="264"/>
      <c r="M39" s="235"/>
      <c r="N39" s="321"/>
      <c r="Q39" s="321"/>
      <c r="T39" s="321"/>
      <c r="W39" s="321"/>
      <c r="AF39" s="236">
        <f t="shared" si="3"/>
        <v>0</v>
      </c>
      <c r="AG39" s="236" t="str">
        <f t="shared" ca="1" si="4"/>
        <v/>
      </c>
      <c r="AH39" s="236" t="str">
        <f t="shared" ca="1" si="19"/>
        <v/>
      </c>
      <c r="AJ39" s="236">
        <f t="shared" ca="1" si="5"/>
        <v>39</v>
      </c>
      <c r="AK39" s="236" t="str">
        <f t="shared" ca="1" si="20"/>
        <v>BBB</v>
      </c>
      <c r="AL39" s="236">
        <f t="shared" ca="1" si="20"/>
        <v>18</v>
      </c>
      <c r="AM39" s="236" t="str">
        <f t="shared" ca="1" si="6"/>
        <v/>
      </c>
      <c r="AQ39" s="286" t="s">
        <v>66</v>
      </c>
      <c r="AR39" s="286" t="s">
        <v>28</v>
      </c>
      <c r="AS39" s="286">
        <v>18</v>
      </c>
      <c r="AT39" s="286" t="s">
        <v>315</v>
      </c>
      <c r="AV39" s="234">
        <f t="shared" si="21"/>
        <v>26</v>
      </c>
      <c r="AW39" s="234">
        <f>COUNTIF( AV$7:AV39, AV39 )</f>
        <v>12</v>
      </c>
      <c r="AX39" s="287">
        <f t="shared" si="22"/>
        <v>27.2</v>
      </c>
      <c r="AY39" s="234">
        <f t="shared" si="23"/>
        <v>37</v>
      </c>
      <c r="AZ39" s="236"/>
      <c r="BA39" s="236"/>
      <c r="BC39" s="234">
        <f t="shared" ca="1" si="24"/>
        <v>33</v>
      </c>
      <c r="BD39" s="288">
        <f t="shared" ca="1" si="8"/>
        <v>20</v>
      </c>
      <c r="BF39" s="240" t="str">
        <f t="shared" ref="BF39:BI63" ca="1" si="25">OFFSET( AQ$6, $BD39, 0 )</f>
        <v>Exelon Corporation</v>
      </c>
      <c r="BG39" s="240" t="str">
        <f t="shared" ca="1" si="25"/>
        <v>BBB</v>
      </c>
      <c r="BH39" s="240">
        <f t="shared" ca="1" si="25"/>
        <v>18</v>
      </c>
      <c r="BI39" s="240" t="str">
        <f t="shared" ca="1" si="25"/>
        <v>EXC</v>
      </c>
    </row>
    <row r="40" spans="1:61" x14ac:dyDescent="0.2">
      <c r="A40" s="303" t="s">
        <v>261</v>
      </c>
      <c r="B40" s="304" t="s">
        <v>28</v>
      </c>
      <c r="C40" s="304">
        <v>18</v>
      </c>
      <c r="D40" s="304" t="s">
        <v>301</v>
      </c>
      <c r="E40" s="305" t="str">
        <f t="shared" ca="1" si="1"/>
        <v>R</v>
      </c>
      <c r="F40" s="306"/>
      <c r="G40" s="307">
        <f t="shared" ca="1" si="2"/>
        <v>26</v>
      </c>
      <c r="H40" s="250"/>
      <c r="I40" s="321"/>
      <c r="J40" s="262"/>
      <c r="K40" s="321"/>
      <c r="L40" s="264"/>
      <c r="M40" s="235"/>
      <c r="N40" s="321"/>
      <c r="Q40" s="321"/>
      <c r="T40" s="321"/>
      <c r="W40" s="321"/>
      <c r="AF40" s="236">
        <f t="shared" si="3"/>
        <v>0</v>
      </c>
      <c r="AG40" s="236" t="str">
        <f t="shared" ca="1" si="4"/>
        <v/>
      </c>
      <c r="AH40" s="236" t="str">
        <f t="shared" ca="1" si="19"/>
        <v/>
      </c>
      <c r="AJ40" s="236">
        <f t="shared" ca="1" si="5"/>
        <v>40</v>
      </c>
      <c r="AK40" s="236" t="str">
        <f t="shared" ca="1" si="20"/>
        <v>BBB</v>
      </c>
      <c r="AL40" s="236">
        <f t="shared" ca="1" si="20"/>
        <v>18</v>
      </c>
      <c r="AM40" s="236" t="str">
        <f t="shared" ca="1" si="6"/>
        <v/>
      </c>
      <c r="AQ40" s="286" t="s">
        <v>21</v>
      </c>
      <c r="AR40" s="286" t="s">
        <v>10</v>
      </c>
      <c r="AS40" s="286">
        <v>20</v>
      </c>
      <c r="AT40" s="286" t="s">
        <v>316</v>
      </c>
      <c r="AV40" s="234">
        <f t="shared" si="21"/>
        <v>2</v>
      </c>
      <c r="AW40" s="234">
        <f>COUNTIF( AV$7:AV40, AV40 )</f>
        <v>8</v>
      </c>
      <c r="AX40" s="287">
        <f t="shared" si="22"/>
        <v>2.8</v>
      </c>
      <c r="AY40" s="234">
        <f t="shared" si="23"/>
        <v>9</v>
      </c>
      <c r="AZ40" s="236"/>
      <c r="BA40" s="236"/>
      <c r="BC40" s="234">
        <f t="shared" ca="1" si="24"/>
        <v>34</v>
      </c>
      <c r="BD40" s="288">
        <f t="shared" ca="1" si="8"/>
        <v>22</v>
      </c>
      <c r="BF40" s="240" t="str">
        <f t="shared" ca="1" si="25"/>
        <v>Great Plains Energy Inc.</v>
      </c>
      <c r="BG40" s="240" t="str">
        <f t="shared" ca="1" si="25"/>
        <v>BBB</v>
      </c>
      <c r="BH40" s="240">
        <f t="shared" ca="1" si="25"/>
        <v>18</v>
      </c>
      <c r="BI40" s="240" t="str">
        <f t="shared" ca="1" si="25"/>
        <v>GXP</v>
      </c>
    </row>
    <row r="41" spans="1:61" x14ac:dyDescent="0.2">
      <c r="A41" s="303" t="s">
        <v>452</v>
      </c>
      <c r="B41" s="304" t="s">
        <v>28</v>
      </c>
      <c r="C41" s="304">
        <v>18</v>
      </c>
      <c r="D41" s="304" t="s">
        <v>444</v>
      </c>
      <c r="E41" s="305" t="str">
        <f t="shared" ca="1" si="1"/>
        <v>R</v>
      </c>
      <c r="F41" s="306"/>
      <c r="G41" s="307">
        <f t="shared" ca="1" si="2"/>
        <v>58</v>
      </c>
      <c r="H41" s="250"/>
      <c r="I41" s="321"/>
      <c r="J41" s="262"/>
      <c r="K41" s="321"/>
      <c r="L41" s="264"/>
      <c r="M41" s="235"/>
      <c r="N41" s="321"/>
      <c r="Q41" s="321"/>
      <c r="T41" s="321"/>
      <c r="W41" s="321"/>
      <c r="AF41" s="236">
        <f t="shared" si="3"/>
        <v>0</v>
      </c>
      <c r="AG41" s="236" t="str">
        <f t="shared" ca="1" si="4"/>
        <v/>
      </c>
      <c r="AH41" s="236" t="str">
        <f t="shared" ca="1" si="19"/>
        <v/>
      </c>
      <c r="AJ41" s="236">
        <f t="shared" ca="1" si="5"/>
        <v>41</v>
      </c>
      <c r="AK41" s="236" t="str">
        <f t="shared" ca="1" si="20"/>
        <v>BBB</v>
      </c>
      <c r="AL41" s="236">
        <f t="shared" ca="1" si="20"/>
        <v>18</v>
      </c>
      <c r="AM41" s="236" t="str">
        <f t="shared" ca="1" si="6"/>
        <v/>
      </c>
      <c r="AQ41" s="286" t="s">
        <v>22</v>
      </c>
      <c r="AR41" s="286" t="s">
        <v>28</v>
      </c>
      <c r="AS41" s="286">
        <v>18</v>
      </c>
      <c r="AT41" s="286" t="s">
        <v>317</v>
      </c>
      <c r="AV41" s="234">
        <f t="shared" si="21"/>
        <v>26</v>
      </c>
      <c r="AW41" s="234">
        <f>COUNTIF( AV$7:AV41, AV41 )</f>
        <v>13</v>
      </c>
      <c r="AX41" s="287">
        <f t="shared" si="22"/>
        <v>27.3</v>
      </c>
      <c r="AY41" s="234">
        <f t="shared" si="23"/>
        <v>38</v>
      </c>
      <c r="AZ41" s="236"/>
      <c r="BA41" s="236"/>
      <c r="BC41" s="234">
        <f t="shared" ca="1" si="24"/>
        <v>35</v>
      </c>
      <c r="BD41" s="288">
        <f t="shared" ca="1" si="8"/>
        <v>24</v>
      </c>
      <c r="BF41" s="240" t="str">
        <f t="shared" ca="1" si="25"/>
        <v>Iberdrola USA</v>
      </c>
      <c r="BG41" s="240" t="str">
        <f t="shared" ca="1" si="25"/>
        <v>BBB</v>
      </c>
      <c r="BH41" s="240">
        <f t="shared" ca="1" si="25"/>
        <v>18</v>
      </c>
      <c r="BI41" s="240" t="str">
        <f t="shared" ca="1" si="25"/>
        <v>**EAST</v>
      </c>
    </row>
    <row r="42" spans="1:61" x14ac:dyDescent="0.2">
      <c r="A42" s="303" t="s">
        <v>20</v>
      </c>
      <c r="B42" s="304" t="s">
        <v>28</v>
      </c>
      <c r="C42" s="304">
        <v>18</v>
      </c>
      <c r="D42" s="304" t="s">
        <v>303</v>
      </c>
      <c r="E42" s="305" t="str">
        <f t="shared" ca="1" si="1"/>
        <v>R</v>
      </c>
      <c r="F42" s="306"/>
      <c r="G42" s="307">
        <f t="shared" ca="1" si="2"/>
        <v>28</v>
      </c>
      <c r="H42" s="250"/>
      <c r="I42" s="321"/>
      <c r="J42" s="262"/>
      <c r="K42" s="321"/>
      <c r="L42" s="264"/>
      <c r="M42" s="235"/>
      <c r="N42" s="321"/>
      <c r="Q42" s="321"/>
      <c r="T42" s="321"/>
      <c r="W42" s="321"/>
      <c r="AF42" s="236">
        <f t="shared" si="3"/>
        <v>0</v>
      </c>
      <c r="AG42" s="236" t="str">
        <f t="shared" ca="1" si="4"/>
        <v/>
      </c>
      <c r="AH42" s="236" t="str">
        <f t="shared" ca="1" si="19"/>
        <v/>
      </c>
      <c r="AJ42" s="236">
        <f t="shared" ca="1" si="5"/>
        <v>42</v>
      </c>
      <c r="AK42" s="236" t="str">
        <f t="shared" ca="1" si="20"/>
        <v>BBB</v>
      </c>
      <c r="AL42" s="236">
        <f t="shared" ca="1" si="20"/>
        <v>18</v>
      </c>
      <c r="AM42" s="236" t="str">
        <f t="shared" ca="1" si="6"/>
        <v/>
      </c>
      <c r="AQ42" s="286" t="s">
        <v>23</v>
      </c>
      <c r="AR42" s="286" t="s">
        <v>16</v>
      </c>
      <c r="AS42" s="286">
        <v>19</v>
      </c>
      <c r="AT42" s="286" t="s">
        <v>323</v>
      </c>
      <c r="AV42" s="234">
        <f t="shared" si="21"/>
        <v>14</v>
      </c>
      <c r="AW42" s="234">
        <f>COUNTIF( AV$7:AV42, AV42 )</f>
        <v>8</v>
      </c>
      <c r="AX42" s="287">
        <f t="shared" si="22"/>
        <v>14.8</v>
      </c>
      <c r="AY42" s="234">
        <f t="shared" si="23"/>
        <v>21</v>
      </c>
      <c r="AZ42" s="236"/>
      <c r="BA42" s="236"/>
      <c r="BC42" s="234">
        <f t="shared" ca="1" si="24"/>
        <v>36</v>
      </c>
      <c r="BD42" s="288">
        <f t="shared" ca="1" si="8"/>
        <v>25</v>
      </c>
      <c r="BF42" s="240" t="str">
        <f t="shared" ca="1" si="25"/>
        <v>IDACORP, Inc.</v>
      </c>
      <c r="BG42" s="240" t="str">
        <f t="shared" ca="1" si="25"/>
        <v>BBB</v>
      </c>
      <c r="BH42" s="240">
        <f t="shared" ca="1" si="25"/>
        <v>18</v>
      </c>
      <c r="BI42" s="240" t="str">
        <f t="shared" ca="1" si="25"/>
        <v>IDA</v>
      </c>
    </row>
    <row r="43" spans="1:61" x14ac:dyDescent="0.2">
      <c r="A43" s="303" t="s">
        <v>66</v>
      </c>
      <c r="B43" s="304" t="s">
        <v>28</v>
      </c>
      <c r="C43" s="304">
        <v>18</v>
      </c>
      <c r="D43" s="304" t="s">
        <v>315</v>
      </c>
      <c r="E43" s="305" t="str">
        <f t="shared" ca="1" si="1"/>
        <v>R</v>
      </c>
      <c r="F43" s="306"/>
      <c r="G43" s="307">
        <f t="shared" ca="1" si="2"/>
        <v>35</v>
      </c>
      <c r="H43" s="250"/>
      <c r="I43" s="321"/>
      <c r="J43" s="262"/>
      <c r="K43" s="321"/>
      <c r="L43" s="235"/>
      <c r="M43" s="235"/>
      <c r="N43" s="321"/>
      <c r="Q43" s="321"/>
      <c r="T43" s="321"/>
      <c r="W43" s="321"/>
      <c r="AF43" s="236">
        <f t="shared" si="3"/>
        <v>0</v>
      </c>
      <c r="AG43" s="236" t="str">
        <f t="shared" ca="1" si="4"/>
        <v/>
      </c>
      <c r="AH43" s="236" t="str">
        <f t="shared" ca="1" si="19"/>
        <v/>
      </c>
      <c r="AJ43" s="236">
        <f t="shared" ca="1" si="5"/>
        <v>43</v>
      </c>
      <c r="AK43" s="236" t="str">
        <f t="shared" ca="1" si="20"/>
        <v>BBB</v>
      </c>
      <c r="AL43" s="236">
        <f t="shared" ca="1" si="20"/>
        <v>18</v>
      </c>
      <c r="AM43" s="236" t="str">
        <f t="shared" ca="1" si="6"/>
        <v/>
      </c>
      <c r="AQ43" s="286" t="s">
        <v>53</v>
      </c>
      <c r="AR43" s="286" t="s">
        <v>28</v>
      </c>
      <c r="AS43" s="286">
        <v>18</v>
      </c>
      <c r="AT43" s="286" t="s">
        <v>318</v>
      </c>
      <c r="AV43" s="234">
        <f t="shared" si="21"/>
        <v>26</v>
      </c>
      <c r="AW43" s="234">
        <f>COUNTIF( AV$7:AV43, AV43 )</f>
        <v>14</v>
      </c>
      <c r="AX43" s="287">
        <f t="shared" si="22"/>
        <v>27.4</v>
      </c>
      <c r="AY43" s="234">
        <f t="shared" si="23"/>
        <v>39</v>
      </c>
      <c r="AZ43" s="236"/>
      <c r="BA43" s="236"/>
      <c r="BC43" s="234">
        <f t="shared" ca="1" si="24"/>
        <v>37</v>
      </c>
      <c r="BD43" s="288">
        <f t="shared" ca="1" si="8"/>
        <v>33</v>
      </c>
      <c r="BF43" s="240" t="str">
        <f t="shared" ca="1" si="25"/>
        <v>NorthWestern Corporation</v>
      </c>
      <c r="BG43" s="240" t="str">
        <f t="shared" ca="1" si="25"/>
        <v>BBB</v>
      </c>
      <c r="BH43" s="240">
        <f t="shared" ca="1" si="25"/>
        <v>18</v>
      </c>
      <c r="BI43" s="240" t="str">
        <f t="shared" ca="1" si="25"/>
        <v>NWE</v>
      </c>
    </row>
    <row r="44" spans="1:61" x14ac:dyDescent="0.2">
      <c r="A44" s="303" t="s">
        <v>22</v>
      </c>
      <c r="B44" s="304" t="s">
        <v>28</v>
      </c>
      <c r="C44" s="304">
        <v>18</v>
      </c>
      <c r="D44" s="304" t="s">
        <v>317</v>
      </c>
      <c r="E44" s="305" t="str">
        <f t="shared" ca="1" si="1"/>
        <v>MR</v>
      </c>
      <c r="F44" s="306"/>
      <c r="G44" s="307">
        <f t="shared" ca="1" si="2"/>
        <v>38</v>
      </c>
      <c r="H44" s="250"/>
      <c r="I44" s="321"/>
      <c r="J44" s="262"/>
      <c r="K44" s="321"/>
      <c r="L44" s="235"/>
      <c r="M44" s="235"/>
      <c r="N44" s="321"/>
      <c r="Q44" s="321"/>
      <c r="T44" s="321"/>
      <c r="W44" s="321"/>
      <c r="AF44" s="236">
        <f t="shared" si="3"/>
        <v>0</v>
      </c>
      <c r="AG44" s="236" t="str">
        <f t="shared" ca="1" si="4"/>
        <v/>
      </c>
      <c r="AH44" s="236" t="str">
        <f t="shared" ca="1" si="19"/>
        <v/>
      </c>
      <c r="AJ44" s="236">
        <f t="shared" ca="1" si="5"/>
        <v>44</v>
      </c>
      <c r="AK44" s="236" t="str">
        <f t="shared" ca="1" si="20"/>
        <v>BBB</v>
      </c>
      <c r="AL44" s="236">
        <f t="shared" ca="1" si="20"/>
        <v>18</v>
      </c>
      <c r="AM44" s="236" t="str">
        <f t="shared" ca="1" si="6"/>
        <v/>
      </c>
      <c r="AQ44" s="286" t="s">
        <v>41</v>
      </c>
      <c r="AR44" s="286" t="s">
        <v>10</v>
      </c>
      <c r="AS44" s="286">
        <v>20</v>
      </c>
      <c r="AT44" s="286" t="s">
        <v>322</v>
      </c>
      <c r="AV44" s="234">
        <f t="shared" si="21"/>
        <v>2</v>
      </c>
      <c r="AW44" s="234">
        <f>COUNTIF( AV$7:AV44, AV44 )</f>
        <v>9</v>
      </c>
      <c r="AX44" s="287">
        <f t="shared" si="22"/>
        <v>2.9</v>
      </c>
      <c r="AY44" s="234">
        <f t="shared" si="23"/>
        <v>10</v>
      </c>
      <c r="AZ44" s="236"/>
      <c r="BA44" s="236"/>
      <c r="BC44" s="234">
        <f t="shared" ca="1" si="24"/>
        <v>38</v>
      </c>
      <c r="BD44" s="288">
        <f t="shared" ca="1" si="8"/>
        <v>35</v>
      </c>
      <c r="BF44" s="240" t="str">
        <f t="shared" ca="1" si="25"/>
        <v>Otter Tail Corporation</v>
      </c>
      <c r="BG44" s="240" t="str">
        <f t="shared" ca="1" si="25"/>
        <v>BBB</v>
      </c>
      <c r="BH44" s="240">
        <f t="shared" ca="1" si="25"/>
        <v>18</v>
      </c>
      <c r="BI44" s="240" t="str">
        <f t="shared" ca="1" si="25"/>
        <v>OTTR</v>
      </c>
    </row>
    <row r="45" spans="1:61" x14ac:dyDescent="0.2">
      <c r="A45" s="303" t="s">
        <v>53</v>
      </c>
      <c r="B45" s="304" t="s">
        <v>28</v>
      </c>
      <c r="C45" s="304">
        <v>18</v>
      </c>
      <c r="D45" s="304" t="s">
        <v>318</v>
      </c>
      <c r="E45" s="305" t="str">
        <f t="shared" ca="1" si="1"/>
        <v>R</v>
      </c>
      <c r="F45" s="306"/>
      <c r="G45" s="307">
        <f t="shared" ca="1" si="2"/>
        <v>40</v>
      </c>
      <c r="H45" s="250"/>
      <c r="I45" s="321"/>
      <c r="J45" s="262"/>
      <c r="K45" s="321"/>
      <c r="L45" s="235"/>
      <c r="M45" s="235"/>
      <c r="N45" s="321"/>
      <c r="Q45" s="321"/>
      <c r="T45" s="321"/>
      <c r="W45" s="321"/>
      <c r="AF45" s="236">
        <f t="shared" si="3"/>
        <v>0</v>
      </c>
      <c r="AG45" s="236" t="str">
        <f t="shared" ca="1" si="4"/>
        <v/>
      </c>
      <c r="AH45" s="236" t="str">
        <f t="shared" ca="1" si="19"/>
        <v/>
      </c>
      <c r="AJ45" s="236">
        <f t="shared" ca="1" si="5"/>
        <v>45</v>
      </c>
      <c r="AK45" s="236" t="str">
        <f t="shared" ca="1" si="20"/>
        <v>BBB</v>
      </c>
      <c r="AL45" s="236">
        <f t="shared" ca="1" si="20"/>
        <v>18</v>
      </c>
      <c r="AM45" s="236" t="str">
        <f t="shared" ca="1" si="6"/>
        <v/>
      </c>
      <c r="AQ45" s="286" t="s">
        <v>42</v>
      </c>
      <c r="AR45" s="286" t="s">
        <v>28</v>
      </c>
      <c r="AS45" s="286">
        <v>18</v>
      </c>
      <c r="AT45" s="286" t="s">
        <v>321</v>
      </c>
      <c r="AV45" s="234">
        <f t="shared" si="21"/>
        <v>26</v>
      </c>
      <c r="AW45" s="234">
        <f>COUNTIF( AV$7:AV45, AV45 )</f>
        <v>15</v>
      </c>
      <c r="AX45" s="287">
        <f t="shared" si="22"/>
        <v>27.5</v>
      </c>
      <c r="AY45" s="234">
        <f t="shared" si="23"/>
        <v>40</v>
      </c>
      <c r="AZ45" s="236"/>
      <c r="BA45" s="236"/>
      <c r="BC45" s="234">
        <f t="shared" ca="1" si="24"/>
        <v>39</v>
      </c>
      <c r="BD45" s="288">
        <f t="shared" ca="1" si="8"/>
        <v>37</v>
      </c>
      <c r="BF45" s="240" t="str">
        <f t="shared" ca="1" si="25"/>
        <v>PG&amp;E Corporation</v>
      </c>
      <c r="BG45" s="240" t="str">
        <f t="shared" ca="1" si="25"/>
        <v>BBB</v>
      </c>
      <c r="BH45" s="240">
        <f t="shared" ca="1" si="25"/>
        <v>18</v>
      </c>
      <c r="BI45" s="240" t="str">
        <f t="shared" ca="1" si="25"/>
        <v>PCG</v>
      </c>
    </row>
    <row r="46" spans="1:61" x14ac:dyDescent="0.2">
      <c r="A46" s="303" t="s">
        <v>42</v>
      </c>
      <c r="B46" s="304" t="s">
        <v>28</v>
      </c>
      <c r="C46" s="304">
        <v>18</v>
      </c>
      <c r="D46" s="304" t="s">
        <v>321</v>
      </c>
      <c r="E46" s="305" t="str">
        <f t="shared" ca="1" si="1"/>
        <v>R</v>
      </c>
      <c r="F46" s="306"/>
      <c r="G46" s="307">
        <f t="shared" ca="1" si="2"/>
        <v>42</v>
      </c>
      <c r="H46" s="250"/>
      <c r="I46" s="262"/>
      <c r="K46" s="262"/>
      <c r="N46" s="257"/>
      <c r="W46" s="262"/>
      <c r="AF46" s="236">
        <f t="shared" si="3"/>
        <v>0</v>
      </c>
      <c r="AG46" s="236" t="str">
        <f t="shared" ca="1" si="4"/>
        <v/>
      </c>
      <c r="AH46" s="236" t="str">
        <f t="shared" ca="1" si="19"/>
        <v/>
      </c>
      <c r="AJ46" s="236">
        <f t="shared" ca="1" si="5"/>
        <v>46</v>
      </c>
      <c r="AK46" s="236" t="str">
        <f t="shared" ca="1" si="20"/>
        <v>BBB</v>
      </c>
      <c r="AL46" s="236">
        <f t="shared" ca="1" si="20"/>
        <v>18</v>
      </c>
      <c r="AM46" s="236" t="str">
        <f t="shared" ca="1" si="6"/>
        <v/>
      </c>
      <c r="AQ46" s="286" t="s">
        <v>24</v>
      </c>
      <c r="AR46" s="286" t="s">
        <v>28</v>
      </c>
      <c r="AS46" s="286">
        <v>18</v>
      </c>
      <c r="AT46" s="289" t="s">
        <v>324</v>
      </c>
      <c r="AV46" s="234">
        <f t="shared" si="21"/>
        <v>26</v>
      </c>
      <c r="AW46" s="234">
        <f>COUNTIF( AV$7:AV46, AV46 )</f>
        <v>16</v>
      </c>
      <c r="AX46" s="287">
        <f t="shared" si="22"/>
        <v>27.6</v>
      </c>
      <c r="AY46" s="234">
        <f t="shared" si="23"/>
        <v>41</v>
      </c>
      <c r="AZ46" s="236"/>
      <c r="BA46" s="236"/>
      <c r="BC46" s="234">
        <f t="shared" ca="1" si="24"/>
        <v>40</v>
      </c>
      <c r="BD46" s="288">
        <f t="shared" ca="1" si="8"/>
        <v>39</v>
      </c>
      <c r="BF46" s="240" t="str">
        <f t="shared" ca="1" si="25"/>
        <v>PNM Resources, Inc.</v>
      </c>
      <c r="BG46" s="240" t="str">
        <f t="shared" ca="1" si="25"/>
        <v>BBB</v>
      </c>
      <c r="BH46" s="240">
        <f t="shared" ca="1" si="25"/>
        <v>18</v>
      </c>
      <c r="BI46" s="240" t="str">
        <f t="shared" ca="1" si="25"/>
        <v>PNM</v>
      </c>
    </row>
    <row r="47" spans="1:61" x14ac:dyDescent="0.2">
      <c r="A47" s="303" t="s">
        <v>24</v>
      </c>
      <c r="B47" s="304" t="s">
        <v>28</v>
      </c>
      <c r="C47" s="304">
        <v>18</v>
      </c>
      <c r="D47" s="304" t="s">
        <v>324</v>
      </c>
      <c r="E47" s="305" t="str">
        <f t="shared" ca="1" si="1"/>
        <v>R</v>
      </c>
      <c r="F47" s="306"/>
      <c r="G47" s="307">
        <f t="shared" ca="1" si="2"/>
        <v>43</v>
      </c>
      <c r="H47" s="250"/>
      <c r="I47" s="250"/>
      <c r="J47" s="258" t="s">
        <v>268</v>
      </c>
      <c r="K47" s="262"/>
      <c r="M47" s="253"/>
      <c r="N47" s="253"/>
      <c r="AF47" s="236">
        <f t="shared" si="3"/>
        <v>0</v>
      </c>
      <c r="AG47" s="236" t="str">
        <f t="shared" ca="1" si="4"/>
        <v/>
      </c>
      <c r="AH47" s="236" t="str">
        <f t="shared" ca="1" si="19"/>
        <v/>
      </c>
      <c r="AJ47" s="236">
        <f t="shared" ca="1" si="5"/>
        <v>47</v>
      </c>
      <c r="AK47" s="236" t="str">
        <f t="shared" ca="1" si="20"/>
        <v>BBB</v>
      </c>
      <c r="AL47" s="236">
        <f t="shared" ca="1" si="20"/>
        <v>18</v>
      </c>
      <c r="AM47" s="236" t="str">
        <f t="shared" ca="1" si="6"/>
        <v/>
      </c>
      <c r="AQ47" s="286" t="s">
        <v>43</v>
      </c>
      <c r="AR47" s="286" t="s">
        <v>28</v>
      </c>
      <c r="AS47" s="286">
        <v>18</v>
      </c>
      <c r="AT47" s="286" t="s">
        <v>325</v>
      </c>
      <c r="AV47" s="234">
        <f t="shared" si="21"/>
        <v>26</v>
      </c>
      <c r="AW47" s="234">
        <f>COUNTIF( AV$7:AV47, AV47 )</f>
        <v>17</v>
      </c>
      <c r="AX47" s="287">
        <f t="shared" si="22"/>
        <v>27.7</v>
      </c>
      <c r="AY47" s="234">
        <f t="shared" si="23"/>
        <v>42</v>
      </c>
      <c r="AZ47" s="236"/>
      <c r="BA47" s="236"/>
      <c r="BC47" s="234">
        <f t="shared" ca="1" si="24"/>
        <v>41</v>
      </c>
      <c r="BD47" s="288">
        <f t="shared" ca="1" si="8"/>
        <v>40</v>
      </c>
      <c r="BF47" s="240" t="str">
        <f t="shared" ca="1" si="25"/>
        <v>Portland General Electric Company</v>
      </c>
      <c r="BG47" s="240" t="str">
        <f t="shared" ca="1" si="25"/>
        <v>BBB</v>
      </c>
      <c r="BH47" s="240">
        <f t="shared" ca="1" si="25"/>
        <v>18</v>
      </c>
      <c r="BI47" s="240" t="str">
        <f t="shared" ca="1" si="25"/>
        <v>POR</v>
      </c>
    </row>
    <row r="48" spans="1:61" x14ac:dyDescent="0.2">
      <c r="A48" s="303" t="s">
        <v>43</v>
      </c>
      <c r="B48" s="304" t="s">
        <v>28</v>
      </c>
      <c r="C48" s="304">
        <v>18</v>
      </c>
      <c r="D48" s="304" t="s">
        <v>325</v>
      </c>
      <c r="E48" s="305" t="str">
        <f t="shared" ca="1" si="1"/>
        <v>MR</v>
      </c>
      <c r="F48" s="306"/>
      <c r="G48" s="307">
        <f t="shared" ca="1" si="2"/>
        <v>44</v>
      </c>
      <c r="H48" s="250"/>
      <c r="I48" s="250"/>
      <c r="K48" s="262"/>
      <c r="M48" s="253"/>
      <c r="N48" s="253"/>
      <c r="AF48" s="236">
        <f t="shared" si="3"/>
        <v>0</v>
      </c>
      <c r="AG48" s="236" t="str">
        <f t="shared" ca="1" si="4"/>
        <v/>
      </c>
      <c r="AH48" s="236" t="str">
        <f t="shared" ca="1" si="19"/>
        <v/>
      </c>
      <c r="AJ48" s="236">
        <f t="shared" ca="1" si="5"/>
        <v>48</v>
      </c>
      <c r="AK48" s="236" t="str">
        <f t="shared" ca="1" si="20"/>
        <v>BBB</v>
      </c>
      <c r="AL48" s="236">
        <f t="shared" ca="1" si="20"/>
        <v>18</v>
      </c>
      <c r="AM48" s="236" t="str">
        <f t="shared" ca="1" si="6"/>
        <v/>
      </c>
      <c r="AQ48" s="286" t="s">
        <v>45</v>
      </c>
      <c r="AR48" s="286" t="s">
        <v>16</v>
      </c>
      <c r="AS48" s="286">
        <v>19</v>
      </c>
      <c r="AT48" s="286" t="s">
        <v>319</v>
      </c>
      <c r="AV48" s="234">
        <f t="shared" si="21"/>
        <v>14</v>
      </c>
      <c r="AW48" s="234">
        <f>COUNTIF( AV$7:AV48, AV48 )</f>
        <v>9</v>
      </c>
      <c r="AX48" s="287">
        <f t="shared" si="22"/>
        <v>14.9</v>
      </c>
      <c r="AY48" s="234">
        <f t="shared" si="23"/>
        <v>22</v>
      </c>
      <c r="AZ48" s="236"/>
      <c r="BA48" s="236"/>
      <c r="BC48" s="234">
        <f t="shared" ca="1" si="24"/>
        <v>42</v>
      </c>
      <c r="BD48" s="288">
        <f t="shared" ca="1" si="8"/>
        <v>41</v>
      </c>
      <c r="BF48" s="240" t="str">
        <f t="shared" ca="1" si="25"/>
        <v>PPL Corporation</v>
      </c>
      <c r="BG48" s="240" t="str">
        <f t="shared" ca="1" si="25"/>
        <v>BBB</v>
      </c>
      <c r="BH48" s="240">
        <f t="shared" ca="1" si="25"/>
        <v>18</v>
      </c>
      <c r="BI48" s="240" t="str">
        <f t="shared" ca="1" si="25"/>
        <v>PPL</v>
      </c>
    </row>
    <row r="49" spans="1:61" x14ac:dyDescent="0.2">
      <c r="A49" s="303" t="s">
        <v>75</v>
      </c>
      <c r="B49" s="304" t="s">
        <v>28</v>
      </c>
      <c r="C49" s="304">
        <v>18</v>
      </c>
      <c r="D49" s="304" t="s">
        <v>332</v>
      </c>
      <c r="E49" s="305" t="str">
        <f t="shared" ca="1" si="1"/>
        <v>R</v>
      </c>
      <c r="F49" s="306"/>
      <c r="G49" s="307">
        <f t="shared" ca="1" si="2"/>
        <v>50</v>
      </c>
      <c r="H49" s="250"/>
      <c r="I49" s="250"/>
      <c r="J49" s="262"/>
      <c r="K49" s="262"/>
      <c r="M49" s="253"/>
      <c r="N49" s="253"/>
      <c r="AF49" s="236">
        <f t="shared" si="3"/>
        <v>0</v>
      </c>
      <c r="AG49" s="236" t="str">
        <f t="shared" ca="1" si="4"/>
        <v/>
      </c>
      <c r="AH49" s="236" t="str">
        <f t="shared" ca="1" si="19"/>
        <v/>
      </c>
      <c r="AJ49" s="236">
        <f t="shared" ca="1" si="5"/>
        <v>49</v>
      </c>
      <c r="AK49" s="236" t="str">
        <f t="shared" ca="1" si="20"/>
        <v>BBB</v>
      </c>
      <c r="AL49" s="236">
        <f t="shared" ca="1" si="20"/>
        <v>18</v>
      </c>
      <c r="AM49" s="236" t="str">
        <f t="shared" ca="1" si="6"/>
        <v/>
      </c>
      <c r="AQ49" s="286" t="s">
        <v>54</v>
      </c>
      <c r="AR49" s="286" t="s">
        <v>49</v>
      </c>
      <c r="AS49" s="286">
        <v>17</v>
      </c>
      <c r="AT49" s="286" t="s">
        <v>449</v>
      </c>
      <c r="AV49" s="234">
        <f t="shared" si="21"/>
        <v>45</v>
      </c>
      <c r="AW49" s="234">
        <f>COUNTIF( AV$7:AV49, AV49 )</f>
        <v>5</v>
      </c>
      <c r="AX49" s="287">
        <f t="shared" si="22"/>
        <v>45.5</v>
      </c>
      <c r="AY49" s="234">
        <f t="shared" si="23"/>
        <v>49</v>
      </c>
      <c r="AZ49" s="236"/>
      <c r="BA49" s="236"/>
      <c r="BC49" s="234">
        <f t="shared" ca="1" si="24"/>
        <v>43</v>
      </c>
      <c r="BD49" s="288">
        <f t="shared" ca="1" si="8"/>
        <v>48</v>
      </c>
      <c r="BF49" s="240" t="str">
        <f t="shared" ca="1" si="25"/>
        <v>UIL Holdings Corporation</v>
      </c>
      <c r="BG49" s="240" t="str">
        <f t="shared" ca="1" si="25"/>
        <v>BBB</v>
      </c>
      <c r="BH49" s="240">
        <f t="shared" ca="1" si="25"/>
        <v>18</v>
      </c>
      <c r="BI49" s="240" t="str">
        <f t="shared" ca="1" si="25"/>
        <v>UIL</v>
      </c>
    </row>
    <row r="50" spans="1:61" x14ac:dyDescent="0.2">
      <c r="A50" s="303" t="s">
        <v>59</v>
      </c>
      <c r="B50" s="304" t="s">
        <v>28</v>
      </c>
      <c r="C50" s="304">
        <v>18</v>
      </c>
      <c r="D50" s="304" t="s">
        <v>337</v>
      </c>
      <c r="E50" s="305" t="str">
        <f t="shared" ca="1" si="1"/>
        <v>R</v>
      </c>
      <c r="F50" s="306"/>
      <c r="G50" s="307">
        <f t="shared" ca="1" si="2"/>
        <v>54</v>
      </c>
      <c r="H50" s="250"/>
      <c r="I50" s="250"/>
      <c r="J50" s="262"/>
      <c r="K50" s="262"/>
      <c r="L50" s="235"/>
      <c r="M50" s="257"/>
      <c r="N50" s="257"/>
      <c r="AF50" s="236">
        <f t="shared" si="3"/>
        <v>0</v>
      </c>
      <c r="AG50" s="236" t="str">
        <f t="shared" ca="1" si="4"/>
        <v/>
      </c>
      <c r="AH50" s="236" t="str">
        <f t="shared" ca="1" si="19"/>
        <v/>
      </c>
      <c r="AJ50" s="236">
        <f t="shared" ca="1" si="5"/>
        <v>50</v>
      </c>
      <c r="AK50" s="236" t="str">
        <f t="shared" ca="1" si="20"/>
        <v>BBB</v>
      </c>
      <c r="AL50" s="236">
        <f t="shared" ca="1" si="20"/>
        <v>18</v>
      </c>
      <c r="AM50" s="236" t="str">
        <f t="shared" ca="1" si="6"/>
        <v/>
      </c>
      <c r="AQ50" s="286" t="s">
        <v>13</v>
      </c>
      <c r="AR50" s="286" t="s">
        <v>16</v>
      </c>
      <c r="AS50" s="286">
        <v>19</v>
      </c>
      <c r="AT50" s="286" t="s">
        <v>327</v>
      </c>
      <c r="AV50" s="234">
        <f t="shared" si="21"/>
        <v>14</v>
      </c>
      <c r="AW50" s="234">
        <f>COUNTIF( AV$7:AV50, AV50 )</f>
        <v>10</v>
      </c>
      <c r="AX50" s="287">
        <f t="shared" si="22"/>
        <v>15</v>
      </c>
      <c r="AY50" s="234">
        <f t="shared" si="23"/>
        <v>23</v>
      </c>
      <c r="AZ50" s="236"/>
      <c r="BA50" s="236"/>
      <c r="BC50" s="234">
        <f t="shared" ca="1" si="24"/>
        <v>44</v>
      </c>
      <c r="BD50" s="288">
        <f t="shared" ca="1" si="8"/>
        <v>50</v>
      </c>
      <c r="BF50" s="240" t="str">
        <f t="shared" ca="1" si="25"/>
        <v>Westar Energy, Inc.</v>
      </c>
      <c r="BG50" s="240" t="str">
        <f t="shared" ca="1" si="25"/>
        <v>BBB</v>
      </c>
      <c r="BH50" s="240">
        <f t="shared" ca="1" si="25"/>
        <v>18</v>
      </c>
      <c r="BI50" s="240" t="str">
        <f t="shared" ca="1" si="25"/>
        <v>WR</v>
      </c>
    </row>
    <row r="51" spans="1:61" x14ac:dyDescent="0.2">
      <c r="A51" s="303" t="s">
        <v>57</v>
      </c>
      <c r="B51" s="304" t="s">
        <v>49</v>
      </c>
      <c r="C51" s="304">
        <v>17</v>
      </c>
      <c r="D51" s="304" t="s">
        <v>296</v>
      </c>
      <c r="E51" s="305" t="str">
        <f t="shared" ca="1" si="1"/>
        <v>R</v>
      </c>
      <c r="F51" s="306"/>
      <c r="G51" s="307">
        <f t="shared" ca="1" si="2"/>
        <v>20</v>
      </c>
      <c r="H51" s="250"/>
      <c r="I51" s="250"/>
      <c r="J51" s="262"/>
      <c r="K51" s="262"/>
      <c r="L51" s="235"/>
      <c r="M51" s="257"/>
      <c r="N51" s="257"/>
      <c r="AF51" s="236">
        <f t="shared" si="3"/>
        <v>1</v>
      </c>
      <c r="AG51" s="236" t="str">
        <f t="shared" ca="1" si="4"/>
        <v/>
      </c>
      <c r="AH51" s="236" t="str">
        <f t="shared" ca="1" si="19"/>
        <v/>
      </c>
      <c r="AJ51" s="236">
        <f t="shared" ca="1" si="5"/>
        <v>51</v>
      </c>
      <c r="AK51" s="236" t="str">
        <f t="shared" ca="1" si="20"/>
        <v>BBB-</v>
      </c>
      <c r="AL51" s="236">
        <f t="shared" ca="1" si="20"/>
        <v>17</v>
      </c>
      <c r="AM51" s="236" t="str">
        <f t="shared" ca="1" si="6"/>
        <v/>
      </c>
      <c r="AQ51" s="286" t="s">
        <v>25</v>
      </c>
      <c r="AR51" s="286" t="s">
        <v>16</v>
      </c>
      <c r="AS51" s="286">
        <v>19</v>
      </c>
      <c r="AT51" s="286" t="s">
        <v>329</v>
      </c>
      <c r="AV51" s="234">
        <f t="shared" si="21"/>
        <v>14</v>
      </c>
      <c r="AW51" s="234">
        <f>COUNTIF( AV$7:AV51, AV51 )</f>
        <v>11</v>
      </c>
      <c r="AX51" s="287">
        <f t="shared" si="22"/>
        <v>15.1</v>
      </c>
      <c r="AY51" s="234">
        <f t="shared" si="23"/>
        <v>24</v>
      </c>
      <c r="AZ51" s="236"/>
      <c r="BA51" s="236"/>
      <c r="BC51" s="234">
        <f t="shared" ca="1" si="24"/>
        <v>45</v>
      </c>
      <c r="BD51" s="288">
        <f t="shared" ca="1" si="8"/>
        <v>15</v>
      </c>
      <c r="BF51" s="240" t="str">
        <f t="shared" ca="1" si="25"/>
        <v>Edison International</v>
      </c>
      <c r="BG51" s="240" t="str">
        <f t="shared" ca="1" si="25"/>
        <v>BBB-</v>
      </c>
      <c r="BH51" s="240">
        <f t="shared" ca="1" si="25"/>
        <v>17</v>
      </c>
      <c r="BI51" s="240" t="str">
        <f t="shared" ca="1" si="25"/>
        <v>EIX</v>
      </c>
    </row>
    <row r="52" spans="1:61" x14ac:dyDescent="0.2">
      <c r="A52" s="303" t="s">
        <v>51</v>
      </c>
      <c r="B52" s="304" t="s">
        <v>49</v>
      </c>
      <c r="C52" s="304">
        <v>17</v>
      </c>
      <c r="D52" s="304" t="s">
        <v>299</v>
      </c>
      <c r="E52" s="305" t="str">
        <f t="shared" ca="1" si="1"/>
        <v>MR</v>
      </c>
      <c r="F52" s="306"/>
      <c r="G52" s="307">
        <f t="shared" ca="1" si="2"/>
        <v>25</v>
      </c>
      <c r="H52" s="250"/>
      <c r="I52" s="250"/>
      <c r="J52" s="262"/>
      <c r="K52" s="262"/>
      <c r="AF52" s="236">
        <f t="shared" si="3"/>
        <v>1</v>
      </c>
      <c r="AG52" s="236" t="str">
        <f t="shared" ca="1" si="4"/>
        <v/>
      </c>
      <c r="AH52" s="236" t="str">
        <f t="shared" ca="1" si="19"/>
        <v/>
      </c>
      <c r="AJ52" s="236">
        <f t="shared" ca="1" si="5"/>
        <v>52</v>
      </c>
      <c r="AK52" s="236" t="str">
        <f t="shared" ca="1" si="20"/>
        <v>BBB-</v>
      </c>
      <c r="AL52" s="236">
        <f t="shared" ca="1" si="20"/>
        <v>17</v>
      </c>
      <c r="AM52" s="236" t="str">
        <f t="shared" ca="1" si="6"/>
        <v/>
      </c>
      <c r="AQ52" s="286" t="s">
        <v>7</v>
      </c>
      <c r="AR52" s="286" t="s">
        <v>2</v>
      </c>
      <c r="AS52" s="286">
        <v>21</v>
      </c>
      <c r="AT52" s="286" t="s">
        <v>328</v>
      </c>
      <c r="AV52" s="234">
        <f t="shared" si="21"/>
        <v>1</v>
      </c>
      <c r="AW52" s="234">
        <f>COUNTIF( AV$7:AV52, AV52 )</f>
        <v>1</v>
      </c>
      <c r="AX52" s="287">
        <f t="shared" si="22"/>
        <v>1.1000000000000001</v>
      </c>
      <c r="AY52" s="234">
        <f t="shared" si="23"/>
        <v>1</v>
      </c>
      <c r="AZ52" s="236"/>
      <c r="BA52" s="236"/>
      <c r="BC52" s="234">
        <f t="shared" ca="1" si="24"/>
        <v>46</v>
      </c>
      <c r="BD52" s="288">
        <f t="shared" ca="1" si="8"/>
        <v>21</v>
      </c>
      <c r="BF52" s="240" t="str">
        <f t="shared" ca="1" si="25"/>
        <v>FirstEnergy Corp.</v>
      </c>
      <c r="BG52" s="240" t="str">
        <f t="shared" ca="1" si="25"/>
        <v>BBB-</v>
      </c>
      <c r="BH52" s="240">
        <f t="shared" ca="1" si="25"/>
        <v>17</v>
      </c>
      <c r="BI52" s="240" t="str">
        <f t="shared" ca="1" si="25"/>
        <v>FE</v>
      </c>
    </row>
    <row r="53" spans="1:61" x14ac:dyDescent="0.2">
      <c r="A53" s="303" t="s">
        <v>39</v>
      </c>
      <c r="B53" s="304" t="s">
        <v>49</v>
      </c>
      <c r="C53" s="304">
        <v>17</v>
      </c>
      <c r="D53" s="304" t="s">
        <v>302</v>
      </c>
      <c r="E53" s="305" t="str">
        <f t="shared" ca="1" si="1"/>
        <v>MR</v>
      </c>
      <c r="F53" s="306"/>
      <c r="G53" s="307">
        <f t="shared" ca="1" si="2"/>
        <v>27</v>
      </c>
      <c r="H53" s="250"/>
      <c r="I53" s="250"/>
      <c r="J53" s="262"/>
      <c r="K53" s="262"/>
      <c r="AF53" s="236">
        <f t="shared" si="3"/>
        <v>1</v>
      </c>
      <c r="AG53" s="236" t="str">
        <f t="shared" ca="1" si="4"/>
        <v/>
      </c>
      <c r="AH53" s="236" t="str">
        <f t="shared" ca="1" si="19"/>
        <v/>
      </c>
      <c r="AJ53" s="236">
        <f t="shared" ca="1" si="5"/>
        <v>53</v>
      </c>
      <c r="AK53" s="236" t="str">
        <f t="shared" ca="1" si="20"/>
        <v>BBB-</v>
      </c>
      <c r="AL53" s="236">
        <f t="shared" ca="1" si="20"/>
        <v>17</v>
      </c>
      <c r="AM53" s="236" t="str">
        <f t="shared" ca="1" si="6"/>
        <v/>
      </c>
      <c r="AQ53" s="286" t="s">
        <v>62</v>
      </c>
      <c r="AR53" s="286" t="s">
        <v>16</v>
      </c>
      <c r="AS53" s="286">
        <v>19</v>
      </c>
      <c r="AT53" s="286" t="s">
        <v>330</v>
      </c>
      <c r="AV53" s="234">
        <f t="shared" si="21"/>
        <v>14</v>
      </c>
      <c r="AW53" s="234">
        <f>COUNTIF( AV$7:AV53, AV53 )</f>
        <v>12</v>
      </c>
      <c r="AX53" s="287">
        <f t="shared" si="22"/>
        <v>15.2</v>
      </c>
      <c r="AY53" s="234">
        <f t="shared" si="23"/>
        <v>25</v>
      </c>
      <c r="AZ53" s="236"/>
      <c r="BA53" s="236"/>
      <c r="BC53" s="234">
        <f t="shared" ca="1" si="24"/>
        <v>47</v>
      </c>
      <c r="BD53" s="288">
        <f t="shared" ca="1" si="8"/>
        <v>23</v>
      </c>
      <c r="BF53" s="240" t="str">
        <f t="shared" ca="1" si="25"/>
        <v>Hawaiian Electric Industries, Inc.</v>
      </c>
      <c r="BG53" s="240" t="str">
        <f t="shared" ca="1" si="25"/>
        <v>BBB-</v>
      </c>
      <c r="BH53" s="240">
        <f t="shared" ca="1" si="25"/>
        <v>17</v>
      </c>
      <c r="BI53" s="240" t="str">
        <f t="shared" ca="1" si="25"/>
        <v>HE</v>
      </c>
    </row>
    <row r="54" spans="1:61" x14ac:dyDescent="0.2">
      <c r="A54" s="303" t="s">
        <v>40</v>
      </c>
      <c r="B54" s="304" t="s">
        <v>49</v>
      </c>
      <c r="C54" s="304">
        <v>17</v>
      </c>
      <c r="D54" s="304" t="s">
        <v>311</v>
      </c>
      <c r="E54" s="305" t="str">
        <f t="shared" ca="1" si="1"/>
        <v>MR</v>
      </c>
      <c r="F54" s="306"/>
      <c r="G54" s="307">
        <f t="shared" ca="1" si="2"/>
        <v>33</v>
      </c>
      <c r="H54" s="250"/>
      <c r="I54" s="250"/>
      <c r="J54" s="262"/>
      <c r="K54" s="262"/>
      <c r="AF54" s="236">
        <f t="shared" si="3"/>
        <v>1</v>
      </c>
      <c r="AG54" s="236" t="str">
        <f t="shared" ca="1" si="4"/>
        <v/>
      </c>
      <c r="AH54" s="236" t="str">
        <f t="shared" ca="1" si="19"/>
        <v/>
      </c>
      <c r="AJ54" s="236">
        <f t="shared" ca="1" si="5"/>
        <v>55</v>
      </c>
      <c r="AK54" s="236" t="str">
        <f t="shared" ca="1" si="20"/>
        <v>BBB-</v>
      </c>
      <c r="AL54" s="236">
        <f t="shared" ca="1" si="20"/>
        <v>17</v>
      </c>
      <c r="AM54" s="236" t="str">
        <f t="shared" ca="1" si="6"/>
        <v/>
      </c>
      <c r="AQ54" s="286" t="s">
        <v>75</v>
      </c>
      <c r="AR54" s="286" t="s">
        <v>28</v>
      </c>
      <c r="AS54" s="286">
        <v>18</v>
      </c>
      <c r="AT54" s="286" t="s">
        <v>332</v>
      </c>
      <c r="AV54" s="234">
        <f t="shared" si="21"/>
        <v>26</v>
      </c>
      <c r="AW54" s="234">
        <f>COUNTIF( AV$7:AV54, AV54 )</f>
        <v>18</v>
      </c>
      <c r="AX54" s="287">
        <f t="shared" si="22"/>
        <v>27.8</v>
      </c>
      <c r="AY54" s="234">
        <f t="shared" si="23"/>
        <v>43</v>
      </c>
      <c r="AZ54" s="236"/>
      <c r="BA54" s="236"/>
      <c r="BC54" s="234">
        <f t="shared" ca="1" si="24"/>
        <v>48</v>
      </c>
      <c r="BD54" s="288">
        <f t="shared" ca="1" si="8"/>
        <v>31</v>
      </c>
      <c r="BF54" s="240" t="str">
        <f t="shared" ca="1" si="25"/>
        <v>NiSource Inc.</v>
      </c>
      <c r="BG54" s="240" t="str">
        <f t="shared" ca="1" si="25"/>
        <v>BBB-</v>
      </c>
      <c r="BH54" s="240">
        <f t="shared" ca="1" si="25"/>
        <v>17</v>
      </c>
      <c r="BI54" s="240" t="str">
        <f t="shared" ca="1" si="25"/>
        <v>NI</v>
      </c>
    </row>
    <row r="55" spans="1:61" x14ac:dyDescent="0.2">
      <c r="A55" s="303" t="s">
        <v>54</v>
      </c>
      <c r="B55" s="304" t="s">
        <v>49</v>
      </c>
      <c r="C55" s="304">
        <v>17</v>
      </c>
      <c r="D55" s="304" t="s">
        <v>449</v>
      </c>
      <c r="E55" s="305" t="str">
        <f t="shared" ca="1" si="1"/>
        <v>R</v>
      </c>
      <c r="F55" s="306"/>
      <c r="G55" s="307">
        <f t="shared" ca="1" si="2"/>
        <v>63</v>
      </c>
      <c r="H55" s="250"/>
      <c r="I55" s="250"/>
      <c r="J55" s="262"/>
      <c r="K55" s="262"/>
      <c r="AF55" s="236">
        <f t="shared" si="3"/>
        <v>1</v>
      </c>
      <c r="AG55" s="236">
        <f t="shared" ca="1" si="4"/>
        <v>1</v>
      </c>
      <c r="AH55" s="236" t="str">
        <f t="shared" ca="1" si="19"/>
        <v/>
      </c>
      <c r="AJ55" s="236">
        <f t="shared" ca="1" si="5"/>
        <v>57</v>
      </c>
      <c r="AK55" s="236" t="str">
        <f t="shared" ca="1" si="20"/>
        <v>BB+</v>
      </c>
      <c r="AL55" s="236">
        <f t="shared" ca="1" si="20"/>
        <v>16</v>
      </c>
      <c r="AM55" s="236" t="str">
        <f t="shared" ca="1" si="6"/>
        <v>Change</v>
      </c>
      <c r="AQ55" s="286" t="s">
        <v>14</v>
      </c>
      <c r="AR55" s="286" t="s">
        <v>10</v>
      </c>
      <c r="AS55" s="286">
        <v>20</v>
      </c>
      <c r="AT55" s="286" t="s">
        <v>335</v>
      </c>
      <c r="AV55" s="234">
        <f t="shared" si="21"/>
        <v>2</v>
      </c>
      <c r="AW55" s="234">
        <f>COUNTIF( AV$7:AV55, AV55 )</f>
        <v>10</v>
      </c>
      <c r="AX55" s="287">
        <f t="shared" si="22"/>
        <v>3</v>
      </c>
      <c r="AY55" s="234">
        <f t="shared" si="23"/>
        <v>11</v>
      </c>
      <c r="AZ55" s="236"/>
      <c r="BA55" s="236"/>
      <c r="BC55" s="234">
        <f t="shared" ca="1" si="24"/>
        <v>49</v>
      </c>
      <c r="BD55" s="288">
        <f t="shared" ca="1" si="8"/>
        <v>43</v>
      </c>
      <c r="BF55" s="240" t="str">
        <f t="shared" ca="1" si="25"/>
        <v>Puget Energy, Inc.</v>
      </c>
      <c r="BG55" s="240" t="str">
        <f t="shared" ca="1" si="25"/>
        <v>BBB-</v>
      </c>
      <c r="BH55" s="240">
        <f t="shared" ca="1" si="25"/>
        <v>17</v>
      </c>
      <c r="BI55" s="240" t="str">
        <f t="shared" ca="1" si="25"/>
        <v>**PSD</v>
      </c>
    </row>
    <row r="56" spans="1:61" x14ac:dyDescent="0.2">
      <c r="A56" s="303" t="s">
        <v>58</v>
      </c>
      <c r="B56" s="304" t="s">
        <v>56</v>
      </c>
      <c r="C56" s="304">
        <v>16</v>
      </c>
      <c r="D56" s="304" t="s">
        <v>446</v>
      </c>
      <c r="E56" s="305" t="str">
        <f t="shared" ca="1" si="1"/>
        <v>R</v>
      </c>
      <c r="F56" s="306"/>
      <c r="G56" s="307">
        <f t="shared" ca="1" si="2"/>
        <v>61</v>
      </c>
      <c r="H56" s="250"/>
      <c r="I56" s="250"/>
      <c r="J56" s="262"/>
      <c r="K56" s="262"/>
      <c r="AF56" s="236">
        <f t="shared" si="3"/>
        <v>0</v>
      </c>
      <c r="AG56" s="236" t="str">
        <f t="shared" ca="1" si="4"/>
        <v/>
      </c>
      <c r="AH56" s="236">
        <f t="shared" ca="1" si="19"/>
        <v>1</v>
      </c>
      <c r="AJ56" s="236">
        <f t="shared" ca="1" si="5"/>
        <v>54</v>
      </c>
      <c r="AK56" s="236" t="str">
        <f t="shared" ca="1" si="20"/>
        <v>BBB-</v>
      </c>
      <c r="AL56" s="236">
        <f t="shared" ca="1" si="20"/>
        <v>17</v>
      </c>
      <c r="AM56" s="236" t="str">
        <f t="shared" ca="1" si="6"/>
        <v>Change</v>
      </c>
      <c r="AQ56" s="286" t="s">
        <v>59</v>
      </c>
      <c r="AR56" s="286" t="s">
        <v>28</v>
      </c>
      <c r="AS56" s="286">
        <v>18</v>
      </c>
      <c r="AT56" s="286" t="s">
        <v>337</v>
      </c>
      <c r="AV56" s="234">
        <f t="shared" si="21"/>
        <v>26</v>
      </c>
      <c r="AW56" s="234">
        <f>COUNTIF( AV$7:AV56, AV56 )</f>
        <v>19</v>
      </c>
      <c r="AX56" s="287">
        <f t="shared" si="22"/>
        <v>27.9</v>
      </c>
      <c r="AY56" s="234">
        <f t="shared" si="23"/>
        <v>44</v>
      </c>
      <c r="AZ56" s="236"/>
      <c r="BA56" s="236"/>
      <c r="BC56" s="234">
        <f t="shared" ca="1" si="24"/>
        <v>50</v>
      </c>
      <c r="BD56" s="288">
        <f t="shared" ca="1" si="8"/>
        <v>27</v>
      </c>
      <c r="BF56" s="240" t="str">
        <f t="shared" ca="1" si="25"/>
        <v>IPALCO Enterprises, Inc.</v>
      </c>
      <c r="BG56" s="240" t="str">
        <f t="shared" ca="1" si="25"/>
        <v>BB+</v>
      </c>
      <c r="BH56" s="240">
        <f t="shared" ca="1" si="25"/>
        <v>16</v>
      </c>
      <c r="BI56" s="240" t="str">
        <f t="shared" ca="1" si="25"/>
        <v>**IPALCO</v>
      </c>
    </row>
    <row r="57" spans="1:61" x14ac:dyDescent="0.2">
      <c r="A57" s="303" t="s">
        <v>64</v>
      </c>
      <c r="B57" s="304" t="s">
        <v>61</v>
      </c>
      <c r="C57" s="304">
        <v>15</v>
      </c>
      <c r="D57" s="304" t="s">
        <v>443</v>
      </c>
      <c r="E57" s="305" t="str">
        <f t="shared" ca="1" si="1"/>
        <v>R</v>
      </c>
      <c r="F57" s="306"/>
      <c r="G57" s="307">
        <f t="shared" ca="1" si="2"/>
        <v>59</v>
      </c>
      <c r="H57" s="250"/>
      <c r="I57" s="250"/>
      <c r="J57" s="262"/>
      <c r="K57" s="262"/>
      <c r="AF57" s="236">
        <f t="shared" si="3"/>
        <v>1</v>
      </c>
      <c r="AG57" s="236" t="str">
        <f t="shared" ca="1" si="4"/>
        <v/>
      </c>
      <c r="AH57" s="236" t="str">
        <f t="shared" ca="1" si="19"/>
        <v/>
      </c>
      <c r="AJ57" s="236">
        <f t="shared" ca="1" si="5"/>
        <v>58</v>
      </c>
      <c r="AK57" s="236" t="str">
        <f t="shared" ca="1" si="20"/>
        <v>BB</v>
      </c>
      <c r="AL57" s="236">
        <f t="shared" ca="1" si="20"/>
        <v>15</v>
      </c>
      <c r="AM57" s="236" t="str">
        <f t="shared" ca="1" si="6"/>
        <v/>
      </c>
      <c r="AQ57" s="286" t="s">
        <v>26</v>
      </c>
      <c r="AR57" s="286" t="s">
        <v>10</v>
      </c>
      <c r="AS57" s="286">
        <v>20</v>
      </c>
      <c r="AT57" s="286" t="s">
        <v>336</v>
      </c>
      <c r="AV57" s="234">
        <f t="shared" si="21"/>
        <v>2</v>
      </c>
      <c r="AW57" s="234">
        <f>COUNTIF( AV$7:AV57, AV57 )</f>
        <v>11</v>
      </c>
      <c r="AX57" s="287">
        <f t="shared" si="22"/>
        <v>3.1</v>
      </c>
      <c r="AY57" s="234">
        <f t="shared" si="23"/>
        <v>12</v>
      </c>
      <c r="AZ57" s="236"/>
      <c r="BA57" s="236"/>
      <c r="BC57" s="234">
        <f t="shared" ca="1" si="24"/>
        <v>51</v>
      </c>
      <c r="BD57" s="288">
        <f t="shared" ca="1" si="8"/>
        <v>12</v>
      </c>
      <c r="BF57" s="240" t="str">
        <f t="shared" ca="1" si="25"/>
        <v>DPL Inc.</v>
      </c>
      <c r="BG57" s="240" t="str">
        <f t="shared" ca="1" si="25"/>
        <v>BB</v>
      </c>
      <c r="BH57" s="240">
        <f t="shared" ca="1" si="25"/>
        <v>15</v>
      </c>
      <c r="BI57" s="240" t="str">
        <f t="shared" ca="1" si="25"/>
        <v>**DPL</v>
      </c>
    </row>
    <row r="58" spans="1:61" x14ac:dyDescent="0.2">
      <c r="A58" s="303" t="s">
        <v>249</v>
      </c>
      <c r="B58" s="304" t="s">
        <v>127</v>
      </c>
      <c r="C58" s="304">
        <v>8</v>
      </c>
      <c r="D58" s="304" t="s">
        <v>445</v>
      </c>
      <c r="E58" s="305" t="str">
        <f t="shared" ca="1" si="1"/>
        <v>D</v>
      </c>
      <c r="F58" s="306"/>
      <c r="G58" s="307">
        <f t="shared" ca="1" si="2"/>
        <v>60</v>
      </c>
      <c r="H58" s="250"/>
      <c r="I58" s="250"/>
      <c r="J58" s="262"/>
      <c r="K58" s="262"/>
      <c r="AF58" s="236">
        <f t="shared" si="3"/>
        <v>0</v>
      </c>
      <c r="AG58" s="236" t="str">
        <f t="shared" ca="1" si="4"/>
        <v/>
      </c>
      <c r="AH58" s="236">
        <f t="shared" ca="1" si="19"/>
        <v>1</v>
      </c>
      <c r="AJ58" s="236">
        <f t="shared" ca="1" si="5"/>
        <v>59</v>
      </c>
      <c r="AK58" s="236" t="str">
        <f t="shared" ca="1" si="20"/>
        <v>CCC</v>
      </c>
      <c r="AL58" s="236">
        <f t="shared" ca="1" si="20"/>
        <v>9</v>
      </c>
      <c r="AM58" s="236" t="str">
        <f t="shared" ca="1" si="6"/>
        <v>Change</v>
      </c>
      <c r="AQ58" s="286" t="s">
        <v>258</v>
      </c>
      <c r="AR58" s="286" t="s">
        <v>10</v>
      </c>
      <c r="AS58" s="286">
        <v>20</v>
      </c>
      <c r="AT58" s="286" t="s">
        <v>338</v>
      </c>
      <c r="AV58" s="234">
        <f t="shared" si="21"/>
        <v>2</v>
      </c>
      <c r="AW58" s="234">
        <f>COUNTIF( AV$7:AV58, AV58 )</f>
        <v>12</v>
      </c>
      <c r="AX58" s="287">
        <f t="shared" si="22"/>
        <v>3.2</v>
      </c>
      <c r="AY58" s="234">
        <f t="shared" si="23"/>
        <v>13</v>
      </c>
      <c r="AZ58" s="236"/>
      <c r="BA58" s="236"/>
      <c r="BC58" s="234">
        <f t="shared" ca="1" si="24"/>
        <v>52</v>
      </c>
      <c r="BD58" s="288">
        <f t="shared" ca="1" si="8"/>
        <v>18</v>
      </c>
      <c r="BF58" s="240" t="str">
        <f t="shared" ca="1" si="25"/>
        <v>Energy Future Holdings Corp.</v>
      </c>
      <c r="BG58" s="240" t="str">
        <f t="shared" ca="1" si="25"/>
        <v>CCC-</v>
      </c>
      <c r="BH58" s="240">
        <f t="shared" ca="1" si="25"/>
        <v>8</v>
      </c>
      <c r="BI58" s="240" t="str">
        <f t="shared" ca="1" si="25"/>
        <v>**EFH</v>
      </c>
    </row>
    <row r="59" spans="1:61" x14ac:dyDescent="0.2">
      <c r="A59" s="303"/>
      <c r="B59" s="304"/>
      <c r="C59" s="304"/>
      <c r="D59" s="304"/>
      <c r="E59" s="305"/>
      <c r="F59" s="306"/>
      <c r="G59" s="307" t="str">
        <f t="shared" ca="1" si="2"/>
        <v/>
      </c>
      <c r="H59" s="250"/>
      <c r="I59" s="250"/>
      <c r="J59" s="262"/>
      <c r="K59" s="262"/>
      <c r="AF59" s="236">
        <f t="shared" si="3"/>
        <v>0</v>
      </c>
      <c r="AG59" s="236" t="str">
        <f t="shared" si="4"/>
        <v/>
      </c>
      <c r="AH59" s="236" t="str">
        <f t="shared" si="19"/>
        <v/>
      </c>
      <c r="AJ59" s="236" t="e">
        <f t="shared" ca="1" si="5"/>
        <v>#N/A</v>
      </c>
      <c r="AK59" s="236" t="str">
        <f t="shared" ca="1" si="20"/>
        <v/>
      </c>
      <c r="AL59" s="236" t="str">
        <f t="shared" ca="1" si="20"/>
        <v/>
      </c>
      <c r="AM59" s="236" t="str">
        <f t="shared" ca="1" si="6"/>
        <v/>
      </c>
      <c r="AQ59" s="286"/>
      <c r="AR59" s="286"/>
      <c r="AS59" s="286"/>
      <c r="AT59" s="286"/>
      <c r="AV59" s="234">
        <f t="shared" si="21"/>
        <v>99</v>
      </c>
      <c r="AW59" s="234">
        <f>COUNTIF( AV$7:AV59, AV59 )</f>
        <v>1</v>
      </c>
      <c r="AX59" s="287">
        <f t="shared" si="22"/>
        <v>99.1</v>
      </c>
      <c r="AY59" s="234">
        <f t="shared" si="23"/>
        <v>53</v>
      </c>
      <c r="AZ59" s="236"/>
      <c r="BA59" s="236"/>
      <c r="BC59" s="234">
        <f t="shared" ca="1" si="24"/>
        <v>53</v>
      </c>
      <c r="BD59" s="288">
        <f t="shared" ca="1" si="8"/>
        <v>53</v>
      </c>
      <c r="BF59" s="240">
        <f t="shared" ca="1" si="25"/>
        <v>0</v>
      </c>
      <c r="BG59" s="240">
        <f t="shared" ca="1" si="25"/>
        <v>0</v>
      </c>
      <c r="BH59" s="240">
        <f t="shared" ca="1" si="25"/>
        <v>0</v>
      </c>
      <c r="BI59" s="240">
        <f t="shared" ca="1" si="25"/>
        <v>0</v>
      </c>
    </row>
    <row r="60" spans="1:61" x14ac:dyDescent="0.2">
      <c r="A60" s="247"/>
      <c r="B60" s="248"/>
      <c r="C60" s="248"/>
      <c r="D60" s="248"/>
      <c r="E60" s="249"/>
      <c r="F60" s="250"/>
      <c r="G60" s="251" t="str">
        <f t="shared" ca="1" si="2"/>
        <v/>
      </c>
      <c r="H60" s="250"/>
      <c r="I60" s="250"/>
      <c r="AF60" s="236">
        <f t="shared" si="3"/>
        <v>0</v>
      </c>
      <c r="AG60" s="236" t="str">
        <f t="shared" si="4"/>
        <v/>
      </c>
      <c r="AH60" s="236" t="str">
        <f t="shared" si="19"/>
        <v/>
      </c>
      <c r="AJ60" s="236" t="e">
        <f t="shared" ca="1" si="5"/>
        <v>#N/A</v>
      </c>
      <c r="AK60" s="236" t="str">
        <f t="shared" ca="1" si="20"/>
        <v/>
      </c>
      <c r="AL60" s="236" t="str">
        <f t="shared" ca="1" si="20"/>
        <v/>
      </c>
      <c r="AM60" s="236" t="str">
        <f t="shared" ca="1" si="6"/>
        <v/>
      </c>
      <c r="AQ60" s="286"/>
      <c r="AR60" s="286"/>
      <c r="AS60" s="286"/>
      <c r="AT60" s="286"/>
      <c r="AV60" s="234">
        <f t="shared" si="21"/>
        <v>99</v>
      </c>
      <c r="AW60" s="234">
        <f>COUNTIF( AV$7:AV60, AV60 )</f>
        <v>2</v>
      </c>
      <c r="AX60" s="287">
        <f t="shared" si="22"/>
        <v>99.2</v>
      </c>
      <c r="AY60" s="234">
        <f t="shared" si="23"/>
        <v>54</v>
      </c>
      <c r="AZ60" s="236"/>
      <c r="BA60" s="236"/>
      <c r="BC60" s="234">
        <f t="shared" ca="1" si="24"/>
        <v>54</v>
      </c>
      <c r="BD60" s="288">
        <f t="shared" ca="1" si="8"/>
        <v>54</v>
      </c>
      <c r="BF60" s="240">
        <f t="shared" ca="1" si="25"/>
        <v>0</v>
      </c>
      <c r="BG60" s="240">
        <f t="shared" ca="1" si="25"/>
        <v>0</v>
      </c>
      <c r="BH60" s="240">
        <f t="shared" ca="1" si="25"/>
        <v>0</v>
      </c>
      <c r="BI60" s="240">
        <f t="shared" ca="1" si="25"/>
        <v>0</v>
      </c>
    </row>
    <row r="61" spans="1:61" ht="13.5" thickBot="1" x14ac:dyDescent="0.25">
      <c r="A61" s="265"/>
      <c r="B61" s="266"/>
      <c r="C61" s="266"/>
      <c r="D61" s="266"/>
      <c r="E61" s="267"/>
      <c r="F61" s="250"/>
      <c r="G61" s="251" t="str">
        <f t="shared" ca="1" si="2"/>
        <v/>
      </c>
      <c r="H61" s="250"/>
      <c r="I61" s="250"/>
      <c r="AF61" s="236">
        <f t="shared" si="3"/>
        <v>0</v>
      </c>
      <c r="AG61" s="236" t="str">
        <f t="shared" si="4"/>
        <v/>
      </c>
      <c r="AH61" s="236" t="str">
        <f t="shared" si="19"/>
        <v/>
      </c>
      <c r="AJ61" s="236" t="e">
        <f t="shared" ca="1" si="5"/>
        <v>#N/A</v>
      </c>
      <c r="AK61" s="236" t="str">
        <f t="shared" ca="1" si="20"/>
        <v/>
      </c>
      <c r="AL61" s="236" t="str">
        <f t="shared" ca="1" si="20"/>
        <v/>
      </c>
      <c r="AM61" s="236" t="str">
        <f t="shared" ca="1" si="6"/>
        <v/>
      </c>
      <c r="AQ61" s="286"/>
      <c r="AR61" s="286"/>
      <c r="AS61" s="286"/>
      <c r="AT61" s="286"/>
      <c r="AV61" s="234">
        <f t="shared" si="21"/>
        <v>99</v>
      </c>
      <c r="AW61" s="234">
        <f>COUNTIF( AV$7:AV61, AV61 )</f>
        <v>3</v>
      </c>
      <c r="AX61" s="287">
        <f t="shared" si="22"/>
        <v>99.3</v>
      </c>
      <c r="AY61" s="234">
        <f t="shared" si="23"/>
        <v>55</v>
      </c>
      <c r="AZ61" s="236"/>
      <c r="BA61" s="236"/>
      <c r="BC61" s="234">
        <f t="shared" ca="1" si="24"/>
        <v>55</v>
      </c>
      <c r="BD61" s="288">
        <f t="shared" ca="1" si="8"/>
        <v>55</v>
      </c>
      <c r="BF61" s="240">
        <f t="shared" ca="1" si="25"/>
        <v>0</v>
      </c>
      <c r="BG61" s="240">
        <f t="shared" ca="1" si="25"/>
        <v>0</v>
      </c>
      <c r="BH61" s="240">
        <f t="shared" ca="1" si="25"/>
        <v>0</v>
      </c>
      <c r="BI61" s="240">
        <f t="shared" ca="1" si="25"/>
        <v>0</v>
      </c>
    </row>
    <row r="62" spans="1:61" x14ac:dyDescent="0.2">
      <c r="A62" s="308" t="s">
        <v>474</v>
      </c>
      <c r="B62" s="309" t="s">
        <v>108</v>
      </c>
      <c r="C62" s="309">
        <v>23</v>
      </c>
      <c r="D62" s="309" t="s">
        <v>440</v>
      </c>
      <c r="E62" s="310" t="str">
        <f ca="1">OFFSET( INDIRECT( E$3 &amp; E$4 ), $G62 - 1, 0 )</f>
        <v>MR</v>
      </c>
      <c r="F62" s="311"/>
      <c r="G62" s="312">
        <f t="shared" ca="1" si="2"/>
        <v>31</v>
      </c>
      <c r="H62" s="250"/>
      <c r="I62" s="250"/>
      <c r="AF62" s="236">
        <f t="shared" si="3"/>
        <v>1</v>
      </c>
      <c r="AG62" s="236" t="str">
        <f t="shared" ca="1" si="4"/>
        <v/>
      </c>
      <c r="AH62" s="236" t="str">
        <f t="shared" ca="1" si="19"/>
        <v/>
      </c>
      <c r="AJ62" s="236">
        <f t="shared" ca="1" si="5"/>
        <v>62</v>
      </c>
      <c r="AK62" s="236" t="str">
        <f t="shared" ca="1" si="20"/>
        <v>AA-</v>
      </c>
      <c r="AL62" s="236">
        <f t="shared" ca="1" si="20"/>
        <v>23</v>
      </c>
      <c r="AM62" s="236" t="str">
        <f t="shared" ca="1" si="6"/>
        <v/>
      </c>
      <c r="AQ62" s="286"/>
      <c r="AR62" s="286"/>
      <c r="AS62" s="286"/>
      <c r="AT62" s="286"/>
      <c r="AV62" s="234">
        <f t="shared" si="21"/>
        <v>99</v>
      </c>
      <c r="AW62" s="234">
        <f>COUNTIF( AV$7:AV62, AV62 )</f>
        <v>4</v>
      </c>
      <c r="AX62" s="287">
        <f t="shared" si="22"/>
        <v>99.4</v>
      </c>
      <c r="AY62" s="234">
        <f t="shared" si="23"/>
        <v>56</v>
      </c>
      <c r="AZ62" s="236"/>
      <c r="BA62" s="236"/>
      <c r="BC62" s="234">
        <f t="shared" ca="1" si="24"/>
        <v>56</v>
      </c>
      <c r="BD62" s="288">
        <f t="shared" ca="1" si="8"/>
        <v>56</v>
      </c>
      <c r="BF62" s="240">
        <f t="shared" ca="1" si="25"/>
        <v>0</v>
      </c>
      <c r="BG62" s="240">
        <f t="shared" ca="1" si="25"/>
        <v>0</v>
      </c>
      <c r="BH62" s="240">
        <f t="shared" ca="1" si="25"/>
        <v>0</v>
      </c>
      <c r="BI62" s="240">
        <f t="shared" ca="1" si="25"/>
        <v>0</v>
      </c>
    </row>
    <row r="63" spans="1:61" x14ac:dyDescent="0.2">
      <c r="A63" s="303" t="s">
        <v>476</v>
      </c>
      <c r="B63" s="304" t="s">
        <v>28</v>
      </c>
      <c r="C63" s="304">
        <v>18</v>
      </c>
      <c r="D63" s="304" t="s">
        <v>442</v>
      </c>
      <c r="E63" s="305" t="str">
        <f ca="1">OFFSET( INDIRECT( E$3 &amp; E$4 ), $G63 - 1, 0 )</f>
        <v>R</v>
      </c>
      <c r="F63" s="306"/>
      <c r="G63" s="307">
        <f t="shared" ca="1" si="2"/>
        <v>52</v>
      </c>
      <c r="H63" s="250"/>
      <c r="I63" s="250"/>
      <c r="AF63" s="236">
        <f t="shared" si="3"/>
        <v>0</v>
      </c>
      <c r="AG63" s="236" t="str">
        <f t="shared" ca="1" si="4"/>
        <v/>
      </c>
      <c r="AH63" s="236" t="str">
        <f t="shared" ca="1" si="19"/>
        <v/>
      </c>
      <c r="AJ63" s="236">
        <f t="shared" ca="1" si="5"/>
        <v>63</v>
      </c>
      <c r="AK63" s="236" t="str">
        <f t="shared" ca="1" si="20"/>
        <v>BBB</v>
      </c>
      <c r="AL63" s="236">
        <f t="shared" ca="1" si="20"/>
        <v>18</v>
      </c>
      <c r="AM63" s="236" t="str">
        <f t="shared" ca="1" si="6"/>
        <v/>
      </c>
      <c r="AQ63" s="286"/>
      <c r="AR63" s="286"/>
      <c r="AS63" s="286"/>
      <c r="AT63" s="286"/>
      <c r="AU63" s="286"/>
      <c r="AV63" s="234">
        <f t="shared" si="21"/>
        <v>99</v>
      </c>
      <c r="AW63" s="234">
        <f>COUNTIF( AV$7:AV63, AV63 )</f>
        <v>5</v>
      </c>
      <c r="AX63" s="287">
        <f t="shared" si="22"/>
        <v>99.5</v>
      </c>
      <c r="AY63" s="234">
        <f t="shared" si="23"/>
        <v>57</v>
      </c>
      <c r="AZ63" s="236"/>
      <c r="BA63" s="236"/>
      <c r="BC63" s="234">
        <f t="shared" ca="1" si="24"/>
        <v>57</v>
      </c>
      <c r="BD63" s="288">
        <f ca="1">MATCH( BC63, $AY$7:$AY$63, 0 )</f>
        <v>57</v>
      </c>
      <c r="BF63" s="240">
        <f t="shared" ca="1" si="25"/>
        <v>0</v>
      </c>
      <c r="BG63" s="240">
        <f t="shared" ca="1" si="25"/>
        <v>0</v>
      </c>
      <c r="BH63" s="240">
        <f t="shared" ca="1" si="25"/>
        <v>0</v>
      </c>
      <c r="BI63" s="240">
        <f t="shared" ca="1" si="25"/>
        <v>0</v>
      </c>
    </row>
    <row r="64" spans="1:61" x14ac:dyDescent="0.2">
      <c r="A64" s="303" t="s">
        <v>477</v>
      </c>
      <c r="B64" s="304"/>
      <c r="C64" s="304"/>
      <c r="D64" s="304" t="s">
        <v>448</v>
      </c>
      <c r="E64" s="305" t="str">
        <f ca="1">OFFSET( INDIRECT( E$3 &amp; E$4 ), $G64 - 1, 0 )</f>
        <v>R</v>
      </c>
      <c r="F64" s="306"/>
      <c r="G64" s="307">
        <f t="shared" ca="1" si="2"/>
        <v>51</v>
      </c>
      <c r="H64" s="250"/>
      <c r="I64" s="250"/>
      <c r="AF64" s="236">
        <f t="shared" si="3"/>
        <v>0</v>
      </c>
      <c r="AG64" s="236" t="str">
        <f t="shared" si="4"/>
        <v/>
      </c>
      <c r="AH64" s="236" t="str">
        <f t="shared" si="19"/>
        <v/>
      </c>
      <c r="AJ64" s="236">
        <f t="shared" ca="1" si="5"/>
        <v>64</v>
      </c>
      <c r="AK64" s="236">
        <f t="shared" ca="1" si="20"/>
        <v>0</v>
      </c>
      <c r="AL64" s="236">
        <f t="shared" ca="1" si="20"/>
        <v>0</v>
      </c>
      <c r="AM64" s="236" t="str">
        <f t="shared" ca="1" si="6"/>
        <v/>
      </c>
      <c r="AQ64" s="286"/>
      <c r="AR64" s="286"/>
      <c r="AS64" s="286"/>
      <c r="AT64" s="286"/>
      <c r="AU64" s="286"/>
      <c r="AZ64" s="236"/>
      <c r="BA64" s="236"/>
      <c r="BF64" s="236"/>
    </row>
    <row r="65" spans="1:58" x14ac:dyDescent="0.2">
      <c r="A65" s="303"/>
      <c r="B65" s="313"/>
      <c r="C65" s="304"/>
      <c r="D65" s="304"/>
      <c r="E65" s="305"/>
      <c r="F65" s="306"/>
      <c r="G65" s="307"/>
      <c r="H65" s="250"/>
      <c r="I65" s="250"/>
      <c r="N65" s="234" t="s">
        <v>73</v>
      </c>
      <c r="AF65" s="236">
        <f t="shared" si="3"/>
        <v>0</v>
      </c>
      <c r="AG65" s="236" t="str">
        <f>IF( LEN( $C65 ) = 0, "", IF( $C65 &gt; $AL65, 1, "" ) )</f>
        <v/>
      </c>
      <c r="AH65" s="236" t="str">
        <f t="shared" si="19"/>
        <v/>
      </c>
      <c r="AJ65" s="236" t="e">
        <f t="shared" ca="1" si="5"/>
        <v>#N/A</v>
      </c>
      <c r="AK65" s="236" t="str">
        <f t="shared" ca="1" si="20"/>
        <v/>
      </c>
      <c r="AL65" s="236" t="str">
        <f t="shared" ca="1" si="20"/>
        <v/>
      </c>
      <c r="AM65" s="236" t="str">
        <f t="shared" ca="1" si="6"/>
        <v/>
      </c>
      <c r="AQ65" s="286"/>
      <c r="AR65" s="286"/>
      <c r="AS65" s="286"/>
      <c r="AT65" s="286"/>
      <c r="AU65" s="286"/>
      <c r="AZ65" s="236"/>
      <c r="BA65" s="236"/>
      <c r="BF65" s="236"/>
    </row>
    <row r="66" spans="1:58" x14ac:dyDescent="0.2">
      <c r="A66" s="268"/>
      <c r="B66" s="269"/>
      <c r="C66" s="270"/>
      <c r="D66" s="270"/>
      <c r="E66" s="249"/>
      <c r="F66" s="250"/>
      <c r="H66" s="250"/>
      <c r="I66" s="250"/>
      <c r="AF66" s="236">
        <f t="shared" si="3"/>
        <v>0</v>
      </c>
      <c r="AG66" s="236" t="str">
        <f t="shared" ref="AG66:AG67" si="26">IF( LEN( $C66 ) = 0, "", IF( $C66 &gt; $AL66, 1, "" ) )</f>
        <v/>
      </c>
      <c r="AH66" s="236" t="str">
        <f t="shared" si="19"/>
        <v/>
      </c>
      <c r="AJ66" s="236" t="e">
        <f t="shared" ca="1" si="5"/>
        <v>#N/A</v>
      </c>
      <c r="AK66" s="236" t="str">
        <f t="shared" ca="1" si="20"/>
        <v/>
      </c>
      <c r="AL66" s="236" t="str">
        <f t="shared" ca="1" si="20"/>
        <v/>
      </c>
      <c r="AM66" s="236" t="str">
        <f t="shared" ca="1" si="6"/>
        <v/>
      </c>
      <c r="AQ66" s="286" t="s">
        <v>474</v>
      </c>
      <c r="AR66" s="286" t="s">
        <v>108</v>
      </c>
      <c r="AS66" s="286">
        <v>23</v>
      </c>
      <c r="AT66" s="286" t="s">
        <v>440</v>
      </c>
      <c r="AU66" s="286"/>
      <c r="AX66" s="287"/>
      <c r="AZ66" s="236"/>
      <c r="BA66" s="236"/>
      <c r="BD66" s="288"/>
      <c r="BF66" s="236"/>
    </row>
    <row r="67" spans="1:58" ht="13.5" thickBot="1" x14ac:dyDescent="0.25">
      <c r="A67" s="271"/>
      <c r="B67" s="272"/>
      <c r="C67" s="337"/>
      <c r="D67" s="272"/>
      <c r="E67" s="273"/>
      <c r="F67" s="250"/>
      <c r="H67" s="250"/>
      <c r="I67" s="250"/>
      <c r="AF67" s="236">
        <f t="shared" si="3"/>
        <v>0</v>
      </c>
      <c r="AG67" s="236" t="str">
        <f t="shared" si="26"/>
        <v/>
      </c>
      <c r="AH67" s="236" t="str">
        <f t="shared" si="19"/>
        <v/>
      </c>
      <c r="AJ67" s="236" t="e">
        <f t="shared" ca="1" si="5"/>
        <v>#N/A</v>
      </c>
      <c r="AK67" s="236" t="str">
        <f t="shared" ca="1" si="20"/>
        <v/>
      </c>
      <c r="AL67" s="236" t="str">
        <f t="shared" ca="1" si="20"/>
        <v/>
      </c>
      <c r="AM67" s="236" t="str">
        <f t="shared" ca="1" si="6"/>
        <v/>
      </c>
      <c r="AQ67" s="286" t="s">
        <v>428</v>
      </c>
      <c r="AR67" s="286" t="s">
        <v>28</v>
      </c>
      <c r="AS67" s="286">
        <v>18</v>
      </c>
      <c r="AT67" s="286" t="s">
        <v>442</v>
      </c>
      <c r="AX67" s="287"/>
      <c r="AZ67" s="236"/>
      <c r="BA67" s="236"/>
      <c r="BD67" s="288"/>
      <c r="BF67" s="236"/>
    </row>
    <row r="68" spans="1:58" x14ac:dyDescent="0.2">
      <c r="A68" s="274" t="s">
        <v>135</v>
      </c>
      <c r="B68" s="275" t="s">
        <v>28</v>
      </c>
      <c r="C68" s="276">
        <f>AVERAGE(C7:C65)</f>
        <v>18.444444444444443</v>
      </c>
      <c r="D68" s="276"/>
      <c r="E68" s="276"/>
      <c r="F68" s="250"/>
      <c r="H68" s="250"/>
      <c r="I68" s="250"/>
      <c r="J68" s="253"/>
      <c r="K68" s="253"/>
      <c r="AQ68" s="286" t="s">
        <v>477</v>
      </c>
      <c r="AR68" s="286"/>
      <c r="AS68" s="286"/>
      <c r="AT68" s="286" t="s">
        <v>448</v>
      </c>
      <c r="AX68" s="287"/>
      <c r="AZ68" s="236"/>
      <c r="BA68" s="236"/>
      <c r="BD68" s="288"/>
      <c r="BF68" s="236"/>
    </row>
    <row r="69" spans="1:58" x14ac:dyDescent="0.2">
      <c r="A69" s="277"/>
      <c r="B69" s="278"/>
      <c r="F69" s="250"/>
      <c r="H69" s="250"/>
      <c r="I69" s="250"/>
      <c r="AX69" s="287"/>
      <c r="AZ69" s="236"/>
      <c r="BA69" s="236"/>
      <c r="BD69" s="288"/>
      <c r="BF69" s="236"/>
    </row>
    <row r="70" spans="1:58" x14ac:dyDescent="0.2">
      <c r="A70" s="277"/>
      <c r="B70" s="278"/>
      <c r="F70" s="240"/>
      <c r="H70" s="240"/>
      <c r="I70" s="240"/>
      <c r="J70" s="253"/>
      <c r="K70" s="253"/>
    </row>
    <row r="71" spans="1:58" x14ac:dyDescent="0.2">
      <c r="A71" s="279" t="s">
        <v>267</v>
      </c>
      <c r="F71" s="240"/>
      <c r="H71" s="240"/>
      <c r="I71" s="240"/>
    </row>
    <row r="72" spans="1:58" x14ac:dyDescent="0.2">
      <c r="A72" s="279" t="s">
        <v>366</v>
      </c>
      <c r="B72" s="240"/>
      <c r="D72" s="264"/>
      <c r="E72" s="264"/>
      <c r="F72" s="280"/>
      <c r="H72" s="280"/>
      <c r="I72" s="280"/>
    </row>
    <row r="73" spans="1:58" x14ac:dyDescent="0.2">
      <c r="A73" s="281" t="s">
        <v>357</v>
      </c>
      <c r="B73" s="240"/>
      <c r="D73" s="264"/>
      <c r="E73" s="264"/>
      <c r="F73" s="280"/>
      <c r="H73" s="280"/>
      <c r="I73" s="280"/>
    </row>
    <row r="74" spans="1:58" x14ac:dyDescent="0.2">
      <c r="A74" s="281" t="s">
        <v>470</v>
      </c>
      <c r="D74" s="280"/>
      <c r="E74" s="234"/>
      <c r="F74" s="282"/>
      <c r="H74" s="282"/>
      <c r="I74" s="282"/>
    </row>
    <row r="75" spans="1:58" x14ac:dyDescent="0.2">
      <c r="A75" s="279" t="s">
        <v>359</v>
      </c>
      <c r="D75" s="280"/>
      <c r="E75" s="234"/>
      <c r="F75" s="282"/>
      <c r="H75" s="282"/>
      <c r="I75" s="282"/>
      <c r="AQ75" s="286"/>
      <c r="AR75" s="286"/>
      <c r="AS75" s="286"/>
    </row>
    <row r="76" spans="1:58" x14ac:dyDescent="0.2">
      <c r="A76" s="279"/>
      <c r="D76" s="280"/>
      <c r="E76" s="234"/>
      <c r="F76" s="282"/>
      <c r="H76" s="282"/>
      <c r="I76" s="282"/>
      <c r="AQ76" s="286"/>
      <c r="AR76" s="286"/>
      <c r="AS76" s="286"/>
    </row>
    <row r="77" spans="1:58" x14ac:dyDescent="0.2">
      <c r="A77" s="279"/>
      <c r="AQ77" s="286"/>
      <c r="AR77" s="286"/>
      <c r="AS77" s="286"/>
    </row>
    <row r="78" spans="1:58" x14ac:dyDescent="0.2">
      <c r="C78" s="339">
        <f>SUMPRODUCT( L8:L13, Y8:Y13 ) / L14</f>
        <v>18.574074074074073</v>
      </c>
      <c r="E78" s="283"/>
      <c r="G78" s="251"/>
      <c r="J78" s="240"/>
      <c r="K78" s="240"/>
      <c r="AQ78" s="286"/>
      <c r="AR78" s="286"/>
      <c r="AS78" s="286"/>
    </row>
    <row r="79" spans="1:58" s="240" customFormat="1" x14ac:dyDescent="0.2">
      <c r="A79" s="284"/>
      <c r="B79" s="285"/>
      <c r="C79" s="285"/>
      <c r="D79" s="285"/>
      <c r="E79" s="249"/>
      <c r="F79" s="234"/>
      <c r="G79" s="236"/>
      <c r="H79" s="234"/>
      <c r="I79" s="234"/>
      <c r="Q79" s="234"/>
      <c r="T79" s="236"/>
      <c r="U79" s="236"/>
      <c r="V79" s="236"/>
      <c r="AF79" s="236"/>
      <c r="AG79" s="236"/>
      <c r="AH79" s="236"/>
      <c r="AJ79" s="236"/>
      <c r="AK79" s="236"/>
      <c r="AL79" s="236"/>
      <c r="AM79" s="236"/>
      <c r="AN79" s="236"/>
      <c r="AQ79" s="286"/>
      <c r="AR79" s="286"/>
      <c r="AS79" s="286"/>
    </row>
  </sheetData>
  <sortState ref="AQ7:AT58">
    <sortCondition ref="AQ7"/>
  </sortState>
  <mergeCells count="9">
    <mergeCell ref="L16:M16"/>
    <mergeCell ref="O16:P16"/>
    <mergeCell ref="R16:S16"/>
    <mergeCell ref="U16:V16"/>
    <mergeCell ref="J5:J6"/>
    <mergeCell ref="L5:M6"/>
    <mergeCell ref="O5:P6"/>
    <mergeCell ref="R5:S6"/>
    <mergeCell ref="U5:V6"/>
  </mergeCells>
  <conditionalFormatting sqref="A60:E61 E7:E59 E62:E65">
    <cfRule type="expression" dxfId="410" priority="28" stopIfTrue="1">
      <formula>IF( $AH7 = 1, TRUE, FALSE )</formula>
    </cfRule>
    <cfRule type="expression" dxfId="409" priority="29" stopIfTrue="1">
      <formula>IF( $AG7 = 1, TRUE, FALSE )</formula>
    </cfRule>
    <cfRule type="expression" dxfId="408" priority="30" stopIfTrue="1">
      <formula>IF( $AF7 = 1, TRUE, FALSE )</formula>
    </cfRule>
  </conditionalFormatting>
  <conditionalFormatting sqref="A67:E67">
    <cfRule type="expression" dxfId="407" priority="31" stopIfTrue="1">
      <formula>IF( $AH67 = 1, TRUE, FALSE )</formula>
    </cfRule>
    <cfRule type="expression" dxfId="406" priority="32" stopIfTrue="1">
      <formula>IF( $AG67 = 1, TRUE, FALSE )</formula>
    </cfRule>
    <cfRule type="expression" dxfId="405" priority="33" stopIfTrue="1">
      <formula>IF( $AF67 = 1, TRUE, FALSE )</formula>
    </cfRule>
  </conditionalFormatting>
  <conditionalFormatting sqref="A66:E66">
    <cfRule type="expression" dxfId="404" priority="25" stopIfTrue="1">
      <formula>IF( $AH66 = 1, TRUE, FALSE )</formula>
    </cfRule>
    <cfRule type="expression" dxfId="403" priority="26" stopIfTrue="1">
      <formula>IF( $AG66 = 1, TRUE, FALSE )</formula>
    </cfRule>
    <cfRule type="expression" dxfId="402" priority="27" stopIfTrue="1">
      <formula>IF( $AF66 = 1, TRUE, FALSE )</formula>
    </cfRule>
  </conditionalFormatting>
  <conditionalFormatting sqref="A8:D58 B7:D7">
    <cfRule type="expression" dxfId="401" priority="22" stopIfTrue="1">
      <formula>IF( $AH7 = 1, TRUE, FALSE )</formula>
    </cfRule>
    <cfRule type="expression" dxfId="400" priority="23" stopIfTrue="1">
      <formula>IF( $AG7 = 1, TRUE, FALSE )</formula>
    </cfRule>
    <cfRule type="expression" dxfId="399" priority="24" stopIfTrue="1">
      <formula>IF( $AF7 = 1, TRUE, FALSE )</formula>
    </cfRule>
  </conditionalFormatting>
  <conditionalFormatting sqref="A59:D59">
    <cfRule type="expression" dxfId="398" priority="19" stopIfTrue="1">
      <formula>IF( $AH59 = 1, TRUE, FALSE )</formula>
    </cfRule>
    <cfRule type="expression" dxfId="397" priority="20" stopIfTrue="1">
      <formula>IF( $AG59 = 1, TRUE, FALSE )</formula>
    </cfRule>
    <cfRule type="expression" dxfId="396" priority="21" stopIfTrue="1">
      <formula>IF( $AF59 = 1, TRUE, FALSE )</formula>
    </cfRule>
  </conditionalFormatting>
  <conditionalFormatting sqref="A62:D65">
    <cfRule type="expression" dxfId="395" priority="16" stopIfTrue="1">
      <formula>IF( $AH62 = 1, TRUE, FALSE )</formula>
    </cfRule>
    <cfRule type="expression" dxfId="394" priority="17" stopIfTrue="1">
      <formula>IF( $AG62 = 1, TRUE, FALSE )</formula>
    </cfRule>
    <cfRule type="expression" dxfId="393" priority="18" stopIfTrue="1">
      <formula>IF( $AF62 = 1, TRUE, FALSE )</formula>
    </cfRule>
  </conditionalFormatting>
  <conditionalFormatting sqref="U8:U12">
    <cfRule type="cellIs" dxfId="392" priority="15" operator="equal">
      <formula>0</formula>
    </cfRule>
  </conditionalFormatting>
  <conditionalFormatting sqref="O8:O12 Q8:Q12">
    <cfRule type="cellIs" dxfId="391" priority="14" operator="equal">
      <formula>0</formula>
    </cfRule>
  </conditionalFormatting>
  <conditionalFormatting sqref="V8:V12">
    <cfRule type="cellIs" dxfId="390" priority="13" operator="equal">
      <formula>0</formula>
    </cfRule>
  </conditionalFormatting>
  <conditionalFormatting sqref="S8:S12">
    <cfRule type="cellIs" dxfId="389" priority="11" operator="equal">
      <formula>0</formula>
    </cfRule>
  </conditionalFormatting>
  <conditionalFormatting sqref="R8:R12">
    <cfRule type="cellIs" dxfId="388" priority="12" operator="equal">
      <formula>0</formula>
    </cfRule>
  </conditionalFormatting>
  <conditionalFormatting sqref="P8:P12">
    <cfRule type="cellIs" dxfId="387" priority="10" operator="equal">
      <formula>0</formula>
    </cfRule>
  </conditionalFormatting>
  <conditionalFormatting sqref="M8:M12">
    <cfRule type="cellIs" dxfId="386" priority="9" operator="equal">
      <formula>0</formula>
    </cfRule>
  </conditionalFormatting>
  <conditionalFormatting sqref="T8:T12">
    <cfRule type="cellIs" dxfId="385" priority="8" operator="equal">
      <formula>0</formula>
    </cfRule>
  </conditionalFormatting>
  <conditionalFormatting sqref="N8:N12">
    <cfRule type="cellIs" dxfId="384" priority="7" operator="equal">
      <formula>0</formula>
    </cfRule>
  </conditionalFormatting>
  <conditionalFormatting sqref="K8:K12">
    <cfRule type="cellIs" dxfId="383" priority="6" operator="equal">
      <formula>0</formula>
    </cfRule>
  </conditionalFormatting>
  <conditionalFormatting sqref="I8:I12">
    <cfRule type="cellIs" dxfId="382" priority="5" operator="equal">
      <formula>0</formula>
    </cfRule>
  </conditionalFormatting>
  <conditionalFormatting sqref="W8:W12">
    <cfRule type="cellIs" dxfId="381" priority="4" operator="equal">
      <formula>0</formula>
    </cfRule>
  </conditionalFormatting>
  <conditionalFormatting sqref="A7">
    <cfRule type="expression" dxfId="380" priority="1" stopIfTrue="1">
      <formula>IF( $AH7 = 1, TRUE, FALSE )</formula>
    </cfRule>
    <cfRule type="expression" dxfId="379" priority="2" stopIfTrue="1">
      <formula>IF( $AG7 = 1, TRUE, FALSE )</formula>
    </cfRule>
    <cfRule type="expression" dxfId="378" priority="3" stopIfTrue="1">
      <formula>IF( $AF7 = 1, TRUE, FALSE )</formula>
    </cfRule>
  </conditionalFormatting>
  <pageMargins left="0.17" right="0.18" top="0.28000000000000003" bottom="0.17" header="0.3" footer="0.3"/>
  <pageSetup scale="19" orientation="portrait" horizontalDpi="1200" verticalDpi="120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BJ79"/>
  <sheetViews>
    <sheetView showGridLines="0" zoomScale="70" zoomScaleNormal="70" workbookViewId="0">
      <pane ySplit="6" topLeftCell="A7" activePane="bottomLeft" state="frozen"/>
      <selection activeCell="A7" sqref="A7"/>
      <selection pane="bottomLeft" activeCell="A7" sqref="A7"/>
    </sheetView>
  </sheetViews>
  <sheetFormatPr defaultColWidth="9.140625" defaultRowHeight="12.75" outlineLevelRow="1" outlineLevelCol="2" x14ac:dyDescent="0.2"/>
  <cols>
    <col min="1" max="1" width="35.140625" style="234" customWidth="1"/>
    <col min="2" max="2" width="9.140625" style="234"/>
    <col min="3" max="3" width="9.42578125" style="263" customWidth="1"/>
    <col min="4" max="4" width="9.140625" style="235" customWidth="1" outlineLevel="1"/>
    <col min="5" max="5" width="12.5703125" style="235" customWidth="1" outlineLevel="1"/>
    <col min="6" max="6" width="3.42578125" style="234" customWidth="1" outlineLevel="1"/>
    <col min="7" max="7" width="17.7109375" style="236" hidden="1" customWidth="1" outlineLevel="2"/>
    <col min="8" max="8" width="3.42578125" style="234" hidden="1" customWidth="1" outlineLevel="2" collapsed="1"/>
    <col min="9" max="9" width="3.28515625" style="234" customWidth="1" outlineLevel="1" collapsed="1"/>
    <col min="10" max="10" width="22" style="234" customWidth="1"/>
    <col min="11" max="11" width="2" style="234" customWidth="1"/>
    <col min="12" max="13" width="10.42578125" style="234" customWidth="1"/>
    <col min="14" max="14" width="2" style="234" customWidth="1"/>
    <col min="15" max="16" width="10.42578125" style="234" customWidth="1"/>
    <col min="17" max="17" width="2" style="234" customWidth="1"/>
    <col min="18" max="19" width="10.42578125" style="234" customWidth="1"/>
    <col min="20" max="20" width="2" style="236" customWidth="1"/>
    <col min="21" max="22" width="10.42578125" style="236" customWidth="1"/>
    <col min="23" max="23" width="2" style="234" customWidth="1"/>
    <col min="24" max="24" width="4.140625" style="234" customWidth="1"/>
    <col min="25" max="25" width="5.5703125" style="234" customWidth="1"/>
    <col min="26" max="26" width="2.42578125" style="234" customWidth="1"/>
    <col min="27" max="27" width="4.28515625" style="234" customWidth="1"/>
    <col min="28" max="30" width="2.42578125" style="234" hidden="1" customWidth="1" outlineLevel="1"/>
    <col min="31" max="31" width="4.42578125" style="234" hidden="1" customWidth="1" outlineLevel="1"/>
    <col min="32" max="32" width="6.5703125" style="236" hidden="1" customWidth="1" outlineLevel="1" collapsed="1"/>
    <col min="33" max="34" width="6.5703125" style="236" hidden="1" customWidth="1" outlineLevel="1"/>
    <col min="35" max="35" width="3.140625" style="234" hidden="1" customWidth="1" outlineLevel="1"/>
    <col min="36" max="36" width="7.85546875" style="236" hidden="1" customWidth="1" outlineLevel="1" collapsed="1"/>
    <col min="37" max="38" width="9" style="236" hidden="1" customWidth="1" outlineLevel="1"/>
    <col min="39" max="39" width="8.42578125" style="236" hidden="1" customWidth="1" outlineLevel="1"/>
    <col min="40" max="40" width="11.85546875" style="236" hidden="1" customWidth="1" outlineLevel="1"/>
    <col min="41" max="41" width="3.42578125" style="234" customWidth="1" collapsed="1"/>
    <col min="42" max="42" width="3.42578125" style="234" customWidth="1"/>
    <col min="43" max="43" width="29.7109375" style="234" hidden="1" customWidth="1" outlineLevel="1"/>
    <col min="44" max="44" width="6.42578125" style="234" hidden="1" customWidth="1" outlineLevel="1"/>
    <col min="45" max="45" width="3.42578125" style="234" hidden="1" customWidth="1" outlineLevel="1"/>
    <col min="46" max="46" width="8.7109375" style="234" hidden="1" customWidth="1" outlineLevel="1"/>
    <col min="47" max="47" width="3.140625" style="234" hidden="1" customWidth="1" outlineLevel="1"/>
    <col min="48" max="56" width="9.140625" style="234" hidden="1" customWidth="1" outlineLevel="2"/>
    <col min="57" max="57" width="5.42578125" style="234" hidden="1" customWidth="1" outlineLevel="1" collapsed="1"/>
    <col min="58" max="58" width="36.85546875" style="234" hidden="1" customWidth="1" outlineLevel="1"/>
    <col min="59" max="59" width="6.42578125" style="234" hidden="1" customWidth="1" outlineLevel="1"/>
    <col min="60" max="60" width="3.42578125" style="234" hidden="1" customWidth="1" outlineLevel="1"/>
    <col min="61" max="61" width="9.140625" style="234" hidden="1" customWidth="1" outlineLevel="1"/>
    <col min="62" max="62" width="9.140625" style="234" collapsed="1"/>
    <col min="63" max="16384" width="9.140625" style="234"/>
  </cols>
  <sheetData>
    <row r="1" spans="1:61" ht="18.75" x14ac:dyDescent="0.2">
      <c r="A1" s="323" t="str">
        <f>"I.  S&amp;P Utility Credit Ratings Distribution -- " &amp; B6</f>
        <v>I.  S&amp;P Utility Credit Ratings Distribution -- 2013 Q3</v>
      </c>
      <c r="AF1" s="237" t="s">
        <v>420</v>
      </c>
      <c r="AG1" s="237" t="s">
        <v>421</v>
      </c>
      <c r="AH1" s="237" t="s">
        <v>422</v>
      </c>
      <c r="AJ1" s="237" t="s">
        <v>424</v>
      </c>
      <c r="AK1" s="237" t="s">
        <v>426</v>
      </c>
      <c r="AL1" s="237" t="s">
        <v>426</v>
      </c>
      <c r="AM1" s="237" t="s">
        <v>424</v>
      </c>
      <c r="AN1" s="237"/>
    </row>
    <row r="2" spans="1:61" ht="18.75" hidden="1" outlineLevel="1" x14ac:dyDescent="0.2">
      <c r="A2" s="233"/>
      <c r="E2" s="238" t="str">
        <f>G2</f>
        <v>Reg_Percent_2012</v>
      </c>
      <c r="G2" s="239" t="s">
        <v>478</v>
      </c>
      <c r="AJ2" s="240" t="str">
        <f>AJ4 &amp; AJ3</f>
        <v>'Credit_2013Q2'!a:a</v>
      </c>
      <c r="AK2" s="240" t="str">
        <f>AK4 &amp; AK3</f>
        <v>'Credit_2013Q2'!b1</v>
      </c>
      <c r="AL2" s="240" t="str">
        <f>AL4 &amp; AL3</f>
        <v>'Credit_2013Q2'!c1</v>
      </c>
    </row>
    <row r="3" spans="1:61" ht="18.75" hidden="1" outlineLevel="1" x14ac:dyDescent="0.2">
      <c r="A3" s="233"/>
      <c r="E3" s="241" t="str">
        <f>"'" &amp; E2 &amp; "'!"</f>
        <v>'Reg_Percent_2012'!</v>
      </c>
      <c r="G3" s="234" t="str">
        <f>"'" &amp; G2 &amp; "'!"</f>
        <v>'Reg_Percent_2012'!</v>
      </c>
      <c r="O3" s="242" t="s">
        <v>371</v>
      </c>
      <c r="P3" s="242"/>
      <c r="Q3" s="242"/>
      <c r="R3" s="242" t="s">
        <v>372</v>
      </c>
      <c r="T3" s="234"/>
      <c r="U3" s="242" t="s">
        <v>86</v>
      </c>
      <c r="V3" s="234"/>
      <c r="X3" s="242"/>
      <c r="Y3" s="242"/>
      <c r="Z3" s="242"/>
      <c r="AA3" s="242"/>
      <c r="AJ3" s="210" t="s">
        <v>425</v>
      </c>
      <c r="AK3" s="210" t="s">
        <v>427</v>
      </c>
      <c r="AL3" s="210" t="s">
        <v>453</v>
      </c>
    </row>
    <row r="4" spans="1:61" ht="18.75" hidden="1" outlineLevel="1" x14ac:dyDescent="0.2">
      <c r="A4" s="233"/>
      <c r="E4" s="242" t="s">
        <v>439</v>
      </c>
      <c r="G4" s="242" t="s">
        <v>438</v>
      </c>
      <c r="O4" s="236"/>
      <c r="P4" s="236"/>
      <c r="Q4" s="236"/>
      <c r="T4" s="234"/>
      <c r="U4" s="234"/>
      <c r="V4" s="234"/>
      <c r="AJ4" s="232" t="s">
        <v>494</v>
      </c>
      <c r="AK4" s="236" t="str">
        <f>AJ4</f>
        <v>'Credit_2013Q2'!</v>
      </c>
      <c r="AL4" s="236" t="str">
        <f>AK4</f>
        <v>'Credit_2013Q2'!</v>
      </c>
    </row>
    <row r="5" spans="1:61" collapsed="1" x14ac:dyDescent="0.2">
      <c r="E5" s="243" t="s">
        <v>436</v>
      </c>
      <c r="G5" s="237" t="s">
        <v>424</v>
      </c>
      <c r="I5" s="314"/>
      <c r="J5" s="466" t="s">
        <v>77</v>
      </c>
      <c r="K5" s="314"/>
      <c r="L5" s="468" t="str">
        <f>"All Companies" &amp; CHAR( 10 ) &amp; "("&amp; L14 &amp; ")"</f>
        <v>All Companies
(55)</v>
      </c>
      <c r="M5" s="468"/>
      <c r="N5" s="314"/>
      <c r="O5" s="466" t="str">
        <f ca="1">"Regulated" &amp; CHAR( 10 ) &amp; "(" &amp; O14 &amp; ")"</f>
        <v>Regulated
(36)</v>
      </c>
      <c r="P5" s="470"/>
      <c r="Q5" s="314"/>
      <c r="R5" s="466" t="str">
        <f ca="1">"Mostly Regulated" &amp; CHAR( 10 ) &amp; "(" &amp; R14 &amp; ")"</f>
        <v>Mostly Regulated
(17)</v>
      </c>
      <c r="S5" s="470"/>
      <c r="T5" s="314"/>
      <c r="U5" s="466" t="str">
        <f ca="1">"Diversified" &amp; CHAR( 10 ) &amp; "(" &amp; U14 &amp; ")"</f>
        <v>Diversified
(2)</v>
      </c>
      <c r="V5" s="470"/>
      <c r="W5" s="314"/>
      <c r="AE5" s="244"/>
      <c r="AF5" s="234"/>
      <c r="AG5" s="234"/>
      <c r="AH5" s="234"/>
      <c r="AJ5" s="234"/>
      <c r="AK5" s="234"/>
      <c r="AL5" s="234"/>
      <c r="AM5" s="234"/>
      <c r="AN5" s="234"/>
    </row>
    <row r="6" spans="1:61" ht="28.5" customHeight="1" x14ac:dyDescent="0.2">
      <c r="A6" s="299" t="s">
        <v>0</v>
      </c>
      <c r="B6" s="300" t="s">
        <v>431</v>
      </c>
      <c r="C6" s="338" t="s">
        <v>471</v>
      </c>
      <c r="D6" s="301"/>
      <c r="E6" s="302">
        <v>41274</v>
      </c>
      <c r="I6" s="315"/>
      <c r="J6" s="467"/>
      <c r="K6" s="315"/>
      <c r="L6" s="469"/>
      <c r="M6" s="469"/>
      <c r="N6" s="315"/>
      <c r="O6" s="467"/>
      <c r="P6" s="467"/>
      <c r="Q6" s="315"/>
      <c r="R6" s="467" t="s">
        <v>137</v>
      </c>
      <c r="S6" s="467"/>
      <c r="T6" s="315"/>
      <c r="U6" s="467"/>
      <c r="V6" s="467"/>
      <c r="W6" s="315"/>
      <c r="AE6" s="245"/>
      <c r="AJ6" s="246"/>
    </row>
    <row r="7" spans="1:61" x14ac:dyDescent="0.2">
      <c r="A7" s="303" t="s">
        <v>7</v>
      </c>
      <c r="B7" s="304" t="s">
        <v>2</v>
      </c>
      <c r="C7" s="304">
        <v>21</v>
      </c>
      <c r="D7" s="304" t="s">
        <v>328</v>
      </c>
      <c r="E7" s="305" t="str">
        <f t="shared" ref="E7:E59" ca="1" si="0">OFFSET( INDIRECT( E$3 &amp; E$4 ), $G7 - 1, 0 )</f>
        <v>R</v>
      </c>
      <c r="F7" s="306"/>
      <c r="G7" s="307">
        <f t="shared" ref="G7:G64" ca="1" si="1">IF( LEN( $D7 ) = 0, "", MATCH( $D7, INDIRECT( G$3 &amp; G$4 ), 0 ) )</f>
        <v>48</v>
      </c>
      <c r="H7" s="250"/>
      <c r="I7" s="316"/>
      <c r="J7" s="252"/>
      <c r="K7" s="316"/>
      <c r="L7" s="252" t="s">
        <v>81</v>
      </c>
      <c r="M7" s="252" t="s">
        <v>82</v>
      </c>
      <c r="N7" s="316"/>
      <c r="O7" s="252" t="s">
        <v>81</v>
      </c>
      <c r="P7" s="252" t="s">
        <v>82</v>
      </c>
      <c r="Q7" s="316"/>
      <c r="R7" s="252" t="s">
        <v>81</v>
      </c>
      <c r="S7" s="252" t="s">
        <v>82</v>
      </c>
      <c r="T7" s="316"/>
      <c r="U7" s="252" t="s">
        <v>81</v>
      </c>
      <c r="V7" s="252" t="s">
        <v>82</v>
      </c>
      <c r="W7" s="316"/>
      <c r="AE7" s="254"/>
      <c r="AF7" s="236">
        <f t="shared" ref="AF7:AF67" si="2">IF( LEN( C7 ) = 0, 0, IF( C7 = C6, AF6, IF( AF6 = 1, 0, 1 ) ) )</f>
        <v>1</v>
      </c>
      <c r="AG7" s="236" t="str">
        <f t="shared" ref="AG7:AG64" ca="1" si="3">IF( LEN( $C7 ) = 0, "", IF( $C7 &gt; $AL7, 1, "" ) )</f>
        <v/>
      </c>
      <c r="AH7" s="236" t="str">
        <f ca="1">IF( LEN( $C7 ) = 0, "", IF( $C7 &lt; $AL7, 1, "" ) )</f>
        <v/>
      </c>
      <c r="AJ7" s="236">
        <f t="shared" ref="AJ7:AJ67" ca="1" si="4">MATCH( $A7, INDIRECT( AJ$2 ), 0 )</f>
        <v>7</v>
      </c>
      <c r="AK7" s="236" t="str">
        <f ca="1">IF( ISNA( $AJ7 ), "", OFFSET( INDIRECT( AK$2 ), $AJ7-1, 0 ) )</f>
        <v>A</v>
      </c>
      <c r="AL7" s="236">
        <f ca="1">IF( ISNA( $AJ7 ), "", OFFSET( INDIRECT( AL$2 ), $AJ7-1, 0 ) )</f>
        <v>21</v>
      </c>
      <c r="AM7" s="236" t="str">
        <f t="shared" ref="AM7:AM67" ca="1" si="5">IF( B7 = AK7, "", "Change" )</f>
        <v/>
      </c>
      <c r="AQ7" s="286" t="s">
        <v>15</v>
      </c>
      <c r="AR7" s="286" t="s">
        <v>16</v>
      </c>
      <c r="AS7" s="286">
        <v>19</v>
      </c>
      <c r="AT7" s="286" t="s">
        <v>277</v>
      </c>
      <c r="AV7" s="234">
        <f>IF( LEN( AS7 ) = 0, 99, RANK( AS7, $AS$7:$AS$63 ) )</f>
        <v>13</v>
      </c>
      <c r="AW7" s="234">
        <f>COUNTIF( AV7:AV$7, AV7 )</f>
        <v>1</v>
      </c>
      <c r="AX7" s="287">
        <f>AV7 + AW7 / 10</f>
        <v>13.1</v>
      </c>
      <c r="AY7" s="234">
        <f>RANK( AX7, $AX$7:$AX$63, 1 )</f>
        <v>13</v>
      </c>
      <c r="AZ7" s="236"/>
      <c r="BA7" s="236"/>
      <c r="BC7" s="234">
        <f t="shared" ref="BC7" ca="1" si="6">OFFSET( BC7, -1, 0 ) + 1</f>
        <v>1</v>
      </c>
      <c r="BD7" s="288">
        <f t="shared" ref="BD7:BD62" ca="1" si="7">MATCH( BC7, $AY$7:$AY$63, 0 )</f>
        <v>47</v>
      </c>
      <c r="BF7" s="240" t="str">
        <f t="shared" ref="BF7:BI38" ca="1" si="8">OFFSET( AQ$6, $BD7, 0 )</f>
        <v>Southern Company</v>
      </c>
      <c r="BG7" s="240" t="str">
        <f t="shared" ca="1" si="8"/>
        <v>A</v>
      </c>
      <c r="BH7" s="240">
        <f t="shared" ca="1" si="8"/>
        <v>21</v>
      </c>
      <c r="BI7" s="240" t="str">
        <f t="shared" ca="1" si="8"/>
        <v>SO</v>
      </c>
    </row>
    <row r="8" spans="1:61" x14ac:dyDescent="0.2">
      <c r="A8" s="303" t="s">
        <v>17</v>
      </c>
      <c r="B8" s="304" t="s">
        <v>10</v>
      </c>
      <c r="C8" s="304">
        <v>20</v>
      </c>
      <c r="D8" s="304" t="s">
        <v>307</v>
      </c>
      <c r="E8" s="305" t="str">
        <f t="shared" ca="1" si="0"/>
        <v>R</v>
      </c>
      <c r="F8" s="306"/>
      <c r="G8" s="307">
        <f t="shared" ca="1" si="1"/>
        <v>8</v>
      </c>
      <c r="H8" s="250"/>
      <c r="I8" s="317"/>
      <c r="J8" s="293" t="s">
        <v>138</v>
      </c>
      <c r="K8" s="317"/>
      <c r="L8" s="293">
        <f t="shared" ref="L8:L13" si="9">COUNTIF($C$7:$C$67,$X8)</f>
        <v>2</v>
      </c>
      <c r="M8" s="294">
        <f t="shared" ref="M8:M13" si="10">IF( L8 = 0, "", L8/L$14 )</f>
        <v>3.6363636363636362E-2</v>
      </c>
      <c r="N8" s="317"/>
      <c r="O8" s="293">
        <f t="shared" ref="O8:O13" ca="1" si="11">COUNTIFS( $E$7:$E$66, O$3, $C$7:$C$66, $X8 )</f>
        <v>1</v>
      </c>
      <c r="P8" s="294">
        <f t="shared" ref="P8:P13" ca="1" si="12">IF( O8 = 0, "", O8/O$14 )</f>
        <v>2.7777777777777776E-2</v>
      </c>
      <c r="Q8" s="317"/>
      <c r="R8" s="293">
        <f t="shared" ref="R8:R13" ca="1" si="13">COUNTIFS( $E$7:$E$66, R$3, $C$7:$C$66, $X8 )</f>
        <v>1</v>
      </c>
      <c r="S8" s="294">
        <f t="shared" ref="S8:S13" ca="1" si="14">IF( R8 = 0, "", R8/R$14 )</f>
        <v>5.8823529411764705E-2</v>
      </c>
      <c r="T8" s="317"/>
      <c r="U8" s="293">
        <f t="shared" ref="U8:U13" ca="1" si="15">COUNTIFS( $E$7:$E$66, U$3, $C$7:$C$66, $X8 )</f>
        <v>0</v>
      </c>
      <c r="V8" s="294" t="str">
        <f t="shared" ref="V8:V13" ca="1" si="16">IF( U8 = 0, "", U8/U$14 )</f>
        <v/>
      </c>
      <c r="W8" s="317"/>
      <c r="X8" s="256" t="s">
        <v>464</v>
      </c>
      <c r="Y8" s="256">
        <v>21</v>
      </c>
      <c r="Z8" s="256">
        <v>1</v>
      </c>
      <c r="AA8" s="255">
        <f t="shared" ref="AA8:AA13" ca="1" si="17">SUM(O8, R8, U8)</f>
        <v>2</v>
      </c>
      <c r="AC8" s="257"/>
      <c r="AE8" s="254"/>
      <c r="AF8" s="236">
        <f t="shared" si="2"/>
        <v>0</v>
      </c>
      <c r="AG8" s="236" t="str">
        <f t="shared" ca="1" si="3"/>
        <v/>
      </c>
      <c r="AH8" s="236" t="str">
        <f t="shared" ref="AH8:AH67" ca="1" si="18">IF( LEN( $C8 ) = 0, "", IF( $C8 &lt; $AL8, 1, "" ) )</f>
        <v/>
      </c>
      <c r="AJ8" s="236">
        <f t="shared" ca="1" si="4"/>
        <v>8</v>
      </c>
      <c r="AK8" s="236" t="str">
        <f t="shared" ref="AK8:AL67" ca="1" si="19">IF( ISNA( $AJ8 ), "", OFFSET( INDIRECT( AK$2 ), $AJ8-1, 0 ) )</f>
        <v>A-</v>
      </c>
      <c r="AL8" s="236">
        <f t="shared" ca="1" si="19"/>
        <v>20</v>
      </c>
      <c r="AM8" s="236" t="str">
        <f t="shared" ca="1" si="5"/>
        <v/>
      </c>
      <c r="AQ8" s="286" t="s">
        <v>17</v>
      </c>
      <c r="AR8" s="286" t="s">
        <v>10</v>
      </c>
      <c r="AS8" s="286">
        <v>20</v>
      </c>
      <c r="AT8" s="286" t="s">
        <v>307</v>
      </c>
      <c r="AV8" s="234">
        <f t="shared" ref="AV8:AV63" si="20">IF( LEN( AS8 ) = 0, 99, RANK( AS8, $AS$7:$AS$63 ) )</f>
        <v>2</v>
      </c>
      <c r="AW8" s="234">
        <f>COUNTIF( AV$7:AV8, AV8 )</f>
        <v>1</v>
      </c>
      <c r="AX8" s="287">
        <f t="shared" ref="AX8:AX63" si="21">AV8 + AW8 / 10</f>
        <v>2.1</v>
      </c>
      <c r="AY8" s="234">
        <f t="shared" ref="AY8:AY63" si="22">RANK( AX8, $AX$7:$AX$63, 1 )</f>
        <v>2</v>
      </c>
      <c r="AZ8" s="236"/>
      <c r="BA8" s="236"/>
      <c r="BC8" s="234">
        <f ca="1">OFFSET( BC8, -1, 0 ) + 1</f>
        <v>2</v>
      </c>
      <c r="BD8" s="288">
        <f t="shared" ca="1" si="7"/>
        <v>2</v>
      </c>
      <c r="BF8" s="240" t="str">
        <f t="shared" ca="1" si="8"/>
        <v>Alliant Energy Corporation</v>
      </c>
      <c r="BG8" s="240" t="str">
        <f t="shared" ca="1" si="8"/>
        <v>A-</v>
      </c>
      <c r="BH8" s="240">
        <f t="shared" ca="1" si="8"/>
        <v>20</v>
      </c>
      <c r="BI8" s="240" t="str">
        <f t="shared" ca="1" si="8"/>
        <v>LNT</v>
      </c>
    </row>
    <row r="9" spans="1:61" x14ac:dyDescent="0.2">
      <c r="A9" s="303" t="s">
        <v>29</v>
      </c>
      <c r="B9" s="304" t="s">
        <v>10</v>
      </c>
      <c r="C9" s="304">
        <v>20</v>
      </c>
      <c r="D9" s="304" t="s">
        <v>286</v>
      </c>
      <c r="E9" s="305" t="str">
        <f t="shared" ca="1" si="0"/>
        <v>MR</v>
      </c>
      <c r="F9" s="306"/>
      <c r="G9" s="307">
        <f t="shared" ca="1" si="1"/>
        <v>13</v>
      </c>
      <c r="H9" s="250"/>
      <c r="I9" s="318"/>
      <c r="J9" s="295" t="s">
        <v>10</v>
      </c>
      <c r="K9" s="318"/>
      <c r="L9" s="295">
        <f t="shared" si="9"/>
        <v>11</v>
      </c>
      <c r="M9" s="296">
        <f t="shared" si="10"/>
        <v>0.2</v>
      </c>
      <c r="N9" s="318"/>
      <c r="O9" s="295">
        <f t="shared" ca="1" si="11"/>
        <v>6</v>
      </c>
      <c r="P9" s="296">
        <f t="shared" ca="1" si="12"/>
        <v>0.16666666666666666</v>
      </c>
      <c r="Q9" s="318"/>
      <c r="R9" s="295">
        <f t="shared" ca="1" si="13"/>
        <v>5</v>
      </c>
      <c r="S9" s="296">
        <f t="shared" ca="1" si="14"/>
        <v>0.29411764705882354</v>
      </c>
      <c r="T9" s="318"/>
      <c r="U9" s="295">
        <f t="shared" ca="1" si="15"/>
        <v>0</v>
      </c>
      <c r="V9" s="296" t="str">
        <f t="shared" ca="1" si="16"/>
        <v/>
      </c>
      <c r="W9" s="318"/>
      <c r="X9" s="256" t="s">
        <v>465</v>
      </c>
      <c r="Y9" s="256">
        <v>20</v>
      </c>
      <c r="Z9" s="256">
        <v>1</v>
      </c>
      <c r="AA9" s="255">
        <f t="shared" ca="1" si="17"/>
        <v>11</v>
      </c>
      <c r="AC9" s="253"/>
      <c r="AE9" s="254"/>
      <c r="AF9" s="236">
        <f t="shared" si="2"/>
        <v>0</v>
      </c>
      <c r="AG9" s="236" t="str">
        <f t="shared" ca="1" si="3"/>
        <v/>
      </c>
      <c r="AH9" s="236" t="str">
        <f t="shared" ca="1" si="18"/>
        <v/>
      </c>
      <c r="AJ9" s="236">
        <f t="shared" ca="1" si="4"/>
        <v>9</v>
      </c>
      <c r="AK9" s="236" t="str">
        <f t="shared" ca="1" si="19"/>
        <v>A-</v>
      </c>
      <c r="AL9" s="236">
        <f t="shared" ca="1" si="19"/>
        <v>20</v>
      </c>
      <c r="AM9" s="236" t="str">
        <f t="shared" ca="1" si="5"/>
        <v/>
      </c>
      <c r="AQ9" s="286" t="s">
        <v>9</v>
      </c>
      <c r="AR9" s="286" t="s">
        <v>28</v>
      </c>
      <c r="AS9" s="286">
        <v>18</v>
      </c>
      <c r="AT9" s="286" t="s">
        <v>274</v>
      </c>
      <c r="AV9" s="234">
        <f t="shared" si="20"/>
        <v>25</v>
      </c>
      <c r="AW9" s="234">
        <f>COUNTIF( AV$7:AV9, AV9 )</f>
        <v>1</v>
      </c>
      <c r="AX9" s="287">
        <f t="shared" si="21"/>
        <v>25.1</v>
      </c>
      <c r="AY9" s="234">
        <f t="shared" si="22"/>
        <v>25</v>
      </c>
      <c r="AZ9" s="236"/>
      <c r="BA9" s="236"/>
      <c r="BC9" s="234">
        <f t="shared" ref="BC9:BC63" ca="1" si="23">OFFSET( BC9, -1, 0 ) + 1</f>
        <v>3</v>
      </c>
      <c r="BD9" s="288">
        <f t="shared" ca="1" si="7"/>
        <v>7</v>
      </c>
      <c r="BF9" s="240" t="str">
        <f t="shared" ca="1" si="8"/>
        <v>CenterPoint Energy, Inc.</v>
      </c>
      <c r="BG9" s="240" t="str">
        <f t="shared" ca="1" si="8"/>
        <v>A-</v>
      </c>
      <c r="BH9" s="240">
        <f t="shared" ca="1" si="8"/>
        <v>20</v>
      </c>
      <c r="BI9" s="240" t="str">
        <f t="shared" ca="1" si="8"/>
        <v>CNP</v>
      </c>
    </row>
    <row r="10" spans="1:61" x14ac:dyDescent="0.2">
      <c r="A10" s="303" t="s">
        <v>3</v>
      </c>
      <c r="B10" s="304" t="s">
        <v>10</v>
      </c>
      <c r="C10" s="304">
        <v>20</v>
      </c>
      <c r="D10" s="304" t="s">
        <v>292</v>
      </c>
      <c r="E10" s="305" t="str">
        <f t="shared" ca="1" si="0"/>
        <v>R</v>
      </c>
      <c r="F10" s="306"/>
      <c r="G10" s="307">
        <f t="shared" ca="1" si="1"/>
        <v>16</v>
      </c>
      <c r="H10" s="250"/>
      <c r="I10" s="318"/>
      <c r="J10" s="295" t="s">
        <v>16</v>
      </c>
      <c r="K10" s="318"/>
      <c r="L10" s="295">
        <f t="shared" si="9"/>
        <v>12</v>
      </c>
      <c r="M10" s="296">
        <f t="shared" si="10"/>
        <v>0.21818181818181817</v>
      </c>
      <c r="N10" s="318"/>
      <c r="O10" s="295">
        <f t="shared" ca="1" si="11"/>
        <v>6</v>
      </c>
      <c r="P10" s="296">
        <f t="shared" ca="1" si="12"/>
        <v>0.16666666666666666</v>
      </c>
      <c r="Q10" s="318"/>
      <c r="R10" s="295">
        <f t="shared" ca="1" si="13"/>
        <v>5</v>
      </c>
      <c r="S10" s="296">
        <f t="shared" ca="1" si="14"/>
        <v>0.29411764705882354</v>
      </c>
      <c r="T10" s="318"/>
      <c r="U10" s="295">
        <f t="shared" ca="1" si="15"/>
        <v>1</v>
      </c>
      <c r="V10" s="296">
        <f t="shared" ca="1" si="16"/>
        <v>0.5</v>
      </c>
      <c r="W10" s="318"/>
      <c r="X10" s="256" t="s">
        <v>466</v>
      </c>
      <c r="Y10" s="256">
        <v>19</v>
      </c>
      <c r="Z10" s="256">
        <v>1</v>
      </c>
      <c r="AA10" s="255">
        <f t="shared" ca="1" si="17"/>
        <v>12</v>
      </c>
      <c r="AE10" s="254"/>
      <c r="AF10" s="236">
        <f t="shared" si="2"/>
        <v>0</v>
      </c>
      <c r="AG10" s="236" t="str">
        <f t="shared" ca="1" si="3"/>
        <v/>
      </c>
      <c r="AH10" s="236" t="str">
        <f t="shared" ca="1" si="18"/>
        <v/>
      </c>
      <c r="AJ10" s="236">
        <f t="shared" ca="1" si="4"/>
        <v>10</v>
      </c>
      <c r="AK10" s="236" t="str">
        <f t="shared" ca="1" si="19"/>
        <v>A-</v>
      </c>
      <c r="AL10" s="236">
        <f t="shared" ca="1" si="19"/>
        <v>20</v>
      </c>
      <c r="AM10" s="236" t="str">
        <f t="shared" ca="1" si="5"/>
        <v/>
      </c>
      <c r="AQ10" s="286" t="s">
        <v>259</v>
      </c>
      <c r="AR10" s="286" t="s">
        <v>28</v>
      </c>
      <c r="AS10" s="286">
        <v>18</v>
      </c>
      <c r="AT10" s="286" t="s">
        <v>275</v>
      </c>
      <c r="AV10" s="234">
        <f t="shared" si="20"/>
        <v>25</v>
      </c>
      <c r="AW10" s="234">
        <f>COUNTIF( AV$7:AV10, AV10 )</f>
        <v>2</v>
      </c>
      <c r="AX10" s="287">
        <f t="shared" si="21"/>
        <v>25.2</v>
      </c>
      <c r="AY10" s="234">
        <f t="shared" si="22"/>
        <v>26</v>
      </c>
      <c r="AZ10" s="236"/>
      <c r="BA10" s="236"/>
      <c r="BC10" s="234">
        <f t="shared" ca="1" si="23"/>
        <v>4</v>
      </c>
      <c r="BD10" s="288">
        <f t="shared" ca="1" si="7"/>
        <v>10</v>
      </c>
      <c r="BF10" s="240" t="str">
        <f t="shared" ca="1" si="8"/>
        <v>Consolidated Edison, Inc.</v>
      </c>
      <c r="BG10" s="240" t="str">
        <f t="shared" ca="1" si="8"/>
        <v>A-</v>
      </c>
      <c r="BH10" s="240">
        <f t="shared" ca="1" si="8"/>
        <v>20</v>
      </c>
      <c r="BI10" s="240" t="str">
        <f t="shared" ca="1" si="8"/>
        <v>ED</v>
      </c>
    </row>
    <row r="11" spans="1:61" x14ac:dyDescent="0.2">
      <c r="A11" s="303" t="s">
        <v>18</v>
      </c>
      <c r="B11" s="304" t="s">
        <v>10</v>
      </c>
      <c r="C11" s="304">
        <v>20</v>
      </c>
      <c r="D11" s="304" t="s">
        <v>86</v>
      </c>
      <c r="E11" s="305" t="str">
        <f t="shared" ca="1" si="0"/>
        <v>MR</v>
      </c>
      <c r="F11" s="306"/>
      <c r="G11" s="307">
        <f t="shared" ca="1" si="1"/>
        <v>17</v>
      </c>
      <c r="H11" s="250"/>
      <c r="I11" s="318"/>
      <c r="J11" s="295" t="s">
        <v>28</v>
      </c>
      <c r="K11" s="318"/>
      <c r="L11" s="295">
        <f t="shared" si="9"/>
        <v>21</v>
      </c>
      <c r="M11" s="296">
        <f t="shared" si="10"/>
        <v>0.38181818181818183</v>
      </c>
      <c r="N11" s="318"/>
      <c r="O11" s="295">
        <f t="shared" ca="1" si="11"/>
        <v>18</v>
      </c>
      <c r="P11" s="296">
        <f t="shared" ca="1" si="12"/>
        <v>0.5</v>
      </c>
      <c r="Q11" s="318"/>
      <c r="R11" s="295">
        <f t="shared" ca="1" si="13"/>
        <v>3</v>
      </c>
      <c r="S11" s="296">
        <f t="shared" ca="1" si="14"/>
        <v>0.17647058823529413</v>
      </c>
      <c r="T11" s="318"/>
      <c r="U11" s="295">
        <f t="shared" ca="1" si="15"/>
        <v>0</v>
      </c>
      <c r="V11" s="296" t="str">
        <f t="shared" ca="1" si="16"/>
        <v/>
      </c>
      <c r="W11" s="318"/>
      <c r="X11" s="256" t="s">
        <v>467</v>
      </c>
      <c r="Y11" s="256">
        <v>18</v>
      </c>
      <c r="Z11" s="256">
        <v>1</v>
      </c>
      <c r="AA11" s="255">
        <f t="shared" ca="1" si="17"/>
        <v>21</v>
      </c>
      <c r="AE11" s="254"/>
      <c r="AF11" s="236">
        <f t="shared" si="2"/>
        <v>0</v>
      </c>
      <c r="AG11" s="236" t="str">
        <f t="shared" ca="1" si="3"/>
        <v/>
      </c>
      <c r="AH11" s="236" t="str">
        <f t="shared" ca="1" si="18"/>
        <v/>
      </c>
      <c r="AJ11" s="236">
        <f t="shared" ca="1" si="4"/>
        <v>11</v>
      </c>
      <c r="AK11" s="236" t="str">
        <f t="shared" ca="1" si="19"/>
        <v>A-</v>
      </c>
      <c r="AL11" s="236">
        <f t="shared" ca="1" si="19"/>
        <v>20</v>
      </c>
      <c r="AM11" s="236" t="str">
        <f t="shared" ca="1" si="5"/>
        <v/>
      </c>
      <c r="AQ11" s="286" t="s">
        <v>55</v>
      </c>
      <c r="AR11" s="286" t="s">
        <v>28</v>
      </c>
      <c r="AS11" s="286">
        <v>18</v>
      </c>
      <c r="AT11" s="286" t="s">
        <v>278</v>
      </c>
      <c r="AV11" s="234">
        <f t="shared" si="20"/>
        <v>25</v>
      </c>
      <c r="AW11" s="234">
        <f>COUNTIF( AV$7:AV11, AV11 )</f>
        <v>3</v>
      </c>
      <c r="AX11" s="287">
        <f t="shared" si="21"/>
        <v>25.3</v>
      </c>
      <c r="AY11" s="234">
        <f t="shared" si="22"/>
        <v>27</v>
      </c>
      <c r="AZ11" s="236"/>
      <c r="BA11" s="236"/>
      <c r="BC11" s="234">
        <f t="shared" ca="1" si="23"/>
        <v>5</v>
      </c>
      <c r="BD11" s="288">
        <f t="shared" ca="1" si="7"/>
        <v>11</v>
      </c>
      <c r="BF11" s="240" t="str">
        <f t="shared" ca="1" si="8"/>
        <v>Dominion Resources, Inc.</v>
      </c>
      <c r="BG11" s="240" t="str">
        <f t="shared" ca="1" si="8"/>
        <v>A-</v>
      </c>
      <c r="BH11" s="240">
        <f t="shared" ca="1" si="8"/>
        <v>20</v>
      </c>
      <c r="BI11" s="240" t="str">
        <f t="shared" ca="1" si="8"/>
        <v>D</v>
      </c>
    </row>
    <row r="12" spans="1:61" x14ac:dyDescent="0.2">
      <c r="A12" s="303" t="s">
        <v>254</v>
      </c>
      <c r="B12" s="304" t="s">
        <v>10</v>
      </c>
      <c r="C12" s="304">
        <v>20</v>
      </c>
      <c r="D12" s="304" t="s">
        <v>331</v>
      </c>
      <c r="E12" s="305" t="str">
        <f t="shared" ca="1" si="0"/>
        <v>R</v>
      </c>
      <c r="F12" s="306"/>
      <c r="G12" s="307">
        <f t="shared" ca="1" si="1"/>
        <v>29</v>
      </c>
      <c r="H12" s="250"/>
      <c r="I12" s="318"/>
      <c r="J12" s="295" t="s">
        <v>49</v>
      </c>
      <c r="K12" s="318"/>
      <c r="L12" s="295">
        <f t="shared" si="9"/>
        <v>6</v>
      </c>
      <c r="M12" s="296">
        <f t="shared" si="10"/>
        <v>0.10909090909090909</v>
      </c>
      <c r="N12" s="318"/>
      <c r="O12" s="295">
        <f t="shared" ca="1" si="11"/>
        <v>3</v>
      </c>
      <c r="P12" s="296">
        <f t="shared" ca="1" si="12"/>
        <v>8.3333333333333329E-2</v>
      </c>
      <c r="Q12" s="318"/>
      <c r="R12" s="295">
        <f t="shared" ca="1" si="13"/>
        <v>3</v>
      </c>
      <c r="S12" s="296">
        <f t="shared" ca="1" si="14"/>
        <v>0.17647058823529413</v>
      </c>
      <c r="T12" s="318"/>
      <c r="U12" s="295">
        <f t="shared" ca="1" si="15"/>
        <v>0</v>
      </c>
      <c r="V12" s="296" t="str">
        <f t="shared" ca="1" si="16"/>
        <v/>
      </c>
      <c r="W12" s="318"/>
      <c r="X12" s="256" t="s">
        <v>468</v>
      </c>
      <c r="Y12" s="256">
        <v>17</v>
      </c>
      <c r="Z12" s="256">
        <v>1</v>
      </c>
      <c r="AA12" s="255">
        <f t="shared" ca="1" si="17"/>
        <v>6</v>
      </c>
      <c r="AE12" s="254"/>
      <c r="AF12" s="236">
        <f t="shared" si="2"/>
        <v>0</v>
      </c>
      <c r="AG12" s="236" t="str">
        <f t="shared" ca="1" si="3"/>
        <v/>
      </c>
      <c r="AH12" s="236" t="str">
        <f t="shared" ca="1" si="18"/>
        <v/>
      </c>
      <c r="AJ12" s="236">
        <f t="shared" ca="1" si="4"/>
        <v>12</v>
      </c>
      <c r="AK12" s="236" t="str">
        <f t="shared" ca="1" si="19"/>
        <v>A-</v>
      </c>
      <c r="AL12" s="236">
        <f t="shared" ca="1" si="19"/>
        <v>20</v>
      </c>
      <c r="AM12" s="236" t="str">
        <f t="shared" ca="1" si="5"/>
        <v/>
      </c>
      <c r="AQ12" s="286" t="s">
        <v>48</v>
      </c>
      <c r="AR12" s="286" t="s">
        <v>28</v>
      </c>
      <c r="AS12" s="286">
        <v>18</v>
      </c>
      <c r="AT12" s="286" t="s">
        <v>280</v>
      </c>
      <c r="AV12" s="234">
        <f t="shared" si="20"/>
        <v>25</v>
      </c>
      <c r="AW12" s="234">
        <f>COUNTIF( AV$7:AV12, AV12 )</f>
        <v>4</v>
      </c>
      <c r="AX12" s="287">
        <f t="shared" si="21"/>
        <v>25.4</v>
      </c>
      <c r="AY12" s="234">
        <f t="shared" si="22"/>
        <v>28</v>
      </c>
      <c r="AZ12" s="236"/>
      <c r="BA12" s="236"/>
      <c r="BC12" s="234">
        <f t="shared" ca="1" si="23"/>
        <v>6</v>
      </c>
      <c r="BD12" s="288">
        <f t="shared" ca="1" si="7"/>
        <v>26</v>
      </c>
      <c r="BF12" s="240" t="str">
        <f t="shared" ca="1" si="8"/>
        <v>Integrys Energy Group, Inc.</v>
      </c>
      <c r="BG12" s="240" t="str">
        <f t="shared" ca="1" si="8"/>
        <v>A-</v>
      </c>
      <c r="BH12" s="240">
        <f t="shared" ca="1" si="8"/>
        <v>20</v>
      </c>
      <c r="BI12" s="240" t="str">
        <f t="shared" ca="1" si="8"/>
        <v>TEG</v>
      </c>
    </row>
    <row r="13" spans="1:61" x14ac:dyDescent="0.2">
      <c r="A13" s="303" t="s">
        <v>370</v>
      </c>
      <c r="B13" s="304" t="s">
        <v>10</v>
      </c>
      <c r="C13" s="304">
        <v>20</v>
      </c>
      <c r="D13" s="304" t="s">
        <v>369</v>
      </c>
      <c r="E13" s="305" t="str">
        <f t="shared" ca="1" si="0"/>
        <v>MR</v>
      </c>
      <c r="F13" s="306"/>
      <c r="G13" s="307">
        <f t="shared" ca="1" si="1"/>
        <v>32</v>
      </c>
      <c r="H13" s="250"/>
      <c r="I13" s="319"/>
      <c r="J13" s="297" t="s">
        <v>79</v>
      </c>
      <c r="K13" s="319"/>
      <c r="L13" s="297">
        <f t="shared" si="9"/>
        <v>3</v>
      </c>
      <c r="M13" s="298">
        <f t="shared" si="10"/>
        <v>5.4545454545454543E-2</v>
      </c>
      <c r="N13" s="319"/>
      <c r="O13" s="297">
        <f t="shared" ca="1" si="11"/>
        <v>2</v>
      </c>
      <c r="P13" s="298">
        <f t="shared" ca="1" si="12"/>
        <v>5.5555555555555552E-2</v>
      </c>
      <c r="Q13" s="319"/>
      <c r="R13" s="297">
        <f t="shared" ca="1" si="13"/>
        <v>0</v>
      </c>
      <c r="S13" s="298" t="str">
        <f t="shared" ca="1" si="14"/>
        <v/>
      </c>
      <c r="T13" s="319"/>
      <c r="U13" s="297">
        <f t="shared" ca="1" si="15"/>
        <v>1</v>
      </c>
      <c r="V13" s="298">
        <f t="shared" ca="1" si="16"/>
        <v>0.5</v>
      </c>
      <c r="W13" s="319"/>
      <c r="X13" s="256" t="s">
        <v>469</v>
      </c>
      <c r="Y13" s="256">
        <v>16</v>
      </c>
      <c r="Z13" s="256">
        <v>1</v>
      </c>
      <c r="AA13" s="259">
        <f t="shared" ca="1" si="17"/>
        <v>3</v>
      </c>
      <c r="AE13" s="254"/>
      <c r="AF13" s="236">
        <f t="shared" si="2"/>
        <v>0</v>
      </c>
      <c r="AG13" s="236" t="str">
        <f t="shared" ca="1" si="3"/>
        <v/>
      </c>
      <c r="AH13" s="236" t="str">
        <f t="shared" ca="1" si="18"/>
        <v/>
      </c>
      <c r="AJ13" s="236">
        <f t="shared" ca="1" si="4"/>
        <v>13</v>
      </c>
      <c r="AK13" s="236" t="str">
        <f t="shared" ca="1" si="19"/>
        <v>A-</v>
      </c>
      <c r="AL13" s="236">
        <f t="shared" ca="1" si="19"/>
        <v>20</v>
      </c>
      <c r="AM13" s="236" t="str">
        <f t="shared" ca="1" si="5"/>
        <v/>
      </c>
      <c r="AQ13" s="286" t="s">
        <v>29</v>
      </c>
      <c r="AR13" s="286" t="s">
        <v>10</v>
      </c>
      <c r="AS13" s="286">
        <v>20</v>
      </c>
      <c r="AT13" s="286" t="s">
        <v>286</v>
      </c>
      <c r="AV13" s="234">
        <f t="shared" si="20"/>
        <v>2</v>
      </c>
      <c r="AW13" s="234">
        <f>COUNTIF( AV$7:AV13, AV13 )</f>
        <v>2</v>
      </c>
      <c r="AX13" s="287">
        <f t="shared" si="21"/>
        <v>2.2000000000000002</v>
      </c>
      <c r="AY13" s="234">
        <f t="shared" si="22"/>
        <v>3</v>
      </c>
      <c r="AZ13" s="236"/>
      <c r="BA13" s="236"/>
      <c r="BC13" s="234">
        <f t="shared" ca="1" si="23"/>
        <v>7</v>
      </c>
      <c r="BD13" s="288">
        <f t="shared" ca="1" si="7"/>
        <v>30</v>
      </c>
      <c r="BF13" s="240" t="str">
        <f t="shared" ca="1" si="8"/>
        <v>NextEra Energy, Inc.</v>
      </c>
      <c r="BG13" s="240" t="str">
        <f t="shared" ca="1" si="8"/>
        <v>A-</v>
      </c>
      <c r="BH13" s="240">
        <f t="shared" ca="1" si="8"/>
        <v>20</v>
      </c>
      <c r="BI13" s="240" t="str">
        <f t="shared" ca="1" si="8"/>
        <v>NEE</v>
      </c>
    </row>
    <row r="14" spans="1:61" x14ac:dyDescent="0.2">
      <c r="A14" s="303" t="s">
        <v>513</v>
      </c>
      <c r="B14" s="304" t="s">
        <v>10</v>
      </c>
      <c r="C14" s="304">
        <v>20</v>
      </c>
      <c r="D14" s="304" t="s">
        <v>512</v>
      </c>
      <c r="E14" s="305" t="str">
        <f t="shared" ca="1" si="0"/>
        <v>R</v>
      </c>
      <c r="F14" s="306"/>
      <c r="G14" s="307">
        <f t="shared" ca="1" si="1"/>
        <v>34</v>
      </c>
      <c r="H14" s="250"/>
      <c r="I14" s="320"/>
      <c r="J14" s="291" t="s">
        <v>80</v>
      </c>
      <c r="K14" s="320"/>
      <c r="L14" s="291">
        <f>SUM(L8:L13)</f>
        <v>55</v>
      </c>
      <c r="M14" s="292">
        <f>L14/L$14</f>
        <v>1</v>
      </c>
      <c r="N14" s="320"/>
      <c r="O14" s="291">
        <f ca="1">SUM(O8:O13)</f>
        <v>36</v>
      </c>
      <c r="P14" s="292">
        <f ca="1">O14/O$14</f>
        <v>1</v>
      </c>
      <c r="Q14" s="320"/>
      <c r="R14" s="291">
        <f ca="1">SUM(R8:R13)</f>
        <v>17</v>
      </c>
      <c r="S14" s="292">
        <f ca="1">R14/R$14</f>
        <v>1</v>
      </c>
      <c r="T14" s="320"/>
      <c r="U14" s="291">
        <f ca="1">SUM(U8:U13)</f>
        <v>2</v>
      </c>
      <c r="V14" s="292">
        <f ca="1">U14/U$14</f>
        <v>1</v>
      </c>
      <c r="W14" s="320"/>
      <c r="Y14" s="261">
        <f>SUMPRODUCT( L8:L13, Y8:Y13 ) / L14</f>
        <v>18.509090909090908</v>
      </c>
      <c r="Z14" s="261"/>
      <c r="AA14" s="377">
        <f ca="1">SUM(AA8:AA13)</f>
        <v>55</v>
      </c>
      <c r="AE14" s="254"/>
      <c r="AF14" s="236">
        <f t="shared" si="2"/>
        <v>0</v>
      </c>
      <c r="AG14" s="236" t="str">
        <f t="shared" ca="1" si="3"/>
        <v/>
      </c>
      <c r="AH14" s="236" t="str">
        <f t="shared" ca="1" si="18"/>
        <v/>
      </c>
      <c r="AJ14" s="236">
        <f t="shared" ca="1" si="4"/>
        <v>14</v>
      </c>
      <c r="AK14" s="236" t="str">
        <f t="shared" ca="1" si="19"/>
        <v>A-</v>
      </c>
      <c r="AL14" s="236">
        <f t="shared" ca="1" si="19"/>
        <v>20</v>
      </c>
      <c r="AM14" s="236" t="str">
        <f t="shared" ca="1" si="5"/>
        <v/>
      </c>
      <c r="AQ14" s="286" t="s">
        <v>30</v>
      </c>
      <c r="AR14" s="286" t="s">
        <v>16</v>
      </c>
      <c r="AS14" s="286">
        <v>19</v>
      </c>
      <c r="AT14" s="286" t="s">
        <v>285</v>
      </c>
      <c r="AV14" s="234">
        <f>IF( LEN( AS14 ) = 0, 99, RANK( AS14, $AS$7:$AS$63 ) )</f>
        <v>13</v>
      </c>
      <c r="AW14" s="234">
        <f>COUNTIF( AV$7:AV14, AV14 )</f>
        <v>2</v>
      </c>
      <c r="AX14" s="287">
        <f t="shared" si="21"/>
        <v>13.2</v>
      </c>
      <c r="AY14" s="234">
        <f t="shared" si="22"/>
        <v>14</v>
      </c>
      <c r="AZ14" s="236"/>
      <c r="BA14" s="236"/>
      <c r="BC14" s="234">
        <f t="shared" ca="1" si="23"/>
        <v>8</v>
      </c>
      <c r="BD14" s="288">
        <f t="shared" ca="1" si="7"/>
        <v>32</v>
      </c>
      <c r="BF14" s="240" t="str">
        <f t="shared" ca="1" si="8"/>
        <v>Eversource</v>
      </c>
      <c r="BG14" s="240" t="str">
        <f t="shared" ca="1" si="8"/>
        <v>A-</v>
      </c>
      <c r="BH14" s="240">
        <f t="shared" ca="1" si="8"/>
        <v>20</v>
      </c>
      <c r="BI14" s="240" t="str">
        <f t="shared" ca="1" si="8"/>
        <v>ES</v>
      </c>
    </row>
    <row r="15" spans="1:61" x14ac:dyDescent="0.2">
      <c r="A15" s="303" t="s">
        <v>21</v>
      </c>
      <c r="B15" s="304" t="s">
        <v>10</v>
      </c>
      <c r="C15" s="304">
        <v>20</v>
      </c>
      <c r="D15" s="304" t="s">
        <v>316</v>
      </c>
      <c r="E15" s="305" t="str">
        <f t="shared" ca="1" si="0"/>
        <v>MR</v>
      </c>
      <c r="F15" s="306"/>
      <c r="G15" s="307">
        <f t="shared" ca="1" si="1"/>
        <v>37</v>
      </c>
      <c r="H15" s="250"/>
      <c r="I15" s="321"/>
      <c r="K15" s="321"/>
      <c r="N15" s="321"/>
      <c r="Q15" s="321"/>
      <c r="T15" s="321"/>
      <c r="W15" s="321"/>
      <c r="X15" s="240"/>
      <c r="AA15" s="240"/>
      <c r="AE15" s="254"/>
      <c r="AF15" s="236">
        <f t="shared" si="2"/>
        <v>0</v>
      </c>
      <c r="AG15" s="236" t="str">
        <f t="shared" ca="1" si="3"/>
        <v/>
      </c>
      <c r="AH15" s="236" t="str">
        <f t="shared" ca="1" si="18"/>
        <v/>
      </c>
      <c r="AJ15" s="236">
        <f t="shared" ca="1" si="4"/>
        <v>15</v>
      </c>
      <c r="AK15" s="236" t="str">
        <f t="shared" ca="1" si="19"/>
        <v>A-</v>
      </c>
      <c r="AL15" s="236">
        <f t="shared" ca="1" si="19"/>
        <v>20</v>
      </c>
      <c r="AM15" s="236" t="str">
        <f t="shared" ca="1" si="5"/>
        <v/>
      </c>
      <c r="AQ15" s="286" t="s">
        <v>60</v>
      </c>
      <c r="AR15" s="286" t="s">
        <v>28</v>
      </c>
      <c r="AS15" s="286">
        <v>18</v>
      </c>
      <c r="AT15" s="286" t="s">
        <v>284</v>
      </c>
      <c r="AV15" s="234">
        <f t="shared" si="20"/>
        <v>25</v>
      </c>
      <c r="AW15" s="234">
        <f>COUNTIF( AV$7:AV15, AV15 )</f>
        <v>5</v>
      </c>
      <c r="AX15" s="287">
        <f t="shared" si="21"/>
        <v>25.5</v>
      </c>
      <c r="AY15" s="234">
        <f t="shared" si="22"/>
        <v>29</v>
      </c>
      <c r="AZ15" s="236"/>
      <c r="BA15" s="236"/>
      <c r="BC15" s="234">
        <f t="shared" ca="1" si="23"/>
        <v>9</v>
      </c>
      <c r="BD15" s="288">
        <f t="shared" ca="1" si="7"/>
        <v>35</v>
      </c>
      <c r="BF15" s="240" t="str">
        <f t="shared" ca="1" si="8"/>
        <v>OGE Energy Corp.</v>
      </c>
      <c r="BG15" s="240" t="str">
        <f t="shared" ca="1" si="8"/>
        <v>A-</v>
      </c>
      <c r="BH15" s="240">
        <f t="shared" ca="1" si="8"/>
        <v>20</v>
      </c>
      <c r="BI15" s="240" t="str">
        <f t="shared" ca="1" si="8"/>
        <v>OGE</v>
      </c>
    </row>
    <row r="16" spans="1:61" x14ac:dyDescent="0.2">
      <c r="A16" s="303" t="s">
        <v>14</v>
      </c>
      <c r="B16" s="304" t="s">
        <v>10</v>
      </c>
      <c r="C16" s="304">
        <v>20</v>
      </c>
      <c r="D16" s="304" t="s">
        <v>335</v>
      </c>
      <c r="E16" s="305" t="str">
        <f t="shared" ca="1" si="0"/>
        <v>MR</v>
      </c>
      <c r="F16" s="306"/>
      <c r="G16" s="307">
        <f t="shared" ca="1" si="1"/>
        <v>53</v>
      </c>
      <c r="H16" s="250"/>
      <c r="I16" s="316"/>
      <c r="J16" s="290" t="s">
        <v>450</v>
      </c>
      <c r="K16" s="316"/>
      <c r="L16" s="463">
        <f t="array" ref="L16">SUM( IF( LEN( $C$7:$C$65 ) = 0, 0, $C$7:$C$65 ) ) / SUM( IF( LEN( $C$7:$C$65 ) = 0, 0, 1  ) )</f>
        <v>18.399999999999999</v>
      </c>
      <c r="M16" s="464"/>
      <c r="N16" s="316"/>
      <c r="O16" s="463">
        <f t="array" aca="1" ref="O16" ca="1">SUM( IF( LEN( $C$7:$C$65 ) = 0, 0, IF( $E$7:$E$65 = O3, $C$7:$C$65, 0 ) ) ) / SUM( IF( LEN( $C$7:$C$65 ) = 0, 0, IF( $E$7:$E$65 = O3, 1, 0 ) ) )</f>
        <v>18.361111111111111</v>
      </c>
      <c r="P16" s="464"/>
      <c r="Q16" s="316"/>
      <c r="R16" s="463">
        <f t="array" aca="1" ref="R16" ca="1">SUM( IF( LEN( $C$7:$C$65 ) = 0, 0, IF( $E$7:$E$65 = R3, $C$7:$C$65, 0 ) ) ) / SUM( IF( LEN( $C$7:$C$65 ) = 0, 0, IF( $E$7:$E$65 = R3, 1, 0 ) ) )</f>
        <v>19</v>
      </c>
      <c r="S16" s="464"/>
      <c r="T16" s="316"/>
      <c r="U16" s="463">
        <f t="array" aca="1" ref="U16" ca="1">SUM( IF( LEN( $C$7:$C$65 ) = 0, 0, IF( $E$7:$E$65 = U3, $C$7:$C$65, 0 ) ) ) / SUM( IF( LEN( $C$7:$C$65 ) = 0, 0, IF( $E$7:$E$65 = U3, 1, 0 ) ) )</f>
        <v>14</v>
      </c>
      <c r="V16" s="465"/>
      <c r="W16" s="316"/>
      <c r="AE16" s="254"/>
      <c r="AF16" s="236">
        <f t="shared" si="2"/>
        <v>0</v>
      </c>
      <c r="AG16" s="236" t="str">
        <f t="shared" ca="1" si="3"/>
        <v/>
      </c>
      <c r="AH16" s="236" t="str">
        <f t="shared" ca="1" si="18"/>
        <v/>
      </c>
      <c r="AJ16" s="236">
        <f t="shared" ca="1" si="4"/>
        <v>16</v>
      </c>
      <c r="AK16" s="236" t="str">
        <f t="shared" ca="1" si="19"/>
        <v>A-</v>
      </c>
      <c r="AL16" s="236">
        <f t="shared" ca="1" si="19"/>
        <v>20</v>
      </c>
      <c r="AM16" s="236" t="str">
        <f t="shared" ca="1" si="5"/>
        <v/>
      </c>
      <c r="AQ16" s="286" t="s">
        <v>3</v>
      </c>
      <c r="AR16" s="286" t="s">
        <v>10</v>
      </c>
      <c r="AS16" s="286">
        <v>20</v>
      </c>
      <c r="AT16" s="286" t="s">
        <v>292</v>
      </c>
      <c r="AV16" s="234">
        <f t="shared" si="20"/>
        <v>2</v>
      </c>
      <c r="AW16" s="234">
        <f>COUNTIF( AV$7:AV16, AV16 )</f>
        <v>3</v>
      </c>
      <c r="AX16" s="287">
        <f t="shared" si="21"/>
        <v>2.2999999999999998</v>
      </c>
      <c r="AY16" s="234">
        <f t="shared" si="22"/>
        <v>4</v>
      </c>
      <c r="AZ16" s="236"/>
      <c r="BA16" s="236"/>
      <c r="BC16" s="234">
        <f t="shared" ca="1" si="23"/>
        <v>10</v>
      </c>
      <c r="BD16" s="288">
        <f t="shared" ca="1" si="7"/>
        <v>50</v>
      </c>
      <c r="BF16" s="240" t="str">
        <f t="shared" ca="1" si="8"/>
        <v>Vectren Corporation</v>
      </c>
      <c r="BG16" s="240" t="str">
        <f t="shared" ca="1" si="8"/>
        <v>A-</v>
      </c>
      <c r="BH16" s="240">
        <f t="shared" ca="1" si="8"/>
        <v>20</v>
      </c>
      <c r="BI16" s="240" t="str">
        <f t="shared" ca="1" si="8"/>
        <v>VVC</v>
      </c>
    </row>
    <row r="17" spans="1:61" x14ac:dyDescent="0.2">
      <c r="A17" s="303" t="s">
        <v>26</v>
      </c>
      <c r="B17" s="304" t="s">
        <v>10</v>
      </c>
      <c r="C17" s="304">
        <v>20</v>
      </c>
      <c r="D17" s="304" t="s">
        <v>336</v>
      </c>
      <c r="E17" s="305" t="str">
        <f t="shared" ca="1" si="0"/>
        <v>R</v>
      </c>
      <c r="F17" s="306"/>
      <c r="G17" s="307">
        <f t="shared" ca="1" si="1"/>
        <v>55</v>
      </c>
      <c r="H17" s="250"/>
      <c r="I17" s="321"/>
      <c r="K17" s="321"/>
      <c r="N17" s="321"/>
      <c r="O17" s="240"/>
      <c r="Q17" s="321"/>
      <c r="T17" s="321"/>
      <c r="W17" s="321"/>
      <c r="AE17" s="245"/>
      <c r="AF17" s="236">
        <f t="shared" si="2"/>
        <v>0</v>
      </c>
      <c r="AG17" s="236" t="str">
        <f t="shared" ca="1" si="3"/>
        <v/>
      </c>
      <c r="AH17" s="236" t="str">
        <f t="shared" ca="1" si="18"/>
        <v/>
      </c>
      <c r="AJ17" s="236">
        <f t="shared" ca="1" si="4"/>
        <v>17</v>
      </c>
      <c r="AK17" s="236" t="str">
        <f t="shared" ca="1" si="19"/>
        <v>A-</v>
      </c>
      <c r="AL17" s="236">
        <f t="shared" ca="1" si="19"/>
        <v>20</v>
      </c>
      <c r="AM17" s="236" t="str">
        <f t="shared" ca="1" si="5"/>
        <v/>
      </c>
      <c r="AQ17" s="286" t="s">
        <v>18</v>
      </c>
      <c r="AR17" s="286" t="s">
        <v>10</v>
      </c>
      <c r="AS17" s="286">
        <v>20</v>
      </c>
      <c r="AT17" s="289" t="s">
        <v>86</v>
      </c>
      <c r="AV17" s="234">
        <f t="shared" si="20"/>
        <v>2</v>
      </c>
      <c r="AW17" s="234">
        <f>COUNTIF( AV$7:AV17, AV17 )</f>
        <v>4</v>
      </c>
      <c r="AX17" s="287">
        <f t="shared" si="21"/>
        <v>2.4</v>
      </c>
      <c r="AY17" s="234">
        <f t="shared" si="22"/>
        <v>5</v>
      </c>
      <c r="AZ17" s="236"/>
      <c r="BA17" s="236"/>
      <c r="BC17" s="234">
        <f t="shared" ca="1" si="23"/>
        <v>11</v>
      </c>
      <c r="BD17" s="288">
        <f t="shared" ca="1" si="7"/>
        <v>52</v>
      </c>
      <c r="BF17" s="240" t="str">
        <f t="shared" ca="1" si="8"/>
        <v>Wisconsin Energy Corporation</v>
      </c>
      <c r="BG17" s="240" t="str">
        <f t="shared" ca="1" si="8"/>
        <v>A-</v>
      </c>
      <c r="BH17" s="240">
        <f t="shared" ca="1" si="8"/>
        <v>20</v>
      </c>
      <c r="BI17" s="240" t="str">
        <f t="shared" ca="1" si="8"/>
        <v>WEC</v>
      </c>
    </row>
    <row r="18" spans="1:61" x14ac:dyDescent="0.2">
      <c r="A18" s="303" t="s">
        <v>258</v>
      </c>
      <c r="B18" s="304" t="s">
        <v>10</v>
      </c>
      <c r="C18" s="304">
        <v>20</v>
      </c>
      <c r="D18" s="304" t="s">
        <v>338</v>
      </c>
      <c r="E18" s="305" t="str">
        <f t="shared" ca="1" si="0"/>
        <v>R</v>
      </c>
      <c r="F18" s="306"/>
      <c r="G18" s="307">
        <f t="shared" ca="1" si="1"/>
        <v>56</v>
      </c>
      <c r="H18" s="250"/>
      <c r="I18" s="321"/>
      <c r="K18" s="321"/>
      <c r="N18" s="321"/>
      <c r="O18" s="240"/>
      <c r="Q18" s="321"/>
      <c r="T18" s="321"/>
      <c r="W18" s="321"/>
      <c r="AE18" s="254"/>
      <c r="AF18" s="236">
        <f t="shared" si="2"/>
        <v>0</v>
      </c>
      <c r="AG18" s="236" t="str">
        <f t="shared" ca="1" si="3"/>
        <v/>
      </c>
      <c r="AH18" s="236" t="str">
        <f t="shared" ca="1" si="18"/>
        <v/>
      </c>
      <c r="AJ18" s="236">
        <f t="shared" ca="1" si="4"/>
        <v>18</v>
      </c>
      <c r="AK18" s="236" t="str">
        <f t="shared" ca="1" si="19"/>
        <v>A-</v>
      </c>
      <c r="AL18" s="236">
        <f t="shared" ca="1" si="19"/>
        <v>20</v>
      </c>
      <c r="AM18" s="236" t="str">
        <f t="shared" ca="1" si="5"/>
        <v/>
      </c>
      <c r="AQ18" s="286" t="s">
        <v>64</v>
      </c>
      <c r="AR18" s="286" t="s">
        <v>61</v>
      </c>
      <c r="AS18" s="286">
        <v>15</v>
      </c>
      <c r="AT18" s="286" t="s">
        <v>443</v>
      </c>
      <c r="AV18" s="234">
        <f t="shared" si="20"/>
        <v>52</v>
      </c>
      <c r="AW18" s="234">
        <f>COUNTIF( AV$7:AV18, AV18 )</f>
        <v>1</v>
      </c>
      <c r="AX18" s="287">
        <f t="shared" si="21"/>
        <v>52.1</v>
      </c>
      <c r="AY18" s="234">
        <f t="shared" si="22"/>
        <v>52</v>
      </c>
      <c r="AZ18" s="236"/>
      <c r="BA18" s="236"/>
      <c r="BC18" s="234">
        <f t="shared" ca="1" si="23"/>
        <v>12</v>
      </c>
      <c r="BD18" s="288">
        <f t="shared" ca="1" si="7"/>
        <v>53</v>
      </c>
      <c r="BF18" s="240" t="str">
        <f t="shared" ca="1" si="8"/>
        <v>Xcel Energy Inc.</v>
      </c>
      <c r="BG18" s="240" t="str">
        <f t="shared" ca="1" si="8"/>
        <v>A-</v>
      </c>
      <c r="BH18" s="240">
        <f t="shared" ca="1" si="8"/>
        <v>20</v>
      </c>
      <c r="BI18" s="240" t="str">
        <f t="shared" ca="1" si="8"/>
        <v>XEL</v>
      </c>
    </row>
    <row r="19" spans="1:61" x14ac:dyDescent="0.2">
      <c r="A19" s="303" t="s">
        <v>15</v>
      </c>
      <c r="B19" s="304" t="s">
        <v>16</v>
      </c>
      <c r="C19" s="304">
        <v>19</v>
      </c>
      <c r="D19" s="304" t="s">
        <v>277</v>
      </c>
      <c r="E19" s="305" t="str">
        <f t="shared" ca="1" si="0"/>
        <v>R</v>
      </c>
      <c r="F19" s="306"/>
      <c r="G19" s="307">
        <f t="shared" ca="1" si="1"/>
        <v>7</v>
      </c>
      <c r="H19" s="250"/>
      <c r="I19" s="321"/>
      <c r="K19" s="321"/>
      <c r="N19" s="321"/>
      <c r="O19" s="240"/>
      <c r="Q19" s="321"/>
      <c r="T19" s="321"/>
      <c r="W19" s="321"/>
      <c r="AE19" s="254"/>
      <c r="AF19" s="236">
        <f t="shared" si="2"/>
        <v>1</v>
      </c>
      <c r="AG19" s="236" t="str">
        <f t="shared" ca="1" si="3"/>
        <v/>
      </c>
      <c r="AH19" s="236" t="str">
        <f t="shared" ca="1" si="18"/>
        <v/>
      </c>
      <c r="AJ19" s="236">
        <f t="shared" ca="1" si="4"/>
        <v>19</v>
      </c>
      <c r="AK19" s="236" t="str">
        <f t="shared" ca="1" si="19"/>
        <v>BBB+</v>
      </c>
      <c r="AL19" s="236">
        <f t="shared" ca="1" si="19"/>
        <v>19</v>
      </c>
      <c r="AM19" s="236" t="str">
        <f t="shared" ca="1" si="5"/>
        <v/>
      </c>
      <c r="AQ19" s="286" t="s">
        <v>31</v>
      </c>
      <c r="AR19" s="286" t="s">
        <v>16</v>
      </c>
      <c r="AS19" s="286">
        <v>19</v>
      </c>
      <c r="AT19" s="286" t="s">
        <v>289</v>
      </c>
      <c r="AV19" s="234">
        <f t="shared" si="20"/>
        <v>13</v>
      </c>
      <c r="AW19" s="234">
        <f>COUNTIF( AV$7:AV19, AV19 )</f>
        <v>3</v>
      </c>
      <c r="AX19" s="287">
        <f t="shared" si="21"/>
        <v>13.3</v>
      </c>
      <c r="AY19" s="234">
        <f t="shared" si="22"/>
        <v>15</v>
      </c>
      <c r="AZ19" s="236"/>
      <c r="BA19" s="236"/>
      <c r="BC19" s="234">
        <f t="shared" ca="1" si="23"/>
        <v>13</v>
      </c>
      <c r="BD19" s="288">
        <f t="shared" ca="1" si="7"/>
        <v>1</v>
      </c>
      <c r="BF19" s="240" t="str">
        <f t="shared" ca="1" si="8"/>
        <v>ALLETE, Inc.</v>
      </c>
      <c r="BG19" s="240" t="str">
        <f t="shared" ca="1" si="8"/>
        <v>BBB+</v>
      </c>
      <c r="BH19" s="240">
        <f t="shared" ca="1" si="8"/>
        <v>19</v>
      </c>
      <c r="BI19" s="240" t="str">
        <f t="shared" ca="1" si="8"/>
        <v>ALE</v>
      </c>
    </row>
    <row r="20" spans="1:61" x14ac:dyDescent="0.2">
      <c r="A20" s="303" t="s">
        <v>30</v>
      </c>
      <c r="B20" s="304" t="s">
        <v>16</v>
      </c>
      <c r="C20" s="304">
        <v>19</v>
      </c>
      <c r="D20" s="304" t="s">
        <v>285</v>
      </c>
      <c r="E20" s="305" t="str">
        <f t="shared" ca="1" si="0"/>
        <v>R</v>
      </c>
      <c r="F20" s="306"/>
      <c r="G20" s="307">
        <f t="shared" ca="1" si="1"/>
        <v>14</v>
      </c>
      <c r="H20" s="250"/>
      <c r="I20" s="322"/>
      <c r="K20" s="322"/>
      <c r="N20" s="322"/>
      <c r="O20" s="240"/>
      <c r="Q20" s="322"/>
      <c r="T20" s="322"/>
      <c r="W20" s="322"/>
      <c r="AE20" s="254"/>
      <c r="AF20" s="236">
        <f t="shared" si="2"/>
        <v>1</v>
      </c>
      <c r="AG20" s="236">
        <f t="shared" ca="1" si="3"/>
        <v>1</v>
      </c>
      <c r="AH20" s="236" t="str">
        <f t="shared" ca="1" si="18"/>
        <v/>
      </c>
      <c r="AJ20" s="236">
        <f t="shared" ca="1" si="4"/>
        <v>33</v>
      </c>
      <c r="AK20" s="236" t="str">
        <f t="shared" ca="1" si="19"/>
        <v>BBB</v>
      </c>
      <c r="AL20" s="236">
        <f t="shared" ca="1" si="19"/>
        <v>18</v>
      </c>
      <c r="AM20" s="236" t="str">
        <f t="shared" ca="1" si="5"/>
        <v>Change</v>
      </c>
      <c r="AQ20" s="286" t="s">
        <v>32</v>
      </c>
      <c r="AR20" s="286" t="s">
        <v>16</v>
      </c>
      <c r="AS20" s="286">
        <v>19</v>
      </c>
      <c r="AT20" s="289" t="s">
        <v>290</v>
      </c>
      <c r="AV20" s="234">
        <f t="shared" si="20"/>
        <v>13</v>
      </c>
      <c r="AW20" s="234">
        <f>COUNTIF( AV$7:AV20, AV20 )</f>
        <v>4</v>
      </c>
      <c r="AX20" s="287">
        <f t="shared" si="21"/>
        <v>13.4</v>
      </c>
      <c r="AY20" s="234">
        <f t="shared" si="22"/>
        <v>16</v>
      </c>
      <c r="AZ20" s="236"/>
      <c r="BA20" s="236"/>
      <c r="BC20" s="234">
        <f t="shared" ca="1" si="23"/>
        <v>14</v>
      </c>
      <c r="BD20" s="288">
        <f t="shared" ca="1" si="7"/>
        <v>8</v>
      </c>
      <c r="BF20" s="240" t="str">
        <f t="shared" ca="1" si="8"/>
        <v>Cleco Corporation</v>
      </c>
      <c r="BG20" s="240" t="str">
        <f t="shared" ca="1" si="8"/>
        <v>BBB+</v>
      </c>
      <c r="BH20" s="240">
        <f t="shared" ca="1" si="8"/>
        <v>19</v>
      </c>
      <c r="BI20" s="240" t="str">
        <f t="shared" ca="1" si="8"/>
        <v>CNL</v>
      </c>
    </row>
    <row r="21" spans="1:61" x14ac:dyDescent="0.2">
      <c r="A21" s="303" t="s">
        <v>31</v>
      </c>
      <c r="B21" s="304" t="s">
        <v>16</v>
      </c>
      <c r="C21" s="304">
        <v>19</v>
      </c>
      <c r="D21" s="304" t="s">
        <v>289</v>
      </c>
      <c r="E21" s="305" t="str">
        <f t="shared" ca="1" si="0"/>
        <v>R</v>
      </c>
      <c r="F21" s="306"/>
      <c r="G21" s="307">
        <f t="shared" ca="1" si="1"/>
        <v>18</v>
      </c>
      <c r="H21" s="250"/>
      <c r="I21" s="321"/>
      <c r="K21" s="321"/>
      <c r="N21" s="321"/>
      <c r="Q21" s="321"/>
      <c r="T21" s="321"/>
      <c r="W21" s="321"/>
      <c r="AE21" s="254"/>
      <c r="AF21" s="236">
        <f t="shared" si="2"/>
        <v>1</v>
      </c>
      <c r="AG21" s="236" t="str">
        <f t="shared" ca="1" si="3"/>
        <v/>
      </c>
      <c r="AH21" s="236" t="str">
        <f t="shared" ca="1" si="18"/>
        <v/>
      </c>
      <c r="AJ21" s="236">
        <f t="shared" ca="1" si="4"/>
        <v>20</v>
      </c>
      <c r="AK21" s="236" t="str">
        <f t="shared" ca="1" si="19"/>
        <v>BBB+</v>
      </c>
      <c r="AL21" s="236">
        <f t="shared" ca="1" si="19"/>
        <v>19</v>
      </c>
      <c r="AM21" s="236" t="str">
        <f t="shared" ca="1" si="5"/>
        <v/>
      </c>
      <c r="AQ21" s="286" t="s">
        <v>57</v>
      </c>
      <c r="AR21" s="286" t="s">
        <v>49</v>
      </c>
      <c r="AS21" s="286">
        <v>17</v>
      </c>
      <c r="AT21" s="289" t="s">
        <v>296</v>
      </c>
      <c r="AV21" s="234">
        <f t="shared" si="20"/>
        <v>45</v>
      </c>
      <c r="AW21" s="234">
        <f>COUNTIF( AV$7:AV21, AV21 )</f>
        <v>1</v>
      </c>
      <c r="AX21" s="287">
        <f t="shared" si="21"/>
        <v>45.1</v>
      </c>
      <c r="AY21" s="234">
        <f t="shared" si="22"/>
        <v>45</v>
      </c>
      <c r="AZ21" s="236"/>
      <c r="BA21" s="236"/>
      <c r="BC21" s="234">
        <f t="shared" ca="1" si="23"/>
        <v>15</v>
      </c>
      <c r="BD21" s="288">
        <f t="shared" ca="1" si="7"/>
        <v>13</v>
      </c>
      <c r="BF21" s="240" t="str">
        <f t="shared" ca="1" si="8"/>
        <v>DTE Energy Company</v>
      </c>
      <c r="BG21" s="240" t="str">
        <f t="shared" ca="1" si="8"/>
        <v>BBB+</v>
      </c>
      <c r="BH21" s="240">
        <f t="shared" ca="1" si="8"/>
        <v>19</v>
      </c>
      <c r="BI21" s="240" t="str">
        <f t="shared" ca="1" si="8"/>
        <v>DTE</v>
      </c>
    </row>
    <row r="22" spans="1:61" x14ac:dyDescent="0.2">
      <c r="A22" s="303" t="s">
        <v>32</v>
      </c>
      <c r="B22" s="304" t="s">
        <v>16</v>
      </c>
      <c r="C22" s="304">
        <v>19</v>
      </c>
      <c r="D22" s="304" t="s">
        <v>290</v>
      </c>
      <c r="E22" s="305" t="str">
        <f t="shared" ca="1" si="0"/>
        <v>R</v>
      </c>
      <c r="F22" s="306"/>
      <c r="G22" s="307">
        <f t="shared" ca="1" si="1"/>
        <v>19</v>
      </c>
      <c r="H22" s="250"/>
      <c r="I22" s="321"/>
      <c r="K22" s="321"/>
      <c r="N22" s="321"/>
      <c r="Q22" s="321"/>
      <c r="T22" s="321"/>
      <c r="W22" s="321"/>
      <c r="AE22" s="254"/>
      <c r="AF22" s="236">
        <f t="shared" si="2"/>
        <v>1</v>
      </c>
      <c r="AG22" s="236" t="str">
        <f t="shared" ca="1" si="3"/>
        <v/>
      </c>
      <c r="AH22" s="236" t="str">
        <f t="shared" ca="1" si="18"/>
        <v/>
      </c>
      <c r="AJ22" s="236">
        <f t="shared" ca="1" si="4"/>
        <v>21</v>
      </c>
      <c r="AK22" s="236" t="str">
        <f t="shared" ca="1" si="19"/>
        <v>BBB+</v>
      </c>
      <c r="AL22" s="236">
        <f t="shared" ca="1" si="19"/>
        <v>19</v>
      </c>
      <c r="AM22" s="236" t="str">
        <f t="shared" ca="1" si="5"/>
        <v/>
      </c>
      <c r="AQ22" s="286" t="s">
        <v>34</v>
      </c>
      <c r="AR22" s="286" t="s">
        <v>28</v>
      </c>
      <c r="AS22" s="286">
        <v>18</v>
      </c>
      <c r="AT22" s="286" t="s">
        <v>294</v>
      </c>
      <c r="AV22" s="234">
        <f t="shared" si="20"/>
        <v>25</v>
      </c>
      <c r="AW22" s="234">
        <f>COUNTIF( AV$7:AV22, AV22 )</f>
        <v>6</v>
      </c>
      <c r="AX22" s="287">
        <f t="shared" si="21"/>
        <v>25.6</v>
      </c>
      <c r="AY22" s="234">
        <f t="shared" si="22"/>
        <v>30</v>
      </c>
      <c r="AZ22" s="236"/>
      <c r="BA22" s="236"/>
      <c r="BC22" s="234">
        <f t="shared" ca="1" si="23"/>
        <v>16</v>
      </c>
      <c r="BD22" s="288">
        <f t="shared" ca="1" si="7"/>
        <v>14</v>
      </c>
      <c r="BF22" s="240" t="str">
        <f t="shared" ca="1" si="8"/>
        <v>Duke Energy Corporation</v>
      </c>
      <c r="BG22" s="240" t="str">
        <f t="shared" ca="1" si="8"/>
        <v>BBB+</v>
      </c>
      <c r="BH22" s="240">
        <f t="shared" ca="1" si="8"/>
        <v>19</v>
      </c>
      <c r="BI22" s="240" t="str">
        <f t="shared" ca="1" si="8"/>
        <v>DUK</v>
      </c>
    </row>
    <row r="23" spans="1:61" x14ac:dyDescent="0.2">
      <c r="A23" s="303" t="s">
        <v>12</v>
      </c>
      <c r="B23" s="304" t="s">
        <v>16</v>
      </c>
      <c r="C23" s="304">
        <v>19</v>
      </c>
      <c r="D23" s="304" t="s">
        <v>309</v>
      </c>
      <c r="E23" s="305" t="str">
        <f t="shared" ca="1" si="0"/>
        <v>D</v>
      </c>
      <c r="F23" s="306"/>
      <c r="G23" s="307">
        <f t="shared" ca="1" si="1"/>
        <v>30</v>
      </c>
      <c r="H23" s="250"/>
      <c r="I23" s="321"/>
      <c r="K23" s="321"/>
      <c r="N23" s="321"/>
      <c r="Q23" s="321"/>
      <c r="T23" s="321"/>
      <c r="W23" s="321"/>
      <c r="AE23" s="254"/>
      <c r="AF23" s="236">
        <f t="shared" si="2"/>
        <v>1</v>
      </c>
      <c r="AG23" s="236" t="str">
        <f t="shared" ca="1" si="3"/>
        <v/>
      </c>
      <c r="AH23" s="236" t="str">
        <f t="shared" ca="1" si="18"/>
        <v/>
      </c>
      <c r="AJ23" s="236">
        <f t="shared" ca="1" si="4"/>
        <v>22</v>
      </c>
      <c r="AK23" s="236" t="str">
        <f t="shared" ca="1" si="19"/>
        <v>BBB+</v>
      </c>
      <c r="AL23" s="236">
        <f t="shared" ca="1" si="19"/>
        <v>19</v>
      </c>
      <c r="AM23" s="236" t="str">
        <f t="shared" ca="1" si="5"/>
        <v/>
      </c>
      <c r="AQ23" s="286" t="s">
        <v>35</v>
      </c>
      <c r="AR23" s="286" t="s">
        <v>28</v>
      </c>
      <c r="AS23" s="286">
        <v>18</v>
      </c>
      <c r="AT23" s="286" t="s">
        <v>293</v>
      </c>
      <c r="AV23" s="234">
        <f t="shared" si="20"/>
        <v>25</v>
      </c>
      <c r="AW23" s="234">
        <f>COUNTIF( AV$7:AV23, AV23 )</f>
        <v>7</v>
      </c>
      <c r="AX23" s="287">
        <f t="shared" si="21"/>
        <v>25.7</v>
      </c>
      <c r="AY23" s="234">
        <f t="shared" si="22"/>
        <v>31</v>
      </c>
      <c r="AZ23" s="236"/>
      <c r="BA23" s="236"/>
      <c r="BC23" s="234">
        <f t="shared" ca="1" si="23"/>
        <v>17</v>
      </c>
      <c r="BD23" s="288">
        <f t="shared" ca="1" si="7"/>
        <v>28</v>
      </c>
      <c r="BF23" s="240" t="str">
        <f t="shared" ca="1" si="8"/>
        <v>MDU Resources Group, Inc.</v>
      </c>
      <c r="BG23" s="240" t="str">
        <f t="shared" ca="1" si="8"/>
        <v>BBB+</v>
      </c>
      <c r="BH23" s="240">
        <f t="shared" ca="1" si="8"/>
        <v>19</v>
      </c>
      <c r="BI23" s="240" t="str">
        <f t="shared" ca="1" si="8"/>
        <v>MDU</v>
      </c>
    </row>
    <row r="24" spans="1:61" x14ac:dyDescent="0.2">
      <c r="A24" s="303" t="s">
        <v>52</v>
      </c>
      <c r="B24" s="304" t="s">
        <v>16</v>
      </c>
      <c r="C24" s="304">
        <v>19</v>
      </c>
      <c r="D24" s="304" t="s">
        <v>447</v>
      </c>
      <c r="E24" s="305" t="str">
        <f t="shared" ca="1" si="0"/>
        <v>MR</v>
      </c>
      <c r="F24" s="306"/>
      <c r="G24" s="307">
        <f t="shared" ca="1" si="1"/>
        <v>62</v>
      </c>
      <c r="H24" s="250"/>
      <c r="I24" s="321"/>
      <c r="J24" s="262"/>
      <c r="K24" s="321"/>
      <c r="N24" s="321"/>
      <c r="Q24" s="321"/>
      <c r="T24" s="321"/>
      <c r="W24" s="321"/>
      <c r="AE24" s="254"/>
      <c r="AF24" s="236">
        <f t="shared" si="2"/>
        <v>1</v>
      </c>
      <c r="AG24" s="236" t="str">
        <f t="shared" ca="1" si="3"/>
        <v/>
      </c>
      <c r="AH24" s="236" t="str">
        <f t="shared" ca="1" si="18"/>
        <v/>
      </c>
      <c r="AJ24" s="236">
        <f t="shared" ca="1" si="4"/>
        <v>23</v>
      </c>
      <c r="AK24" s="236" t="str">
        <f t="shared" ca="1" si="19"/>
        <v>BBB+</v>
      </c>
      <c r="AL24" s="236">
        <f t="shared" ca="1" si="19"/>
        <v>19</v>
      </c>
      <c r="AM24" s="236" t="str">
        <f t="shared" ca="1" si="5"/>
        <v/>
      </c>
      <c r="AQ24" s="286" t="s">
        <v>249</v>
      </c>
      <c r="AR24" s="286" t="s">
        <v>125</v>
      </c>
      <c r="AS24" s="286">
        <v>9</v>
      </c>
      <c r="AT24" s="286" t="s">
        <v>445</v>
      </c>
      <c r="AV24" s="234">
        <f t="shared" si="20"/>
        <v>53</v>
      </c>
      <c r="AW24" s="234">
        <f>COUNTIF( AV$7:AV24, AV24 )</f>
        <v>1</v>
      </c>
      <c r="AX24" s="287">
        <f t="shared" si="21"/>
        <v>53.1</v>
      </c>
      <c r="AY24" s="234">
        <f t="shared" si="22"/>
        <v>53</v>
      </c>
      <c r="AZ24" s="236"/>
      <c r="BA24" s="236"/>
      <c r="BC24" s="234">
        <f t="shared" ca="1" si="23"/>
        <v>18</v>
      </c>
      <c r="BD24" s="288">
        <f t="shared" ca="1" si="7"/>
        <v>29</v>
      </c>
      <c r="BF24" s="240" t="str">
        <f t="shared" ca="1" si="8"/>
        <v>MidAmerican Energy Holdings Company</v>
      </c>
      <c r="BG24" s="240" t="str">
        <f t="shared" ca="1" si="8"/>
        <v>BBB+</v>
      </c>
      <c r="BH24" s="240">
        <f t="shared" ca="1" si="8"/>
        <v>19</v>
      </c>
      <c r="BI24" s="240" t="str">
        <f t="shared" ca="1" si="8"/>
        <v>**BRK</v>
      </c>
    </row>
    <row r="25" spans="1:61" x14ac:dyDescent="0.2">
      <c r="A25" s="303" t="s">
        <v>23</v>
      </c>
      <c r="B25" s="304" t="s">
        <v>16</v>
      </c>
      <c r="C25" s="304">
        <v>19</v>
      </c>
      <c r="D25" s="304" t="s">
        <v>323</v>
      </c>
      <c r="E25" s="305" t="str">
        <f t="shared" ca="1" si="0"/>
        <v>MR</v>
      </c>
      <c r="F25" s="306"/>
      <c r="G25" s="307">
        <f t="shared" ca="1" si="1"/>
        <v>39</v>
      </c>
      <c r="H25" s="250"/>
      <c r="I25" s="321"/>
      <c r="J25" s="262"/>
      <c r="K25" s="321"/>
      <c r="N25" s="321"/>
      <c r="Q25" s="321"/>
      <c r="T25" s="321"/>
      <c r="W25" s="321"/>
      <c r="AE25" s="254"/>
      <c r="AF25" s="236">
        <f t="shared" si="2"/>
        <v>1</v>
      </c>
      <c r="AG25" s="236" t="str">
        <f t="shared" ca="1" si="3"/>
        <v/>
      </c>
      <c r="AH25" s="236" t="str">
        <f t="shared" ca="1" si="18"/>
        <v/>
      </c>
      <c r="AJ25" s="236">
        <f t="shared" ca="1" si="4"/>
        <v>24</v>
      </c>
      <c r="AK25" s="236" t="str">
        <f t="shared" ca="1" si="19"/>
        <v>BBB+</v>
      </c>
      <c r="AL25" s="236">
        <f t="shared" ca="1" si="19"/>
        <v>19</v>
      </c>
      <c r="AM25" s="236" t="str">
        <f t="shared" ca="1" si="5"/>
        <v/>
      </c>
      <c r="AQ25" s="286" t="s">
        <v>36</v>
      </c>
      <c r="AR25" s="286" t="s">
        <v>28</v>
      </c>
      <c r="AS25" s="286">
        <v>18</v>
      </c>
      <c r="AT25" s="286" t="s">
        <v>297</v>
      </c>
      <c r="AV25" s="234">
        <f t="shared" si="20"/>
        <v>25</v>
      </c>
      <c r="AW25" s="234">
        <f>COUNTIF( AV$7:AV25, AV25 )</f>
        <v>8</v>
      </c>
      <c r="AX25" s="287">
        <f t="shared" si="21"/>
        <v>25.8</v>
      </c>
      <c r="AY25" s="234">
        <f t="shared" si="22"/>
        <v>32</v>
      </c>
      <c r="AZ25" s="236"/>
      <c r="BA25" s="236"/>
      <c r="BC25" s="234">
        <f t="shared" ca="1" si="23"/>
        <v>19</v>
      </c>
      <c r="BD25" s="288">
        <f t="shared" ca="1" si="7"/>
        <v>37</v>
      </c>
      <c r="BF25" s="240" t="str">
        <f t="shared" ca="1" si="8"/>
        <v>Pepco Holdings, Inc.</v>
      </c>
      <c r="BG25" s="240" t="str">
        <f t="shared" ca="1" si="8"/>
        <v>BBB+</v>
      </c>
      <c r="BH25" s="240">
        <f t="shared" ca="1" si="8"/>
        <v>19</v>
      </c>
      <c r="BI25" s="240" t="str">
        <f t="shared" ca="1" si="8"/>
        <v>POM</v>
      </c>
    </row>
    <row r="26" spans="1:61" x14ac:dyDescent="0.2">
      <c r="A26" s="303" t="s">
        <v>41</v>
      </c>
      <c r="B26" s="304" t="s">
        <v>16</v>
      </c>
      <c r="C26" s="304">
        <v>19</v>
      </c>
      <c r="D26" s="304" t="s">
        <v>322</v>
      </c>
      <c r="E26" s="305" t="str">
        <f t="shared" ca="1" si="0"/>
        <v>R</v>
      </c>
      <c r="F26" s="306"/>
      <c r="G26" s="307">
        <f t="shared" ca="1" si="1"/>
        <v>41</v>
      </c>
      <c r="H26" s="250"/>
      <c r="I26" s="321"/>
      <c r="J26" s="262"/>
      <c r="K26" s="321"/>
      <c r="N26" s="321"/>
      <c r="Q26" s="321"/>
      <c r="T26" s="321"/>
      <c r="W26" s="321"/>
      <c r="AE26" s="254"/>
      <c r="AF26" s="236">
        <f t="shared" si="2"/>
        <v>1</v>
      </c>
      <c r="AG26" s="236" t="str">
        <f t="shared" ca="1" si="3"/>
        <v/>
      </c>
      <c r="AH26" s="236" t="str">
        <f t="shared" ca="1" si="18"/>
        <v/>
      </c>
      <c r="AJ26" s="236">
        <f t="shared" ca="1" si="4"/>
        <v>25</v>
      </c>
      <c r="AK26" s="236" t="str">
        <f t="shared" ca="1" si="19"/>
        <v>BBB+</v>
      </c>
      <c r="AL26" s="236">
        <f t="shared" ca="1" si="19"/>
        <v>19</v>
      </c>
      <c r="AM26" s="236" t="str">
        <f t="shared" ca="1" si="5"/>
        <v/>
      </c>
      <c r="AQ26" s="286" t="s">
        <v>11</v>
      </c>
      <c r="AR26" s="286" t="s">
        <v>28</v>
      </c>
      <c r="AS26" s="286">
        <v>18</v>
      </c>
      <c r="AT26" s="286" t="s">
        <v>298</v>
      </c>
      <c r="AV26" s="234">
        <f t="shared" si="20"/>
        <v>25</v>
      </c>
      <c r="AW26" s="234">
        <f>COUNTIF( AV$7:AV26, AV26 )</f>
        <v>9</v>
      </c>
      <c r="AX26" s="287">
        <f t="shared" si="21"/>
        <v>25.9</v>
      </c>
      <c r="AY26" s="234">
        <f t="shared" si="22"/>
        <v>33</v>
      </c>
      <c r="AZ26" s="236"/>
      <c r="BA26" s="236"/>
      <c r="BC26" s="234">
        <f t="shared" ca="1" si="23"/>
        <v>20</v>
      </c>
      <c r="BD26" s="288">
        <f t="shared" ca="1" si="7"/>
        <v>39</v>
      </c>
      <c r="BF26" s="240" t="str">
        <f t="shared" ca="1" si="8"/>
        <v>Pinnacle West Capital Corporation</v>
      </c>
      <c r="BG26" s="240" t="str">
        <f t="shared" ca="1" si="8"/>
        <v>BBB+</v>
      </c>
      <c r="BH26" s="240">
        <f t="shared" ca="1" si="8"/>
        <v>19</v>
      </c>
      <c r="BI26" s="240" t="str">
        <f t="shared" ca="1" si="8"/>
        <v>PNW</v>
      </c>
    </row>
    <row r="27" spans="1:61" x14ac:dyDescent="0.2">
      <c r="A27" s="303" t="s">
        <v>45</v>
      </c>
      <c r="B27" s="304" t="s">
        <v>16</v>
      </c>
      <c r="C27" s="304">
        <v>19</v>
      </c>
      <c r="D27" s="304" t="s">
        <v>319</v>
      </c>
      <c r="E27" s="305" t="str">
        <f t="shared" ca="1" si="0"/>
        <v>MR</v>
      </c>
      <c r="F27" s="306"/>
      <c r="G27" s="307">
        <f t="shared" ca="1" si="1"/>
        <v>45</v>
      </c>
      <c r="H27" s="250"/>
      <c r="I27" s="321"/>
      <c r="J27" s="262"/>
      <c r="K27" s="321"/>
      <c r="N27" s="321"/>
      <c r="Q27" s="321"/>
      <c r="T27" s="321"/>
      <c r="W27" s="321"/>
      <c r="AE27" s="254"/>
      <c r="AF27" s="236">
        <f t="shared" si="2"/>
        <v>1</v>
      </c>
      <c r="AG27" s="236" t="str">
        <f t="shared" ca="1" si="3"/>
        <v/>
      </c>
      <c r="AH27" s="236" t="str">
        <f t="shared" ca="1" si="18"/>
        <v/>
      </c>
      <c r="AJ27" s="236">
        <f t="shared" ca="1" si="4"/>
        <v>26</v>
      </c>
      <c r="AK27" s="236" t="str">
        <f t="shared" ca="1" si="19"/>
        <v>BBB+</v>
      </c>
      <c r="AL27" s="236">
        <f t="shared" ca="1" si="19"/>
        <v>19</v>
      </c>
      <c r="AM27" s="236" t="str">
        <f t="shared" ca="1" si="5"/>
        <v/>
      </c>
      <c r="AQ27" s="286" t="s">
        <v>51</v>
      </c>
      <c r="AR27" s="286" t="s">
        <v>49</v>
      </c>
      <c r="AS27" s="286">
        <v>17</v>
      </c>
      <c r="AT27" s="286" t="s">
        <v>299</v>
      </c>
      <c r="AV27" s="234">
        <f t="shared" si="20"/>
        <v>45</v>
      </c>
      <c r="AW27" s="234">
        <f>COUNTIF( AV$7:AV27, AV27 )</f>
        <v>2</v>
      </c>
      <c r="AX27" s="287">
        <f t="shared" si="21"/>
        <v>45.2</v>
      </c>
      <c r="AY27" s="234">
        <f t="shared" si="22"/>
        <v>46</v>
      </c>
      <c r="AZ27" s="236"/>
      <c r="BA27" s="236"/>
      <c r="BC27" s="234">
        <f t="shared" ca="1" si="23"/>
        <v>21</v>
      </c>
      <c r="BD27" s="288">
        <f t="shared" ca="1" si="7"/>
        <v>43</v>
      </c>
      <c r="BF27" s="240" t="str">
        <f t="shared" ca="1" si="8"/>
        <v>Public Service Enterprise Group Incorporated</v>
      </c>
      <c r="BG27" s="240" t="str">
        <f t="shared" ca="1" si="8"/>
        <v>BBB+</v>
      </c>
      <c r="BH27" s="240">
        <f t="shared" ca="1" si="8"/>
        <v>19</v>
      </c>
      <c r="BI27" s="240" t="str">
        <f t="shared" ca="1" si="8"/>
        <v>PEG</v>
      </c>
    </row>
    <row r="28" spans="1:61" x14ac:dyDescent="0.2">
      <c r="A28" s="303" t="s">
        <v>13</v>
      </c>
      <c r="B28" s="304" t="s">
        <v>16</v>
      </c>
      <c r="C28" s="304">
        <v>19</v>
      </c>
      <c r="D28" s="304" t="s">
        <v>327</v>
      </c>
      <c r="E28" s="305" t="str">
        <f t="shared" ca="1" si="0"/>
        <v>MR</v>
      </c>
      <c r="F28" s="306"/>
      <c r="G28" s="307">
        <f t="shared" ca="1" si="1"/>
        <v>46</v>
      </c>
      <c r="H28" s="250"/>
      <c r="I28" s="321"/>
      <c r="J28" s="262"/>
      <c r="K28" s="321"/>
      <c r="N28" s="321"/>
      <c r="Q28" s="321"/>
      <c r="T28" s="321"/>
      <c r="W28" s="321"/>
      <c r="AE28" s="245"/>
      <c r="AF28" s="236">
        <f t="shared" si="2"/>
        <v>1</v>
      </c>
      <c r="AG28" s="236" t="str">
        <f t="shared" ca="1" si="3"/>
        <v/>
      </c>
      <c r="AH28" s="236" t="str">
        <f t="shared" ca="1" si="18"/>
        <v/>
      </c>
      <c r="AJ28" s="236">
        <f t="shared" ca="1" si="4"/>
        <v>27</v>
      </c>
      <c r="AK28" s="236" t="str">
        <f t="shared" ca="1" si="19"/>
        <v>BBB+</v>
      </c>
      <c r="AL28" s="236">
        <f t="shared" ca="1" si="19"/>
        <v>19</v>
      </c>
      <c r="AM28" s="236" t="str">
        <f t="shared" ca="1" si="5"/>
        <v/>
      </c>
      <c r="AQ28" s="286" t="s">
        <v>261</v>
      </c>
      <c r="AR28" s="286" t="s">
        <v>28</v>
      </c>
      <c r="AS28" s="286">
        <v>18</v>
      </c>
      <c r="AT28" s="286" t="s">
        <v>301</v>
      </c>
      <c r="AV28" s="234">
        <f t="shared" si="20"/>
        <v>25</v>
      </c>
      <c r="AW28" s="234">
        <f>COUNTIF( AV$7:AV28, AV28 )</f>
        <v>10</v>
      </c>
      <c r="AX28" s="287">
        <f t="shared" si="21"/>
        <v>26</v>
      </c>
      <c r="AY28" s="234">
        <f t="shared" si="22"/>
        <v>34</v>
      </c>
      <c r="AZ28" s="236"/>
      <c r="BA28" s="236"/>
      <c r="BC28" s="234">
        <f t="shared" ca="1" si="23"/>
        <v>22</v>
      </c>
      <c r="BD28" s="288">
        <f t="shared" ca="1" si="7"/>
        <v>45</v>
      </c>
      <c r="BF28" s="240" t="str">
        <f t="shared" ca="1" si="8"/>
        <v>SCANA Corporation</v>
      </c>
      <c r="BG28" s="240" t="str">
        <f t="shared" ca="1" si="8"/>
        <v>BBB+</v>
      </c>
      <c r="BH28" s="240">
        <f t="shared" ca="1" si="8"/>
        <v>19</v>
      </c>
      <c r="BI28" s="240" t="str">
        <f t="shared" ca="1" si="8"/>
        <v>SCG</v>
      </c>
    </row>
    <row r="29" spans="1:61" x14ac:dyDescent="0.2">
      <c r="A29" s="303" t="s">
        <v>25</v>
      </c>
      <c r="B29" s="304" t="s">
        <v>16</v>
      </c>
      <c r="C29" s="304">
        <v>19</v>
      </c>
      <c r="D29" s="304" t="s">
        <v>329</v>
      </c>
      <c r="E29" s="305" t="str">
        <f t="shared" ca="1" si="0"/>
        <v>MR</v>
      </c>
      <c r="F29" s="306"/>
      <c r="G29" s="307">
        <f t="shared" ca="1" si="1"/>
        <v>47</v>
      </c>
      <c r="H29" s="250"/>
      <c r="I29" s="321"/>
      <c r="J29" s="262"/>
      <c r="K29" s="321"/>
      <c r="N29" s="321"/>
      <c r="Q29" s="321"/>
      <c r="T29" s="321"/>
      <c r="W29" s="321"/>
      <c r="AF29" s="236">
        <f t="shared" si="2"/>
        <v>1</v>
      </c>
      <c r="AG29" s="236" t="str">
        <f t="shared" ca="1" si="3"/>
        <v/>
      </c>
      <c r="AH29" s="236" t="str">
        <f t="shared" ca="1" si="18"/>
        <v/>
      </c>
      <c r="AJ29" s="236">
        <f t="shared" ca="1" si="4"/>
        <v>28</v>
      </c>
      <c r="AK29" s="236" t="str">
        <f t="shared" ca="1" si="19"/>
        <v>BBB+</v>
      </c>
      <c r="AL29" s="236">
        <f t="shared" ca="1" si="19"/>
        <v>19</v>
      </c>
      <c r="AM29" s="236" t="str">
        <f t="shared" ca="1" si="5"/>
        <v/>
      </c>
      <c r="AQ29" s="286" t="s">
        <v>39</v>
      </c>
      <c r="AR29" s="286" t="s">
        <v>49</v>
      </c>
      <c r="AS29" s="286">
        <v>17</v>
      </c>
      <c r="AT29" s="286" t="s">
        <v>302</v>
      </c>
      <c r="AV29" s="234">
        <f t="shared" si="20"/>
        <v>45</v>
      </c>
      <c r="AW29" s="234">
        <f>COUNTIF( AV$7:AV29, AV29 )</f>
        <v>3</v>
      </c>
      <c r="AX29" s="287">
        <f t="shared" si="21"/>
        <v>45.3</v>
      </c>
      <c r="AY29" s="234">
        <f t="shared" si="22"/>
        <v>47</v>
      </c>
      <c r="AZ29" s="236"/>
      <c r="BA29" s="236"/>
      <c r="BC29" s="234">
        <f t="shared" ca="1" si="23"/>
        <v>23</v>
      </c>
      <c r="BD29" s="288">
        <f t="shared" ca="1" si="7"/>
        <v>46</v>
      </c>
      <c r="BF29" s="240" t="str">
        <f t="shared" ca="1" si="8"/>
        <v>Sempra Energy</v>
      </c>
      <c r="BG29" s="240" t="str">
        <f t="shared" ca="1" si="8"/>
        <v>BBB+</v>
      </c>
      <c r="BH29" s="240">
        <f t="shared" ca="1" si="8"/>
        <v>19</v>
      </c>
      <c r="BI29" s="240" t="str">
        <f t="shared" ca="1" si="8"/>
        <v>SRE</v>
      </c>
    </row>
    <row r="30" spans="1:61" x14ac:dyDescent="0.2">
      <c r="A30" s="303" t="s">
        <v>62</v>
      </c>
      <c r="B30" s="304" t="s">
        <v>16</v>
      </c>
      <c r="C30" s="304">
        <v>19</v>
      </c>
      <c r="D30" s="304" t="s">
        <v>330</v>
      </c>
      <c r="E30" s="305" t="str">
        <f t="shared" ca="1" si="0"/>
        <v>R</v>
      </c>
      <c r="F30" s="306"/>
      <c r="G30" s="307">
        <f t="shared" ca="1" si="1"/>
        <v>49</v>
      </c>
      <c r="H30" s="250"/>
      <c r="I30" s="321"/>
      <c r="J30" s="262"/>
      <c r="K30" s="321"/>
      <c r="N30" s="321"/>
      <c r="Q30" s="321"/>
      <c r="T30" s="321"/>
      <c r="W30" s="321"/>
      <c r="AF30" s="236">
        <f t="shared" si="2"/>
        <v>1</v>
      </c>
      <c r="AG30" s="236" t="str">
        <f t="shared" ca="1" si="3"/>
        <v/>
      </c>
      <c r="AH30" s="236" t="str">
        <f t="shared" ca="1" si="18"/>
        <v/>
      </c>
      <c r="AJ30" s="236">
        <f t="shared" ca="1" si="4"/>
        <v>29</v>
      </c>
      <c r="AK30" s="236" t="str">
        <f t="shared" ca="1" si="19"/>
        <v>BBB+</v>
      </c>
      <c r="AL30" s="236">
        <f t="shared" ca="1" si="19"/>
        <v>19</v>
      </c>
      <c r="AM30" s="236" t="str">
        <f t="shared" ca="1" si="5"/>
        <v/>
      </c>
      <c r="AQ30" s="286" t="s">
        <v>452</v>
      </c>
      <c r="AR30" s="286" t="s">
        <v>28</v>
      </c>
      <c r="AS30" s="286">
        <v>18</v>
      </c>
      <c r="AT30" s="286" t="s">
        <v>444</v>
      </c>
      <c r="AV30" s="234">
        <f t="shared" si="20"/>
        <v>25</v>
      </c>
      <c r="AW30" s="234">
        <f>COUNTIF( AV$7:AV30, AV30 )</f>
        <v>11</v>
      </c>
      <c r="AX30" s="287">
        <f t="shared" si="21"/>
        <v>26.1</v>
      </c>
      <c r="AY30" s="234">
        <f t="shared" si="22"/>
        <v>35</v>
      </c>
      <c r="AZ30" s="236"/>
      <c r="BA30" s="236"/>
      <c r="BC30" s="234">
        <f t="shared" ca="1" si="23"/>
        <v>24</v>
      </c>
      <c r="BD30" s="288">
        <f t="shared" ca="1" si="7"/>
        <v>48</v>
      </c>
      <c r="BF30" s="240" t="str">
        <f t="shared" ca="1" si="8"/>
        <v>TECO Energy, Inc.</v>
      </c>
      <c r="BG30" s="240" t="str">
        <f t="shared" ca="1" si="8"/>
        <v>BBB+</v>
      </c>
      <c r="BH30" s="240">
        <f t="shared" ca="1" si="8"/>
        <v>19</v>
      </c>
      <c r="BI30" s="240" t="str">
        <f t="shared" ca="1" si="8"/>
        <v>TE</v>
      </c>
    </row>
    <row r="31" spans="1:61" x14ac:dyDescent="0.2">
      <c r="A31" s="303" t="s">
        <v>9</v>
      </c>
      <c r="B31" s="304" t="s">
        <v>28</v>
      </c>
      <c r="C31" s="304">
        <v>18</v>
      </c>
      <c r="D31" s="304" t="s">
        <v>274</v>
      </c>
      <c r="E31" s="305" t="str">
        <f t="shared" ca="1" si="0"/>
        <v>R</v>
      </c>
      <c r="F31" s="306"/>
      <c r="G31" s="307">
        <f t="shared" ca="1" si="1"/>
        <v>9</v>
      </c>
      <c r="H31" s="250"/>
      <c r="I31" s="321"/>
      <c r="J31" s="262"/>
      <c r="K31" s="321"/>
      <c r="N31" s="321"/>
      <c r="O31" s="253"/>
      <c r="Q31" s="321"/>
      <c r="T31" s="321"/>
      <c r="W31" s="321"/>
      <c r="AF31" s="236">
        <f t="shared" si="2"/>
        <v>0</v>
      </c>
      <c r="AG31" s="236" t="str">
        <f t="shared" ca="1" si="3"/>
        <v/>
      </c>
      <c r="AH31" s="236" t="str">
        <f t="shared" ca="1" si="18"/>
        <v/>
      </c>
      <c r="AJ31" s="236">
        <f t="shared" ca="1" si="4"/>
        <v>30</v>
      </c>
      <c r="AK31" s="236" t="str">
        <f t="shared" ca="1" si="19"/>
        <v>BBB</v>
      </c>
      <c r="AL31" s="236">
        <f t="shared" ca="1" si="19"/>
        <v>18</v>
      </c>
      <c r="AM31" s="236" t="str">
        <f t="shared" ca="1" si="5"/>
        <v/>
      </c>
      <c r="AQ31" s="286" t="s">
        <v>20</v>
      </c>
      <c r="AR31" s="286" t="s">
        <v>28</v>
      </c>
      <c r="AS31" s="286">
        <v>18</v>
      </c>
      <c r="AT31" s="286" t="s">
        <v>303</v>
      </c>
      <c r="AV31" s="234">
        <f t="shared" si="20"/>
        <v>25</v>
      </c>
      <c r="AW31" s="234">
        <f>COUNTIF( AV$7:AV31, AV31 )</f>
        <v>12</v>
      </c>
      <c r="AX31" s="287">
        <f t="shared" si="21"/>
        <v>26.2</v>
      </c>
      <c r="AY31" s="234">
        <f t="shared" si="22"/>
        <v>36</v>
      </c>
      <c r="AZ31" s="236"/>
      <c r="BA31" s="236"/>
      <c r="BC31" s="234">
        <f t="shared" ca="1" si="23"/>
        <v>25</v>
      </c>
      <c r="BD31" s="288">
        <f t="shared" ca="1" si="7"/>
        <v>3</v>
      </c>
      <c r="BF31" s="240" t="str">
        <f t="shared" ca="1" si="8"/>
        <v>Ameren Corporation</v>
      </c>
      <c r="BG31" s="240" t="str">
        <f t="shared" ca="1" si="8"/>
        <v>BBB</v>
      </c>
      <c r="BH31" s="240">
        <f t="shared" ca="1" si="8"/>
        <v>18</v>
      </c>
      <c r="BI31" s="240" t="str">
        <f t="shared" ca="1" si="8"/>
        <v>AEE</v>
      </c>
    </row>
    <row r="32" spans="1:61" x14ac:dyDescent="0.2">
      <c r="A32" s="303" t="s">
        <v>259</v>
      </c>
      <c r="B32" s="304" t="s">
        <v>28</v>
      </c>
      <c r="C32" s="304">
        <v>18</v>
      </c>
      <c r="D32" s="304" t="s">
        <v>275</v>
      </c>
      <c r="E32" s="305" t="str">
        <f t="shared" ca="1" si="0"/>
        <v>R</v>
      </c>
      <c r="F32" s="306"/>
      <c r="G32" s="307">
        <f t="shared" ca="1" si="1"/>
        <v>10</v>
      </c>
      <c r="H32" s="250"/>
      <c r="I32" s="321"/>
      <c r="J32" s="262"/>
      <c r="K32" s="321"/>
      <c r="N32" s="321"/>
      <c r="Q32" s="321"/>
      <c r="T32" s="321"/>
      <c r="W32" s="321"/>
      <c r="AF32" s="236">
        <f t="shared" si="2"/>
        <v>0</v>
      </c>
      <c r="AG32" s="236" t="str">
        <f t="shared" ca="1" si="3"/>
        <v/>
      </c>
      <c r="AH32" s="236" t="str">
        <f t="shared" ca="1" si="18"/>
        <v/>
      </c>
      <c r="AJ32" s="236">
        <f t="shared" ca="1" si="4"/>
        <v>31</v>
      </c>
      <c r="AK32" s="236" t="str">
        <f t="shared" ca="1" si="19"/>
        <v>BBB</v>
      </c>
      <c r="AL32" s="236">
        <f t="shared" ca="1" si="19"/>
        <v>18</v>
      </c>
      <c r="AM32" s="236" t="str">
        <f t="shared" ca="1" si="5"/>
        <v/>
      </c>
      <c r="AQ32" s="286" t="s">
        <v>254</v>
      </c>
      <c r="AR32" s="286" t="s">
        <v>10</v>
      </c>
      <c r="AS32" s="286">
        <v>20</v>
      </c>
      <c r="AT32" s="289" t="s">
        <v>331</v>
      </c>
      <c r="AV32" s="234">
        <f t="shared" si="20"/>
        <v>2</v>
      </c>
      <c r="AW32" s="234">
        <f>COUNTIF( AV$7:AV32, AV32 )</f>
        <v>5</v>
      </c>
      <c r="AX32" s="287">
        <f t="shared" si="21"/>
        <v>2.5</v>
      </c>
      <c r="AY32" s="234">
        <f t="shared" si="22"/>
        <v>6</v>
      </c>
      <c r="AZ32" s="236"/>
      <c r="BA32" s="236"/>
      <c r="BC32" s="234">
        <f t="shared" ca="1" si="23"/>
        <v>26</v>
      </c>
      <c r="BD32" s="288">
        <f t="shared" ca="1" si="7"/>
        <v>4</v>
      </c>
      <c r="BF32" s="240" t="str">
        <f t="shared" ca="1" si="8"/>
        <v>American Electric Power Company, Inc.</v>
      </c>
      <c r="BG32" s="240" t="str">
        <f t="shared" ca="1" si="8"/>
        <v>BBB</v>
      </c>
      <c r="BH32" s="240">
        <f t="shared" ca="1" si="8"/>
        <v>18</v>
      </c>
      <c r="BI32" s="240" t="str">
        <f t="shared" ca="1" si="8"/>
        <v>AEP</v>
      </c>
    </row>
    <row r="33" spans="1:61" x14ac:dyDescent="0.2">
      <c r="A33" s="303" t="s">
        <v>55</v>
      </c>
      <c r="B33" s="304" t="s">
        <v>28</v>
      </c>
      <c r="C33" s="304">
        <v>18</v>
      </c>
      <c r="D33" s="304" t="s">
        <v>278</v>
      </c>
      <c r="E33" s="305" t="str">
        <f t="shared" ca="1" si="0"/>
        <v>R</v>
      </c>
      <c r="F33" s="306"/>
      <c r="G33" s="307">
        <f t="shared" ca="1" si="1"/>
        <v>11</v>
      </c>
      <c r="H33" s="250"/>
      <c r="I33" s="321"/>
      <c r="J33" s="262"/>
      <c r="K33" s="321"/>
      <c r="N33" s="321"/>
      <c r="Q33" s="321"/>
      <c r="T33" s="321"/>
      <c r="W33" s="321"/>
      <c r="AF33" s="236">
        <f t="shared" si="2"/>
        <v>0</v>
      </c>
      <c r="AG33" s="236" t="str">
        <f t="shared" ca="1" si="3"/>
        <v/>
      </c>
      <c r="AH33" s="236" t="str">
        <f t="shared" ca="1" si="18"/>
        <v/>
      </c>
      <c r="AJ33" s="236">
        <f t="shared" ca="1" si="4"/>
        <v>32</v>
      </c>
      <c r="AK33" s="236" t="str">
        <f t="shared" ca="1" si="19"/>
        <v>BBB</v>
      </c>
      <c r="AL33" s="236">
        <f t="shared" ca="1" si="19"/>
        <v>18</v>
      </c>
      <c r="AM33" s="236" t="str">
        <f t="shared" ca="1" si="5"/>
        <v/>
      </c>
      <c r="AQ33" s="286" t="s">
        <v>58</v>
      </c>
      <c r="AR33" s="286" t="s">
        <v>49</v>
      </c>
      <c r="AS33" s="286">
        <v>17</v>
      </c>
      <c r="AT33" s="286" t="s">
        <v>446</v>
      </c>
      <c r="AV33" s="234">
        <f t="shared" si="20"/>
        <v>45</v>
      </c>
      <c r="AW33" s="234">
        <f>COUNTIF( AV$7:AV33, AV33 )</f>
        <v>4</v>
      </c>
      <c r="AX33" s="287">
        <f t="shared" si="21"/>
        <v>45.4</v>
      </c>
      <c r="AY33" s="234">
        <f t="shared" si="22"/>
        <v>48</v>
      </c>
      <c r="AZ33" s="236"/>
      <c r="BA33" s="236"/>
      <c r="BC33" s="234">
        <f t="shared" ca="1" si="23"/>
        <v>27</v>
      </c>
      <c r="BD33" s="288">
        <f t="shared" ca="1" si="7"/>
        <v>5</v>
      </c>
      <c r="BF33" s="240" t="str">
        <f t="shared" ca="1" si="8"/>
        <v>Avista Corporation</v>
      </c>
      <c r="BG33" s="240" t="str">
        <f t="shared" ca="1" si="8"/>
        <v>BBB</v>
      </c>
      <c r="BH33" s="240">
        <f t="shared" ca="1" si="8"/>
        <v>18</v>
      </c>
      <c r="BI33" s="240" t="str">
        <f t="shared" ca="1" si="8"/>
        <v>AVA</v>
      </c>
    </row>
    <row r="34" spans="1:61" x14ac:dyDescent="0.2">
      <c r="A34" s="303" t="s">
        <v>48</v>
      </c>
      <c r="B34" s="304" t="s">
        <v>28</v>
      </c>
      <c r="C34" s="304">
        <v>18</v>
      </c>
      <c r="D34" s="304" t="s">
        <v>280</v>
      </c>
      <c r="E34" s="305" t="str">
        <f t="shared" ca="1" si="0"/>
        <v>R</v>
      </c>
      <c r="F34" s="306"/>
      <c r="G34" s="307">
        <f t="shared" ca="1" si="1"/>
        <v>12</v>
      </c>
      <c r="H34" s="250"/>
      <c r="I34" s="321"/>
      <c r="J34" s="262"/>
      <c r="K34" s="321"/>
      <c r="L34" s="235"/>
      <c r="M34" s="235"/>
      <c r="N34" s="321"/>
      <c r="Q34" s="321"/>
      <c r="T34" s="321"/>
      <c r="W34" s="321"/>
      <c r="AF34" s="236">
        <f t="shared" si="2"/>
        <v>0</v>
      </c>
      <c r="AG34" s="236">
        <f t="shared" ca="1" si="3"/>
        <v>1</v>
      </c>
      <c r="AH34" s="236" t="str">
        <f t="shared" ca="1" si="18"/>
        <v/>
      </c>
      <c r="AJ34" s="236">
        <f t="shared" ca="1" si="4"/>
        <v>50</v>
      </c>
      <c r="AK34" s="236" t="str">
        <f t="shared" ca="1" si="19"/>
        <v>BBB-</v>
      </c>
      <c r="AL34" s="236">
        <f t="shared" ca="1" si="19"/>
        <v>17</v>
      </c>
      <c r="AM34" s="236" t="str">
        <f t="shared" ca="1" si="5"/>
        <v>Change</v>
      </c>
      <c r="AQ34" s="286" t="s">
        <v>12</v>
      </c>
      <c r="AR34" s="286" t="s">
        <v>16</v>
      </c>
      <c r="AS34" s="286">
        <v>19</v>
      </c>
      <c r="AT34" s="286" t="s">
        <v>309</v>
      </c>
      <c r="AV34" s="234">
        <f t="shared" si="20"/>
        <v>13</v>
      </c>
      <c r="AW34" s="234">
        <f>COUNTIF( AV$7:AV34, AV34 )</f>
        <v>5</v>
      </c>
      <c r="AX34" s="287">
        <f t="shared" si="21"/>
        <v>13.5</v>
      </c>
      <c r="AY34" s="234">
        <f t="shared" si="22"/>
        <v>17</v>
      </c>
      <c r="AZ34" s="236"/>
      <c r="BA34" s="236"/>
      <c r="BC34" s="234">
        <f t="shared" ca="1" si="23"/>
        <v>28</v>
      </c>
      <c r="BD34" s="288">
        <f t="shared" ca="1" si="7"/>
        <v>6</v>
      </c>
      <c r="BF34" s="240" t="str">
        <f t="shared" ca="1" si="8"/>
        <v>Black Hills Corporation</v>
      </c>
      <c r="BG34" s="240" t="str">
        <f t="shared" ca="1" si="8"/>
        <v>BBB</v>
      </c>
      <c r="BH34" s="240">
        <f t="shared" ca="1" si="8"/>
        <v>18</v>
      </c>
      <c r="BI34" s="240" t="str">
        <f t="shared" ca="1" si="8"/>
        <v>BKH</v>
      </c>
    </row>
    <row r="35" spans="1:61" x14ac:dyDescent="0.2">
      <c r="A35" s="303" t="s">
        <v>60</v>
      </c>
      <c r="B35" s="304" t="s">
        <v>28</v>
      </c>
      <c r="C35" s="304">
        <v>18</v>
      </c>
      <c r="D35" s="304" t="s">
        <v>284</v>
      </c>
      <c r="E35" s="305" t="str">
        <f t="shared" ca="1" si="0"/>
        <v>R</v>
      </c>
      <c r="F35" s="306"/>
      <c r="G35" s="307">
        <f t="shared" ca="1" si="1"/>
        <v>15</v>
      </c>
      <c r="H35" s="250"/>
      <c r="I35" s="321"/>
      <c r="K35" s="321"/>
      <c r="L35" s="235"/>
      <c r="M35" s="235"/>
      <c r="N35" s="321"/>
      <c r="Q35" s="321"/>
      <c r="T35" s="321"/>
      <c r="W35" s="321"/>
      <c r="AF35" s="236">
        <f t="shared" si="2"/>
        <v>0</v>
      </c>
      <c r="AG35" s="236" t="str">
        <f t="shared" ca="1" si="3"/>
        <v/>
      </c>
      <c r="AH35" s="236" t="str">
        <f t="shared" ca="1" si="18"/>
        <v/>
      </c>
      <c r="AJ35" s="236">
        <f t="shared" ca="1" si="4"/>
        <v>34</v>
      </c>
      <c r="AK35" s="236" t="str">
        <f t="shared" ca="1" si="19"/>
        <v>BBB</v>
      </c>
      <c r="AL35" s="236">
        <f t="shared" ca="1" si="19"/>
        <v>18</v>
      </c>
      <c r="AM35" s="236" t="str">
        <f t="shared" ca="1" si="5"/>
        <v/>
      </c>
      <c r="AQ35" s="286" t="s">
        <v>52</v>
      </c>
      <c r="AR35" s="286" t="s">
        <v>16</v>
      </c>
      <c r="AS35" s="286">
        <v>19</v>
      </c>
      <c r="AT35" s="286" t="s">
        <v>447</v>
      </c>
      <c r="AV35" s="234">
        <f t="shared" si="20"/>
        <v>13</v>
      </c>
      <c r="AW35" s="234">
        <f>COUNTIF( AV$7:AV35, AV35 )</f>
        <v>6</v>
      </c>
      <c r="AX35" s="287">
        <f t="shared" si="21"/>
        <v>13.6</v>
      </c>
      <c r="AY35" s="234">
        <f t="shared" si="22"/>
        <v>18</v>
      </c>
      <c r="AZ35" s="236"/>
      <c r="BA35" s="236"/>
      <c r="BC35" s="234">
        <f t="shared" ca="1" si="23"/>
        <v>29</v>
      </c>
      <c r="BD35" s="288">
        <f t="shared" ca="1" si="7"/>
        <v>9</v>
      </c>
      <c r="BF35" s="240" t="str">
        <f t="shared" ca="1" si="8"/>
        <v>CMS Energy Corporation</v>
      </c>
      <c r="BG35" s="240" t="str">
        <f t="shared" ca="1" si="8"/>
        <v>BBB</v>
      </c>
      <c r="BH35" s="240">
        <f t="shared" ca="1" si="8"/>
        <v>18</v>
      </c>
      <c r="BI35" s="240" t="str">
        <f t="shared" ca="1" si="8"/>
        <v>CMS</v>
      </c>
    </row>
    <row r="36" spans="1:61" x14ac:dyDescent="0.2">
      <c r="A36" s="303" t="s">
        <v>34</v>
      </c>
      <c r="B36" s="304" t="s">
        <v>28</v>
      </c>
      <c r="C36" s="304">
        <v>18</v>
      </c>
      <c r="D36" s="304" t="s">
        <v>294</v>
      </c>
      <c r="E36" s="305" t="str">
        <f t="shared" ca="1" si="0"/>
        <v>R</v>
      </c>
      <c r="F36" s="306"/>
      <c r="G36" s="307">
        <f t="shared" ca="1" si="1"/>
        <v>21</v>
      </c>
      <c r="H36" s="250"/>
      <c r="I36" s="321"/>
      <c r="J36" s="262"/>
      <c r="K36" s="321"/>
      <c r="L36" s="263"/>
      <c r="M36" s="263"/>
      <c r="N36" s="321"/>
      <c r="Q36" s="321"/>
      <c r="T36" s="321"/>
      <c r="W36" s="321"/>
      <c r="AF36" s="236">
        <f t="shared" si="2"/>
        <v>0</v>
      </c>
      <c r="AG36" s="236" t="str">
        <f t="shared" ca="1" si="3"/>
        <v/>
      </c>
      <c r="AH36" s="236" t="str">
        <f t="shared" ca="1" si="18"/>
        <v/>
      </c>
      <c r="AJ36" s="236">
        <f t="shared" ca="1" si="4"/>
        <v>35</v>
      </c>
      <c r="AK36" s="236" t="str">
        <f t="shared" ca="1" si="19"/>
        <v>BBB</v>
      </c>
      <c r="AL36" s="236">
        <f t="shared" ca="1" si="19"/>
        <v>18</v>
      </c>
      <c r="AM36" s="236" t="str">
        <f t="shared" ca="1" si="5"/>
        <v/>
      </c>
      <c r="AQ36" s="286" t="s">
        <v>370</v>
      </c>
      <c r="AR36" s="286" t="s">
        <v>10</v>
      </c>
      <c r="AS36" s="286">
        <v>20</v>
      </c>
      <c r="AT36" s="286" t="s">
        <v>369</v>
      </c>
      <c r="AV36" s="234">
        <f t="shared" si="20"/>
        <v>2</v>
      </c>
      <c r="AW36" s="234">
        <f>COUNTIF( AV$7:AV36, AV36 )</f>
        <v>6</v>
      </c>
      <c r="AX36" s="287">
        <f t="shared" si="21"/>
        <v>2.6</v>
      </c>
      <c r="AY36" s="234">
        <f t="shared" si="22"/>
        <v>7</v>
      </c>
      <c r="AZ36" s="236"/>
      <c r="BA36" s="236"/>
      <c r="BC36" s="234">
        <f t="shared" ca="1" si="23"/>
        <v>30</v>
      </c>
      <c r="BD36" s="288">
        <f t="shared" ca="1" si="7"/>
        <v>16</v>
      </c>
      <c r="BF36" s="240" t="str">
        <f t="shared" ca="1" si="8"/>
        <v>El Paso Electric Company</v>
      </c>
      <c r="BG36" s="240" t="str">
        <f t="shared" ca="1" si="8"/>
        <v>BBB</v>
      </c>
      <c r="BH36" s="240">
        <f t="shared" ca="1" si="8"/>
        <v>18</v>
      </c>
      <c r="BI36" s="240" t="str">
        <f t="shared" ca="1" si="8"/>
        <v>EE</v>
      </c>
    </row>
    <row r="37" spans="1:61" x14ac:dyDescent="0.2">
      <c r="A37" s="303" t="s">
        <v>35</v>
      </c>
      <c r="B37" s="304" t="s">
        <v>28</v>
      </c>
      <c r="C37" s="304">
        <v>18</v>
      </c>
      <c r="D37" s="304" t="s">
        <v>293</v>
      </c>
      <c r="E37" s="305" t="str">
        <f t="shared" ca="1" si="0"/>
        <v>R</v>
      </c>
      <c r="F37" s="306"/>
      <c r="G37" s="307">
        <f t="shared" ca="1" si="1"/>
        <v>22</v>
      </c>
      <c r="H37" s="250"/>
      <c r="I37" s="321"/>
      <c r="K37" s="321"/>
      <c r="L37" s="264"/>
      <c r="M37" s="235"/>
      <c r="N37" s="321"/>
      <c r="Q37" s="321"/>
      <c r="T37" s="321"/>
      <c r="W37" s="321"/>
      <c r="AF37" s="236">
        <f t="shared" si="2"/>
        <v>0</v>
      </c>
      <c r="AG37" s="236" t="str">
        <f t="shared" ca="1" si="3"/>
        <v/>
      </c>
      <c r="AH37" s="236" t="str">
        <f t="shared" ca="1" si="18"/>
        <v/>
      </c>
      <c r="AJ37" s="236">
        <f t="shared" ca="1" si="4"/>
        <v>36</v>
      </c>
      <c r="AK37" s="236" t="str">
        <f t="shared" ca="1" si="19"/>
        <v>BBB</v>
      </c>
      <c r="AL37" s="236">
        <f t="shared" ca="1" si="19"/>
        <v>18</v>
      </c>
      <c r="AM37" s="236" t="str">
        <f t="shared" ca="1" si="5"/>
        <v/>
      </c>
      <c r="AQ37" s="286" t="s">
        <v>40</v>
      </c>
      <c r="AR37" s="286" t="s">
        <v>49</v>
      </c>
      <c r="AS37" s="286">
        <v>17</v>
      </c>
      <c r="AT37" s="286" t="s">
        <v>311</v>
      </c>
      <c r="AV37" s="234">
        <f t="shared" si="20"/>
        <v>45</v>
      </c>
      <c r="AW37" s="234">
        <f>COUNTIF( AV$7:AV37, AV37 )</f>
        <v>5</v>
      </c>
      <c r="AX37" s="287">
        <f t="shared" si="21"/>
        <v>45.5</v>
      </c>
      <c r="AY37" s="234">
        <f t="shared" si="22"/>
        <v>49</v>
      </c>
      <c r="AZ37" s="236"/>
      <c r="BA37" s="236"/>
      <c r="BC37" s="234">
        <f t="shared" ca="1" si="23"/>
        <v>31</v>
      </c>
      <c r="BD37" s="288">
        <f t="shared" ca="1" si="7"/>
        <v>17</v>
      </c>
      <c r="BF37" s="240" t="str">
        <f t="shared" ca="1" si="8"/>
        <v>Empire District Electric Company</v>
      </c>
      <c r="BG37" s="240" t="str">
        <f t="shared" ca="1" si="8"/>
        <v>BBB</v>
      </c>
      <c r="BH37" s="240">
        <f t="shared" ca="1" si="8"/>
        <v>18</v>
      </c>
      <c r="BI37" s="240" t="str">
        <f t="shared" ca="1" si="8"/>
        <v>EDE</v>
      </c>
    </row>
    <row r="38" spans="1:61" x14ac:dyDescent="0.2">
      <c r="A38" s="303" t="s">
        <v>36</v>
      </c>
      <c r="B38" s="304" t="s">
        <v>28</v>
      </c>
      <c r="C38" s="304">
        <v>18</v>
      </c>
      <c r="D38" s="304" t="s">
        <v>297</v>
      </c>
      <c r="E38" s="305" t="str">
        <f t="shared" ca="1" si="0"/>
        <v>R</v>
      </c>
      <c r="F38" s="306"/>
      <c r="G38" s="307">
        <f t="shared" ca="1" si="1"/>
        <v>23</v>
      </c>
      <c r="H38" s="250"/>
      <c r="I38" s="321"/>
      <c r="J38" s="262"/>
      <c r="K38" s="321"/>
      <c r="L38" s="264"/>
      <c r="M38" s="235"/>
      <c r="N38" s="321"/>
      <c r="Q38" s="321"/>
      <c r="T38" s="321"/>
      <c r="W38" s="321"/>
      <c r="AF38" s="236">
        <f t="shared" si="2"/>
        <v>0</v>
      </c>
      <c r="AG38" s="236" t="str">
        <f t="shared" ca="1" si="3"/>
        <v/>
      </c>
      <c r="AH38" s="236" t="str">
        <f t="shared" ca="1" si="18"/>
        <v/>
      </c>
      <c r="AJ38" s="236">
        <f t="shared" ca="1" si="4"/>
        <v>37</v>
      </c>
      <c r="AK38" s="236" t="str">
        <f t="shared" ca="1" si="19"/>
        <v>BBB</v>
      </c>
      <c r="AL38" s="236">
        <f t="shared" ca="1" si="19"/>
        <v>18</v>
      </c>
      <c r="AM38" s="236" t="str">
        <f t="shared" ca="1" si="5"/>
        <v/>
      </c>
      <c r="AQ38" s="286" t="s">
        <v>513</v>
      </c>
      <c r="AR38" s="286" t="s">
        <v>10</v>
      </c>
      <c r="AS38" s="286">
        <v>20</v>
      </c>
      <c r="AT38" s="286" t="s">
        <v>512</v>
      </c>
      <c r="AV38" s="234">
        <f t="shared" si="20"/>
        <v>2</v>
      </c>
      <c r="AW38" s="234">
        <f>COUNTIF( AV$7:AV38, AV38 )</f>
        <v>7</v>
      </c>
      <c r="AX38" s="287">
        <f t="shared" si="21"/>
        <v>2.7</v>
      </c>
      <c r="AY38" s="234">
        <f t="shared" si="22"/>
        <v>8</v>
      </c>
      <c r="AZ38" s="236"/>
      <c r="BA38" s="236"/>
      <c r="BC38" s="234">
        <f t="shared" ca="1" si="23"/>
        <v>32</v>
      </c>
      <c r="BD38" s="288">
        <f t="shared" ca="1" si="7"/>
        <v>19</v>
      </c>
      <c r="BF38" s="240" t="str">
        <f t="shared" ca="1" si="8"/>
        <v>Entergy Corporation</v>
      </c>
      <c r="BG38" s="240" t="str">
        <f t="shared" ca="1" si="8"/>
        <v>BBB</v>
      </c>
      <c r="BH38" s="240">
        <f t="shared" ca="1" si="8"/>
        <v>18</v>
      </c>
      <c r="BI38" s="240" t="str">
        <f t="shared" ca="1" si="8"/>
        <v>ETR</v>
      </c>
    </row>
    <row r="39" spans="1:61" x14ac:dyDescent="0.2">
      <c r="A39" s="303" t="s">
        <v>11</v>
      </c>
      <c r="B39" s="304" t="s">
        <v>28</v>
      </c>
      <c r="C39" s="304">
        <v>18</v>
      </c>
      <c r="D39" s="304" t="s">
        <v>298</v>
      </c>
      <c r="E39" s="305" t="str">
        <f t="shared" ca="1" si="0"/>
        <v>MR</v>
      </c>
      <c r="F39" s="306"/>
      <c r="G39" s="307">
        <f t="shared" ca="1" si="1"/>
        <v>24</v>
      </c>
      <c r="H39" s="250"/>
      <c r="I39" s="321"/>
      <c r="K39" s="321"/>
      <c r="L39" s="264"/>
      <c r="M39" s="235"/>
      <c r="N39" s="321"/>
      <c r="Q39" s="321"/>
      <c r="T39" s="321"/>
      <c r="W39" s="321"/>
      <c r="AF39" s="236">
        <f t="shared" si="2"/>
        <v>0</v>
      </c>
      <c r="AG39" s="236" t="str">
        <f t="shared" ca="1" si="3"/>
        <v/>
      </c>
      <c r="AH39" s="236" t="str">
        <f t="shared" ca="1" si="18"/>
        <v/>
      </c>
      <c r="AJ39" s="236">
        <f t="shared" ca="1" si="4"/>
        <v>38</v>
      </c>
      <c r="AK39" s="236" t="str">
        <f t="shared" ca="1" si="19"/>
        <v>BBB</v>
      </c>
      <c r="AL39" s="236">
        <f t="shared" ca="1" si="19"/>
        <v>18</v>
      </c>
      <c r="AM39" s="236" t="str">
        <f t="shared" ca="1" si="5"/>
        <v/>
      </c>
      <c r="AQ39" s="286" t="s">
        <v>66</v>
      </c>
      <c r="AR39" s="286" t="s">
        <v>28</v>
      </c>
      <c r="AS39" s="286">
        <v>18</v>
      </c>
      <c r="AT39" s="286" t="s">
        <v>315</v>
      </c>
      <c r="AV39" s="234">
        <f t="shared" si="20"/>
        <v>25</v>
      </c>
      <c r="AW39" s="234">
        <f>COUNTIF( AV$7:AV39, AV39 )</f>
        <v>13</v>
      </c>
      <c r="AX39" s="287">
        <f t="shared" si="21"/>
        <v>26.3</v>
      </c>
      <c r="AY39" s="234">
        <f t="shared" si="22"/>
        <v>37</v>
      </c>
      <c r="AZ39" s="236"/>
      <c r="BA39" s="236"/>
      <c r="BC39" s="234">
        <f t="shared" ca="1" si="23"/>
        <v>33</v>
      </c>
      <c r="BD39" s="288">
        <f t="shared" ca="1" si="7"/>
        <v>20</v>
      </c>
      <c r="BF39" s="240" t="str">
        <f t="shared" ref="BF39:BI63" ca="1" si="24">OFFSET( AQ$6, $BD39, 0 )</f>
        <v>Exelon Corporation</v>
      </c>
      <c r="BG39" s="240" t="str">
        <f t="shared" ca="1" si="24"/>
        <v>BBB</v>
      </c>
      <c r="BH39" s="240">
        <f t="shared" ca="1" si="24"/>
        <v>18</v>
      </c>
      <c r="BI39" s="240" t="str">
        <f t="shared" ca="1" si="24"/>
        <v>EXC</v>
      </c>
    </row>
    <row r="40" spans="1:61" x14ac:dyDescent="0.2">
      <c r="A40" s="303" t="s">
        <v>261</v>
      </c>
      <c r="B40" s="304" t="s">
        <v>28</v>
      </c>
      <c r="C40" s="304">
        <v>18</v>
      </c>
      <c r="D40" s="304" t="s">
        <v>301</v>
      </c>
      <c r="E40" s="305" t="str">
        <f t="shared" ca="1" si="0"/>
        <v>R</v>
      </c>
      <c r="F40" s="306"/>
      <c r="G40" s="307">
        <f t="shared" ca="1" si="1"/>
        <v>26</v>
      </c>
      <c r="H40" s="250"/>
      <c r="I40" s="321"/>
      <c r="J40" s="262"/>
      <c r="K40" s="321"/>
      <c r="L40" s="264"/>
      <c r="M40" s="235"/>
      <c r="N40" s="321"/>
      <c r="Q40" s="321"/>
      <c r="T40" s="321"/>
      <c r="W40" s="321"/>
      <c r="AF40" s="236">
        <f t="shared" si="2"/>
        <v>0</v>
      </c>
      <c r="AG40" s="236" t="str">
        <f t="shared" ca="1" si="3"/>
        <v/>
      </c>
      <c r="AH40" s="236" t="str">
        <f t="shared" ca="1" si="18"/>
        <v/>
      </c>
      <c r="AJ40" s="236">
        <f t="shared" ca="1" si="4"/>
        <v>39</v>
      </c>
      <c r="AK40" s="236" t="str">
        <f t="shared" ca="1" si="19"/>
        <v>BBB</v>
      </c>
      <c r="AL40" s="236">
        <f t="shared" ca="1" si="19"/>
        <v>18</v>
      </c>
      <c r="AM40" s="236" t="str">
        <f t="shared" ca="1" si="5"/>
        <v/>
      </c>
      <c r="AQ40" s="286" t="s">
        <v>266</v>
      </c>
      <c r="AR40" s="286" t="s">
        <v>49</v>
      </c>
      <c r="AS40" s="286">
        <v>17</v>
      </c>
      <c r="AT40" s="286" t="s">
        <v>314</v>
      </c>
      <c r="AV40" s="234">
        <f t="shared" si="20"/>
        <v>45</v>
      </c>
      <c r="AW40" s="234">
        <f>COUNTIF( AV$7:AV40, AV40 )</f>
        <v>6</v>
      </c>
      <c r="AX40" s="287">
        <f t="shared" si="21"/>
        <v>45.6</v>
      </c>
      <c r="AY40" s="234">
        <f t="shared" si="22"/>
        <v>50</v>
      </c>
      <c r="AZ40" s="236"/>
      <c r="BA40" s="236"/>
      <c r="BC40" s="234">
        <f t="shared" ca="1" si="23"/>
        <v>34</v>
      </c>
      <c r="BD40" s="288">
        <f t="shared" ca="1" si="7"/>
        <v>22</v>
      </c>
      <c r="BF40" s="240" t="str">
        <f t="shared" ca="1" si="24"/>
        <v>Great Plains Energy Inc.</v>
      </c>
      <c r="BG40" s="240" t="str">
        <f t="shared" ca="1" si="24"/>
        <v>BBB</v>
      </c>
      <c r="BH40" s="240">
        <f t="shared" ca="1" si="24"/>
        <v>18</v>
      </c>
      <c r="BI40" s="240" t="str">
        <f t="shared" ca="1" si="24"/>
        <v>GXP</v>
      </c>
    </row>
    <row r="41" spans="1:61" x14ac:dyDescent="0.2">
      <c r="A41" s="303" t="s">
        <v>452</v>
      </c>
      <c r="B41" s="304" t="s">
        <v>28</v>
      </c>
      <c r="C41" s="304">
        <v>18</v>
      </c>
      <c r="D41" s="304" t="s">
        <v>444</v>
      </c>
      <c r="E41" s="305" t="str">
        <f t="shared" ca="1" si="0"/>
        <v>R</v>
      </c>
      <c r="F41" s="306"/>
      <c r="G41" s="307">
        <f t="shared" ca="1" si="1"/>
        <v>58</v>
      </c>
      <c r="H41" s="250"/>
      <c r="I41" s="321"/>
      <c r="J41" s="262"/>
      <c r="K41" s="321"/>
      <c r="L41" s="264"/>
      <c r="M41" s="235"/>
      <c r="N41" s="321"/>
      <c r="Q41" s="321"/>
      <c r="T41" s="321"/>
      <c r="W41" s="321"/>
      <c r="AF41" s="236">
        <f t="shared" si="2"/>
        <v>0</v>
      </c>
      <c r="AG41" s="236" t="str">
        <f t="shared" ca="1" si="3"/>
        <v/>
      </c>
      <c r="AH41" s="236" t="str">
        <f t="shared" ca="1" si="18"/>
        <v/>
      </c>
      <c r="AJ41" s="236">
        <f t="shared" ca="1" si="4"/>
        <v>40</v>
      </c>
      <c r="AK41" s="236" t="str">
        <f t="shared" ca="1" si="19"/>
        <v>BBB</v>
      </c>
      <c r="AL41" s="236">
        <f t="shared" ca="1" si="19"/>
        <v>18</v>
      </c>
      <c r="AM41" s="236" t="str">
        <f t="shared" ca="1" si="5"/>
        <v/>
      </c>
      <c r="AQ41" s="286" t="s">
        <v>21</v>
      </c>
      <c r="AR41" s="286" t="s">
        <v>10</v>
      </c>
      <c r="AS41" s="286">
        <v>20</v>
      </c>
      <c r="AT41" s="286" t="s">
        <v>316</v>
      </c>
      <c r="AV41" s="234">
        <f t="shared" si="20"/>
        <v>2</v>
      </c>
      <c r="AW41" s="234">
        <f>COUNTIF( AV$7:AV41, AV41 )</f>
        <v>8</v>
      </c>
      <c r="AX41" s="287">
        <f t="shared" si="21"/>
        <v>2.8</v>
      </c>
      <c r="AY41" s="234">
        <f t="shared" si="22"/>
        <v>9</v>
      </c>
      <c r="AZ41" s="236"/>
      <c r="BA41" s="236"/>
      <c r="BC41" s="234">
        <f t="shared" ca="1" si="23"/>
        <v>35</v>
      </c>
      <c r="BD41" s="288">
        <f t="shared" ca="1" si="7"/>
        <v>24</v>
      </c>
      <c r="BF41" s="240" t="str">
        <f t="shared" ca="1" si="24"/>
        <v>Iberdrola USA</v>
      </c>
      <c r="BG41" s="240" t="str">
        <f t="shared" ca="1" si="24"/>
        <v>BBB</v>
      </c>
      <c r="BH41" s="240">
        <f t="shared" ca="1" si="24"/>
        <v>18</v>
      </c>
      <c r="BI41" s="240" t="str">
        <f t="shared" ca="1" si="24"/>
        <v>**EAST</v>
      </c>
    </row>
    <row r="42" spans="1:61" x14ac:dyDescent="0.2">
      <c r="A42" s="303" t="s">
        <v>20</v>
      </c>
      <c r="B42" s="304" t="s">
        <v>28</v>
      </c>
      <c r="C42" s="304">
        <v>18</v>
      </c>
      <c r="D42" s="304" t="s">
        <v>303</v>
      </c>
      <c r="E42" s="305" t="str">
        <f t="shared" ca="1" si="0"/>
        <v>R</v>
      </c>
      <c r="F42" s="306"/>
      <c r="G42" s="307">
        <f t="shared" ca="1" si="1"/>
        <v>28</v>
      </c>
      <c r="H42" s="250"/>
      <c r="I42" s="321"/>
      <c r="J42" s="262"/>
      <c r="K42" s="321"/>
      <c r="L42" s="264"/>
      <c r="M42" s="235"/>
      <c r="N42" s="321"/>
      <c r="Q42" s="321"/>
      <c r="T42" s="321"/>
      <c r="W42" s="321"/>
      <c r="AF42" s="236">
        <f t="shared" si="2"/>
        <v>0</v>
      </c>
      <c r="AG42" s="236" t="str">
        <f t="shared" ca="1" si="3"/>
        <v/>
      </c>
      <c r="AH42" s="236" t="str">
        <f t="shared" ca="1" si="18"/>
        <v/>
      </c>
      <c r="AJ42" s="236">
        <f t="shared" ca="1" si="4"/>
        <v>41</v>
      </c>
      <c r="AK42" s="236" t="str">
        <f t="shared" ca="1" si="19"/>
        <v>BBB</v>
      </c>
      <c r="AL42" s="236">
        <f t="shared" ca="1" si="19"/>
        <v>18</v>
      </c>
      <c r="AM42" s="236" t="str">
        <f t="shared" ca="1" si="5"/>
        <v/>
      </c>
      <c r="AQ42" s="286" t="s">
        <v>22</v>
      </c>
      <c r="AR42" s="286" t="s">
        <v>28</v>
      </c>
      <c r="AS42" s="286">
        <v>18</v>
      </c>
      <c r="AT42" s="289" t="s">
        <v>317</v>
      </c>
      <c r="AV42" s="234">
        <f t="shared" si="20"/>
        <v>25</v>
      </c>
      <c r="AW42" s="234">
        <f>COUNTIF( AV$7:AV42, AV42 )</f>
        <v>14</v>
      </c>
      <c r="AX42" s="287">
        <f t="shared" si="21"/>
        <v>26.4</v>
      </c>
      <c r="AY42" s="234">
        <f t="shared" si="22"/>
        <v>38</v>
      </c>
      <c r="AZ42" s="236"/>
      <c r="BA42" s="236"/>
      <c r="BC42" s="234">
        <f t="shared" ca="1" si="23"/>
        <v>36</v>
      </c>
      <c r="BD42" s="288">
        <f t="shared" ca="1" si="7"/>
        <v>25</v>
      </c>
      <c r="BF42" s="240" t="str">
        <f t="shared" ca="1" si="24"/>
        <v>IDACORP, Inc.</v>
      </c>
      <c r="BG42" s="240" t="str">
        <f t="shared" ca="1" si="24"/>
        <v>BBB</v>
      </c>
      <c r="BH42" s="240">
        <f t="shared" ca="1" si="24"/>
        <v>18</v>
      </c>
      <c r="BI42" s="240" t="str">
        <f t="shared" ca="1" si="24"/>
        <v>IDA</v>
      </c>
    </row>
    <row r="43" spans="1:61" x14ac:dyDescent="0.2">
      <c r="A43" s="303" t="s">
        <v>66</v>
      </c>
      <c r="B43" s="304" t="s">
        <v>28</v>
      </c>
      <c r="C43" s="304">
        <v>18</v>
      </c>
      <c r="D43" s="304" t="s">
        <v>315</v>
      </c>
      <c r="E43" s="305" t="str">
        <f t="shared" ca="1" si="0"/>
        <v>R</v>
      </c>
      <c r="F43" s="306"/>
      <c r="G43" s="307">
        <f t="shared" ca="1" si="1"/>
        <v>35</v>
      </c>
      <c r="H43" s="250"/>
      <c r="I43" s="321"/>
      <c r="J43" s="262"/>
      <c r="K43" s="321"/>
      <c r="L43" s="235"/>
      <c r="M43" s="235"/>
      <c r="N43" s="321"/>
      <c r="Q43" s="321"/>
      <c r="T43" s="321"/>
      <c r="W43" s="321"/>
      <c r="AF43" s="236">
        <f t="shared" si="2"/>
        <v>0</v>
      </c>
      <c r="AG43" s="236" t="str">
        <f t="shared" ca="1" si="3"/>
        <v/>
      </c>
      <c r="AH43" s="236" t="str">
        <f t="shared" ca="1" si="18"/>
        <v/>
      </c>
      <c r="AJ43" s="236">
        <f t="shared" ca="1" si="4"/>
        <v>42</v>
      </c>
      <c r="AK43" s="236" t="str">
        <f t="shared" ca="1" si="19"/>
        <v>BBB</v>
      </c>
      <c r="AL43" s="236">
        <f t="shared" ca="1" si="19"/>
        <v>18</v>
      </c>
      <c r="AM43" s="236" t="str">
        <f t="shared" ca="1" si="5"/>
        <v/>
      </c>
      <c r="AQ43" s="286" t="s">
        <v>23</v>
      </c>
      <c r="AR43" s="286" t="s">
        <v>16</v>
      </c>
      <c r="AS43" s="286">
        <v>19</v>
      </c>
      <c r="AT43" s="286" t="s">
        <v>323</v>
      </c>
      <c r="AV43" s="234">
        <f t="shared" si="20"/>
        <v>13</v>
      </c>
      <c r="AW43" s="234">
        <f>COUNTIF( AV$7:AV43, AV43 )</f>
        <v>7</v>
      </c>
      <c r="AX43" s="287">
        <f t="shared" si="21"/>
        <v>13.7</v>
      </c>
      <c r="AY43" s="234">
        <f t="shared" si="22"/>
        <v>19</v>
      </c>
      <c r="AZ43" s="236"/>
      <c r="BA43" s="236"/>
      <c r="BC43" s="234">
        <f t="shared" ca="1" si="23"/>
        <v>37</v>
      </c>
      <c r="BD43" s="288">
        <f t="shared" ca="1" si="7"/>
        <v>33</v>
      </c>
      <c r="BF43" s="240" t="str">
        <f t="shared" ca="1" si="24"/>
        <v>NorthWestern Corporation</v>
      </c>
      <c r="BG43" s="240" t="str">
        <f t="shared" ca="1" si="24"/>
        <v>BBB</v>
      </c>
      <c r="BH43" s="240">
        <f t="shared" ca="1" si="24"/>
        <v>18</v>
      </c>
      <c r="BI43" s="240" t="str">
        <f t="shared" ca="1" si="24"/>
        <v>NWE</v>
      </c>
    </row>
    <row r="44" spans="1:61" x14ac:dyDescent="0.2">
      <c r="A44" s="303" t="s">
        <v>22</v>
      </c>
      <c r="B44" s="304" t="s">
        <v>28</v>
      </c>
      <c r="C44" s="304">
        <v>18</v>
      </c>
      <c r="D44" s="304" t="s">
        <v>317</v>
      </c>
      <c r="E44" s="305" t="str">
        <f t="shared" ca="1" si="0"/>
        <v>MR</v>
      </c>
      <c r="F44" s="306"/>
      <c r="G44" s="307">
        <f t="shared" ca="1" si="1"/>
        <v>38</v>
      </c>
      <c r="H44" s="250"/>
      <c r="I44" s="321"/>
      <c r="J44" s="262"/>
      <c r="K44" s="321"/>
      <c r="L44" s="235"/>
      <c r="M44" s="235"/>
      <c r="N44" s="321"/>
      <c r="Q44" s="321"/>
      <c r="T44" s="321"/>
      <c r="W44" s="321"/>
      <c r="AF44" s="236">
        <f t="shared" si="2"/>
        <v>0</v>
      </c>
      <c r="AG44" s="236" t="str">
        <f t="shared" ca="1" si="3"/>
        <v/>
      </c>
      <c r="AH44" s="236" t="str">
        <f t="shared" ca="1" si="18"/>
        <v/>
      </c>
      <c r="AJ44" s="236">
        <f t="shared" ca="1" si="4"/>
        <v>43</v>
      </c>
      <c r="AK44" s="236" t="str">
        <f t="shared" ca="1" si="19"/>
        <v>BBB</v>
      </c>
      <c r="AL44" s="236">
        <f t="shared" ca="1" si="19"/>
        <v>18</v>
      </c>
      <c r="AM44" s="236" t="str">
        <f t="shared" ca="1" si="5"/>
        <v/>
      </c>
      <c r="AQ44" s="286" t="s">
        <v>53</v>
      </c>
      <c r="AR44" s="286" t="s">
        <v>28</v>
      </c>
      <c r="AS44" s="286">
        <v>18</v>
      </c>
      <c r="AT44" s="286" t="s">
        <v>318</v>
      </c>
      <c r="AV44" s="234">
        <f t="shared" si="20"/>
        <v>25</v>
      </c>
      <c r="AW44" s="234">
        <f>COUNTIF( AV$7:AV44, AV44 )</f>
        <v>15</v>
      </c>
      <c r="AX44" s="287">
        <f t="shared" si="21"/>
        <v>26.5</v>
      </c>
      <c r="AY44" s="234">
        <f t="shared" si="22"/>
        <v>39</v>
      </c>
      <c r="AZ44" s="236"/>
      <c r="BA44" s="236"/>
      <c r="BC44" s="234">
        <f t="shared" ca="1" si="23"/>
        <v>38</v>
      </c>
      <c r="BD44" s="288">
        <f t="shared" ca="1" si="7"/>
        <v>36</v>
      </c>
      <c r="BF44" s="240" t="str">
        <f t="shared" ca="1" si="24"/>
        <v>Otter Tail Corporation</v>
      </c>
      <c r="BG44" s="240" t="str">
        <f t="shared" ca="1" si="24"/>
        <v>BBB</v>
      </c>
      <c r="BH44" s="240">
        <f t="shared" ca="1" si="24"/>
        <v>18</v>
      </c>
      <c r="BI44" s="240" t="str">
        <f t="shared" ca="1" si="24"/>
        <v>OTTR</v>
      </c>
    </row>
    <row r="45" spans="1:61" x14ac:dyDescent="0.2">
      <c r="A45" s="303" t="s">
        <v>53</v>
      </c>
      <c r="B45" s="304" t="s">
        <v>28</v>
      </c>
      <c r="C45" s="304">
        <v>18</v>
      </c>
      <c r="D45" s="304" t="s">
        <v>318</v>
      </c>
      <c r="E45" s="305" t="str">
        <f t="shared" ca="1" si="0"/>
        <v>R</v>
      </c>
      <c r="F45" s="306"/>
      <c r="G45" s="307">
        <f t="shared" ca="1" si="1"/>
        <v>40</v>
      </c>
      <c r="H45" s="250"/>
      <c r="I45" s="321"/>
      <c r="J45" s="262"/>
      <c r="K45" s="321"/>
      <c r="L45" s="235"/>
      <c r="M45" s="235"/>
      <c r="N45" s="321"/>
      <c r="Q45" s="321"/>
      <c r="T45" s="321"/>
      <c r="W45" s="321"/>
      <c r="AF45" s="236">
        <f t="shared" si="2"/>
        <v>0</v>
      </c>
      <c r="AG45" s="236" t="str">
        <f t="shared" ca="1" si="3"/>
        <v/>
      </c>
      <c r="AH45" s="236" t="str">
        <f t="shared" ca="1" si="18"/>
        <v/>
      </c>
      <c r="AJ45" s="236">
        <f t="shared" ca="1" si="4"/>
        <v>44</v>
      </c>
      <c r="AK45" s="236" t="str">
        <f t="shared" ca="1" si="19"/>
        <v>BBB</v>
      </c>
      <c r="AL45" s="236">
        <f t="shared" ca="1" si="19"/>
        <v>18</v>
      </c>
      <c r="AM45" s="236" t="str">
        <f t="shared" ca="1" si="5"/>
        <v/>
      </c>
      <c r="AQ45" s="286" t="s">
        <v>41</v>
      </c>
      <c r="AR45" s="286" t="s">
        <v>16</v>
      </c>
      <c r="AS45" s="286">
        <v>19</v>
      </c>
      <c r="AT45" s="286" t="s">
        <v>322</v>
      </c>
      <c r="AV45" s="234">
        <f t="shared" si="20"/>
        <v>13</v>
      </c>
      <c r="AW45" s="234">
        <f>COUNTIF( AV$7:AV45, AV45 )</f>
        <v>8</v>
      </c>
      <c r="AX45" s="287">
        <f t="shared" si="21"/>
        <v>13.8</v>
      </c>
      <c r="AY45" s="234">
        <f t="shared" si="22"/>
        <v>20</v>
      </c>
      <c r="AZ45" s="236"/>
      <c r="BA45" s="236"/>
      <c r="BC45" s="234">
        <f t="shared" ca="1" si="23"/>
        <v>39</v>
      </c>
      <c r="BD45" s="288">
        <f t="shared" ca="1" si="7"/>
        <v>38</v>
      </c>
      <c r="BF45" s="240" t="str">
        <f t="shared" ca="1" si="24"/>
        <v>PG&amp;E Corporation</v>
      </c>
      <c r="BG45" s="240" t="str">
        <f t="shared" ca="1" si="24"/>
        <v>BBB</v>
      </c>
      <c r="BH45" s="240">
        <f t="shared" ca="1" si="24"/>
        <v>18</v>
      </c>
      <c r="BI45" s="240" t="str">
        <f t="shared" ca="1" si="24"/>
        <v>PCG</v>
      </c>
    </row>
    <row r="46" spans="1:61" x14ac:dyDescent="0.2">
      <c r="A46" s="303" t="s">
        <v>42</v>
      </c>
      <c r="B46" s="304" t="s">
        <v>28</v>
      </c>
      <c r="C46" s="304">
        <v>18</v>
      </c>
      <c r="D46" s="304" t="s">
        <v>321</v>
      </c>
      <c r="E46" s="305" t="str">
        <f t="shared" ca="1" si="0"/>
        <v>R</v>
      </c>
      <c r="F46" s="306"/>
      <c r="G46" s="307">
        <f t="shared" ca="1" si="1"/>
        <v>42</v>
      </c>
      <c r="H46" s="250"/>
      <c r="I46" s="262"/>
      <c r="K46" s="262"/>
      <c r="N46" s="257"/>
      <c r="W46" s="262"/>
      <c r="AF46" s="236">
        <f t="shared" si="2"/>
        <v>0</v>
      </c>
      <c r="AG46" s="236" t="str">
        <f t="shared" ca="1" si="3"/>
        <v/>
      </c>
      <c r="AH46" s="236" t="str">
        <f t="shared" ca="1" si="18"/>
        <v/>
      </c>
      <c r="AJ46" s="236">
        <f t="shared" ca="1" si="4"/>
        <v>45</v>
      </c>
      <c r="AK46" s="236" t="str">
        <f t="shared" ca="1" si="19"/>
        <v>BBB</v>
      </c>
      <c r="AL46" s="236">
        <f t="shared" ca="1" si="19"/>
        <v>18</v>
      </c>
      <c r="AM46" s="236" t="str">
        <f t="shared" ca="1" si="5"/>
        <v/>
      </c>
      <c r="AQ46" s="286" t="s">
        <v>42</v>
      </c>
      <c r="AR46" s="286" t="s">
        <v>28</v>
      </c>
      <c r="AS46" s="286">
        <v>18</v>
      </c>
      <c r="AT46" s="286" t="s">
        <v>321</v>
      </c>
      <c r="AV46" s="234">
        <f t="shared" si="20"/>
        <v>25</v>
      </c>
      <c r="AW46" s="234">
        <f>COUNTIF( AV$7:AV46, AV46 )</f>
        <v>16</v>
      </c>
      <c r="AX46" s="287">
        <f t="shared" si="21"/>
        <v>26.6</v>
      </c>
      <c r="AY46" s="234">
        <f t="shared" si="22"/>
        <v>40</v>
      </c>
      <c r="AZ46" s="236"/>
      <c r="BA46" s="236"/>
      <c r="BC46" s="234">
        <f t="shared" ca="1" si="23"/>
        <v>40</v>
      </c>
      <c r="BD46" s="288">
        <f t="shared" ca="1" si="7"/>
        <v>40</v>
      </c>
      <c r="BF46" s="240" t="str">
        <f t="shared" ca="1" si="24"/>
        <v>PNM Resources, Inc.</v>
      </c>
      <c r="BG46" s="240" t="str">
        <f t="shared" ca="1" si="24"/>
        <v>BBB</v>
      </c>
      <c r="BH46" s="240">
        <f t="shared" ca="1" si="24"/>
        <v>18</v>
      </c>
      <c r="BI46" s="240" t="str">
        <f t="shared" ca="1" si="24"/>
        <v>PNM</v>
      </c>
    </row>
    <row r="47" spans="1:61" x14ac:dyDescent="0.2">
      <c r="A47" s="303" t="s">
        <v>24</v>
      </c>
      <c r="B47" s="304" t="s">
        <v>28</v>
      </c>
      <c r="C47" s="304">
        <v>18</v>
      </c>
      <c r="D47" s="304" t="s">
        <v>324</v>
      </c>
      <c r="E47" s="305" t="str">
        <f t="shared" ca="1" si="0"/>
        <v>R</v>
      </c>
      <c r="F47" s="306"/>
      <c r="G47" s="307">
        <f t="shared" ca="1" si="1"/>
        <v>43</v>
      </c>
      <c r="H47" s="250"/>
      <c r="I47" s="250"/>
      <c r="J47" s="258" t="s">
        <v>268</v>
      </c>
      <c r="K47" s="262"/>
      <c r="M47" s="253"/>
      <c r="N47" s="253"/>
      <c r="AF47" s="236">
        <f t="shared" si="2"/>
        <v>0</v>
      </c>
      <c r="AG47" s="236" t="str">
        <f t="shared" ca="1" si="3"/>
        <v/>
      </c>
      <c r="AH47" s="236" t="str">
        <f t="shared" ca="1" si="18"/>
        <v/>
      </c>
      <c r="AJ47" s="236">
        <f t="shared" ca="1" si="4"/>
        <v>46</v>
      </c>
      <c r="AK47" s="236" t="str">
        <f t="shared" ca="1" si="19"/>
        <v>BBB</v>
      </c>
      <c r="AL47" s="236">
        <f t="shared" ca="1" si="19"/>
        <v>18</v>
      </c>
      <c r="AM47" s="236" t="str">
        <f t="shared" ca="1" si="5"/>
        <v/>
      </c>
      <c r="AQ47" s="286" t="s">
        <v>24</v>
      </c>
      <c r="AR47" s="286" t="s">
        <v>28</v>
      </c>
      <c r="AS47" s="286">
        <v>18</v>
      </c>
      <c r="AT47" s="286" t="s">
        <v>324</v>
      </c>
      <c r="AV47" s="234">
        <f t="shared" si="20"/>
        <v>25</v>
      </c>
      <c r="AW47" s="234">
        <f>COUNTIF( AV$7:AV47, AV47 )</f>
        <v>17</v>
      </c>
      <c r="AX47" s="287">
        <f t="shared" si="21"/>
        <v>26.7</v>
      </c>
      <c r="AY47" s="234">
        <f t="shared" si="22"/>
        <v>41</v>
      </c>
      <c r="AZ47" s="236"/>
      <c r="BA47" s="236"/>
      <c r="BC47" s="234">
        <f t="shared" ca="1" si="23"/>
        <v>41</v>
      </c>
      <c r="BD47" s="288">
        <f t="shared" ca="1" si="7"/>
        <v>41</v>
      </c>
      <c r="BF47" s="240" t="str">
        <f t="shared" ca="1" si="24"/>
        <v>Portland General Electric Company</v>
      </c>
      <c r="BG47" s="240" t="str">
        <f t="shared" ca="1" si="24"/>
        <v>BBB</v>
      </c>
      <c r="BH47" s="240">
        <f t="shared" ca="1" si="24"/>
        <v>18</v>
      </c>
      <c r="BI47" s="240" t="str">
        <f t="shared" ca="1" si="24"/>
        <v>POR</v>
      </c>
    </row>
    <row r="48" spans="1:61" x14ac:dyDescent="0.2">
      <c r="A48" s="303" t="s">
        <v>43</v>
      </c>
      <c r="B48" s="304" t="s">
        <v>28</v>
      </c>
      <c r="C48" s="304">
        <v>18</v>
      </c>
      <c r="D48" s="304" t="s">
        <v>325</v>
      </c>
      <c r="E48" s="305" t="str">
        <f t="shared" ca="1" si="0"/>
        <v>MR</v>
      </c>
      <c r="F48" s="306"/>
      <c r="G48" s="307">
        <f t="shared" ca="1" si="1"/>
        <v>44</v>
      </c>
      <c r="H48" s="250"/>
      <c r="I48" s="250"/>
      <c r="K48" s="262"/>
      <c r="M48" s="253"/>
      <c r="N48" s="253"/>
      <c r="AF48" s="236">
        <f t="shared" si="2"/>
        <v>0</v>
      </c>
      <c r="AG48" s="236" t="str">
        <f t="shared" ca="1" si="3"/>
        <v/>
      </c>
      <c r="AH48" s="236" t="str">
        <f t="shared" ca="1" si="18"/>
        <v/>
      </c>
      <c r="AJ48" s="236">
        <f t="shared" ca="1" si="4"/>
        <v>47</v>
      </c>
      <c r="AK48" s="236" t="str">
        <f t="shared" ca="1" si="19"/>
        <v>BBB</v>
      </c>
      <c r="AL48" s="236">
        <f t="shared" ca="1" si="19"/>
        <v>18</v>
      </c>
      <c r="AM48" s="236" t="str">
        <f t="shared" ca="1" si="5"/>
        <v/>
      </c>
      <c r="AQ48" s="286" t="s">
        <v>43</v>
      </c>
      <c r="AR48" s="286" t="s">
        <v>28</v>
      </c>
      <c r="AS48" s="286">
        <v>18</v>
      </c>
      <c r="AT48" s="286" t="s">
        <v>325</v>
      </c>
      <c r="AV48" s="234">
        <f t="shared" si="20"/>
        <v>25</v>
      </c>
      <c r="AW48" s="234">
        <f>COUNTIF( AV$7:AV48, AV48 )</f>
        <v>18</v>
      </c>
      <c r="AX48" s="287">
        <f t="shared" si="21"/>
        <v>26.8</v>
      </c>
      <c r="AY48" s="234">
        <f t="shared" si="22"/>
        <v>42</v>
      </c>
      <c r="AZ48" s="236"/>
      <c r="BA48" s="236"/>
      <c r="BC48" s="234">
        <f t="shared" ca="1" si="23"/>
        <v>42</v>
      </c>
      <c r="BD48" s="288">
        <f t="shared" ca="1" si="7"/>
        <v>42</v>
      </c>
      <c r="BF48" s="240" t="str">
        <f t="shared" ca="1" si="24"/>
        <v>PPL Corporation</v>
      </c>
      <c r="BG48" s="240" t="str">
        <f t="shared" ca="1" si="24"/>
        <v>BBB</v>
      </c>
      <c r="BH48" s="240">
        <f t="shared" ca="1" si="24"/>
        <v>18</v>
      </c>
      <c r="BI48" s="240" t="str">
        <f t="shared" ca="1" si="24"/>
        <v>PPL</v>
      </c>
    </row>
    <row r="49" spans="1:61" x14ac:dyDescent="0.2">
      <c r="A49" s="303" t="s">
        <v>75</v>
      </c>
      <c r="B49" s="304" t="s">
        <v>28</v>
      </c>
      <c r="C49" s="304">
        <v>18</v>
      </c>
      <c r="D49" s="304" t="s">
        <v>332</v>
      </c>
      <c r="E49" s="305" t="str">
        <f t="shared" ca="1" si="0"/>
        <v>R</v>
      </c>
      <c r="F49" s="306"/>
      <c r="G49" s="307">
        <f t="shared" ca="1" si="1"/>
        <v>50</v>
      </c>
      <c r="H49" s="250"/>
      <c r="I49" s="250"/>
      <c r="J49" s="262"/>
      <c r="K49" s="262"/>
      <c r="M49" s="253"/>
      <c r="N49" s="253"/>
      <c r="AF49" s="236">
        <f t="shared" si="2"/>
        <v>0</v>
      </c>
      <c r="AG49" s="236" t="str">
        <f t="shared" ca="1" si="3"/>
        <v/>
      </c>
      <c r="AH49" s="236" t="str">
        <f t="shared" ca="1" si="18"/>
        <v/>
      </c>
      <c r="AJ49" s="236">
        <f t="shared" ca="1" si="4"/>
        <v>48</v>
      </c>
      <c r="AK49" s="236" t="str">
        <f t="shared" ca="1" si="19"/>
        <v>BBB</v>
      </c>
      <c r="AL49" s="236">
        <f t="shared" ca="1" si="19"/>
        <v>18</v>
      </c>
      <c r="AM49" s="236" t="str">
        <f t="shared" ca="1" si="5"/>
        <v/>
      </c>
      <c r="AQ49" s="286" t="s">
        <v>45</v>
      </c>
      <c r="AR49" s="286" t="s">
        <v>16</v>
      </c>
      <c r="AS49" s="286">
        <v>19</v>
      </c>
      <c r="AT49" s="286" t="s">
        <v>319</v>
      </c>
      <c r="AV49" s="234">
        <f t="shared" si="20"/>
        <v>13</v>
      </c>
      <c r="AW49" s="234">
        <f>COUNTIF( AV$7:AV49, AV49 )</f>
        <v>9</v>
      </c>
      <c r="AX49" s="287">
        <f t="shared" si="21"/>
        <v>13.9</v>
      </c>
      <c r="AY49" s="234">
        <f t="shared" si="22"/>
        <v>21</v>
      </c>
      <c r="AZ49" s="236"/>
      <c r="BA49" s="236"/>
      <c r="BC49" s="234">
        <f t="shared" ca="1" si="23"/>
        <v>43</v>
      </c>
      <c r="BD49" s="288">
        <f t="shared" ca="1" si="7"/>
        <v>49</v>
      </c>
      <c r="BF49" s="240" t="str">
        <f t="shared" ca="1" si="24"/>
        <v>UIL Holdings Corporation</v>
      </c>
      <c r="BG49" s="240" t="str">
        <f t="shared" ca="1" si="24"/>
        <v>BBB</v>
      </c>
      <c r="BH49" s="240">
        <f t="shared" ca="1" si="24"/>
        <v>18</v>
      </c>
      <c r="BI49" s="240" t="str">
        <f t="shared" ca="1" si="24"/>
        <v>UIL</v>
      </c>
    </row>
    <row r="50" spans="1:61" x14ac:dyDescent="0.2">
      <c r="A50" s="303" t="s">
        <v>59</v>
      </c>
      <c r="B50" s="304" t="s">
        <v>28</v>
      </c>
      <c r="C50" s="304">
        <v>18</v>
      </c>
      <c r="D50" s="304" t="s">
        <v>337</v>
      </c>
      <c r="E50" s="305" t="str">
        <f t="shared" ca="1" si="0"/>
        <v>R</v>
      </c>
      <c r="F50" s="306"/>
      <c r="G50" s="307">
        <f t="shared" ca="1" si="1"/>
        <v>54</v>
      </c>
      <c r="H50" s="250"/>
      <c r="I50" s="250"/>
      <c r="J50" s="262"/>
      <c r="K50" s="262"/>
      <c r="L50" s="235"/>
      <c r="M50" s="257"/>
      <c r="N50" s="257"/>
      <c r="AF50" s="236">
        <f t="shared" si="2"/>
        <v>0</v>
      </c>
      <c r="AG50" s="236" t="str">
        <f t="shared" ca="1" si="3"/>
        <v/>
      </c>
      <c r="AH50" s="236" t="str">
        <f t="shared" ca="1" si="18"/>
        <v/>
      </c>
      <c r="AJ50" s="236">
        <f t="shared" ca="1" si="4"/>
        <v>49</v>
      </c>
      <c r="AK50" s="236" t="str">
        <f t="shared" ca="1" si="19"/>
        <v>BBB</v>
      </c>
      <c r="AL50" s="236">
        <f t="shared" ca="1" si="19"/>
        <v>18</v>
      </c>
      <c r="AM50" s="236" t="str">
        <f t="shared" ca="1" si="5"/>
        <v/>
      </c>
      <c r="AQ50" s="286" t="s">
        <v>54</v>
      </c>
      <c r="AR50" s="286" t="s">
        <v>56</v>
      </c>
      <c r="AS50" s="286">
        <v>16</v>
      </c>
      <c r="AT50" s="286" t="s">
        <v>449</v>
      </c>
      <c r="AV50" s="234">
        <f t="shared" si="20"/>
        <v>51</v>
      </c>
      <c r="AW50" s="234">
        <f>COUNTIF( AV$7:AV50, AV50 )</f>
        <v>1</v>
      </c>
      <c r="AX50" s="287">
        <f t="shared" si="21"/>
        <v>51.1</v>
      </c>
      <c r="AY50" s="234">
        <f t="shared" si="22"/>
        <v>51</v>
      </c>
      <c r="AZ50" s="236"/>
      <c r="BA50" s="236"/>
      <c r="BC50" s="234">
        <f t="shared" ca="1" si="23"/>
        <v>44</v>
      </c>
      <c r="BD50" s="288">
        <f t="shared" ca="1" si="7"/>
        <v>51</v>
      </c>
      <c r="BF50" s="240" t="str">
        <f t="shared" ca="1" si="24"/>
        <v>Westar Energy, Inc.</v>
      </c>
      <c r="BG50" s="240" t="str">
        <f t="shared" ca="1" si="24"/>
        <v>BBB</v>
      </c>
      <c r="BH50" s="240">
        <f t="shared" ca="1" si="24"/>
        <v>18</v>
      </c>
      <c r="BI50" s="240" t="str">
        <f t="shared" ca="1" si="24"/>
        <v>WR</v>
      </c>
    </row>
    <row r="51" spans="1:61" x14ac:dyDescent="0.2">
      <c r="A51" s="303" t="s">
        <v>57</v>
      </c>
      <c r="B51" s="304" t="s">
        <v>49</v>
      </c>
      <c r="C51" s="304">
        <v>17</v>
      </c>
      <c r="D51" s="304" t="s">
        <v>296</v>
      </c>
      <c r="E51" s="305" t="str">
        <f t="shared" ca="1" si="0"/>
        <v>R</v>
      </c>
      <c r="F51" s="306"/>
      <c r="G51" s="307">
        <f t="shared" ca="1" si="1"/>
        <v>20</v>
      </c>
      <c r="H51" s="250"/>
      <c r="I51" s="250"/>
      <c r="J51" s="262"/>
      <c r="K51" s="262"/>
      <c r="L51" s="235"/>
      <c r="M51" s="257"/>
      <c r="N51" s="257"/>
      <c r="AF51" s="236">
        <f t="shared" si="2"/>
        <v>1</v>
      </c>
      <c r="AG51" s="236" t="str">
        <f t="shared" ca="1" si="3"/>
        <v/>
      </c>
      <c r="AH51" s="236" t="str">
        <f t="shared" ca="1" si="18"/>
        <v/>
      </c>
      <c r="AJ51" s="236">
        <f t="shared" ca="1" si="4"/>
        <v>51</v>
      </c>
      <c r="AK51" s="236" t="str">
        <f t="shared" ca="1" si="19"/>
        <v>BBB-</v>
      </c>
      <c r="AL51" s="236">
        <f t="shared" ca="1" si="19"/>
        <v>17</v>
      </c>
      <c r="AM51" s="236" t="str">
        <f t="shared" ca="1" si="5"/>
        <v/>
      </c>
      <c r="AQ51" s="286" t="s">
        <v>13</v>
      </c>
      <c r="AR51" s="286" t="s">
        <v>16</v>
      </c>
      <c r="AS51" s="286">
        <v>19</v>
      </c>
      <c r="AT51" s="286" t="s">
        <v>327</v>
      </c>
      <c r="AV51" s="234">
        <f t="shared" si="20"/>
        <v>13</v>
      </c>
      <c r="AW51" s="234">
        <f>COUNTIF( AV$7:AV51, AV51 )</f>
        <v>10</v>
      </c>
      <c r="AX51" s="287">
        <f t="shared" si="21"/>
        <v>14</v>
      </c>
      <c r="AY51" s="234">
        <f t="shared" si="22"/>
        <v>22</v>
      </c>
      <c r="AZ51" s="236"/>
      <c r="BA51" s="236"/>
      <c r="BC51" s="234">
        <f t="shared" ca="1" si="23"/>
        <v>45</v>
      </c>
      <c r="BD51" s="288">
        <f t="shared" ca="1" si="7"/>
        <v>15</v>
      </c>
      <c r="BF51" s="240" t="str">
        <f t="shared" ca="1" si="24"/>
        <v>Edison International</v>
      </c>
      <c r="BG51" s="240" t="str">
        <f t="shared" ca="1" si="24"/>
        <v>BBB-</v>
      </c>
      <c r="BH51" s="240">
        <f t="shared" ca="1" si="24"/>
        <v>17</v>
      </c>
      <c r="BI51" s="240" t="str">
        <f t="shared" ca="1" si="24"/>
        <v>EIX</v>
      </c>
    </row>
    <row r="52" spans="1:61" x14ac:dyDescent="0.2">
      <c r="A52" s="303" t="s">
        <v>51</v>
      </c>
      <c r="B52" s="304" t="s">
        <v>49</v>
      </c>
      <c r="C52" s="304">
        <v>17</v>
      </c>
      <c r="D52" s="304" t="s">
        <v>299</v>
      </c>
      <c r="E52" s="305" t="str">
        <f t="shared" ca="1" si="0"/>
        <v>MR</v>
      </c>
      <c r="F52" s="306"/>
      <c r="G52" s="307">
        <f t="shared" ca="1" si="1"/>
        <v>25</v>
      </c>
      <c r="H52" s="250"/>
      <c r="I52" s="250"/>
      <c r="J52" s="262"/>
      <c r="K52" s="262"/>
      <c r="AF52" s="236">
        <f t="shared" si="2"/>
        <v>1</v>
      </c>
      <c r="AG52" s="236" t="str">
        <f t="shared" ca="1" si="3"/>
        <v/>
      </c>
      <c r="AH52" s="236" t="str">
        <f t="shared" ca="1" si="18"/>
        <v/>
      </c>
      <c r="AJ52" s="236">
        <f t="shared" ca="1" si="4"/>
        <v>52</v>
      </c>
      <c r="AK52" s="236" t="str">
        <f t="shared" ca="1" si="19"/>
        <v>BBB-</v>
      </c>
      <c r="AL52" s="236">
        <f t="shared" ca="1" si="19"/>
        <v>17</v>
      </c>
      <c r="AM52" s="236" t="str">
        <f t="shared" ca="1" si="5"/>
        <v/>
      </c>
      <c r="AQ52" s="286" t="s">
        <v>25</v>
      </c>
      <c r="AR52" s="286" t="s">
        <v>16</v>
      </c>
      <c r="AS52" s="286">
        <v>19</v>
      </c>
      <c r="AT52" s="286" t="s">
        <v>329</v>
      </c>
      <c r="AV52" s="234">
        <f t="shared" si="20"/>
        <v>13</v>
      </c>
      <c r="AW52" s="234">
        <f>COUNTIF( AV$7:AV52, AV52 )</f>
        <v>11</v>
      </c>
      <c r="AX52" s="287">
        <f t="shared" si="21"/>
        <v>14.1</v>
      </c>
      <c r="AY52" s="234">
        <f t="shared" si="22"/>
        <v>23</v>
      </c>
      <c r="AZ52" s="236"/>
      <c r="BA52" s="236"/>
      <c r="BC52" s="234">
        <f t="shared" ca="1" si="23"/>
        <v>46</v>
      </c>
      <c r="BD52" s="288">
        <f t="shared" ca="1" si="7"/>
        <v>21</v>
      </c>
      <c r="BF52" s="240" t="str">
        <f t="shared" ca="1" si="24"/>
        <v>FirstEnergy Corp.</v>
      </c>
      <c r="BG52" s="240" t="str">
        <f t="shared" ca="1" si="24"/>
        <v>BBB-</v>
      </c>
      <c r="BH52" s="240">
        <f t="shared" ca="1" si="24"/>
        <v>17</v>
      </c>
      <c r="BI52" s="240" t="str">
        <f t="shared" ca="1" si="24"/>
        <v>FE</v>
      </c>
    </row>
    <row r="53" spans="1:61" x14ac:dyDescent="0.2">
      <c r="A53" s="303" t="s">
        <v>39</v>
      </c>
      <c r="B53" s="304" t="s">
        <v>49</v>
      </c>
      <c r="C53" s="304">
        <v>17</v>
      </c>
      <c r="D53" s="304" t="s">
        <v>302</v>
      </c>
      <c r="E53" s="305" t="str">
        <f t="shared" ca="1" si="0"/>
        <v>MR</v>
      </c>
      <c r="F53" s="306"/>
      <c r="G53" s="307">
        <f t="shared" ca="1" si="1"/>
        <v>27</v>
      </c>
      <c r="H53" s="250"/>
      <c r="I53" s="250"/>
      <c r="J53" s="262"/>
      <c r="K53" s="262"/>
      <c r="AF53" s="236">
        <f t="shared" si="2"/>
        <v>1</v>
      </c>
      <c r="AG53" s="236" t="str">
        <f t="shared" ca="1" si="3"/>
        <v/>
      </c>
      <c r="AH53" s="236" t="str">
        <f t="shared" ca="1" si="18"/>
        <v/>
      </c>
      <c r="AJ53" s="236">
        <f t="shared" ca="1" si="4"/>
        <v>53</v>
      </c>
      <c r="AK53" s="236" t="str">
        <f t="shared" ca="1" si="19"/>
        <v>BBB-</v>
      </c>
      <c r="AL53" s="236">
        <f t="shared" ca="1" si="19"/>
        <v>17</v>
      </c>
      <c r="AM53" s="236" t="str">
        <f t="shared" ca="1" si="5"/>
        <v/>
      </c>
      <c r="AQ53" s="286" t="s">
        <v>7</v>
      </c>
      <c r="AR53" s="286" t="s">
        <v>2</v>
      </c>
      <c r="AS53" s="286">
        <v>21</v>
      </c>
      <c r="AT53" s="286" t="s">
        <v>328</v>
      </c>
      <c r="AV53" s="234">
        <f t="shared" si="20"/>
        <v>1</v>
      </c>
      <c r="AW53" s="234">
        <f>COUNTIF( AV$7:AV53, AV53 )</f>
        <v>1</v>
      </c>
      <c r="AX53" s="287">
        <f t="shared" si="21"/>
        <v>1.1000000000000001</v>
      </c>
      <c r="AY53" s="234">
        <f t="shared" si="22"/>
        <v>1</v>
      </c>
      <c r="AZ53" s="236"/>
      <c r="BA53" s="236"/>
      <c r="BC53" s="234">
        <f t="shared" ca="1" si="23"/>
        <v>47</v>
      </c>
      <c r="BD53" s="288">
        <f t="shared" ca="1" si="7"/>
        <v>23</v>
      </c>
      <c r="BF53" s="240" t="str">
        <f t="shared" ca="1" si="24"/>
        <v>Hawaiian Electric Industries, Inc.</v>
      </c>
      <c r="BG53" s="240" t="str">
        <f t="shared" ca="1" si="24"/>
        <v>BBB-</v>
      </c>
      <c r="BH53" s="240">
        <f t="shared" ca="1" si="24"/>
        <v>17</v>
      </c>
      <c r="BI53" s="240" t="str">
        <f t="shared" ca="1" si="24"/>
        <v>HE</v>
      </c>
    </row>
    <row r="54" spans="1:61" x14ac:dyDescent="0.2">
      <c r="A54" s="303" t="s">
        <v>58</v>
      </c>
      <c r="B54" s="304" t="s">
        <v>49</v>
      </c>
      <c r="C54" s="304">
        <v>17</v>
      </c>
      <c r="D54" s="304" t="s">
        <v>446</v>
      </c>
      <c r="E54" s="305" t="str">
        <f t="shared" ca="1" si="0"/>
        <v>R</v>
      </c>
      <c r="F54" s="306"/>
      <c r="G54" s="307">
        <f t="shared" ca="1" si="1"/>
        <v>61</v>
      </c>
      <c r="H54" s="250"/>
      <c r="I54" s="250"/>
      <c r="J54" s="262"/>
      <c r="K54" s="262"/>
      <c r="AF54" s="236">
        <f t="shared" si="2"/>
        <v>1</v>
      </c>
      <c r="AG54" s="236" t="str">
        <f t="shared" ca="1" si="3"/>
        <v/>
      </c>
      <c r="AH54" s="236" t="str">
        <f t="shared" ca="1" si="18"/>
        <v/>
      </c>
      <c r="AJ54" s="236">
        <f t="shared" ca="1" si="4"/>
        <v>54</v>
      </c>
      <c r="AK54" s="236" t="str">
        <f t="shared" ca="1" si="19"/>
        <v>BBB-</v>
      </c>
      <c r="AL54" s="236">
        <f t="shared" ca="1" si="19"/>
        <v>17</v>
      </c>
      <c r="AM54" s="236" t="str">
        <f t="shared" ca="1" si="5"/>
        <v/>
      </c>
      <c r="AQ54" s="286" t="s">
        <v>62</v>
      </c>
      <c r="AR54" s="286" t="s">
        <v>16</v>
      </c>
      <c r="AS54" s="286">
        <v>19</v>
      </c>
      <c r="AT54" s="286" t="s">
        <v>330</v>
      </c>
      <c r="AV54" s="234">
        <f t="shared" si="20"/>
        <v>13</v>
      </c>
      <c r="AW54" s="234">
        <f>COUNTIF( AV$7:AV54, AV54 )</f>
        <v>12</v>
      </c>
      <c r="AX54" s="287">
        <f t="shared" si="21"/>
        <v>14.2</v>
      </c>
      <c r="AY54" s="234">
        <f t="shared" si="22"/>
        <v>24</v>
      </c>
      <c r="AZ54" s="236"/>
      <c r="BA54" s="236"/>
      <c r="BC54" s="234">
        <f t="shared" ca="1" si="23"/>
        <v>48</v>
      </c>
      <c r="BD54" s="288">
        <f t="shared" ca="1" si="7"/>
        <v>27</v>
      </c>
      <c r="BF54" s="240" t="str">
        <f t="shared" ca="1" si="24"/>
        <v>IPALCO Enterprises, Inc.</v>
      </c>
      <c r="BG54" s="240" t="str">
        <f t="shared" ca="1" si="24"/>
        <v>BBB-</v>
      </c>
      <c r="BH54" s="240">
        <f t="shared" ca="1" si="24"/>
        <v>17</v>
      </c>
      <c r="BI54" s="240" t="str">
        <f t="shared" ca="1" si="24"/>
        <v>**IPALCO</v>
      </c>
    </row>
    <row r="55" spans="1:61" x14ac:dyDescent="0.2">
      <c r="A55" s="303" t="s">
        <v>40</v>
      </c>
      <c r="B55" s="304" t="s">
        <v>49</v>
      </c>
      <c r="C55" s="304">
        <v>17</v>
      </c>
      <c r="D55" s="304" t="s">
        <v>311</v>
      </c>
      <c r="E55" s="305" t="str">
        <f t="shared" ca="1" si="0"/>
        <v>MR</v>
      </c>
      <c r="F55" s="306"/>
      <c r="G55" s="307">
        <f t="shared" ca="1" si="1"/>
        <v>33</v>
      </c>
      <c r="H55" s="250"/>
      <c r="I55" s="250"/>
      <c r="J55" s="262"/>
      <c r="K55" s="262"/>
      <c r="AF55" s="236">
        <f t="shared" si="2"/>
        <v>1</v>
      </c>
      <c r="AG55" s="236" t="str">
        <f t="shared" ca="1" si="3"/>
        <v/>
      </c>
      <c r="AH55" s="236" t="str">
        <f t="shared" ca="1" si="18"/>
        <v/>
      </c>
      <c r="AJ55" s="236">
        <f t="shared" ca="1" si="4"/>
        <v>55</v>
      </c>
      <c r="AK55" s="236" t="str">
        <f t="shared" ca="1" si="19"/>
        <v>BBB-</v>
      </c>
      <c r="AL55" s="236">
        <f t="shared" ca="1" si="19"/>
        <v>17</v>
      </c>
      <c r="AM55" s="236" t="str">
        <f t="shared" ca="1" si="5"/>
        <v/>
      </c>
      <c r="AQ55" s="286" t="s">
        <v>75</v>
      </c>
      <c r="AR55" s="286" t="s">
        <v>28</v>
      </c>
      <c r="AS55" s="286">
        <v>18</v>
      </c>
      <c r="AT55" s="286" t="s">
        <v>332</v>
      </c>
      <c r="AV55" s="234">
        <f t="shared" si="20"/>
        <v>25</v>
      </c>
      <c r="AW55" s="234">
        <f>COUNTIF( AV$7:AV55, AV55 )</f>
        <v>19</v>
      </c>
      <c r="AX55" s="287">
        <f t="shared" si="21"/>
        <v>26.9</v>
      </c>
      <c r="AY55" s="234">
        <f t="shared" si="22"/>
        <v>43</v>
      </c>
      <c r="AZ55" s="236"/>
      <c r="BA55" s="236"/>
      <c r="BC55" s="234">
        <f t="shared" ca="1" si="23"/>
        <v>49</v>
      </c>
      <c r="BD55" s="288">
        <f t="shared" ca="1" si="7"/>
        <v>31</v>
      </c>
      <c r="BF55" s="240" t="str">
        <f t="shared" ca="1" si="24"/>
        <v>NiSource Inc.</v>
      </c>
      <c r="BG55" s="240" t="str">
        <f t="shared" ca="1" si="24"/>
        <v>BBB-</v>
      </c>
      <c r="BH55" s="240">
        <f t="shared" ca="1" si="24"/>
        <v>17</v>
      </c>
      <c r="BI55" s="240" t="str">
        <f t="shared" ca="1" si="24"/>
        <v>NI</v>
      </c>
    </row>
    <row r="56" spans="1:61" x14ac:dyDescent="0.2">
      <c r="A56" s="303" t="s">
        <v>266</v>
      </c>
      <c r="B56" s="304" t="s">
        <v>49</v>
      </c>
      <c r="C56" s="304">
        <v>17</v>
      </c>
      <c r="D56" s="304" t="s">
        <v>314</v>
      </c>
      <c r="E56" s="305" t="str">
        <f t="shared" ca="1" si="0"/>
        <v>R</v>
      </c>
      <c r="F56" s="306"/>
      <c r="G56" s="307">
        <f t="shared" ca="1" si="1"/>
        <v>36</v>
      </c>
      <c r="H56" s="250"/>
      <c r="I56" s="250"/>
      <c r="J56" s="262"/>
      <c r="K56" s="262"/>
      <c r="AF56" s="236">
        <f t="shared" si="2"/>
        <v>1</v>
      </c>
      <c r="AG56" s="236" t="str">
        <f t="shared" ca="1" si="3"/>
        <v/>
      </c>
      <c r="AH56" s="236" t="str">
        <f t="shared" ca="1" si="18"/>
        <v/>
      </c>
      <c r="AJ56" s="236">
        <f t="shared" ca="1" si="4"/>
        <v>56</v>
      </c>
      <c r="AK56" s="236" t="str">
        <f t="shared" ca="1" si="19"/>
        <v>BBB-</v>
      </c>
      <c r="AL56" s="236">
        <f t="shared" ca="1" si="19"/>
        <v>17</v>
      </c>
      <c r="AM56" s="236" t="str">
        <f t="shared" ca="1" si="5"/>
        <v/>
      </c>
      <c r="AQ56" s="286" t="s">
        <v>14</v>
      </c>
      <c r="AR56" s="286" t="s">
        <v>10</v>
      </c>
      <c r="AS56" s="286">
        <v>20</v>
      </c>
      <c r="AT56" s="286" t="s">
        <v>335</v>
      </c>
      <c r="AV56" s="234">
        <f t="shared" si="20"/>
        <v>2</v>
      </c>
      <c r="AW56" s="234">
        <f>COUNTIF( AV$7:AV56, AV56 )</f>
        <v>9</v>
      </c>
      <c r="AX56" s="287">
        <f t="shared" si="21"/>
        <v>2.9</v>
      </c>
      <c r="AY56" s="234">
        <f t="shared" si="22"/>
        <v>10</v>
      </c>
      <c r="AZ56" s="236"/>
      <c r="BA56" s="236"/>
      <c r="BC56" s="234">
        <f t="shared" ca="1" si="23"/>
        <v>50</v>
      </c>
      <c r="BD56" s="288">
        <f t="shared" ca="1" si="7"/>
        <v>34</v>
      </c>
      <c r="BF56" s="240" t="str">
        <f t="shared" ca="1" si="24"/>
        <v>NV Energy, Inc.</v>
      </c>
      <c r="BG56" s="240" t="str">
        <f t="shared" ca="1" si="24"/>
        <v>BBB-</v>
      </c>
      <c r="BH56" s="240">
        <f t="shared" ca="1" si="24"/>
        <v>17</v>
      </c>
      <c r="BI56" s="240" t="str">
        <f t="shared" ca="1" si="24"/>
        <v>NVE</v>
      </c>
    </row>
    <row r="57" spans="1:61" x14ac:dyDescent="0.2">
      <c r="A57" s="303" t="s">
        <v>54</v>
      </c>
      <c r="B57" s="304" t="s">
        <v>56</v>
      </c>
      <c r="C57" s="304">
        <v>16</v>
      </c>
      <c r="D57" s="304" t="s">
        <v>449</v>
      </c>
      <c r="E57" s="305" t="str">
        <f t="shared" ca="1" si="0"/>
        <v>R</v>
      </c>
      <c r="F57" s="306"/>
      <c r="G57" s="307">
        <f t="shared" ca="1" si="1"/>
        <v>63</v>
      </c>
      <c r="H57" s="250"/>
      <c r="I57" s="250"/>
      <c r="J57" s="262"/>
      <c r="K57" s="262"/>
      <c r="AF57" s="236">
        <f t="shared" si="2"/>
        <v>0</v>
      </c>
      <c r="AG57" s="236" t="str">
        <f t="shared" ca="1" si="3"/>
        <v/>
      </c>
      <c r="AH57" s="236" t="str">
        <f t="shared" ca="1" si="18"/>
        <v/>
      </c>
      <c r="AJ57" s="236">
        <f t="shared" ca="1" si="4"/>
        <v>57</v>
      </c>
      <c r="AK57" s="236" t="str">
        <f t="shared" ca="1" si="19"/>
        <v>BB+</v>
      </c>
      <c r="AL57" s="236">
        <f t="shared" ca="1" si="19"/>
        <v>16</v>
      </c>
      <c r="AM57" s="236" t="str">
        <f t="shared" ca="1" si="5"/>
        <v/>
      </c>
      <c r="AQ57" s="286" t="s">
        <v>59</v>
      </c>
      <c r="AR57" s="286" t="s">
        <v>28</v>
      </c>
      <c r="AS57" s="286">
        <v>18</v>
      </c>
      <c r="AT57" s="286" t="s">
        <v>337</v>
      </c>
      <c r="AV57" s="234">
        <f t="shared" si="20"/>
        <v>25</v>
      </c>
      <c r="AW57" s="234">
        <f>COUNTIF( AV$7:AV57, AV57 )</f>
        <v>20</v>
      </c>
      <c r="AX57" s="287">
        <f t="shared" si="21"/>
        <v>27</v>
      </c>
      <c r="AY57" s="234">
        <f t="shared" si="22"/>
        <v>44</v>
      </c>
      <c r="AZ57" s="236"/>
      <c r="BA57" s="236"/>
      <c r="BC57" s="234">
        <f t="shared" ca="1" si="23"/>
        <v>51</v>
      </c>
      <c r="BD57" s="288">
        <f t="shared" ca="1" si="7"/>
        <v>44</v>
      </c>
      <c r="BF57" s="240" t="str">
        <f t="shared" ca="1" si="24"/>
        <v>Puget Energy, Inc.</v>
      </c>
      <c r="BG57" s="240" t="str">
        <f t="shared" ca="1" si="24"/>
        <v>BB+</v>
      </c>
      <c r="BH57" s="240">
        <f t="shared" ca="1" si="24"/>
        <v>16</v>
      </c>
      <c r="BI57" s="240" t="str">
        <f t="shared" ca="1" si="24"/>
        <v>**PSD</v>
      </c>
    </row>
    <row r="58" spans="1:61" x14ac:dyDescent="0.2">
      <c r="A58" s="303" t="s">
        <v>64</v>
      </c>
      <c r="B58" s="304" t="s">
        <v>61</v>
      </c>
      <c r="C58" s="304">
        <v>15</v>
      </c>
      <c r="D58" s="304" t="s">
        <v>443</v>
      </c>
      <c r="E58" s="305" t="str">
        <f t="shared" ca="1" si="0"/>
        <v>R</v>
      </c>
      <c r="F58" s="306"/>
      <c r="G58" s="307">
        <f t="shared" ca="1" si="1"/>
        <v>59</v>
      </c>
      <c r="H58" s="250"/>
      <c r="I58" s="250"/>
      <c r="J58" s="262"/>
      <c r="K58" s="262"/>
      <c r="AF58" s="236">
        <f t="shared" si="2"/>
        <v>1</v>
      </c>
      <c r="AG58" s="236" t="str">
        <f t="shared" ca="1" si="3"/>
        <v/>
      </c>
      <c r="AH58" s="236" t="str">
        <f t="shared" ca="1" si="18"/>
        <v/>
      </c>
      <c r="AJ58" s="236">
        <f t="shared" ca="1" si="4"/>
        <v>58</v>
      </c>
      <c r="AK58" s="236" t="str">
        <f t="shared" ca="1" si="19"/>
        <v>BB</v>
      </c>
      <c r="AL58" s="236">
        <f t="shared" ca="1" si="19"/>
        <v>15</v>
      </c>
      <c r="AM58" s="236" t="str">
        <f t="shared" ca="1" si="5"/>
        <v/>
      </c>
      <c r="AQ58" s="286" t="s">
        <v>26</v>
      </c>
      <c r="AR58" s="286" t="s">
        <v>10</v>
      </c>
      <c r="AS58" s="286">
        <v>20</v>
      </c>
      <c r="AT58" s="286" t="s">
        <v>336</v>
      </c>
      <c r="AV58" s="234">
        <f t="shared" si="20"/>
        <v>2</v>
      </c>
      <c r="AW58" s="234">
        <f>COUNTIF( AV$7:AV58, AV58 )</f>
        <v>10</v>
      </c>
      <c r="AX58" s="287">
        <f t="shared" si="21"/>
        <v>3</v>
      </c>
      <c r="AY58" s="234">
        <f t="shared" si="22"/>
        <v>11</v>
      </c>
      <c r="AZ58" s="236"/>
      <c r="BA58" s="236"/>
      <c r="BC58" s="234">
        <f t="shared" ca="1" si="23"/>
        <v>52</v>
      </c>
      <c r="BD58" s="288">
        <f t="shared" ca="1" si="7"/>
        <v>12</v>
      </c>
      <c r="BF58" s="240" t="str">
        <f t="shared" ca="1" si="24"/>
        <v>DPL Inc.</v>
      </c>
      <c r="BG58" s="240" t="str">
        <f t="shared" ca="1" si="24"/>
        <v>BB</v>
      </c>
      <c r="BH58" s="240">
        <f t="shared" ca="1" si="24"/>
        <v>15</v>
      </c>
      <c r="BI58" s="240" t="str">
        <f t="shared" ca="1" si="24"/>
        <v>**DPL</v>
      </c>
    </row>
    <row r="59" spans="1:61" x14ac:dyDescent="0.2">
      <c r="A59" s="303" t="s">
        <v>249</v>
      </c>
      <c r="B59" s="304" t="s">
        <v>125</v>
      </c>
      <c r="C59" s="304">
        <v>9</v>
      </c>
      <c r="D59" s="304" t="s">
        <v>445</v>
      </c>
      <c r="E59" s="305" t="str">
        <f t="shared" ca="1" si="0"/>
        <v>D</v>
      </c>
      <c r="F59" s="306"/>
      <c r="G59" s="307">
        <f t="shared" ca="1" si="1"/>
        <v>60</v>
      </c>
      <c r="H59" s="250"/>
      <c r="I59" s="250"/>
      <c r="J59" s="262"/>
      <c r="K59" s="262"/>
      <c r="AF59" s="236">
        <f t="shared" si="2"/>
        <v>0</v>
      </c>
      <c r="AG59" s="236" t="str">
        <f t="shared" ca="1" si="3"/>
        <v/>
      </c>
      <c r="AH59" s="236" t="str">
        <f t="shared" ca="1" si="18"/>
        <v/>
      </c>
      <c r="AJ59" s="236">
        <f t="shared" ca="1" si="4"/>
        <v>59</v>
      </c>
      <c r="AK59" s="236" t="str">
        <f t="shared" ca="1" si="19"/>
        <v>CCC</v>
      </c>
      <c r="AL59" s="236">
        <f t="shared" ca="1" si="19"/>
        <v>9</v>
      </c>
      <c r="AM59" s="236" t="str">
        <f t="shared" ca="1" si="5"/>
        <v/>
      </c>
      <c r="AQ59" s="286" t="s">
        <v>258</v>
      </c>
      <c r="AR59" s="286" t="s">
        <v>10</v>
      </c>
      <c r="AS59" s="286">
        <v>20</v>
      </c>
      <c r="AT59" s="286" t="s">
        <v>338</v>
      </c>
      <c r="AV59" s="234">
        <f t="shared" si="20"/>
        <v>2</v>
      </c>
      <c r="AW59" s="234">
        <f>COUNTIF( AV$7:AV59, AV59 )</f>
        <v>11</v>
      </c>
      <c r="AX59" s="287">
        <f t="shared" si="21"/>
        <v>3.1</v>
      </c>
      <c r="AY59" s="234">
        <f t="shared" si="22"/>
        <v>12</v>
      </c>
      <c r="AZ59" s="236"/>
      <c r="BA59" s="236"/>
      <c r="BC59" s="234">
        <f t="shared" ca="1" si="23"/>
        <v>53</v>
      </c>
      <c r="BD59" s="288">
        <f t="shared" ca="1" si="7"/>
        <v>18</v>
      </c>
      <c r="BF59" s="240" t="str">
        <f t="shared" ca="1" si="24"/>
        <v>Energy Future Holdings Corp.</v>
      </c>
      <c r="BG59" s="240" t="str">
        <f t="shared" ca="1" si="24"/>
        <v>CCC</v>
      </c>
      <c r="BH59" s="240">
        <f t="shared" ca="1" si="24"/>
        <v>9</v>
      </c>
      <c r="BI59" s="240" t="str">
        <f t="shared" ca="1" si="24"/>
        <v>**EFH</v>
      </c>
    </row>
    <row r="60" spans="1:61" x14ac:dyDescent="0.2">
      <c r="A60" s="247"/>
      <c r="B60" s="248"/>
      <c r="C60" s="248"/>
      <c r="D60" s="248"/>
      <c r="E60" s="249"/>
      <c r="F60" s="250"/>
      <c r="G60" s="251" t="str">
        <f t="shared" ca="1" si="1"/>
        <v/>
      </c>
      <c r="H60" s="250"/>
      <c r="I60" s="250"/>
      <c r="AF60" s="236">
        <f t="shared" si="2"/>
        <v>0</v>
      </c>
      <c r="AG60" s="236" t="str">
        <f t="shared" si="3"/>
        <v/>
      </c>
      <c r="AH60" s="236" t="str">
        <f t="shared" si="18"/>
        <v/>
      </c>
      <c r="AJ60" s="236" t="e">
        <f t="shared" ca="1" si="4"/>
        <v>#N/A</v>
      </c>
      <c r="AK60" s="236" t="str">
        <f t="shared" ca="1" si="19"/>
        <v/>
      </c>
      <c r="AL60" s="236" t="str">
        <f t="shared" ca="1" si="19"/>
        <v/>
      </c>
      <c r="AM60" s="236" t="str">
        <f t="shared" ca="1" si="5"/>
        <v/>
      </c>
      <c r="AQ60" s="286"/>
      <c r="AR60" s="286"/>
      <c r="AS60" s="286"/>
      <c r="AT60" s="286"/>
      <c r="AV60" s="234">
        <f t="shared" si="20"/>
        <v>99</v>
      </c>
      <c r="AW60" s="234">
        <f>COUNTIF( AV$7:AV60, AV60 )</f>
        <v>1</v>
      </c>
      <c r="AX60" s="287">
        <f t="shared" si="21"/>
        <v>99.1</v>
      </c>
      <c r="AY60" s="234">
        <f t="shared" si="22"/>
        <v>54</v>
      </c>
      <c r="AZ60" s="236"/>
      <c r="BA60" s="236"/>
      <c r="BC60" s="234">
        <f t="shared" ca="1" si="23"/>
        <v>54</v>
      </c>
      <c r="BD60" s="288">
        <f t="shared" ca="1" si="7"/>
        <v>54</v>
      </c>
      <c r="BF60" s="240">
        <f t="shared" ca="1" si="24"/>
        <v>0</v>
      </c>
      <c r="BG60" s="240">
        <f t="shared" ca="1" si="24"/>
        <v>0</v>
      </c>
      <c r="BH60" s="240">
        <f t="shared" ca="1" si="24"/>
        <v>0</v>
      </c>
      <c r="BI60" s="240">
        <f t="shared" ca="1" si="24"/>
        <v>0</v>
      </c>
    </row>
    <row r="61" spans="1:61" ht="13.5" thickBot="1" x14ac:dyDescent="0.25">
      <c r="A61" s="265"/>
      <c r="B61" s="266"/>
      <c r="C61" s="266"/>
      <c r="D61" s="266"/>
      <c r="E61" s="267"/>
      <c r="F61" s="250"/>
      <c r="G61" s="251" t="str">
        <f t="shared" ca="1" si="1"/>
        <v/>
      </c>
      <c r="H61" s="250"/>
      <c r="I61" s="250"/>
      <c r="AF61" s="236">
        <f t="shared" si="2"/>
        <v>0</v>
      </c>
      <c r="AG61" s="236" t="str">
        <f t="shared" si="3"/>
        <v/>
      </c>
      <c r="AH61" s="236" t="str">
        <f t="shared" si="18"/>
        <v/>
      </c>
      <c r="AJ61" s="236" t="e">
        <f t="shared" ca="1" si="4"/>
        <v>#N/A</v>
      </c>
      <c r="AK61" s="236" t="str">
        <f t="shared" ca="1" si="19"/>
        <v/>
      </c>
      <c r="AL61" s="236" t="str">
        <f t="shared" ca="1" si="19"/>
        <v/>
      </c>
      <c r="AM61" s="236" t="str">
        <f t="shared" ca="1" si="5"/>
        <v/>
      </c>
      <c r="AQ61" s="286"/>
      <c r="AR61" s="286"/>
      <c r="AS61" s="286"/>
      <c r="AT61" s="286"/>
      <c r="AV61" s="234">
        <f t="shared" si="20"/>
        <v>99</v>
      </c>
      <c r="AW61" s="234">
        <f>COUNTIF( AV$7:AV61, AV61 )</f>
        <v>2</v>
      </c>
      <c r="AX61" s="287">
        <f t="shared" si="21"/>
        <v>99.2</v>
      </c>
      <c r="AY61" s="234">
        <f t="shared" si="22"/>
        <v>55</v>
      </c>
      <c r="AZ61" s="236"/>
      <c r="BA61" s="236"/>
      <c r="BC61" s="234">
        <f t="shared" ca="1" si="23"/>
        <v>55</v>
      </c>
      <c r="BD61" s="288">
        <f t="shared" ca="1" si="7"/>
        <v>55</v>
      </c>
      <c r="BF61" s="240">
        <f t="shared" ca="1" si="24"/>
        <v>0</v>
      </c>
      <c r="BG61" s="240">
        <f t="shared" ca="1" si="24"/>
        <v>0</v>
      </c>
      <c r="BH61" s="240">
        <f t="shared" ca="1" si="24"/>
        <v>0</v>
      </c>
      <c r="BI61" s="240">
        <f t="shared" ca="1" si="24"/>
        <v>0</v>
      </c>
    </row>
    <row r="62" spans="1:61" x14ac:dyDescent="0.2">
      <c r="A62" s="308" t="s">
        <v>474</v>
      </c>
      <c r="B62" s="309" t="s">
        <v>108</v>
      </c>
      <c r="C62" s="309">
        <v>23</v>
      </c>
      <c r="D62" s="309" t="s">
        <v>440</v>
      </c>
      <c r="E62" s="310" t="str">
        <f ca="1">OFFSET( INDIRECT( E$3 &amp; E$4 ), $G62 - 1, 0 )</f>
        <v>MR</v>
      </c>
      <c r="F62" s="311"/>
      <c r="G62" s="312">
        <f t="shared" ca="1" si="1"/>
        <v>31</v>
      </c>
      <c r="H62" s="250"/>
      <c r="I62" s="250"/>
      <c r="AF62" s="236">
        <f t="shared" si="2"/>
        <v>1</v>
      </c>
      <c r="AG62" s="236" t="str">
        <f t="shared" ca="1" si="3"/>
        <v/>
      </c>
      <c r="AH62" s="236" t="str">
        <f t="shared" ca="1" si="18"/>
        <v/>
      </c>
      <c r="AJ62" s="236">
        <f t="shared" ca="1" si="4"/>
        <v>62</v>
      </c>
      <c r="AK62" s="236" t="str">
        <f t="shared" ca="1" si="19"/>
        <v>AA-</v>
      </c>
      <c r="AL62" s="236">
        <f t="shared" ca="1" si="19"/>
        <v>23</v>
      </c>
      <c r="AM62" s="236" t="str">
        <f t="shared" ca="1" si="5"/>
        <v/>
      </c>
      <c r="AQ62" s="286"/>
      <c r="AR62" s="286"/>
      <c r="AS62" s="286"/>
      <c r="AT62" s="286"/>
      <c r="AV62" s="234">
        <f t="shared" si="20"/>
        <v>99</v>
      </c>
      <c r="AW62" s="234">
        <f>COUNTIF( AV$7:AV62, AV62 )</f>
        <v>3</v>
      </c>
      <c r="AX62" s="287">
        <f t="shared" si="21"/>
        <v>99.3</v>
      </c>
      <c r="AY62" s="234">
        <f t="shared" si="22"/>
        <v>56</v>
      </c>
      <c r="AZ62" s="236"/>
      <c r="BA62" s="236"/>
      <c r="BC62" s="234">
        <f t="shared" ca="1" si="23"/>
        <v>56</v>
      </c>
      <c r="BD62" s="288">
        <f t="shared" ca="1" si="7"/>
        <v>56</v>
      </c>
      <c r="BF62" s="240">
        <f t="shared" ca="1" si="24"/>
        <v>0</v>
      </c>
      <c r="BG62" s="240">
        <f t="shared" ca="1" si="24"/>
        <v>0</v>
      </c>
      <c r="BH62" s="240">
        <f t="shared" ca="1" si="24"/>
        <v>0</v>
      </c>
      <c r="BI62" s="240">
        <f t="shared" ca="1" si="24"/>
        <v>0</v>
      </c>
    </row>
    <row r="63" spans="1:61" x14ac:dyDescent="0.2">
      <c r="A63" s="303" t="s">
        <v>476</v>
      </c>
      <c r="B63" s="304" t="s">
        <v>28</v>
      </c>
      <c r="C63" s="304">
        <v>18</v>
      </c>
      <c r="D63" s="304" t="s">
        <v>442</v>
      </c>
      <c r="E63" s="305" t="str">
        <f ca="1">OFFSET( INDIRECT( E$3 &amp; E$4 ), $G63 - 1, 0 )</f>
        <v>R</v>
      </c>
      <c r="F63" s="306"/>
      <c r="G63" s="307">
        <f t="shared" ca="1" si="1"/>
        <v>52</v>
      </c>
      <c r="H63" s="250"/>
      <c r="I63" s="250"/>
      <c r="AF63" s="236">
        <f t="shared" si="2"/>
        <v>0</v>
      </c>
      <c r="AG63" s="236">
        <f t="shared" ca="1" si="3"/>
        <v>1</v>
      </c>
      <c r="AH63" s="236" t="str">
        <f t="shared" ca="1" si="18"/>
        <v/>
      </c>
      <c r="AJ63" s="236">
        <f t="shared" ca="1" si="4"/>
        <v>63</v>
      </c>
      <c r="AK63" s="236" t="str">
        <f t="shared" ca="1" si="19"/>
        <v>BB+</v>
      </c>
      <c r="AL63" s="236">
        <f t="shared" ca="1" si="19"/>
        <v>16</v>
      </c>
      <c r="AM63" s="236" t="str">
        <f t="shared" ca="1" si="5"/>
        <v>Change</v>
      </c>
      <c r="AQ63" s="286"/>
      <c r="AR63" s="286"/>
      <c r="AS63" s="286"/>
      <c r="AT63" s="286"/>
      <c r="AU63" s="286"/>
      <c r="AV63" s="234">
        <f t="shared" si="20"/>
        <v>99</v>
      </c>
      <c r="AW63" s="234">
        <f>COUNTIF( AV$7:AV63, AV63 )</f>
        <v>4</v>
      </c>
      <c r="AX63" s="287">
        <f t="shared" si="21"/>
        <v>99.4</v>
      </c>
      <c r="AY63" s="234">
        <f t="shared" si="22"/>
        <v>57</v>
      </c>
      <c r="AZ63" s="236"/>
      <c r="BA63" s="236"/>
      <c r="BC63" s="234">
        <f t="shared" ca="1" si="23"/>
        <v>57</v>
      </c>
      <c r="BD63" s="288">
        <f ca="1">MATCH( BC63, $AY$7:$AY$63, 0 )</f>
        <v>57</v>
      </c>
      <c r="BF63" s="240">
        <f t="shared" ca="1" si="24"/>
        <v>0</v>
      </c>
      <c r="BG63" s="240">
        <f t="shared" ca="1" si="24"/>
        <v>0</v>
      </c>
      <c r="BH63" s="240">
        <f t="shared" ca="1" si="24"/>
        <v>0</v>
      </c>
      <c r="BI63" s="240">
        <f t="shared" ca="1" si="24"/>
        <v>0</v>
      </c>
    </row>
    <row r="64" spans="1:61" x14ac:dyDescent="0.2">
      <c r="A64" s="303" t="s">
        <v>477</v>
      </c>
      <c r="B64" s="304"/>
      <c r="C64" s="304"/>
      <c r="D64" s="304" t="s">
        <v>448</v>
      </c>
      <c r="E64" s="305" t="str">
        <f ca="1">OFFSET( INDIRECT( E$3 &amp; E$4 ), $G64 - 1, 0 )</f>
        <v>R</v>
      </c>
      <c r="F64" s="306"/>
      <c r="G64" s="307">
        <f t="shared" ca="1" si="1"/>
        <v>51</v>
      </c>
      <c r="H64" s="250"/>
      <c r="I64" s="250"/>
      <c r="AF64" s="236">
        <f t="shared" si="2"/>
        <v>0</v>
      </c>
      <c r="AG64" s="236" t="str">
        <f t="shared" si="3"/>
        <v/>
      </c>
      <c r="AH64" s="236" t="str">
        <f t="shared" si="18"/>
        <v/>
      </c>
      <c r="AJ64" s="236">
        <f t="shared" ca="1" si="4"/>
        <v>64</v>
      </c>
      <c r="AK64" s="236">
        <f t="shared" ca="1" si="19"/>
        <v>0</v>
      </c>
      <c r="AL64" s="236">
        <f t="shared" ca="1" si="19"/>
        <v>0</v>
      </c>
      <c r="AM64" s="236" t="str">
        <f t="shared" ca="1" si="5"/>
        <v/>
      </c>
      <c r="AQ64" s="286"/>
      <c r="AR64" s="286"/>
      <c r="AS64" s="286"/>
      <c r="AT64" s="286"/>
      <c r="AU64" s="286"/>
      <c r="AZ64" s="236"/>
      <c r="BA64" s="236"/>
      <c r="BF64" s="236"/>
    </row>
    <row r="65" spans="1:58" x14ac:dyDescent="0.2">
      <c r="A65" s="303"/>
      <c r="B65" s="313"/>
      <c r="C65" s="304"/>
      <c r="D65" s="304"/>
      <c r="E65" s="305"/>
      <c r="F65" s="306"/>
      <c r="G65" s="307"/>
      <c r="H65" s="250"/>
      <c r="I65" s="250"/>
      <c r="N65" s="234" t="s">
        <v>73</v>
      </c>
      <c r="AF65" s="236">
        <f t="shared" si="2"/>
        <v>0</v>
      </c>
      <c r="AG65" s="236" t="str">
        <f>IF( LEN( $C65 ) = 0, "", IF( $C65 &gt; $AL65, 1, "" ) )</f>
        <v/>
      </c>
      <c r="AH65" s="236" t="str">
        <f t="shared" si="18"/>
        <v/>
      </c>
      <c r="AJ65" s="236" t="e">
        <f t="shared" ca="1" si="4"/>
        <v>#N/A</v>
      </c>
      <c r="AK65" s="236" t="str">
        <f t="shared" ca="1" si="19"/>
        <v/>
      </c>
      <c r="AL65" s="236" t="str">
        <f t="shared" ca="1" si="19"/>
        <v/>
      </c>
      <c r="AM65" s="236" t="str">
        <f t="shared" ca="1" si="5"/>
        <v/>
      </c>
      <c r="AQ65" s="286"/>
      <c r="AR65" s="286"/>
      <c r="AS65" s="286"/>
      <c r="AT65" s="286"/>
      <c r="AU65" s="286"/>
      <c r="AZ65" s="236"/>
      <c r="BA65" s="236"/>
      <c r="BF65" s="236"/>
    </row>
    <row r="66" spans="1:58" x14ac:dyDescent="0.2">
      <c r="A66" s="268"/>
      <c r="B66" s="269"/>
      <c r="C66" s="270"/>
      <c r="D66" s="270"/>
      <c r="E66" s="249"/>
      <c r="F66" s="250"/>
      <c r="H66" s="250"/>
      <c r="I66" s="250"/>
      <c r="AF66" s="236">
        <f t="shared" si="2"/>
        <v>0</v>
      </c>
      <c r="AG66" s="236" t="str">
        <f t="shared" ref="AG66:AG67" si="25">IF( LEN( $C66 ) = 0, "", IF( $C66 &gt; $AL66, 1, "" ) )</f>
        <v/>
      </c>
      <c r="AH66" s="236" t="str">
        <f t="shared" si="18"/>
        <v/>
      </c>
      <c r="AJ66" s="236" t="e">
        <f t="shared" ca="1" si="4"/>
        <v>#N/A</v>
      </c>
      <c r="AK66" s="236" t="str">
        <f t="shared" ca="1" si="19"/>
        <v/>
      </c>
      <c r="AL66" s="236" t="str">
        <f t="shared" ca="1" si="19"/>
        <v/>
      </c>
      <c r="AM66" s="236" t="str">
        <f t="shared" ca="1" si="5"/>
        <v/>
      </c>
      <c r="AQ66" s="286" t="s">
        <v>474</v>
      </c>
      <c r="AR66" s="286" t="s">
        <v>108</v>
      </c>
      <c r="AS66" s="286">
        <v>23</v>
      </c>
      <c r="AT66" s="286" t="s">
        <v>440</v>
      </c>
      <c r="AU66" s="286"/>
      <c r="AX66" s="287"/>
      <c r="AZ66" s="236"/>
      <c r="BA66" s="236"/>
      <c r="BD66" s="288"/>
      <c r="BF66" s="236"/>
    </row>
    <row r="67" spans="1:58" ht="13.5" thickBot="1" x14ac:dyDescent="0.25">
      <c r="A67" s="271"/>
      <c r="B67" s="272"/>
      <c r="C67" s="337"/>
      <c r="D67" s="272"/>
      <c r="E67" s="273"/>
      <c r="F67" s="250"/>
      <c r="H67" s="250"/>
      <c r="I67" s="250"/>
      <c r="AF67" s="236">
        <f t="shared" si="2"/>
        <v>0</v>
      </c>
      <c r="AG67" s="236" t="str">
        <f t="shared" si="25"/>
        <v/>
      </c>
      <c r="AH67" s="236" t="str">
        <f t="shared" si="18"/>
        <v/>
      </c>
      <c r="AJ67" s="236" t="e">
        <f t="shared" ca="1" si="4"/>
        <v>#N/A</v>
      </c>
      <c r="AK67" s="236" t="str">
        <f t="shared" ca="1" si="19"/>
        <v/>
      </c>
      <c r="AL67" s="236" t="str">
        <f t="shared" ca="1" si="19"/>
        <v/>
      </c>
      <c r="AM67" s="236" t="str">
        <f t="shared" ca="1" si="5"/>
        <v/>
      </c>
      <c r="AQ67" s="286" t="s">
        <v>428</v>
      </c>
      <c r="AR67" s="286" t="s">
        <v>28</v>
      </c>
      <c r="AS67" s="286">
        <v>18</v>
      </c>
      <c r="AT67" s="286" t="s">
        <v>442</v>
      </c>
      <c r="AX67" s="287"/>
      <c r="AZ67" s="236"/>
      <c r="BA67" s="236"/>
      <c r="BD67" s="288"/>
      <c r="BF67" s="236"/>
    </row>
    <row r="68" spans="1:58" x14ac:dyDescent="0.2">
      <c r="A68" s="274" t="s">
        <v>135</v>
      </c>
      <c r="B68" s="275" t="s">
        <v>28</v>
      </c>
      <c r="C68" s="276">
        <f>AVERAGE(C7:C65)</f>
        <v>18.399999999999999</v>
      </c>
      <c r="D68" s="276"/>
      <c r="E68" s="276"/>
      <c r="F68" s="250"/>
      <c r="H68" s="250"/>
      <c r="I68" s="250"/>
      <c r="J68" s="253"/>
      <c r="K68" s="253"/>
      <c r="AQ68" s="286" t="s">
        <v>477</v>
      </c>
      <c r="AR68" s="286"/>
      <c r="AS68" s="286"/>
      <c r="AT68" s="286" t="s">
        <v>448</v>
      </c>
      <c r="AX68" s="287"/>
      <c r="AZ68" s="236"/>
      <c r="BA68" s="236"/>
      <c r="BD68" s="288"/>
      <c r="BF68" s="236"/>
    </row>
    <row r="69" spans="1:58" x14ac:dyDescent="0.2">
      <c r="A69" s="277"/>
      <c r="B69" s="278"/>
      <c r="F69" s="250"/>
      <c r="H69" s="250"/>
      <c r="I69" s="250"/>
      <c r="AX69" s="287"/>
      <c r="AZ69" s="236"/>
      <c r="BA69" s="236"/>
      <c r="BD69" s="288"/>
      <c r="BF69" s="236"/>
    </row>
    <row r="70" spans="1:58" x14ac:dyDescent="0.2">
      <c r="A70" s="277"/>
      <c r="B70" s="278"/>
      <c r="F70" s="240"/>
      <c r="H70" s="240"/>
      <c r="I70" s="240"/>
      <c r="J70" s="253"/>
      <c r="K70" s="253"/>
    </row>
    <row r="71" spans="1:58" x14ac:dyDescent="0.2">
      <c r="A71" s="279" t="s">
        <v>267</v>
      </c>
      <c r="F71" s="240"/>
      <c r="H71" s="240"/>
      <c r="I71" s="240"/>
    </row>
    <row r="72" spans="1:58" x14ac:dyDescent="0.2">
      <c r="A72" s="279" t="s">
        <v>366</v>
      </c>
      <c r="B72" s="240"/>
      <c r="D72" s="264"/>
      <c r="E72" s="264"/>
      <c r="F72" s="280"/>
      <c r="H72" s="280"/>
      <c r="I72" s="280"/>
    </row>
    <row r="73" spans="1:58" x14ac:dyDescent="0.2">
      <c r="A73" s="281" t="s">
        <v>357</v>
      </c>
      <c r="B73" s="240"/>
      <c r="D73" s="264"/>
      <c r="E73" s="264"/>
      <c r="F73" s="280"/>
      <c r="H73" s="280"/>
      <c r="I73" s="280"/>
    </row>
    <row r="74" spans="1:58" x14ac:dyDescent="0.2">
      <c r="A74" s="281" t="s">
        <v>470</v>
      </c>
      <c r="D74" s="280"/>
      <c r="E74" s="234"/>
      <c r="F74" s="282"/>
      <c r="H74" s="282"/>
      <c r="I74" s="282"/>
    </row>
    <row r="75" spans="1:58" x14ac:dyDescent="0.2">
      <c r="A75" s="279" t="s">
        <v>359</v>
      </c>
      <c r="D75" s="280"/>
      <c r="E75" s="234"/>
      <c r="F75" s="282"/>
      <c r="H75" s="282"/>
      <c r="I75" s="282"/>
      <c r="AQ75" s="286"/>
      <c r="AR75" s="286"/>
      <c r="AS75" s="286"/>
    </row>
    <row r="76" spans="1:58" x14ac:dyDescent="0.2">
      <c r="A76" s="279"/>
      <c r="D76" s="280"/>
      <c r="E76" s="234"/>
      <c r="F76" s="282"/>
      <c r="H76" s="282"/>
      <c r="I76" s="282"/>
      <c r="AQ76" s="286"/>
      <c r="AR76" s="286"/>
      <c r="AS76" s="286"/>
    </row>
    <row r="77" spans="1:58" x14ac:dyDescent="0.2">
      <c r="A77" s="279"/>
      <c r="AQ77" s="286"/>
      <c r="AR77" s="286"/>
      <c r="AS77" s="286"/>
    </row>
    <row r="78" spans="1:58" x14ac:dyDescent="0.2">
      <c r="C78" s="339">
        <f>SUMPRODUCT( L8:L13, Y8:Y13 ) / L14</f>
        <v>18.509090909090908</v>
      </c>
      <c r="E78" s="283"/>
      <c r="G78" s="251"/>
      <c r="J78" s="240"/>
      <c r="K78" s="240"/>
      <c r="AQ78" s="286"/>
      <c r="AR78" s="286"/>
      <c r="AS78" s="286"/>
    </row>
    <row r="79" spans="1:58" s="240" customFormat="1" x14ac:dyDescent="0.2">
      <c r="A79" s="284"/>
      <c r="B79" s="285"/>
      <c r="C79" s="285"/>
      <c r="D79" s="285"/>
      <c r="E79" s="249"/>
      <c r="F79" s="234"/>
      <c r="G79" s="236"/>
      <c r="H79" s="234"/>
      <c r="I79" s="234"/>
      <c r="Q79" s="234"/>
      <c r="T79" s="236"/>
      <c r="U79" s="236"/>
      <c r="V79" s="236"/>
      <c r="AF79" s="236"/>
      <c r="AG79" s="236"/>
      <c r="AH79" s="236"/>
      <c r="AJ79" s="236"/>
      <c r="AK79" s="236"/>
      <c r="AL79" s="236"/>
      <c r="AM79" s="236"/>
      <c r="AN79" s="236"/>
      <c r="AQ79" s="286"/>
      <c r="AR79" s="286"/>
      <c r="AS79" s="286"/>
    </row>
  </sheetData>
  <sortState ref="AQ7:AT59">
    <sortCondition ref="AQ7"/>
  </sortState>
  <mergeCells count="9">
    <mergeCell ref="L16:M16"/>
    <mergeCell ref="O16:P16"/>
    <mergeCell ref="R16:S16"/>
    <mergeCell ref="U16:V16"/>
    <mergeCell ref="J5:J6"/>
    <mergeCell ref="L5:M6"/>
    <mergeCell ref="O5:P6"/>
    <mergeCell ref="R5:S6"/>
    <mergeCell ref="U5:V6"/>
  </mergeCells>
  <conditionalFormatting sqref="A60:E61 E7:E59 E62:E65">
    <cfRule type="expression" dxfId="377" priority="28" stopIfTrue="1">
      <formula>IF( $AH7 = 1, TRUE, FALSE )</formula>
    </cfRule>
    <cfRule type="expression" dxfId="376" priority="29" stopIfTrue="1">
      <formula>IF( $AG7 = 1, TRUE, FALSE )</formula>
    </cfRule>
    <cfRule type="expression" dxfId="375" priority="30" stopIfTrue="1">
      <formula>IF( $AF7 = 1, TRUE, FALSE )</formula>
    </cfRule>
  </conditionalFormatting>
  <conditionalFormatting sqref="A67:E67">
    <cfRule type="expression" dxfId="374" priority="31" stopIfTrue="1">
      <formula>IF( $AH67 = 1, TRUE, FALSE )</formula>
    </cfRule>
    <cfRule type="expression" dxfId="373" priority="32" stopIfTrue="1">
      <formula>IF( $AG67 = 1, TRUE, FALSE )</formula>
    </cfRule>
    <cfRule type="expression" dxfId="372" priority="33" stopIfTrue="1">
      <formula>IF( $AF67 = 1, TRUE, FALSE )</formula>
    </cfRule>
  </conditionalFormatting>
  <conditionalFormatting sqref="A66:E66">
    <cfRule type="expression" dxfId="371" priority="25" stopIfTrue="1">
      <formula>IF( $AH66 = 1, TRUE, FALSE )</formula>
    </cfRule>
    <cfRule type="expression" dxfId="370" priority="26" stopIfTrue="1">
      <formula>IF( $AG66 = 1, TRUE, FALSE )</formula>
    </cfRule>
    <cfRule type="expression" dxfId="369" priority="27" stopIfTrue="1">
      <formula>IF( $AF66 = 1, TRUE, FALSE )</formula>
    </cfRule>
  </conditionalFormatting>
  <conditionalFormatting sqref="A8:D58 B7:D7">
    <cfRule type="expression" dxfId="368" priority="22" stopIfTrue="1">
      <formula>IF( $AH7 = 1, TRUE, FALSE )</formula>
    </cfRule>
    <cfRule type="expression" dxfId="367" priority="23" stopIfTrue="1">
      <formula>IF( $AG7 = 1, TRUE, FALSE )</formula>
    </cfRule>
    <cfRule type="expression" dxfId="366" priority="24" stopIfTrue="1">
      <formula>IF( $AF7 = 1, TRUE, FALSE )</formula>
    </cfRule>
  </conditionalFormatting>
  <conditionalFormatting sqref="A59:D59">
    <cfRule type="expression" dxfId="365" priority="19" stopIfTrue="1">
      <formula>IF( $AH59 = 1, TRUE, FALSE )</formula>
    </cfRule>
    <cfRule type="expression" dxfId="364" priority="20" stopIfTrue="1">
      <formula>IF( $AG59 = 1, TRUE, FALSE )</formula>
    </cfRule>
    <cfRule type="expression" dxfId="363" priority="21" stopIfTrue="1">
      <formula>IF( $AF59 = 1, TRUE, FALSE )</formula>
    </cfRule>
  </conditionalFormatting>
  <conditionalFormatting sqref="A62:D65">
    <cfRule type="expression" dxfId="362" priority="16" stopIfTrue="1">
      <formula>IF( $AH62 = 1, TRUE, FALSE )</formula>
    </cfRule>
    <cfRule type="expression" dxfId="361" priority="17" stopIfTrue="1">
      <formula>IF( $AG62 = 1, TRUE, FALSE )</formula>
    </cfRule>
    <cfRule type="expression" dxfId="360" priority="18" stopIfTrue="1">
      <formula>IF( $AF62 = 1, TRUE, FALSE )</formula>
    </cfRule>
  </conditionalFormatting>
  <conditionalFormatting sqref="U8:U12">
    <cfRule type="cellIs" dxfId="359" priority="15" operator="equal">
      <formula>0</formula>
    </cfRule>
  </conditionalFormatting>
  <conditionalFormatting sqref="O8:O12 Q8:Q12">
    <cfRule type="cellIs" dxfId="358" priority="14" operator="equal">
      <formula>0</formula>
    </cfRule>
  </conditionalFormatting>
  <conditionalFormatting sqref="V8:V12">
    <cfRule type="cellIs" dxfId="357" priority="13" operator="equal">
      <formula>0</formula>
    </cfRule>
  </conditionalFormatting>
  <conditionalFormatting sqref="S8:S12">
    <cfRule type="cellIs" dxfId="356" priority="11" operator="equal">
      <formula>0</formula>
    </cfRule>
  </conditionalFormatting>
  <conditionalFormatting sqref="R8:R12">
    <cfRule type="cellIs" dxfId="355" priority="12" operator="equal">
      <formula>0</formula>
    </cfRule>
  </conditionalFormatting>
  <conditionalFormatting sqref="P8:P12">
    <cfRule type="cellIs" dxfId="354" priority="10" operator="equal">
      <formula>0</formula>
    </cfRule>
  </conditionalFormatting>
  <conditionalFormatting sqref="M8:M12">
    <cfRule type="cellIs" dxfId="353" priority="9" operator="equal">
      <formula>0</formula>
    </cfRule>
  </conditionalFormatting>
  <conditionalFormatting sqref="T8:T12">
    <cfRule type="cellIs" dxfId="352" priority="8" operator="equal">
      <formula>0</formula>
    </cfRule>
  </conditionalFormatting>
  <conditionalFormatting sqref="N8:N12">
    <cfRule type="cellIs" dxfId="351" priority="7" operator="equal">
      <formula>0</formula>
    </cfRule>
  </conditionalFormatting>
  <conditionalFormatting sqref="K8:K12">
    <cfRule type="cellIs" dxfId="350" priority="6" operator="equal">
      <formula>0</formula>
    </cfRule>
  </conditionalFormatting>
  <conditionalFormatting sqref="I8:I12">
    <cfRule type="cellIs" dxfId="349" priority="5" operator="equal">
      <formula>0</formula>
    </cfRule>
  </conditionalFormatting>
  <conditionalFormatting sqref="W8:W12">
    <cfRule type="cellIs" dxfId="348" priority="4" operator="equal">
      <formula>0</formula>
    </cfRule>
  </conditionalFormatting>
  <conditionalFormatting sqref="A7">
    <cfRule type="expression" dxfId="347" priority="1" stopIfTrue="1">
      <formula>IF( $AH7 = 1, TRUE, FALSE )</formula>
    </cfRule>
    <cfRule type="expression" dxfId="346" priority="2" stopIfTrue="1">
      <formula>IF( $AG7 = 1, TRUE, FALSE )</formula>
    </cfRule>
    <cfRule type="expression" dxfId="345" priority="3" stopIfTrue="1">
      <formula>IF( $AF7 = 1, TRUE, FALSE )</formula>
    </cfRule>
  </conditionalFormatting>
  <pageMargins left="0.17" right="0.18" top="0.28000000000000003" bottom="0.17" header="0.3" footer="0.3"/>
  <pageSetup scale="19" orientation="portrait" horizontalDpi="1200" verticalDpi="120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BJ79"/>
  <sheetViews>
    <sheetView showGridLines="0" zoomScale="70" zoomScaleNormal="70" workbookViewId="0">
      <pane ySplit="6" topLeftCell="A7" activePane="bottomLeft" state="frozen"/>
      <selection activeCell="A7" sqref="A7"/>
      <selection pane="bottomLeft" activeCell="A7" sqref="A7"/>
    </sheetView>
  </sheetViews>
  <sheetFormatPr defaultColWidth="9.140625" defaultRowHeight="12.75" outlineLevelRow="1" outlineLevelCol="2" x14ac:dyDescent="0.2"/>
  <cols>
    <col min="1" max="1" width="35.140625" style="234" customWidth="1"/>
    <col min="2" max="2" width="9.140625" style="234"/>
    <col min="3" max="3" width="9.42578125" style="263" customWidth="1"/>
    <col min="4" max="4" width="9.140625" style="235" customWidth="1" outlineLevel="1"/>
    <col min="5" max="5" width="12.5703125" style="235" customWidth="1" outlineLevel="1"/>
    <col min="6" max="6" width="3.42578125" style="234" customWidth="1" outlineLevel="1"/>
    <col min="7" max="7" width="17.7109375" style="236" hidden="1" customWidth="1" outlineLevel="2"/>
    <col min="8" max="8" width="3.42578125" style="234" hidden="1" customWidth="1" outlineLevel="2" collapsed="1"/>
    <col min="9" max="9" width="3.28515625" style="234" customWidth="1" outlineLevel="1" collapsed="1"/>
    <col min="10" max="10" width="22" style="234" customWidth="1"/>
    <col min="11" max="11" width="2" style="234" customWidth="1"/>
    <col min="12" max="13" width="10.42578125" style="234" customWidth="1"/>
    <col min="14" max="14" width="2" style="234" customWidth="1"/>
    <col min="15" max="16" width="10.42578125" style="234" customWidth="1"/>
    <col min="17" max="17" width="2" style="234" customWidth="1"/>
    <col min="18" max="19" width="10.42578125" style="234" customWidth="1"/>
    <col min="20" max="20" width="2" style="236" customWidth="1"/>
    <col min="21" max="22" width="10.42578125" style="236" customWidth="1"/>
    <col min="23" max="23" width="2" style="234" customWidth="1"/>
    <col min="24" max="24" width="4.140625" style="234" customWidth="1"/>
    <col min="25" max="25" width="5.5703125" style="234" customWidth="1"/>
    <col min="26" max="26" width="2.42578125" style="234" customWidth="1"/>
    <col min="27" max="27" width="4.28515625" style="234" customWidth="1"/>
    <col min="28" max="30" width="2.42578125" style="234" hidden="1" customWidth="1" outlineLevel="1"/>
    <col min="31" max="31" width="4.42578125" style="234" hidden="1" customWidth="1" outlineLevel="1"/>
    <col min="32" max="32" width="6.5703125" style="236" hidden="1" customWidth="1" outlineLevel="1" collapsed="1"/>
    <col min="33" max="34" width="6.5703125" style="236" hidden="1" customWidth="1" outlineLevel="1"/>
    <col min="35" max="35" width="3.140625" style="234" hidden="1" customWidth="1" outlineLevel="1"/>
    <col min="36" max="36" width="7.85546875" style="236" hidden="1" customWidth="1" outlineLevel="1" collapsed="1"/>
    <col min="37" max="38" width="9" style="236" hidden="1" customWidth="1" outlineLevel="1"/>
    <col min="39" max="39" width="8.42578125" style="236" hidden="1" customWidth="1" outlineLevel="1"/>
    <col min="40" max="40" width="11.85546875" style="236" hidden="1" customWidth="1" outlineLevel="1"/>
    <col min="41" max="41" width="3.42578125" style="234" customWidth="1" collapsed="1"/>
    <col min="42" max="42" width="3.42578125" style="234" customWidth="1"/>
    <col min="43" max="43" width="29.7109375" style="234" hidden="1" customWidth="1" outlineLevel="1"/>
    <col min="44" max="44" width="6.42578125" style="234" hidden="1" customWidth="1" outlineLevel="1"/>
    <col min="45" max="45" width="3.42578125" style="234" hidden="1" customWidth="1" outlineLevel="1"/>
    <col min="46" max="46" width="8.7109375" style="234" hidden="1" customWidth="1" outlineLevel="1"/>
    <col min="47" max="47" width="3.140625" style="234" hidden="1" customWidth="1" outlineLevel="1"/>
    <col min="48" max="56" width="9.140625" style="234" hidden="1" customWidth="1" outlineLevel="2"/>
    <col min="57" max="57" width="5.42578125" style="234" hidden="1" customWidth="1" outlineLevel="1" collapsed="1"/>
    <col min="58" max="58" width="36.85546875" style="234" hidden="1" customWidth="1" outlineLevel="1"/>
    <col min="59" max="59" width="6.42578125" style="234" hidden="1" customWidth="1" outlineLevel="1"/>
    <col min="60" max="60" width="3.42578125" style="234" hidden="1" customWidth="1" outlineLevel="1"/>
    <col min="61" max="61" width="9.140625" style="234" hidden="1" customWidth="1" outlineLevel="1"/>
    <col min="62" max="62" width="9.140625" style="234" collapsed="1"/>
    <col min="63" max="16384" width="9.140625" style="234"/>
  </cols>
  <sheetData>
    <row r="1" spans="1:61" ht="18.75" x14ac:dyDescent="0.2">
      <c r="A1" s="323" t="str">
        <f>"I.  S&amp;P Utility Credit Ratings Distribution -- " &amp; B6</f>
        <v>I.  S&amp;P Utility Credit Ratings Distribution -- 2013 Q2</v>
      </c>
      <c r="AF1" s="237" t="s">
        <v>420</v>
      </c>
      <c r="AG1" s="237" t="s">
        <v>421</v>
      </c>
      <c r="AH1" s="237" t="s">
        <v>422</v>
      </c>
      <c r="AJ1" s="237" t="s">
        <v>424</v>
      </c>
      <c r="AK1" s="237" t="s">
        <v>426</v>
      </c>
      <c r="AL1" s="237" t="s">
        <v>426</v>
      </c>
      <c r="AM1" s="237" t="s">
        <v>424</v>
      </c>
      <c r="AN1" s="237"/>
    </row>
    <row r="2" spans="1:61" ht="18.75" hidden="1" outlineLevel="1" x14ac:dyDescent="0.2">
      <c r="A2" s="233"/>
      <c r="E2" s="238" t="str">
        <f>G2</f>
        <v>Reg_Percent_2012</v>
      </c>
      <c r="G2" s="239" t="s">
        <v>478</v>
      </c>
      <c r="AJ2" s="240" t="str">
        <f>AJ4 &amp; AJ3</f>
        <v>'Credit_2013Q1'!a:a</v>
      </c>
      <c r="AK2" s="240" t="str">
        <f>AK4 &amp; AK3</f>
        <v>'Credit_2013Q1'!b1</v>
      </c>
      <c r="AL2" s="240" t="str">
        <f>AL4 &amp; AL3</f>
        <v>'Credit_2013Q1'!c1</v>
      </c>
    </row>
    <row r="3" spans="1:61" ht="18.75" hidden="1" outlineLevel="1" x14ac:dyDescent="0.2">
      <c r="A3" s="233"/>
      <c r="E3" s="241" t="str">
        <f>"'" &amp; E2 &amp; "'!"</f>
        <v>'Reg_Percent_2012'!</v>
      </c>
      <c r="G3" s="234" t="str">
        <f>"'" &amp; G2 &amp; "'!"</f>
        <v>'Reg_Percent_2012'!</v>
      </c>
      <c r="O3" s="242" t="s">
        <v>371</v>
      </c>
      <c r="P3" s="242"/>
      <c r="Q3" s="242"/>
      <c r="R3" s="242" t="s">
        <v>372</v>
      </c>
      <c r="T3" s="234"/>
      <c r="U3" s="242" t="s">
        <v>86</v>
      </c>
      <c r="V3" s="234"/>
      <c r="X3" s="242"/>
      <c r="Y3" s="242"/>
      <c r="Z3" s="242"/>
      <c r="AA3" s="242"/>
      <c r="AJ3" s="210" t="s">
        <v>425</v>
      </c>
      <c r="AK3" s="210" t="s">
        <v>427</v>
      </c>
      <c r="AL3" s="210" t="s">
        <v>453</v>
      </c>
    </row>
    <row r="4" spans="1:61" ht="18.75" hidden="1" outlineLevel="1" x14ac:dyDescent="0.2">
      <c r="A4" s="233"/>
      <c r="E4" s="242" t="s">
        <v>439</v>
      </c>
      <c r="G4" s="242" t="s">
        <v>438</v>
      </c>
      <c r="O4" s="236"/>
      <c r="P4" s="236"/>
      <c r="Q4" s="236"/>
      <c r="T4" s="234"/>
      <c r="U4" s="234"/>
      <c r="V4" s="234"/>
      <c r="AJ4" s="232" t="s">
        <v>473</v>
      </c>
      <c r="AK4" s="236" t="str">
        <f>AJ4</f>
        <v>'Credit_2013Q1'!</v>
      </c>
      <c r="AL4" s="236" t="str">
        <f>AK4</f>
        <v>'Credit_2013Q1'!</v>
      </c>
    </row>
    <row r="5" spans="1:61" collapsed="1" x14ac:dyDescent="0.2">
      <c r="E5" s="243" t="s">
        <v>436</v>
      </c>
      <c r="G5" s="237" t="s">
        <v>424</v>
      </c>
      <c r="I5" s="314"/>
      <c r="J5" s="466" t="s">
        <v>77</v>
      </c>
      <c r="K5" s="314"/>
      <c r="L5" s="468" t="str">
        <f>"All Companies" &amp; CHAR( 10 ) &amp; "("&amp; L14 &amp; ")"</f>
        <v>All Companies
(55)</v>
      </c>
      <c r="M5" s="468"/>
      <c r="N5" s="314"/>
      <c r="O5" s="466" t="str">
        <f ca="1">"Regulated" &amp; CHAR( 10 ) &amp; "(" &amp; O14 &amp; ")"</f>
        <v>Regulated
(36)</v>
      </c>
      <c r="P5" s="470"/>
      <c r="Q5" s="314"/>
      <c r="R5" s="466" t="str">
        <f ca="1">"Mostly Regulated" &amp; CHAR( 10 ) &amp; "(" &amp; R14 &amp; ")"</f>
        <v>Mostly Regulated
(17)</v>
      </c>
      <c r="S5" s="470"/>
      <c r="T5" s="314"/>
      <c r="U5" s="466" t="str">
        <f ca="1">"Diversified" &amp; CHAR( 10 ) &amp; "(" &amp; U14 &amp; ")"</f>
        <v>Diversified
(2)</v>
      </c>
      <c r="V5" s="470"/>
      <c r="W5" s="314"/>
      <c r="AE5" s="244"/>
      <c r="AF5" s="234"/>
      <c r="AG5" s="234"/>
      <c r="AH5" s="234"/>
      <c r="AJ5" s="234"/>
      <c r="AK5" s="234"/>
      <c r="AL5" s="234"/>
      <c r="AM5" s="234"/>
      <c r="AN5" s="234"/>
    </row>
    <row r="6" spans="1:61" ht="28.5" customHeight="1" x14ac:dyDescent="0.2">
      <c r="A6" s="299" t="s">
        <v>0</v>
      </c>
      <c r="B6" s="300" t="s">
        <v>430</v>
      </c>
      <c r="C6" s="338" t="s">
        <v>471</v>
      </c>
      <c r="D6" s="301"/>
      <c r="E6" s="302">
        <v>41274</v>
      </c>
      <c r="I6" s="315"/>
      <c r="J6" s="467"/>
      <c r="K6" s="315"/>
      <c r="L6" s="469"/>
      <c r="M6" s="469"/>
      <c r="N6" s="315"/>
      <c r="O6" s="467"/>
      <c r="P6" s="467"/>
      <c r="Q6" s="315"/>
      <c r="R6" s="467" t="s">
        <v>137</v>
      </c>
      <c r="S6" s="467"/>
      <c r="T6" s="315"/>
      <c r="U6" s="467"/>
      <c r="V6" s="467"/>
      <c r="W6" s="315"/>
      <c r="AE6" s="245"/>
      <c r="AJ6" s="246"/>
    </row>
    <row r="7" spans="1:61" x14ac:dyDescent="0.2">
      <c r="A7" s="303" t="s">
        <v>7</v>
      </c>
      <c r="B7" s="304" t="s">
        <v>2</v>
      </c>
      <c r="C7" s="304">
        <v>21</v>
      </c>
      <c r="D7" s="304" t="s">
        <v>328</v>
      </c>
      <c r="E7" s="305" t="str">
        <f t="shared" ref="E7:E59" ca="1" si="0">OFFSET( INDIRECT( E$3 &amp; E$4 ), $G7 - 1, 0 )</f>
        <v>R</v>
      </c>
      <c r="F7" s="306"/>
      <c r="G7" s="307">
        <f t="shared" ref="G7:G64" ca="1" si="1">IF( LEN( $D7 ) = 0, "", MATCH( $D7, INDIRECT( G$3 &amp; G$4 ), 0 ) )</f>
        <v>48</v>
      </c>
      <c r="H7" s="250"/>
      <c r="I7" s="316"/>
      <c r="J7" s="252"/>
      <c r="K7" s="316"/>
      <c r="L7" s="252" t="s">
        <v>81</v>
      </c>
      <c r="M7" s="252" t="s">
        <v>82</v>
      </c>
      <c r="N7" s="316"/>
      <c r="O7" s="252" t="s">
        <v>81</v>
      </c>
      <c r="P7" s="252" t="s">
        <v>82</v>
      </c>
      <c r="Q7" s="316"/>
      <c r="R7" s="252" t="s">
        <v>81</v>
      </c>
      <c r="S7" s="252" t="s">
        <v>82</v>
      </c>
      <c r="T7" s="316"/>
      <c r="U7" s="252" t="s">
        <v>81</v>
      </c>
      <c r="V7" s="252" t="s">
        <v>82</v>
      </c>
      <c r="W7" s="316"/>
      <c r="AE7" s="254"/>
      <c r="AF7" s="236">
        <f t="shared" ref="AF7:AF67" si="2">IF( LEN( C7 ) = 0, 0, IF( C7 = C6, AF6, IF( AF6 = 1, 0, 1 ) ) )</f>
        <v>1</v>
      </c>
      <c r="AG7" s="236" t="str">
        <f t="shared" ref="AG7:AG64" ca="1" si="3">IF( LEN( $C7 ) = 0, "", IF( $C7 &gt; $AL7, 1, "" ) )</f>
        <v/>
      </c>
      <c r="AH7" s="236" t="str">
        <f ca="1">IF( LEN( $C7 ) = 0, "", IF( $C7 &lt; $AL7, 1, "" ) )</f>
        <v/>
      </c>
      <c r="AJ7" s="236">
        <f t="shared" ref="AJ7:AJ67" ca="1" si="4">MATCH( $A7, INDIRECT( AJ$2 ), 0 )</f>
        <v>7</v>
      </c>
      <c r="AK7" s="236" t="str">
        <f ca="1">IF( ISNA( $AJ7 ), "", OFFSET( INDIRECT( AK$2 ), $AJ7-1, 0 ) )</f>
        <v>A</v>
      </c>
      <c r="AL7" s="236">
        <f ca="1">IF( ISNA( $AJ7 ), "", OFFSET( INDIRECT( AL$2 ), $AJ7-1, 0 ) )</f>
        <v>21</v>
      </c>
      <c r="AM7" s="236" t="str">
        <f t="shared" ref="AM7:AM67" ca="1" si="5">IF( B7 = AK7, "", "Change" )</f>
        <v/>
      </c>
      <c r="AQ7" s="286" t="s">
        <v>15</v>
      </c>
      <c r="AR7" s="286" t="s">
        <v>16</v>
      </c>
      <c r="AS7" s="286">
        <v>19</v>
      </c>
      <c r="AT7" s="286" t="s">
        <v>277</v>
      </c>
      <c r="AV7" s="234">
        <f>IF( LEN( AS7 ) = 0, 99, RANK( AS7, $AS$7:$AS$63 ) )</f>
        <v>13</v>
      </c>
      <c r="AW7" s="234">
        <f>COUNTIF( AV7:AV$7, AV7 )</f>
        <v>1</v>
      </c>
      <c r="AX7" s="287">
        <f>AV7 + AW7 / 10</f>
        <v>13.1</v>
      </c>
      <c r="AY7" s="234">
        <f>RANK( AX7, $AX$7:$AX$63, 1 )</f>
        <v>13</v>
      </c>
      <c r="AZ7" s="236"/>
      <c r="BA7" s="236"/>
      <c r="BC7" s="234">
        <f t="shared" ref="BC7" ca="1" si="6">OFFSET( BC7, -1, 0 ) + 1</f>
        <v>1</v>
      </c>
      <c r="BD7" s="288">
        <f t="shared" ref="BD7:BD62" ca="1" si="7">MATCH( BC7, $AY$7:$AY$63, 0 )</f>
        <v>47</v>
      </c>
      <c r="BF7" s="240" t="str">
        <f t="shared" ref="BF7:BF38" ca="1" si="8">OFFSET( AQ$6, $BD7, 0 )</f>
        <v>Southern Company</v>
      </c>
      <c r="BG7" s="240" t="str">
        <f t="shared" ref="BG7:BI62" ca="1" si="9">OFFSET( AR$6, $BD7, 0 )</f>
        <v>A</v>
      </c>
      <c r="BH7" s="240">
        <f t="shared" ca="1" si="9"/>
        <v>21</v>
      </c>
      <c r="BI7" s="240" t="str">
        <f t="shared" ca="1" si="9"/>
        <v>SO</v>
      </c>
    </row>
    <row r="8" spans="1:61" x14ac:dyDescent="0.2">
      <c r="A8" s="303" t="s">
        <v>17</v>
      </c>
      <c r="B8" s="304" t="s">
        <v>10</v>
      </c>
      <c r="C8" s="304">
        <v>20</v>
      </c>
      <c r="D8" s="304" t="s">
        <v>307</v>
      </c>
      <c r="E8" s="305" t="str">
        <f t="shared" ca="1" si="0"/>
        <v>R</v>
      </c>
      <c r="F8" s="306"/>
      <c r="G8" s="307">
        <f t="shared" ca="1" si="1"/>
        <v>8</v>
      </c>
      <c r="H8" s="250"/>
      <c r="I8" s="317"/>
      <c r="J8" s="293" t="s">
        <v>138</v>
      </c>
      <c r="K8" s="317"/>
      <c r="L8" s="293">
        <f t="shared" ref="L8:L13" si="10">COUNTIF($C$7:$C$67,$X8)</f>
        <v>2</v>
      </c>
      <c r="M8" s="294">
        <f t="shared" ref="M8:M13" si="11">IF( L8 = 0, "", L8/L$14 )</f>
        <v>3.6363636363636362E-2</v>
      </c>
      <c r="N8" s="317"/>
      <c r="O8" s="293">
        <f t="shared" ref="O8:O13" ca="1" si="12">COUNTIFS( $E$7:$E$66, O$3, $C$7:$C$66, $X8 )</f>
        <v>1</v>
      </c>
      <c r="P8" s="294">
        <f t="shared" ref="P8:P13" ca="1" si="13">IF( O8 = 0, "", O8/O$14 )</f>
        <v>2.7777777777777776E-2</v>
      </c>
      <c r="Q8" s="317"/>
      <c r="R8" s="293">
        <f t="shared" ref="R8:R13" ca="1" si="14">COUNTIFS( $E$7:$E$66, R$3, $C$7:$C$66, $X8 )</f>
        <v>1</v>
      </c>
      <c r="S8" s="294">
        <f t="shared" ref="S8:S13" ca="1" si="15">IF( R8 = 0, "", R8/R$14 )</f>
        <v>5.8823529411764705E-2</v>
      </c>
      <c r="T8" s="317"/>
      <c r="U8" s="293">
        <f t="shared" ref="U8:U13" ca="1" si="16">COUNTIFS( $E$7:$E$66, U$3, $C$7:$C$66, $X8 )</f>
        <v>0</v>
      </c>
      <c r="V8" s="294" t="str">
        <f t="shared" ref="V8:V13" ca="1" si="17">IF( U8 = 0, "", U8/U$14 )</f>
        <v/>
      </c>
      <c r="W8" s="317"/>
      <c r="X8" s="256" t="s">
        <v>464</v>
      </c>
      <c r="Y8" s="256">
        <v>21</v>
      </c>
      <c r="Z8" s="256">
        <v>1</v>
      </c>
      <c r="AA8" s="255">
        <f t="shared" ref="AA8:AA13" ca="1" si="18">SUM(O8, R8, U8)</f>
        <v>2</v>
      </c>
      <c r="AC8" s="257"/>
      <c r="AE8" s="254"/>
      <c r="AF8" s="236">
        <f t="shared" si="2"/>
        <v>0</v>
      </c>
      <c r="AG8" s="236" t="str">
        <f t="shared" ca="1" si="3"/>
        <v/>
      </c>
      <c r="AH8" s="236" t="str">
        <f t="shared" ref="AH8:AH67" ca="1" si="19">IF( LEN( $C8 ) = 0, "", IF( $C8 &lt; $AL8, 1, "" ) )</f>
        <v/>
      </c>
      <c r="AJ8" s="236">
        <f t="shared" ca="1" si="4"/>
        <v>8</v>
      </c>
      <c r="AK8" s="236" t="str">
        <f t="shared" ref="AK8:AL67" ca="1" si="20">IF( ISNA( $AJ8 ), "", OFFSET( INDIRECT( AK$2 ), $AJ8-1, 0 ) )</f>
        <v>A-</v>
      </c>
      <c r="AL8" s="236">
        <f t="shared" ca="1" si="20"/>
        <v>20</v>
      </c>
      <c r="AM8" s="236" t="str">
        <f t="shared" ca="1" si="5"/>
        <v/>
      </c>
      <c r="AQ8" s="286" t="s">
        <v>17</v>
      </c>
      <c r="AR8" s="286" t="s">
        <v>10</v>
      </c>
      <c r="AS8" s="286">
        <v>20</v>
      </c>
      <c r="AT8" s="286" t="s">
        <v>307</v>
      </c>
      <c r="AV8" s="234">
        <f t="shared" ref="AV8:AV63" si="21">IF( LEN( AS8 ) = 0, 99, RANK( AS8, $AS$7:$AS$63 ) )</f>
        <v>2</v>
      </c>
      <c r="AW8" s="234">
        <f>COUNTIF( AV$7:AV8, AV8 )</f>
        <v>1</v>
      </c>
      <c r="AX8" s="287">
        <f t="shared" ref="AX8:AX63" si="22">AV8 + AW8 / 10</f>
        <v>2.1</v>
      </c>
      <c r="AY8" s="234">
        <f t="shared" ref="AY8:AY63" si="23">RANK( AX8, $AX$7:$AX$63, 1 )</f>
        <v>2</v>
      </c>
      <c r="AZ8" s="236"/>
      <c r="BA8" s="236"/>
      <c r="BC8" s="234">
        <f ca="1">OFFSET( BC8, -1, 0 ) + 1</f>
        <v>2</v>
      </c>
      <c r="BD8" s="288">
        <f t="shared" ca="1" si="7"/>
        <v>2</v>
      </c>
      <c r="BF8" s="240" t="str">
        <f t="shared" ca="1" si="8"/>
        <v>Alliant Energy Corporation</v>
      </c>
      <c r="BG8" s="240" t="str">
        <f t="shared" ca="1" si="9"/>
        <v>A-</v>
      </c>
      <c r="BH8" s="240">
        <f t="shared" ca="1" si="9"/>
        <v>20</v>
      </c>
      <c r="BI8" s="240" t="str">
        <f t="shared" ca="1" si="9"/>
        <v>LNT</v>
      </c>
    </row>
    <row r="9" spans="1:61" x14ac:dyDescent="0.2">
      <c r="A9" s="303" t="s">
        <v>29</v>
      </c>
      <c r="B9" s="304" t="s">
        <v>10</v>
      </c>
      <c r="C9" s="304">
        <v>20</v>
      </c>
      <c r="D9" s="304" t="s">
        <v>286</v>
      </c>
      <c r="E9" s="305" t="str">
        <f t="shared" ca="1" si="0"/>
        <v>MR</v>
      </c>
      <c r="F9" s="306"/>
      <c r="G9" s="307">
        <f t="shared" ca="1" si="1"/>
        <v>13</v>
      </c>
      <c r="H9" s="250"/>
      <c r="I9" s="318"/>
      <c r="J9" s="295" t="s">
        <v>10</v>
      </c>
      <c r="K9" s="318"/>
      <c r="L9" s="295">
        <f t="shared" si="10"/>
        <v>11</v>
      </c>
      <c r="M9" s="296">
        <f t="shared" si="11"/>
        <v>0.2</v>
      </c>
      <c r="N9" s="318"/>
      <c r="O9" s="295">
        <f t="shared" ca="1" si="12"/>
        <v>6</v>
      </c>
      <c r="P9" s="296">
        <f t="shared" ca="1" si="13"/>
        <v>0.16666666666666666</v>
      </c>
      <c r="Q9" s="318"/>
      <c r="R9" s="295">
        <f t="shared" ca="1" si="14"/>
        <v>5</v>
      </c>
      <c r="S9" s="296">
        <f t="shared" ca="1" si="15"/>
        <v>0.29411764705882354</v>
      </c>
      <c r="T9" s="318"/>
      <c r="U9" s="295">
        <f t="shared" ca="1" si="16"/>
        <v>0</v>
      </c>
      <c r="V9" s="296" t="str">
        <f t="shared" ca="1" si="17"/>
        <v/>
      </c>
      <c r="W9" s="318"/>
      <c r="X9" s="256" t="s">
        <v>465</v>
      </c>
      <c r="Y9" s="256">
        <v>20</v>
      </c>
      <c r="Z9" s="256">
        <v>1</v>
      </c>
      <c r="AA9" s="255">
        <f t="shared" ca="1" si="18"/>
        <v>11</v>
      </c>
      <c r="AC9" s="253"/>
      <c r="AE9" s="254"/>
      <c r="AF9" s="236">
        <f t="shared" si="2"/>
        <v>0</v>
      </c>
      <c r="AG9" s="236">
        <f t="shared" ca="1" si="3"/>
        <v>1</v>
      </c>
      <c r="AH9" s="236" t="str">
        <f t="shared" ca="1" si="19"/>
        <v/>
      </c>
      <c r="AJ9" s="236">
        <f t="shared" ca="1" si="4"/>
        <v>18</v>
      </c>
      <c r="AK9" s="236" t="str">
        <f t="shared" ca="1" si="20"/>
        <v>BBB+</v>
      </c>
      <c r="AL9" s="236">
        <f t="shared" ca="1" si="20"/>
        <v>19</v>
      </c>
      <c r="AM9" s="236" t="str">
        <f t="shared" ca="1" si="5"/>
        <v>Change</v>
      </c>
      <c r="AQ9" s="286" t="s">
        <v>9</v>
      </c>
      <c r="AR9" s="286" t="s">
        <v>28</v>
      </c>
      <c r="AS9" s="286">
        <v>18</v>
      </c>
      <c r="AT9" s="286" t="s">
        <v>274</v>
      </c>
      <c r="AV9" s="234">
        <f t="shared" si="21"/>
        <v>24</v>
      </c>
      <c r="AW9" s="234">
        <f>COUNTIF( AV$7:AV9, AV9 )</f>
        <v>1</v>
      </c>
      <c r="AX9" s="287">
        <f t="shared" si="22"/>
        <v>24.1</v>
      </c>
      <c r="AY9" s="234">
        <f t="shared" si="23"/>
        <v>24</v>
      </c>
      <c r="AZ9" s="236"/>
      <c r="BA9" s="236"/>
      <c r="BC9" s="234">
        <f t="shared" ref="BC9:BC63" ca="1" si="24">OFFSET( BC9, -1, 0 ) + 1</f>
        <v>3</v>
      </c>
      <c r="BD9" s="288">
        <f t="shared" ca="1" si="7"/>
        <v>7</v>
      </c>
      <c r="BF9" s="240" t="str">
        <f t="shared" ca="1" si="8"/>
        <v>CenterPoint Energy, Inc.</v>
      </c>
      <c r="BG9" s="240" t="str">
        <f t="shared" ca="1" si="9"/>
        <v>A-</v>
      </c>
      <c r="BH9" s="240">
        <f t="shared" ca="1" si="9"/>
        <v>20</v>
      </c>
      <c r="BI9" s="240" t="str">
        <f t="shared" ca="1" si="9"/>
        <v>CNP</v>
      </c>
    </row>
    <row r="10" spans="1:61" x14ac:dyDescent="0.2">
      <c r="A10" s="303" t="s">
        <v>3</v>
      </c>
      <c r="B10" s="304" t="s">
        <v>10</v>
      </c>
      <c r="C10" s="304">
        <v>20</v>
      </c>
      <c r="D10" s="304" t="s">
        <v>292</v>
      </c>
      <c r="E10" s="305" t="str">
        <f t="shared" ca="1" si="0"/>
        <v>R</v>
      </c>
      <c r="F10" s="306"/>
      <c r="G10" s="307">
        <f t="shared" ca="1" si="1"/>
        <v>16</v>
      </c>
      <c r="H10" s="250"/>
      <c r="I10" s="318"/>
      <c r="J10" s="295" t="s">
        <v>16</v>
      </c>
      <c r="K10" s="318"/>
      <c r="L10" s="295">
        <f t="shared" si="10"/>
        <v>11</v>
      </c>
      <c r="M10" s="296">
        <f t="shared" si="11"/>
        <v>0.2</v>
      </c>
      <c r="N10" s="318"/>
      <c r="O10" s="295">
        <f t="shared" ca="1" si="12"/>
        <v>5</v>
      </c>
      <c r="P10" s="296">
        <f t="shared" ca="1" si="13"/>
        <v>0.1388888888888889</v>
      </c>
      <c r="Q10" s="318"/>
      <c r="R10" s="295">
        <f t="shared" ca="1" si="14"/>
        <v>5</v>
      </c>
      <c r="S10" s="296">
        <f t="shared" ca="1" si="15"/>
        <v>0.29411764705882354</v>
      </c>
      <c r="T10" s="318"/>
      <c r="U10" s="295">
        <f t="shared" ca="1" si="16"/>
        <v>1</v>
      </c>
      <c r="V10" s="296">
        <f t="shared" ca="1" si="17"/>
        <v>0.5</v>
      </c>
      <c r="W10" s="318"/>
      <c r="X10" s="256" t="s">
        <v>466</v>
      </c>
      <c r="Y10" s="256">
        <v>19</v>
      </c>
      <c r="Z10" s="256">
        <v>1</v>
      </c>
      <c r="AA10" s="255">
        <f t="shared" ca="1" si="18"/>
        <v>11</v>
      </c>
      <c r="AE10" s="254"/>
      <c r="AF10" s="236">
        <f t="shared" si="2"/>
        <v>0</v>
      </c>
      <c r="AG10" s="236" t="str">
        <f t="shared" ca="1" si="3"/>
        <v/>
      </c>
      <c r="AH10" s="236" t="str">
        <f t="shared" ca="1" si="19"/>
        <v/>
      </c>
      <c r="AJ10" s="236">
        <f t="shared" ca="1" si="4"/>
        <v>9</v>
      </c>
      <c r="AK10" s="236" t="str">
        <f t="shared" ca="1" si="20"/>
        <v>A-</v>
      </c>
      <c r="AL10" s="236">
        <f t="shared" ca="1" si="20"/>
        <v>20</v>
      </c>
      <c r="AM10" s="236" t="str">
        <f t="shared" ca="1" si="5"/>
        <v/>
      </c>
      <c r="AQ10" s="286" t="s">
        <v>259</v>
      </c>
      <c r="AR10" s="286" t="s">
        <v>28</v>
      </c>
      <c r="AS10" s="286">
        <v>18</v>
      </c>
      <c r="AT10" s="286" t="s">
        <v>275</v>
      </c>
      <c r="AV10" s="234">
        <f t="shared" si="21"/>
        <v>24</v>
      </c>
      <c r="AW10" s="234">
        <f>COUNTIF( AV$7:AV10, AV10 )</f>
        <v>2</v>
      </c>
      <c r="AX10" s="287">
        <f t="shared" si="22"/>
        <v>24.2</v>
      </c>
      <c r="AY10" s="234">
        <f t="shared" si="23"/>
        <v>25</v>
      </c>
      <c r="AZ10" s="236"/>
      <c r="BA10" s="236"/>
      <c r="BC10" s="234">
        <f t="shared" ca="1" si="24"/>
        <v>4</v>
      </c>
      <c r="BD10" s="288">
        <f t="shared" ca="1" si="7"/>
        <v>10</v>
      </c>
      <c r="BF10" s="240" t="str">
        <f t="shared" ca="1" si="8"/>
        <v>Consolidated Edison, Inc.</v>
      </c>
      <c r="BG10" s="240" t="str">
        <f t="shared" ca="1" si="9"/>
        <v>A-</v>
      </c>
      <c r="BH10" s="240">
        <f t="shared" ca="1" si="9"/>
        <v>20</v>
      </c>
      <c r="BI10" s="240" t="str">
        <f t="shared" ca="1" si="9"/>
        <v>ED</v>
      </c>
    </row>
    <row r="11" spans="1:61" x14ac:dyDescent="0.2">
      <c r="A11" s="303" t="s">
        <v>18</v>
      </c>
      <c r="B11" s="304" t="s">
        <v>10</v>
      </c>
      <c r="C11" s="304">
        <v>20</v>
      </c>
      <c r="D11" s="304" t="s">
        <v>86</v>
      </c>
      <c r="E11" s="305" t="str">
        <f t="shared" ca="1" si="0"/>
        <v>MR</v>
      </c>
      <c r="F11" s="306"/>
      <c r="G11" s="307">
        <f t="shared" ca="1" si="1"/>
        <v>17</v>
      </c>
      <c r="H11" s="250"/>
      <c r="I11" s="318"/>
      <c r="J11" s="295" t="s">
        <v>28</v>
      </c>
      <c r="K11" s="318"/>
      <c r="L11" s="295">
        <f t="shared" si="10"/>
        <v>20</v>
      </c>
      <c r="M11" s="296">
        <f t="shared" si="11"/>
        <v>0.36363636363636365</v>
      </c>
      <c r="N11" s="318"/>
      <c r="O11" s="295">
        <f t="shared" ca="1" si="12"/>
        <v>17</v>
      </c>
      <c r="P11" s="296">
        <f t="shared" ca="1" si="13"/>
        <v>0.47222222222222221</v>
      </c>
      <c r="Q11" s="318"/>
      <c r="R11" s="295">
        <f t="shared" ca="1" si="14"/>
        <v>3</v>
      </c>
      <c r="S11" s="296">
        <f t="shared" ca="1" si="15"/>
        <v>0.17647058823529413</v>
      </c>
      <c r="T11" s="318"/>
      <c r="U11" s="295">
        <f t="shared" ca="1" si="16"/>
        <v>0</v>
      </c>
      <c r="V11" s="296" t="str">
        <f t="shared" ca="1" si="17"/>
        <v/>
      </c>
      <c r="W11" s="318"/>
      <c r="X11" s="256" t="s">
        <v>467</v>
      </c>
      <c r="Y11" s="256">
        <v>18</v>
      </c>
      <c r="Z11" s="256">
        <v>1</v>
      </c>
      <c r="AA11" s="255">
        <f t="shared" ca="1" si="18"/>
        <v>20</v>
      </c>
      <c r="AE11" s="254"/>
      <c r="AF11" s="236">
        <f t="shared" si="2"/>
        <v>0</v>
      </c>
      <c r="AG11" s="236" t="str">
        <f t="shared" ca="1" si="3"/>
        <v/>
      </c>
      <c r="AH11" s="236" t="str">
        <f t="shared" ca="1" si="19"/>
        <v/>
      </c>
      <c r="AJ11" s="236">
        <f t="shared" ca="1" si="4"/>
        <v>10</v>
      </c>
      <c r="AK11" s="236" t="str">
        <f t="shared" ca="1" si="20"/>
        <v>A-</v>
      </c>
      <c r="AL11" s="236">
        <f t="shared" ca="1" si="20"/>
        <v>20</v>
      </c>
      <c r="AM11" s="236" t="str">
        <f t="shared" ca="1" si="5"/>
        <v/>
      </c>
      <c r="AQ11" s="286" t="s">
        <v>55</v>
      </c>
      <c r="AR11" s="286" t="s">
        <v>28</v>
      </c>
      <c r="AS11" s="286">
        <v>18</v>
      </c>
      <c r="AT11" s="286" t="s">
        <v>278</v>
      </c>
      <c r="AV11" s="234">
        <f t="shared" si="21"/>
        <v>24</v>
      </c>
      <c r="AW11" s="234">
        <f>COUNTIF( AV$7:AV11, AV11 )</f>
        <v>3</v>
      </c>
      <c r="AX11" s="287">
        <f t="shared" si="22"/>
        <v>24.3</v>
      </c>
      <c r="AY11" s="234">
        <f t="shared" si="23"/>
        <v>26</v>
      </c>
      <c r="AZ11" s="236"/>
      <c r="BA11" s="236"/>
      <c r="BC11" s="234">
        <f t="shared" ca="1" si="24"/>
        <v>5</v>
      </c>
      <c r="BD11" s="288">
        <f t="shared" ca="1" si="7"/>
        <v>11</v>
      </c>
      <c r="BF11" s="240" t="str">
        <f t="shared" ca="1" si="8"/>
        <v>Dominion Resources, Inc.</v>
      </c>
      <c r="BG11" s="240" t="str">
        <f t="shared" ca="1" si="9"/>
        <v>A-</v>
      </c>
      <c r="BH11" s="240">
        <f t="shared" ca="1" si="9"/>
        <v>20</v>
      </c>
      <c r="BI11" s="240" t="str">
        <f t="shared" ca="1" si="9"/>
        <v>D</v>
      </c>
    </row>
    <row r="12" spans="1:61" x14ac:dyDescent="0.2">
      <c r="A12" s="303" t="s">
        <v>254</v>
      </c>
      <c r="B12" s="304" t="s">
        <v>10</v>
      </c>
      <c r="C12" s="304">
        <v>20</v>
      </c>
      <c r="D12" s="304" t="s">
        <v>331</v>
      </c>
      <c r="E12" s="305" t="str">
        <f t="shared" ca="1" si="0"/>
        <v>R</v>
      </c>
      <c r="F12" s="306"/>
      <c r="G12" s="307">
        <f t="shared" ca="1" si="1"/>
        <v>29</v>
      </c>
      <c r="H12" s="250"/>
      <c r="I12" s="318"/>
      <c r="J12" s="295" t="s">
        <v>49</v>
      </c>
      <c r="K12" s="318"/>
      <c r="L12" s="295">
        <f t="shared" si="10"/>
        <v>7</v>
      </c>
      <c r="M12" s="296">
        <f t="shared" si="11"/>
        <v>0.12727272727272726</v>
      </c>
      <c r="N12" s="318"/>
      <c r="O12" s="295">
        <f t="shared" ca="1" si="12"/>
        <v>4</v>
      </c>
      <c r="P12" s="296">
        <f t="shared" ca="1" si="13"/>
        <v>0.1111111111111111</v>
      </c>
      <c r="Q12" s="318"/>
      <c r="R12" s="295">
        <f t="shared" ca="1" si="14"/>
        <v>3</v>
      </c>
      <c r="S12" s="296">
        <f t="shared" ca="1" si="15"/>
        <v>0.17647058823529413</v>
      </c>
      <c r="T12" s="318"/>
      <c r="U12" s="295">
        <f t="shared" ca="1" si="16"/>
        <v>0</v>
      </c>
      <c r="V12" s="296" t="str">
        <f t="shared" ca="1" si="17"/>
        <v/>
      </c>
      <c r="W12" s="318"/>
      <c r="X12" s="256" t="s">
        <v>468</v>
      </c>
      <c r="Y12" s="256">
        <v>17</v>
      </c>
      <c r="Z12" s="256">
        <v>1</v>
      </c>
      <c r="AA12" s="255">
        <f t="shared" ca="1" si="18"/>
        <v>7</v>
      </c>
      <c r="AE12" s="254"/>
      <c r="AF12" s="236">
        <f t="shared" si="2"/>
        <v>0</v>
      </c>
      <c r="AG12" s="236" t="str">
        <f t="shared" ca="1" si="3"/>
        <v/>
      </c>
      <c r="AH12" s="236" t="str">
        <f t="shared" ca="1" si="19"/>
        <v/>
      </c>
      <c r="AJ12" s="236">
        <f t="shared" ca="1" si="4"/>
        <v>11</v>
      </c>
      <c r="AK12" s="236" t="str">
        <f t="shared" ca="1" si="20"/>
        <v>A-</v>
      </c>
      <c r="AL12" s="236">
        <f t="shared" ca="1" si="20"/>
        <v>20</v>
      </c>
      <c r="AM12" s="236" t="str">
        <f t="shared" ca="1" si="5"/>
        <v/>
      </c>
      <c r="AQ12" s="286" t="s">
        <v>48</v>
      </c>
      <c r="AR12" s="286" t="s">
        <v>49</v>
      </c>
      <c r="AS12" s="286">
        <v>17</v>
      </c>
      <c r="AT12" s="286" t="s">
        <v>280</v>
      </c>
      <c r="AV12" s="234">
        <f t="shared" si="21"/>
        <v>44</v>
      </c>
      <c r="AW12" s="234">
        <f>COUNTIF( AV$7:AV12, AV12 )</f>
        <v>1</v>
      </c>
      <c r="AX12" s="287">
        <f t="shared" si="22"/>
        <v>44.1</v>
      </c>
      <c r="AY12" s="234">
        <f t="shared" si="23"/>
        <v>44</v>
      </c>
      <c r="AZ12" s="236"/>
      <c r="BA12" s="236"/>
      <c r="BC12" s="234">
        <f t="shared" ca="1" si="24"/>
        <v>6</v>
      </c>
      <c r="BD12" s="288">
        <f t="shared" ca="1" si="7"/>
        <v>26</v>
      </c>
      <c r="BF12" s="240" t="str">
        <f t="shared" ca="1" si="8"/>
        <v>Integrys Energy Group, Inc.</v>
      </c>
      <c r="BG12" s="240" t="str">
        <f t="shared" ca="1" si="9"/>
        <v>A-</v>
      </c>
      <c r="BH12" s="240">
        <f t="shared" ca="1" si="9"/>
        <v>20</v>
      </c>
      <c r="BI12" s="240" t="str">
        <f t="shared" ca="1" si="9"/>
        <v>TEG</v>
      </c>
    </row>
    <row r="13" spans="1:61" x14ac:dyDescent="0.2">
      <c r="A13" s="303" t="s">
        <v>370</v>
      </c>
      <c r="B13" s="304" t="s">
        <v>10</v>
      </c>
      <c r="C13" s="304">
        <v>20</v>
      </c>
      <c r="D13" s="304" t="s">
        <v>369</v>
      </c>
      <c r="E13" s="305" t="str">
        <f t="shared" ca="1" si="0"/>
        <v>MR</v>
      </c>
      <c r="F13" s="306"/>
      <c r="G13" s="307">
        <f t="shared" ca="1" si="1"/>
        <v>32</v>
      </c>
      <c r="H13" s="250"/>
      <c r="I13" s="319"/>
      <c r="J13" s="297" t="s">
        <v>79</v>
      </c>
      <c r="K13" s="319"/>
      <c r="L13" s="297">
        <f t="shared" si="10"/>
        <v>4</v>
      </c>
      <c r="M13" s="298">
        <f t="shared" si="11"/>
        <v>7.2727272727272724E-2</v>
      </c>
      <c r="N13" s="319"/>
      <c r="O13" s="297">
        <f t="shared" ca="1" si="12"/>
        <v>3</v>
      </c>
      <c r="P13" s="298">
        <f t="shared" ca="1" si="13"/>
        <v>8.3333333333333329E-2</v>
      </c>
      <c r="Q13" s="319"/>
      <c r="R13" s="297">
        <f t="shared" ca="1" si="14"/>
        <v>0</v>
      </c>
      <c r="S13" s="298" t="str">
        <f t="shared" ca="1" si="15"/>
        <v/>
      </c>
      <c r="T13" s="319"/>
      <c r="U13" s="297">
        <f t="shared" ca="1" si="16"/>
        <v>1</v>
      </c>
      <c r="V13" s="298">
        <f t="shared" ca="1" si="17"/>
        <v>0.5</v>
      </c>
      <c r="W13" s="319"/>
      <c r="X13" s="256" t="s">
        <v>469</v>
      </c>
      <c r="Y13" s="256">
        <v>16</v>
      </c>
      <c r="Z13" s="256">
        <v>1</v>
      </c>
      <c r="AA13" s="259">
        <f t="shared" ca="1" si="18"/>
        <v>4</v>
      </c>
      <c r="AE13" s="254"/>
      <c r="AF13" s="236">
        <f t="shared" si="2"/>
        <v>0</v>
      </c>
      <c r="AG13" s="236" t="str">
        <f t="shared" ca="1" si="3"/>
        <v/>
      </c>
      <c r="AH13" s="236" t="str">
        <f t="shared" ca="1" si="19"/>
        <v/>
      </c>
      <c r="AJ13" s="236">
        <f t="shared" ca="1" si="4"/>
        <v>12</v>
      </c>
      <c r="AK13" s="236" t="str">
        <f t="shared" ca="1" si="20"/>
        <v>A-</v>
      </c>
      <c r="AL13" s="236">
        <f t="shared" ca="1" si="20"/>
        <v>20</v>
      </c>
      <c r="AM13" s="236" t="str">
        <f t="shared" ca="1" si="5"/>
        <v/>
      </c>
      <c r="AQ13" s="286" t="s">
        <v>29</v>
      </c>
      <c r="AR13" s="286" t="s">
        <v>10</v>
      </c>
      <c r="AS13" s="286">
        <v>20</v>
      </c>
      <c r="AT13" s="286" t="s">
        <v>286</v>
      </c>
      <c r="AV13" s="234">
        <f t="shared" si="21"/>
        <v>2</v>
      </c>
      <c r="AW13" s="234">
        <f>COUNTIF( AV$7:AV13, AV13 )</f>
        <v>2</v>
      </c>
      <c r="AX13" s="287">
        <f t="shared" si="22"/>
        <v>2.2000000000000002</v>
      </c>
      <c r="AY13" s="234">
        <f t="shared" si="23"/>
        <v>3</v>
      </c>
      <c r="AZ13" s="236"/>
      <c r="BA13" s="236"/>
      <c r="BC13" s="234">
        <f t="shared" ca="1" si="24"/>
        <v>7</v>
      </c>
      <c r="BD13" s="288">
        <f t="shared" ca="1" si="7"/>
        <v>30</v>
      </c>
      <c r="BF13" s="240" t="str">
        <f t="shared" ca="1" si="8"/>
        <v>NextEra Energy, Inc.</v>
      </c>
      <c r="BG13" s="240" t="str">
        <f t="shared" ca="1" si="9"/>
        <v>A-</v>
      </c>
      <c r="BH13" s="240">
        <f t="shared" ca="1" si="9"/>
        <v>20</v>
      </c>
      <c r="BI13" s="240" t="str">
        <f t="shared" ca="1" si="9"/>
        <v>NEE</v>
      </c>
    </row>
    <row r="14" spans="1:61" x14ac:dyDescent="0.2">
      <c r="A14" s="303" t="s">
        <v>513</v>
      </c>
      <c r="B14" s="304" t="s">
        <v>10</v>
      </c>
      <c r="C14" s="304">
        <v>20</v>
      </c>
      <c r="D14" s="304" t="s">
        <v>512</v>
      </c>
      <c r="E14" s="305" t="str">
        <f t="shared" ca="1" si="0"/>
        <v>R</v>
      </c>
      <c r="F14" s="306"/>
      <c r="G14" s="307">
        <f t="shared" ca="1" si="1"/>
        <v>34</v>
      </c>
      <c r="H14" s="250"/>
      <c r="I14" s="320"/>
      <c r="J14" s="291" t="s">
        <v>80</v>
      </c>
      <c r="K14" s="320"/>
      <c r="L14" s="291">
        <f>SUM(L8:L13)</f>
        <v>55</v>
      </c>
      <c r="M14" s="292">
        <f>L14/L$14</f>
        <v>1</v>
      </c>
      <c r="N14" s="320"/>
      <c r="O14" s="291">
        <f ca="1">SUM(O8:O13)</f>
        <v>36</v>
      </c>
      <c r="P14" s="292">
        <f ca="1">O14/O$14</f>
        <v>1</v>
      </c>
      <c r="Q14" s="320"/>
      <c r="R14" s="291">
        <f ca="1">SUM(R8:R13)</f>
        <v>17</v>
      </c>
      <c r="S14" s="292">
        <f ca="1">R14/R$14</f>
        <v>1</v>
      </c>
      <c r="T14" s="320"/>
      <c r="U14" s="291">
        <f ca="1">SUM(U8:U13)</f>
        <v>2</v>
      </c>
      <c r="V14" s="292">
        <f ca="1">U14/U$14</f>
        <v>1</v>
      </c>
      <c r="W14" s="320"/>
      <c r="Y14" s="261">
        <f>SUMPRODUCT( L8:L13, Y8:Y13 ) / L14</f>
        <v>18.436363636363637</v>
      </c>
      <c r="Z14" s="261"/>
      <c r="AA14" s="260">
        <f ca="1">SUM(AA8:AA13)</f>
        <v>55</v>
      </c>
      <c r="AE14" s="254"/>
      <c r="AF14" s="236">
        <f t="shared" si="2"/>
        <v>0</v>
      </c>
      <c r="AG14" s="236" t="str">
        <f t="shared" ca="1" si="3"/>
        <v/>
      </c>
      <c r="AH14" s="236" t="str">
        <f t="shared" ca="1" si="19"/>
        <v/>
      </c>
      <c r="AJ14" s="236">
        <f t="shared" ca="1" si="4"/>
        <v>13</v>
      </c>
      <c r="AK14" s="236" t="str">
        <f t="shared" ca="1" si="20"/>
        <v>A-</v>
      </c>
      <c r="AL14" s="236">
        <f t="shared" ca="1" si="20"/>
        <v>20</v>
      </c>
      <c r="AM14" s="236" t="str">
        <f t="shared" ca="1" si="5"/>
        <v/>
      </c>
      <c r="AQ14" s="286" t="s">
        <v>30</v>
      </c>
      <c r="AR14" s="286" t="s">
        <v>28</v>
      </c>
      <c r="AS14" s="286">
        <v>18</v>
      </c>
      <c r="AT14" s="286" t="s">
        <v>285</v>
      </c>
      <c r="AV14" s="234">
        <f>IF( LEN( AS14 ) = 0, 99, RANK( AS14, $AS$7:$AS$63 ) )</f>
        <v>24</v>
      </c>
      <c r="AW14" s="234">
        <f>COUNTIF( AV$7:AV14, AV14 )</f>
        <v>4</v>
      </c>
      <c r="AX14" s="287">
        <f t="shared" si="22"/>
        <v>24.4</v>
      </c>
      <c r="AY14" s="234">
        <f t="shared" si="23"/>
        <v>27</v>
      </c>
      <c r="AZ14" s="236"/>
      <c r="BA14" s="236"/>
      <c r="BC14" s="234">
        <f t="shared" ca="1" si="24"/>
        <v>8</v>
      </c>
      <c r="BD14" s="288">
        <f t="shared" ca="1" si="7"/>
        <v>32</v>
      </c>
      <c r="BF14" s="240" t="str">
        <f t="shared" ca="1" si="8"/>
        <v>Eversource</v>
      </c>
      <c r="BG14" s="240" t="str">
        <f t="shared" ca="1" si="9"/>
        <v>A-</v>
      </c>
      <c r="BH14" s="240">
        <f t="shared" ca="1" si="9"/>
        <v>20</v>
      </c>
      <c r="BI14" s="240" t="str">
        <f t="shared" ca="1" si="9"/>
        <v>ES</v>
      </c>
    </row>
    <row r="15" spans="1:61" x14ac:dyDescent="0.2">
      <c r="A15" s="303" t="s">
        <v>21</v>
      </c>
      <c r="B15" s="304" t="s">
        <v>10</v>
      </c>
      <c r="C15" s="304">
        <v>20</v>
      </c>
      <c r="D15" s="304" t="s">
        <v>316</v>
      </c>
      <c r="E15" s="305" t="str">
        <f t="shared" ca="1" si="0"/>
        <v>MR</v>
      </c>
      <c r="F15" s="306"/>
      <c r="G15" s="307">
        <f t="shared" ca="1" si="1"/>
        <v>37</v>
      </c>
      <c r="H15" s="250"/>
      <c r="I15" s="321"/>
      <c r="K15" s="321"/>
      <c r="N15" s="321"/>
      <c r="Q15" s="321"/>
      <c r="T15" s="321"/>
      <c r="W15" s="321"/>
      <c r="X15" s="240"/>
      <c r="AA15" s="240"/>
      <c r="AE15" s="254"/>
      <c r="AF15" s="236">
        <f t="shared" si="2"/>
        <v>0</v>
      </c>
      <c r="AG15" s="236">
        <f t="shared" ca="1" si="3"/>
        <v>1</v>
      </c>
      <c r="AH15" s="236" t="str">
        <f t="shared" ca="1" si="19"/>
        <v/>
      </c>
      <c r="AJ15" s="236">
        <f t="shared" ca="1" si="4"/>
        <v>23</v>
      </c>
      <c r="AK15" s="236" t="str">
        <f t="shared" ca="1" si="20"/>
        <v>BBB+</v>
      </c>
      <c r="AL15" s="236">
        <f t="shared" ca="1" si="20"/>
        <v>19</v>
      </c>
      <c r="AM15" s="236" t="str">
        <f t="shared" ca="1" si="5"/>
        <v>Change</v>
      </c>
      <c r="AQ15" s="286" t="s">
        <v>60</v>
      </c>
      <c r="AR15" s="286" t="s">
        <v>28</v>
      </c>
      <c r="AS15" s="286">
        <v>18</v>
      </c>
      <c r="AT15" s="286" t="s">
        <v>284</v>
      </c>
      <c r="AV15" s="234">
        <f t="shared" si="21"/>
        <v>24</v>
      </c>
      <c r="AW15" s="234">
        <f>COUNTIF( AV$7:AV15, AV15 )</f>
        <v>5</v>
      </c>
      <c r="AX15" s="287">
        <f t="shared" si="22"/>
        <v>24.5</v>
      </c>
      <c r="AY15" s="234">
        <f t="shared" si="23"/>
        <v>28</v>
      </c>
      <c r="AZ15" s="236"/>
      <c r="BA15" s="236"/>
      <c r="BC15" s="234">
        <f t="shared" ca="1" si="24"/>
        <v>9</v>
      </c>
      <c r="BD15" s="288">
        <f t="shared" ca="1" si="7"/>
        <v>35</v>
      </c>
      <c r="BF15" s="240" t="str">
        <f t="shared" ca="1" si="8"/>
        <v>OGE Energy Corp.</v>
      </c>
      <c r="BG15" s="240" t="str">
        <f t="shared" ca="1" si="9"/>
        <v>A-</v>
      </c>
      <c r="BH15" s="240">
        <f t="shared" ca="1" si="9"/>
        <v>20</v>
      </c>
      <c r="BI15" s="240" t="str">
        <f t="shared" ca="1" si="9"/>
        <v>OGE</v>
      </c>
    </row>
    <row r="16" spans="1:61" x14ac:dyDescent="0.2">
      <c r="A16" s="303" t="s">
        <v>14</v>
      </c>
      <c r="B16" s="304" t="s">
        <v>10</v>
      </c>
      <c r="C16" s="304">
        <v>20</v>
      </c>
      <c r="D16" s="304" t="s">
        <v>335</v>
      </c>
      <c r="E16" s="305" t="str">
        <f t="shared" ca="1" si="0"/>
        <v>MR</v>
      </c>
      <c r="F16" s="306"/>
      <c r="G16" s="307">
        <f t="shared" ca="1" si="1"/>
        <v>53</v>
      </c>
      <c r="H16" s="250"/>
      <c r="I16" s="316"/>
      <c r="J16" s="290" t="s">
        <v>450</v>
      </c>
      <c r="K16" s="316"/>
      <c r="L16" s="463">
        <f t="array" ref="L16">SUM( IF( LEN( $C$7:$C$65 ) = 0, 0, $C$7:$C$65 ) ) / SUM( IF( LEN( $C$7:$C$65 ) = 0, 0, 1  ) )</f>
        <v>18.327272727272728</v>
      </c>
      <c r="M16" s="464"/>
      <c r="N16" s="316"/>
      <c r="O16" s="463">
        <f t="array" aca="1" ref="O16" ca="1">SUM( IF( LEN( $C$7:$C$65 ) = 0, 0, IF( $E$7:$E$65 = O3, $C$7:$C$65, 0 ) ) ) / SUM( IF( LEN( $C$7:$C$65 ) = 0, 0, IF( $E$7:$E$65 = O3, 1, 0 ) ) )</f>
        <v>18.25</v>
      </c>
      <c r="P16" s="464"/>
      <c r="Q16" s="316"/>
      <c r="R16" s="463">
        <f t="array" aca="1" ref="R16" ca="1">SUM( IF( LEN( $C$7:$C$65 ) = 0, 0, IF( $E$7:$E$65 = R3, $C$7:$C$65, 0 ) ) ) / SUM( IF( LEN( $C$7:$C$65 ) = 0, 0, IF( $E$7:$E$65 = R3, 1, 0 ) ) )</f>
        <v>19</v>
      </c>
      <c r="S16" s="464"/>
      <c r="T16" s="316"/>
      <c r="U16" s="463">
        <f t="array" aca="1" ref="U16" ca="1">SUM( IF( LEN( $C$7:$C$65 ) = 0, 0, IF( $E$7:$E$65 = U3, $C$7:$C$65, 0 ) ) ) / SUM( IF( LEN( $C$7:$C$65 ) = 0, 0, IF( $E$7:$E$65 = U3, 1, 0 ) ) )</f>
        <v>14</v>
      </c>
      <c r="V16" s="465"/>
      <c r="W16" s="316"/>
      <c r="AE16" s="254"/>
      <c r="AF16" s="236">
        <f t="shared" si="2"/>
        <v>0</v>
      </c>
      <c r="AG16" s="236" t="str">
        <f t="shared" ca="1" si="3"/>
        <v/>
      </c>
      <c r="AH16" s="236" t="str">
        <f t="shared" ca="1" si="19"/>
        <v/>
      </c>
      <c r="AJ16" s="236">
        <f t="shared" ca="1" si="4"/>
        <v>14</v>
      </c>
      <c r="AK16" s="236" t="str">
        <f t="shared" ca="1" si="20"/>
        <v>A-</v>
      </c>
      <c r="AL16" s="236">
        <f t="shared" ca="1" si="20"/>
        <v>20</v>
      </c>
      <c r="AM16" s="236" t="str">
        <f t="shared" ca="1" si="5"/>
        <v/>
      </c>
      <c r="AQ16" s="286" t="s">
        <v>3</v>
      </c>
      <c r="AR16" s="286" t="s">
        <v>10</v>
      </c>
      <c r="AS16" s="286">
        <v>20</v>
      </c>
      <c r="AT16" s="286" t="s">
        <v>292</v>
      </c>
      <c r="AV16" s="234">
        <f t="shared" si="21"/>
        <v>2</v>
      </c>
      <c r="AW16" s="234">
        <f>COUNTIF( AV$7:AV16, AV16 )</f>
        <v>3</v>
      </c>
      <c r="AX16" s="287">
        <f t="shared" si="22"/>
        <v>2.2999999999999998</v>
      </c>
      <c r="AY16" s="234">
        <f t="shared" si="23"/>
        <v>4</v>
      </c>
      <c r="AZ16" s="236"/>
      <c r="BA16" s="236"/>
      <c r="BC16" s="234">
        <f t="shared" ca="1" si="24"/>
        <v>10</v>
      </c>
      <c r="BD16" s="288">
        <f t="shared" ca="1" si="7"/>
        <v>50</v>
      </c>
      <c r="BF16" s="240" t="str">
        <f t="shared" ca="1" si="8"/>
        <v>Vectren Corporation</v>
      </c>
      <c r="BG16" s="240" t="str">
        <f t="shared" ca="1" si="9"/>
        <v>A-</v>
      </c>
      <c r="BH16" s="240">
        <f t="shared" ca="1" si="9"/>
        <v>20</v>
      </c>
      <c r="BI16" s="240" t="str">
        <f t="shared" ca="1" si="9"/>
        <v>VVC</v>
      </c>
    </row>
    <row r="17" spans="1:61" x14ac:dyDescent="0.2">
      <c r="A17" s="303" t="s">
        <v>26</v>
      </c>
      <c r="B17" s="304" t="s">
        <v>10</v>
      </c>
      <c r="C17" s="304">
        <v>20</v>
      </c>
      <c r="D17" s="304" t="s">
        <v>336</v>
      </c>
      <c r="E17" s="305" t="str">
        <f t="shared" ca="1" si="0"/>
        <v>R</v>
      </c>
      <c r="F17" s="306"/>
      <c r="G17" s="307">
        <f t="shared" ca="1" si="1"/>
        <v>55</v>
      </c>
      <c r="H17" s="250"/>
      <c r="I17" s="321"/>
      <c r="K17" s="321"/>
      <c r="N17" s="321"/>
      <c r="O17" s="240"/>
      <c r="Q17" s="321"/>
      <c r="T17" s="321"/>
      <c r="W17" s="321"/>
      <c r="AE17" s="245"/>
      <c r="AF17" s="236">
        <f t="shared" si="2"/>
        <v>0</v>
      </c>
      <c r="AG17" s="236" t="str">
        <f t="shared" ca="1" si="3"/>
        <v/>
      </c>
      <c r="AH17" s="236" t="str">
        <f t="shared" ca="1" si="19"/>
        <v/>
      </c>
      <c r="AJ17" s="236">
        <f t="shared" ca="1" si="4"/>
        <v>15</v>
      </c>
      <c r="AK17" s="236" t="str">
        <f t="shared" ca="1" si="20"/>
        <v>A-</v>
      </c>
      <c r="AL17" s="236">
        <f t="shared" ca="1" si="20"/>
        <v>20</v>
      </c>
      <c r="AM17" s="236" t="str">
        <f t="shared" ca="1" si="5"/>
        <v/>
      </c>
      <c r="AQ17" s="286" t="s">
        <v>18</v>
      </c>
      <c r="AR17" s="286" t="s">
        <v>10</v>
      </c>
      <c r="AS17" s="286">
        <v>20</v>
      </c>
      <c r="AT17" s="289" t="s">
        <v>86</v>
      </c>
      <c r="AV17" s="234">
        <f t="shared" si="21"/>
        <v>2</v>
      </c>
      <c r="AW17" s="234">
        <f>COUNTIF( AV$7:AV17, AV17 )</f>
        <v>4</v>
      </c>
      <c r="AX17" s="287">
        <f t="shared" si="22"/>
        <v>2.4</v>
      </c>
      <c r="AY17" s="234">
        <f t="shared" si="23"/>
        <v>5</v>
      </c>
      <c r="AZ17" s="236"/>
      <c r="BA17" s="236"/>
      <c r="BC17" s="234">
        <f t="shared" ca="1" si="24"/>
        <v>11</v>
      </c>
      <c r="BD17" s="288">
        <f t="shared" ca="1" si="7"/>
        <v>52</v>
      </c>
      <c r="BF17" s="240" t="str">
        <f t="shared" ca="1" si="8"/>
        <v>Wisconsin Energy Corporation</v>
      </c>
      <c r="BG17" s="240" t="str">
        <f t="shared" ca="1" si="9"/>
        <v>A-</v>
      </c>
      <c r="BH17" s="240">
        <f t="shared" ca="1" si="9"/>
        <v>20</v>
      </c>
      <c r="BI17" s="240" t="str">
        <f t="shared" ca="1" si="9"/>
        <v>WEC</v>
      </c>
    </row>
    <row r="18" spans="1:61" x14ac:dyDescent="0.2">
      <c r="A18" s="303" t="s">
        <v>258</v>
      </c>
      <c r="B18" s="304" t="s">
        <v>10</v>
      </c>
      <c r="C18" s="304">
        <v>20</v>
      </c>
      <c r="D18" s="304" t="s">
        <v>338</v>
      </c>
      <c r="E18" s="305" t="str">
        <f t="shared" ca="1" si="0"/>
        <v>R</v>
      </c>
      <c r="F18" s="306"/>
      <c r="G18" s="307">
        <f t="shared" ca="1" si="1"/>
        <v>56</v>
      </c>
      <c r="H18" s="250"/>
      <c r="I18" s="321"/>
      <c r="K18" s="321"/>
      <c r="N18" s="321"/>
      <c r="O18" s="240"/>
      <c r="Q18" s="321"/>
      <c r="T18" s="321"/>
      <c r="W18" s="321"/>
      <c r="AE18" s="254"/>
      <c r="AF18" s="236">
        <f t="shared" si="2"/>
        <v>0</v>
      </c>
      <c r="AG18" s="236" t="str">
        <f t="shared" ca="1" si="3"/>
        <v/>
      </c>
      <c r="AH18" s="236" t="str">
        <f t="shared" ca="1" si="19"/>
        <v/>
      </c>
      <c r="AJ18" s="236">
        <f t="shared" ca="1" si="4"/>
        <v>16</v>
      </c>
      <c r="AK18" s="236" t="str">
        <f t="shared" ca="1" si="20"/>
        <v>A-</v>
      </c>
      <c r="AL18" s="236">
        <f t="shared" ca="1" si="20"/>
        <v>20</v>
      </c>
      <c r="AM18" s="236" t="str">
        <f t="shared" ca="1" si="5"/>
        <v/>
      </c>
      <c r="AQ18" s="286" t="s">
        <v>64</v>
      </c>
      <c r="AR18" s="286" t="s">
        <v>61</v>
      </c>
      <c r="AS18" s="286">
        <v>15</v>
      </c>
      <c r="AT18" s="286" t="s">
        <v>443</v>
      </c>
      <c r="AV18" s="234">
        <f t="shared" si="21"/>
        <v>52</v>
      </c>
      <c r="AW18" s="234">
        <f>COUNTIF( AV$7:AV18, AV18 )</f>
        <v>1</v>
      </c>
      <c r="AX18" s="287">
        <f t="shared" si="22"/>
        <v>52.1</v>
      </c>
      <c r="AY18" s="234">
        <f t="shared" si="23"/>
        <v>52</v>
      </c>
      <c r="AZ18" s="236"/>
      <c r="BA18" s="236"/>
      <c r="BC18" s="234">
        <f t="shared" ca="1" si="24"/>
        <v>12</v>
      </c>
      <c r="BD18" s="288">
        <f t="shared" ca="1" si="7"/>
        <v>53</v>
      </c>
      <c r="BF18" s="240" t="str">
        <f t="shared" ca="1" si="8"/>
        <v>Xcel Energy Inc.</v>
      </c>
      <c r="BG18" s="240" t="str">
        <f t="shared" ca="1" si="9"/>
        <v>A-</v>
      </c>
      <c r="BH18" s="240">
        <f t="shared" ca="1" si="9"/>
        <v>20</v>
      </c>
      <c r="BI18" s="240" t="str">
        <f t="shared" ca="1" si="9"/>
        <v>XEL</v>
      </c>
    </row>
    <row r="19" spans="1:61" x14ac:dyDescent="0.2">
      <c r="A19" s="303" t="s">
        <v>15</v>
      </c>
      <c r="B19" s="304" t="s">
        <v>16</v>
      </c>
      <c r="C19" s="304">
        <v>19</v>
      </c>
      <c r="D19" s="304" t="s">
        <v>277</v>
      </c>
      <c r="E19" s="305" t="str">
        <f t="shared" ca="1" si="0"/>
        <v>R</v>
      </c>
      <c r="F19" s="306"/>
      <c r="G19" s="307">
        <f t="shared" ca="1" si="1"/>
        <v>7</v>
      </c>
      <c r="H19" s="250"/>
      <c r="I19" s="321"/>
      <c r="K19" s="321"/>
      <c r="N19" s="321"/>
      <c r="O19" s="240"/>
      <c r="Q19" s="321"/>
      <c r="T19" s="321"/>
      <c r="W19" s="321"/>
      <c r="AE19" s="254"/>
      <c r="AF19" s="236">
        <f t="shared" si="2"/>
        <v>1</v>
      </c>
      <c r="AG19" s="236" t="str">
        <f t="shared" ca="1" si="3"/>
        <v/>
      </c>
      <c r="AH19" s="236" t="str">
        <f t="shared" ca="1" si="19"/>
        <v/>
      </c>
      <c r="AJ19" s="236">
        <f t="shared" ca="1" si="4"/>
        <v>17</v>
      </c>
      <c r="AK19" s="236" t="str">
        <f t="shared" ca="1" si="20"/>
        <v>BBB+</v>
      </c>
      <c r="AL19" s="236">
        <f t="shared" ca="1" si="20"/>
        <v>19</v>
      </c>
      <c r="AM19" s="236" t="str">
        <f t="shared" ca="1" si="5"/>
        <v/>
      </c>
      <c r="AQ19" s="286" t="s">
        <v>31</v>
      </c>
      <c r="AR19" s="286" t="s">
        <v>16</v>
      </c>
      <c r="AS19" s="286">
        <v>19</v>
      </c>
      <c r="AT19" s="289" t="s">
        <v>289</v>
      </c>
      <c r="AV19" s="234">
        <f t="shared" si="21"/>
        <v>13</v>
      </c>
      <c r="AW19" s="234">
        <f>COUNTIF( AV$7:AV19, AV19 )</f>
        <v>2</v>
      </c>
      <c r="AX19" s="287">
        <f t="shared" si="22"/>
        <v>13.2</v>
      </c>
      <c r="AY19" s="234">
        <f t="shared" si="23"/>
        <v>14</v>
      </c>
      <c r="AZ19" s="236"/>
      <c r="BA19" s="236"/>
      <c r="BC19" s="234">
        <f t="shared" ca="1" si="24"/>
        <v>13</v>
      </c>
      <c r="BD19" s="288">
        <f t="shared" ca="1" si="7"/>
        <v>1</v>
      </c>
      <c r="BF19" s="240" t="str">
        <f t="shared" ca="1" si="8"/>
        <v>ALLETE, Inc.</v>
      </c>
      <c r="BG19" s="240" t="str">
        <f t="shared" ca="1" si="9"/>
        <v>BBB+</v>
      </c>
      <c r="BH19" s="240">
        <f t="shared" ca="1" si="9"/>
        <v>19</v>
      </c>
      <c r="BI19" s="240" t="str">
        <f t="shared" ca="1" si="9"/>
        <v>ALE</v>
      </c>
    </row>
    <row r="20" spans="1:61" x14ac:dyDescent="0.2">
      <c r="A20" s="303" t="s">
        <v>31</v>
      </c>
      <c r="B20" s="304" t="s">
        <v>16</v>
      </c>
      <c r="C20" s="304">
        <v>19</v>
      </c>
      <c r="D20" s="304" t="s">
        <v>289</v>
      </c>
      <c r="E20" s="305" t="str">
        <f t="shared" ca="1" si="0"/>
        <v>R</v>
      </c>
      <c r="F20" s="306"/>
      <c r="G20" s="307">
        <f t="shared" ca="1" si="1"/>
        <v>18</v>
      </c>
      <c r="H20" s="250"/>
      <c r="I20" s="322"/>
      <c r="K20" s="322"/>
      <c r="N20" s="322"/>
      <c r="O20" s="240"/>
      <c r="Q20" s="322"/>
      <c r="T20" s="322"/>
      <c r="W20" s="322"/>
      <c r="AE20" s="254"/>
      <c r="AF20" s="236">
        <f t="shared" si="2"/>
        <v>1</v>
      </c>
      <c r="AG20" s="236" t="str">
        <f t="shared" ca="1" si="3"/>
        <v/>
      </c>
      <c r="AH20" s="236" t="str">
        <f t="shared" ca="1" si="19"/>
        <v/>
      </c>
      <c r="AJ20" s="236">
        <f t="shared" ca="1" si="4"/>
        <v>19</v>
      </c>
      <c r="AK20" s="236" t="str">
        <f t="shared" ca="1" si="20"/>
        <v>BBB+</v>
      </c>
      <c r="AL20" s="236">
        <f t="shared" ca="1" si="20"/>
        <v>19</v>
      </c>
      <c r="AM20" s="236" t="str">
        <f t="shared" ca="1" si="5"/>
        <v/>
      </c>
      <c r="AQ20" s="286" t="s">
        <v>32</v>
      </c>
      <c r="AR20" s="286" t="s">
        <v>16</v>
      </c>
      <c r="AS20" s="286">
        <v>19</v>
      </c>
      <c r="AT20" s="289" t="s">
        <v>290</v>
      </c>
      <c r="AV20" s="234">
        <f t="shared" si="21"/>
        <v>13</v>
      </c>
      <c r="AW20" s="234">
        <f>COUNTIF( AV$7:AV20, AV20 )</f>
        <v>3</v>
      </c>
      <c r="AX20" s="287">
        <f t="shared" si="22"/>
        <v>13.3</v>
      </c>
      <c r="AY20" s="234">
        <f t="shared" si="23"/>
        <v>15</v>
      </c>
      <c r="AZ20" s="236"/>
      <c r="BA20" s="236"/>
      <c r="BC20" s="234">
        <f t="shared" ca="1" si="24"/>
        <v>14</v>
      </c>
      <c r="BD20" s="288">
        <f t="shared" ca="1" si="7"/>
        <v>13</v>
      </c>
      <c r="BF20" s="240" t="str">
        <f t="shared" ca="1" si="8"/>
        <v>DTE Energy Company</v>
      </c>
      <c r="BG20" s="240" t="str">
        <f t="shared" ca="1" si="9"/>
        <v>BBB+</v>
      </c>
      <c r="BH20" s="240">
        <f t="shared" ca="1" si="9"/>
        <v>19</v>
      </c>
      <c r="BI20" s="240" t="str">
        <f t="shared" ca="1" si="9"/>
        <v>DTE</v>
      </c>
    </row>
    <row r="21" spans="1:61" x14ac:dyDescent="0.2">
      <c r="A21" s="303" t="s">
        <v>32</v>
      </c>
      <c r="B21" s="304" t="s">
        <v>16</v>
      </c>
      <c r="C21" s="304">
        <v>19</v>
      </c>
      <c r="D21" s="304" t="s">
        <v>290</v>
      </c>
      <c r="E21" s="305" t="str">
        <f t="shared" ca="1" si="0"/>
        <v>R</v>
      </c>
      <c r="F21" s="306"/>
      <c r="G21" s="307">
        <f t="shared" ca="1" si="1"/>
        <v>19</v>
      </c>
      <c r="H21" s="250"/>
      <c r="I21" s="321"/>
      <c r="K21" s="321"/>
      <c r="N21" s="321"/>
      <c r="Q21" s="321"/>
      <c r="T21" s="321"/>
      <c r="W21" s="321"/>
      <c r="AE21" s="254"/>
      <c r="AF21" s="236">
        <f t="shared" si="2"/>
        <v>1</v>
      </c>
      <c r="AG21" s="236" t="str">
        <f t="shared" ca="1" si="3"/>
        <v/>
      </c>
      <c r="AH21" s="236" t="str">
        <f t="shared" ca="1" si="19"/>
        <v/>
      </c>
      <c r="AJ21" s="236">
        <f t="shared" ca="1" si="4"/>
        <v>20</v>
      </c>
      <c r="AK21" s="236" t="str">
        <f t="shared" ca="1" si="20"/>
        <v>BBB+</v>
      </c>
      <c r="AL21" s="236">
        <f t="shared" ca="1" si="20"/>
        <v>19</v>
      </c>
      <c r="AM21" s="236" t="str">
        <f t="shared" ca="1" si="5"/>
        <v/>
      </c>
      <c r="AQ21" s="286" t="s">
        <v>57</v>
      </c>
      <c r="AR21" s="286" t="s">
        <v>49</v>
      </c>
      <c r="AS21" s="286">
        <v>17</v>
      </c>
      <c r="AT21" s="286" t="s">
        <v>296</v>
      </c>
      <c r="AV21" s="234">
        <f t="shared" si="21"/>
        <v>44</v>
      </c>
      <c r="AW21" s="234">
        <f>COUNTIF( AV$7:AV21, AV21 )</f>
        <v>2</v>
      </c>
      <c r="AX21" s="287">
        <f t="shared" si="22"/>
        <v>44.2</v>
      </c>
      <c r="AY21" s="234">
        <f t="shared" si="23"/>
        <v>45</v>
      </c>
      <c r="AZ21" s="236"/>
      <c r="BA21" s="236"/>
      <c r="BC21" s="234">
        <f t="shared" ca="1" si="24"/>
        <v>15</v>
      </c>
      <c r="BD21" s="288">
        <f t="shared" ca="1" si="7"/>
        <v>14</v>
      </c>
      <c r="BF21" s="240" t="str">
        <f t="shared" ca="1" si="8"/>
        <v>Duke Energy Corporation</v>
      </c>
      <c r="BG21" s="240" t="str">
        <f t="shared" ca="1" si="9"/>
        <v>BBB+</v>
      </c>
      <c r="BH21" s="240">
        <f t="shared" ca="1" si="9"/>
        <v>19</v>
      </c>
      <c r="BI21" s="240" t="str">
        <f t="shared" ca="1" si="9"/>
        <v>DUK</v>
      </c>
    </row>
    <row r="22" spans="1:61" x14ac:dyDescent="0.2">
      <c r="A22" s="303" t="s">
        <v>12</v>
      </c>
      <c r="B22" s="304" t="s">
        <v>16</v>
      </c>
      <c r="C22" s="304">
        <v>19</v>
      </c>
      <c r="D22" s="304" t="s">
        <v>309</v>
      </c>
      <c r="E22" s="305" t="str">
        <f t="shared" ca="1" si="0"/>
        <v>D</v>
      </c>
      <c r="F22" s="306"/>
      <c r="G22" s="307">
        <f t="shared" ca="1" si="1"/>
        <v>30</v>
      </c>
      <c r="H22" s="250"/>
      <c r="I22" s="321"/>
      <c r="K22" s="321"/>
      <c r="N22" s="321"/>
      <c r="Q22" s="321"/>
      <c r="T22" s="321"/>
      <c r="W22" s="321"/>
      <c r="AE22" s="254"/>
      <c r="AF22" s="236">
        <f t="shared" si="2"/>
        <v>1</v>
      </c>
      <c r="AG22" s="236" t="str">
        <f t="shared" ca="1" si="3"/>
        <v/>
      </c>
      <c r="AH22" s="236" t="str">
        <f t="shared" ca="1" si="19"/>
        <v/>
      </c>
      <c r="AJ22" s="236">
        <f t="shared" ca="1" si="4"/>
        <v>21</v>
      </c>
      <c r="AK22" s="236" t="str">
        <f t="shared" ca="1" si="20"/>
        <v>BBB+</v>
      </c>
      <c r="AL22" s="236">
        <f t="shared" ca="1" si="20"/>
        <v>19</v>
      </c>
      <c r="AM22" s="236" t="str">
        <f t="shared" ca="1" si="5"/>
        <v/>
      </c>
      <c r="AQ22" s="286" t="s">
        <v>34</v>
      </c>
      <c r="AR22" s="286" t="s">
        <v>28</v>
      </c>
      <c r="AS22" s="286">
        <v>18</v>
      </c>
      <c r="AT22" s="286" t="s">
        <v>294</v>
      </c>
      <c r="AV22" s="234">
        <f t="shared" si="21"/>
        <v>24</v>
      </c>
      <c r="AW22" s="234">
        <f>COUNTIF( AV$7:AV22, AV22 )</f>
        <v>6</v>
      </c>
      <c r="AX22" s="287">
        <f t="shared" si="22"/>
        <v>24.6</v>
      </c>
      <c r="AY22" s="234">
        <f t="shared" si="23"/>
        <v>29</v>
      </c>
      <c r="AZ22" s="236"/>
      <c r="BA22" s="236"/>
      <c r="BC22" s="234">
        <f t="shared" ca="1" si="24"/>
        <v>16</v>
      </c>
      <c r="BD22" s="288">
        <f t="shared" ca="1" si="7"/>
        <v>28</v>
      </c>
      <c r="BF22" s="240" t="str">
        <f t="shared" ca="1" si="8"/>
        <v>MDU Resources Group, Inc.</v>
      </c>
      <c r="BG22" s="240" t="str">
        <f t="shared" ca="1" si="9"/>
        <v>BBB+</v>
      </c>
      <c r="BH22" s="240">
        <f t="shared" ca="1" si="9"/>
        <v>19</v>
      </c>
      <c r="BI22" s="240" t="str">
        <f t="shared" ca="1" si="9"/>
        <v>MDU</v>
      </c>
    </row>
    <row r="23" spans="1:61" x14ac:dyDescent="0.2">
      <c r="A23" s="303" t="s">
        <v>52</v>
      </c>
      <c r="B23" s="304" t="s">
        <v>16</v>
      </c>
      <c r="C23" s="304">
        <v>19</v>
      </c>
      <c r="D23" s="304" t="s">
        <v>447</v>
      </c>
      <c r="E23" s="305" t="str">
        <f t="shared" ca="1" si="0"/>
        <v>MR</v>
      </c>
      <c r="F23" s="306"/>
      <c r="G23" s="307">
        <f t="shared" ca="1" si="1"/>
        <v>62</v>
      </c>
      <c r="H23" s="250"/>
      <c r="I23" s="321"/>
      <c r="K23" s="321"/>
      <c r="N23" s="321"/>
      <c r="Q23" s="321"/>
      <c r="T23" s="321"/>
      <c r="W23" s="321"/>
      <c r="AE23" s="254"/>
      <c r="AF23" s="236">
        <f t="shared" si="2"/>
        <v>1</v>
      </c>
      <c r="AG23" s="236" t="str">
        <f t="shared" ca="1" si="3"/>
        <v/>
      </c>
      <c r="AH23" s="236" t="str">
        <f t="shared" ca="1" si="19"/>
        <v/>
      </c>
      <c r="AJ23" s="236">
        <f t="shared" ca="1" si="4"/>
        <v>22</v>
      </c>
      <c r="AK23" s="236" t="str">
        <f t="shared" ca="1" si="20"/>
        <v>BBB+</v>
      </c>
      <c r="AL23" s="236">
        <f t="shared" ca="1" si="20"/>
        <v>19</v>
      </c>
      <c r="AM23" s="236" t="str">
        <f t="shared" ca="1" si="5"/>
        <v/>
      </c>
      <c r="AQ23" s="286" t="s">
        <v>35</v>
      </c>
      <c r="AR23" s="286" t="s">
        <v>28</v>
      </c>
      <c r="AS23" s="286">
        <v>18</v>
      </c>
      <c r="AT23" s="286" t="s">
        <v>293</v>
      </c>
      <c r="AV23" s="234">
        <f t="shared" si="21"/>
        <v>24</v>
      </c>
      <c r="AW23" s="234">
        <f>COUNTIF( AV$7:AV23, AV23 )</f>
        <v>7</v>
      </c>
      <c r="AX23" s="287">
        <f t="shared" si="22"/>
        <v>24.7</v>
      </c>
      <c r="AY23" s="234">
        <f t="shared" si="23"/>
        <v>30</v>
      </c>
      <c r="AZ23" s="236"/>
      <c r="BA23" s="236"/>
      <c r="BC23" s="234">
        <f t="shared" ca="1" si="24"/>
        <v>17</v>
      </c>
      <c r="BD23" s="288">
        <f t="shared" ca="1" si="7"/>
        <v>29</v>
      </c>
      <c r="BF23" s="240" t="str">
        <f t="shared" ca="1" si="8"/>
        <v>MidAmerican Energy Holdings Company</v>
      </c>
      <c r="BG23" s="240" t="str">
        <f t="shared" ca="1" si="9"/>
        <v>BBB+</v>
      </c>
      <c r="BH23" s="240">
        <f t="shared" ca="1" si="9"/>
        <v>19</v>
      </c>
      <c r="BI23" s="240" t="str">
        <f t="shared" ca="1" si="9"/>
        <v>**BRK</v>
      </c>
    </row>
    <row r="24" spans="1:61" x14ac:dyDescent="0.2">
      <c r="A24" s="303" t="s">
        <v>23</v>
      </c>
      <c r="B24" s="304" t="s">
        <v>16</v>
      </c>
      <c r="C24" s="304">
        <v>19</v>
      </c>
      <c r="D24" s="304" t="s">
        <v>323</v>
      </c>
      <c r="E24" s="305" t="str">
        <f t="shared" ca="1" si="0"/>
        <v>MR</v>
      </c>
      <c r="F24" s="306"/>
      <c r="G24" s="307">
        <f t="shared" ca="1" si="1"/>
        <v>39</v>
      </c>
      <c r="H24" s="250"/>
      <c r="I24" s="321"/>
      <c r="J24" s="262"/>
      <c r="K24" s="321"/>
      <c r="N24" s="321"/>
      <c r="Q24" s="321"/>
      <c r="T24" s="321"/>
      <c r="W24" s="321"/>
      <c r="AE24" s="254"/>
      <c r="AF24" s="236">
        <f t="shared" si="2"/>
        <v>1</v>
      </c>
      <c r="AG24" s="236" t="str">
        <f t="shared" ca="1" si="3"/>
        <v/>
      </c>
      <c r="AH24" s="236" t="str">
        <f t="shared" ca="1" si="19"/>
        <v/>
      </c>
      <c r="AJ24" s="236">
        <f t="shared" ca="1" si="4"/>
        <v>24</v>
      </c>
      <c r="AK24" s="236" t="str">
        <f t="shared" ca="1" si="20"/>
        <v>BBB+</v>
      </c>
      <c r="AL24" s="236">
        <f t="shared" ca="1" si="20"/>
        <v>19</v>
      </c>
      <c r="AM24" s="236" t="str">
        <f t="shared" ca="1" si="5"/>
        <v/>
      </c>
      <c r="AQ24" s="286" t="s">
        <v>249</v>
      </c>
      <c r="AR24" s="286" t="s">
        <v>125</v>
      </c>
      <c r="AS24" s="286">
        <v>9</v>
      </c>
      <c r="AT24" s="286" t="s">
        <v>445</v>
      </c>
      <c r="AV24" s="234">
        <f t="shared" si="21"/>
        <v>53</v>
      </c>
      <c r="AW24" s="234">
        <f>COUNTIF( AV$7:AV24, AV24 )</f>
        <v>1</v>
      </c>
      <c r="AX24" s="287">
        <f t="shared" si="22"/>
        <v>53.1</v>
      </c>
      <c r="AY24" s="234">
        <f t="shared" si="23"/>
        <v>53</v>
      </c>
      <c r="AZ24" s="236"/>
      <c r="BA24" s="236"/>
      <c r="BC24" s="234">
        <f t="shared" ca="1" si="24"/>
        <v>18</v>
      </c>
      <c r="BD24" s="288">
        <f t="shared" ca="1" si="7"/>
        <v>37</v>
      </c>
      <c r="BF24" s="240" t="str">
        <f t="shared" ca="1" si="8"/>
        <v>Pepco Holdings, Inc.</v>
      </c>
      <c r="BG24" s="240" t="str">
        <f t="shared" ca="1" si="9"/>
        <v>BBB+</v>
      </c>
      <c r="BH24" s="240">
        <f t="shared" ca="1" si="9"/>
        <v>19</v>
      </c>
      <c r="BI24" s="240" t="str">
        <f t="shared" ca="1" si="9"/>
        <v>POM</v>
      </c>
    </row>
    <row r="25" spans="1:61" x14ac:dyDescent="0.2">
      <c r="A25" s="303" t="s">
        <v>41</v>
      </c>
      <c r="B25" s="304" t="s">
        <v>16</v>
      </c>
      <c r="C25" s="304">
        <v>19</v>
      </c>
      <c r="D25" s="304" t="s">
        <v>322</v>
      </c>
      <c r="E25" s="305" t="str">
        <f t="shared" ca="1" si="0"/>
        <v>R</v>
      </c>
      <c r="F25" s="306"/>
      <c r="G25" s="307">
        <f t="shared" ca="1" si="1"/>
        <v>41</v>
      </c>
      <c r="H25" s="250"/>
      <c r="I25" s="321"/>
      <c r="J25" s="262"/>
      <c r="K25" s="321"/>
      <c r="N25" s="321"/>
      <c r="Q25" s="321"/>
      <c r="T25" s="321"/>
      <c r="W25" s="321"/>
      <c r="AE25" s="254"/>
      <c r="AF25" s="236">
        <f t="shared" si="2"/>
        <v>1</v>
      </c>
      <c r="AG25" s="236" t="str">
        <f t="shared" ca="1" si="3"/>
        <v/>
      </c>
      <c r="AH25" s="236" t="str">
        <f t="shared" ca="1" si="19"/>
        <v/>
      </c>
      <c r="AJ25" s="236">
        <f t="shared" ca="1" si="4"/>
        <v>25</v>
      </c>
      <c r="AK25" s="236" t="str">
        <f t="shared" ca="1" si="20"/>
        <v>BBB+</v>
      </c>
      <c r="AL25" s="236">
        <f t="shared" ca="1" si="20"/>
        <v>19</v>
      </c>
      <c r="AM25" s="236" t="str">
        <f t="shared" ca="1" si="5"/>
        <v/>
      </c>
      <c r="AQ25" s="286" t="s">
        <v>36</v>
      </c>
      <c r="AR25" s="286" t="s">
        <v>28</v>
      </c>
      <c r="AS25" s="286">
        <v>18</v>
      </c>
      <c r="AT25" s="286" t="s">
        <v>297</v>
      </c>
      <c r="AV25" s="234">
        <f t="shared" si="21"/>
        <v>24</v>
      </c>
      <c r="AW25" s="234">
        <f>COUNTIF( AV$7:AV25, AV25 )</f>
        <v>8</v>
      </c>
      <c r="AX25" s="287">
        <f t="shared" si="22"/>
        <v>24.8</v>
      </c>
      <c r="AY25" s="234">
        <f t="shared" si="23"/>
        <v>31</v>
      </c>
      <c r="AZ25" s="236"/>
      <c r="BA25" s="236"/>
      <c r="BC25" s="234">
        <f t="shared" ca="1" si="24"/>
        <v>19</v>
      </c>
      <c r="BD25" s="288">
        <f t="shared" ca="1" si="7"/>
        <v>39</v>
      </c>
      <c r="BF25" s="240" t="str">
        <f t="shared" ca="1" si="8"/>
        <v>Pinnacle West Capital Corporation</v>
      </c>
      <c r="BG25" s="240" t="str">
        <f t="shared" ca="1" si="9"/>
        <v>BBB+</v>
      </c>
      <c r="BH25" s="240">
        <f t="shared" ca="1" si="9"/>
        <v>19</v>
      </c>
      <c r="BI25" s="240" t="str">
        <f t="shared" ca="1" si="9"/>
        <v>PNW</v>
      </c>
    </row>
    <row r="26" spans="1:61" x14ac:dyDescent="0.2">
      <c r="A26" s="303" t="s">
        <v>45</v>
      </c>
      <c r="B26" s="304" t="s">
        <v>16</v>
      </c>
      <c r="C26" s="304">
        <v>19</v>
      </c>
      <c r="D26" s="304" t="s">
        <v>319</v>
      </c>
      <c r="E26" s="305" t="str">
        <f t="shared" ca="1" si="0"/>
        <v>MR</v>
      </c>
      <c r="F26" s="306"/>
      <c r="G26" s="307">
        <f t="shared" ca="1" si="1"/>
        <v>45</v>
      </c>
      <c r="H26" s="250"/>
      <c r="I26" s="321"/>
      <c r="J26" s="262"/>
      <c r="K26" s="321"/>
      <c r="N26" s="321"/>
      <c r="Q26" s="321"/>
      <c r="T26" s="321"/>
      <c r="W26" s="321"/>
      <c r="AE26" s="254"/>
      <c r="AF26" s="236">
        <f t="shared" si="2"/>
        <v>1</v>
      </c>
      <c r="AG26" s="236">
        <f t="shared" ca="1" si="3"/>
        <v>1</v>
      </c>
      <c r="AH26" s="236" t="str">
        <f t="shared" ca="1" si="19"/>
        <v/>
      </c>
      <c r="AJ26" s="236">
        <f t="shared" ca="1" si="4"/>
        <v>45</v>
      </c>
      <c r="AK26" s="236" t="str">
        <f t="shared" ca="1" si="20"/>
        <v>BBB</v>
      </c>
      <c r="AL26" s="236">
        <f t="shared" ca="1" si="20"/>
        <v>18</v>
      </c>
      <c r="AM26" s="236" t="str">
        <f t="shared" ca="1" si="5"/>
        <v>Change</v>
      </c>
      <c r="AQ26" s="286" t="s">
        <v>11</v>
      </c>
      <c r="AR26" s="286" t="s">
        <v>28</v>
      </c>
      <c r="AS26" s="286">
        <v>18</v>
      </c>
      <c r="AT26" s="286" t="s">
        <v>298</v>
      </c>
      <c r="AV26" s="234">
        <f t="shared" si="21"/>
        <v>24</v>
      </c>
      <c r="AW26" s="234">
        <f>COUNTIF( AV$7:AV26, AV26 )</f>
        <v>9</v>
      </c>
      <c r="AX26" s="287">
        <f t="shared" si="22"/>
        <v>24.9</v>
      </c>
      <c r="AY26" s="234">
        <f t="shared" si="23"/>
        <v>32</v>
      </c>
      <c r="AZ26" s="236"/>
      <c r="BA26" s="236"/>
      <c r="BC26" s="234">
        <f t="shared" ca="1" si="24"/>
        <v>20</v>
      </c>
      <c r="BD26" s="288">
        <f t="shared" ca="1" si="7"/>
        <v>43</v>
      </c>
      <c r="BF26" s="240" t="str">
        <f t="shared" ca="1" si="8"/>
        <v>Public Service Enterprise Group Incorporated</v>
      </c>
      <c r="BG26" s="240" t="str">
        <f t="shared" ca="1" si="9"/>
        <v>BBB+</v>
      </c>
      <c r="BH26" s="240">
        <f t="shared" ca="1" si="9"/>
        <v>19</v>
      </c>
      <c r="BI26" s="240" t="str">
        <f t="shared" ca="1" si="9"/>
        <v>PEG</v>
      </c>
    </row>
    <row r="27" spans="1:61" x14ac:dyDescent="0.2">
      <c r="A27" s="303" t="s">
        <v>13</v>
      </c>
      <c r="B27" s="304" t="s">
        <v>16</v>
      </c>
      <c r="C27" s="304">
        <v>19</v>
      </c>
      <c r="D27" s="304" t="s">
        <v>327</v>
      </c>
      <c r="E27" s="305" t="str">
        <f t="shared" ca="1" si="0"/>
        <v>MR</v>
      </c>
      <c r="F27" s="306"/>
      <c r="G27" s="307">
        <f t="shared" ca="1" si="1"/>
        <v>46</v>
      </c>
      <c r="H27" s="250"/>
      <c r="I27" s="321"/>
      <c r="J27" s="262"/>
      <c r="K27" s="321"/>
      <c r="N27" s="321"/>
      <c r="Q27" s="321"/>
      <c r="T27" s="321"/>
      <c r="W27" s="321"/>
      <c r="AE27" s="254"/>
      <c r="AF27" s="236">
        <f t="shared" si="2"/>
        <v>1</v>
      </c>
      <c r="AG27" s="236" t="str">
        <f t="shared" ca="1" si="3"/>
        <v/>
      </c>
      <c r="AH27" s="236" t="str">
        <f t="shared" ca="1" si="19"/>
        <v/>
      </c>
      <c r="AJ27" s="236">
        <f t="shared" ca="1" si="4"/>
        <v>26</v>
      </c>
      <c r="AK27" s="236" t="str">
        <f t="shared" ca="1" si="20"/>
        <v>BBB+</v>
      </c>
      <c r="AL27" s="236">
        <f t="shared" ca="1" si="20"/>
        <v>19</v>
      </c>
      <c r="AM27" s="236" t="str">
        <f t="shared" ca="1" si="5"/>
        <v/>
      </c>
      <c r="AQ27" s="286" t="s">
        <v>51</v>
      </c>
      <c r="AR27" s="286" t="s">
        <v>49</v>
      </c>
      <c r="AS27" s="286">
        <v>17</v>
      </c>
      <c r="AT27" s="286" t="s">
        <v>299</v>
      </c>
      <c r="AV27" s="234">
        <f t="shared" si="21"/>
        <v>44</v>
      </c>
      <c r="AW27" s="234">
        <f>COUNTIF( AV$7:AV27, AV27 )</f>
        <v>3</v>
      </c>
      <c r="AX27" s="287">
        <f t="shared" si="22"/>
        <v>44.3</v>
      </c>
      <c r="AY27" s="234">
        <f t="shared" si="23"/>
        <v>46</v>
      </c>
      <c r="AZ27" s="236"/>
      <c r="BA27" s="236"/>
      <c r="BC27" s="234">
        <f t="shared" ca="1" si="24"/>
        <v>21</v>
      </c>
      <c r="BD27" s="288">
        <f t="shared" ca="1" si="7"/>
        <v>45</v>
      </c>
      <c r="BF27" s="240" t="str">
        <f t="shared" ca="1" si="8"/>
        <v>SCANA Corporation</v>
      </c>
      <c r="BG27" s="240" t="str">
        <f t="shared" ca="1" si="9"/>
        <v>BBB+</v>
      </c>
      <c r="BH27" s="240">
        <f t="shared" ca="1" si="9"/>
        <v>19</v>
      </c>
      <c r="BI27" s="240" t="str">
        <f t="shared" ca="1" si="9"/>
        <v>SCG</v>
      </c>
    </row>
    <row r="28" spans="1:61" x14ac:dyDescent="0.2">
      <c r="A28" s="303" t="s">
        <v>25</v>
      </c>
      <c r="B28" s="304" t="s">
        <v>16</v>
      </c>
      <c r="C28" s="304">
        <v>19</v>
      </c>
      <c r="D28" s="304" t="s">
        <v>329</v>
      </c>
      <c r="E28" s="305" t="str">
        <f t="shared" ca="1" si="0"/>
        <v>MR</v>
      </c>
      <c r="F28" s="306"/>
      <c r="G28" s="307">
        <f t="shared" ca="1" si="1"/>
        <v>47</v>
      </c>
      <c r="H28" s="250"/>
      <c r="I28" s="321"/>
      <c r="J28" s="262"/>
      <c r="K28" s="321"/>
      <c r="N28" s="321"/>
      <c r="Q28" s="321"/>
      <c r="T28" s="321"/>
      <c r="W28" s="321"/>
      <c r="AE28" s="245"/>
      <c r="AF28" s="236">
        <f t="shared" si="2"/>
        <v>1</v>
      </c>
      <c r="AG28" s="236" t="str">
        <f t="shared" ca="1" si="3"/>
        <v/>
      </c>
      <c r="AH28" s="236" t="str">
        <f t="shared" ca="1" si="19"/>
        <v/>
      </c>
      <c r="AJ28" s="236">
        <f t="shared" ca="1" si="4"/>
        <v>27</v>
      </c>
      <c r="AK28" s="236" t="str">
        <f t="shared" ca="1" si="20"/>
        <v>BBB+</v>
      </c>
      <c r="AL28" s="236">
        <f t="shared" ca="1" si="20"/>
        <v>19</v>
      </c>
      <c r="AM28" s="236" t="str">
        <f t="shared" ca="1" si="5"/>
        <v/>
      </c>
      <c r="AQ28" s="286" t="s">
        <v>261</v>
      </c>
      <c r="AR28" s="286" t="s">
        <v>28</v>
      </c>
      <c r="AS28" s="286">
        <v>18</v>
      </c>
      <c r="AT28" s="286" t="s">
        <v>301</v>
      </c>
      <c r="AV28" s="234">
        <f t="shared" si="21"/>
        <v>24</v>
      </c>
      <c r="AW28" s="234">
        <f>COUNTIF( AV$7:AV28, AV28 )</f>
        <v>10</v>
      </c>
      <c r="AX28" s="287">
        <f t="shared" si="22"/>
        <v>25</v>
      </c>
      <c r="AY28" s="234">
        <f t="shared" si="23"/>
        <v>33</v>
      </c>
      <c r="AZ28" s="236"/>
      <c r="BA28" s="236"/>
      <c r="BC28" s="234">
        <f t="shared" ca="1" si="24"/>
        <v>22</v>
      </c>
      <c r="BD28" s="288">
        <f t="shared" ca="1" si="7"/>
        <v>46</v>
      </c>
      <c r="BF28" s="240" t="str">
        <f t="shared" ca="1" si="8"/>
        <v>Sempra Energy</v>
      </c>
      <c r="BG28" s="240" t="str">
        <f t="shared" ca="1" si="9"/>
        <v>BBB+</v>
      </c>
      <c r="BH28" s="240">
        <f t="shared" ca="1" si="9"/>
        <v>19</v>
      </c>
      <c r="BI28" s="240" t="str">
        <f t="shared" ca="1" si="9"/>
        <v>SRE</v>
      </c>
    </row>
    <row r="29" spans="1:61" x14ac:dyDescent="0.2">
      <c r="A29" s="303" t="s">
        <v>62</v>
      </c>
      <c r="B29" s="304" t="s">
        <v>16</v>
      </c>
      <c r="C29" s="304">
        <v>19</v>
      </c>
      <c r="D29" s="304" t="s">
        <v>330</v>
      </c>
      <c r="E29" s="305" t="str">
        <f t="shared" ca="1" si="0"/>
        <v>R</v>
      </c>
      <c r="F29" s="306"/>
      <c r="G29" s="307">
        <f t="shared" ca="1" si="1"/>
        <v>49</v>
      </c>
      <c r="H29" s="250"/>
      <c r="I29" s="321"/>
      <c r="J29" s="262"/>
      <c r="K29" s="321"/>
      <c r="N29" s="321"/>
      <c r="Q29" s="321"/>
      <c r="T29" s="321"/>
      <c r="W29" s="321"/>
      <c r="AF29" s="236">
        <f t="shared" si="2"/>
        <v>1</v>
      </c>
      <c r="AG29" s="236" t="str">
        <f t="shared" ca="1" si="3"/>
        <v/>
      </c>
      <c r="AH29" s="236" t="str">
        <f t="shared" ca="1" si="19"/>
        <v/>
      </c>
      <c r="AJ29" s="236">
        <f t="shared" ca="1" si="4"/>
        <v>28</v>
      </c>
      <c r="AK29" s="236" t="str">
        <f t="shared" ca="1" si="20"/>
        <v>BBB+</v>
      </c>
      <c r="AL29" s="236">
        <f t="shared" ca="1" si="20"/>
        <v>19</v>
      </c>
      <c r="AM29" s="236" t="str">
        <f t="shared" ca="1" si="5"/>
        <v/>
      </c>
      <c r="AQ29" s="286" t="s">
        <v>39</v>
      </c>
      <c r="AR29" s="286" t="s">
        <v>49</v>
      </c>
      <c r="AS29" s="286">
        <v>17</v>
      </c>
      <c r="AT29" s="289" t="s">
        <v>302</v>
      </c>
      <c r="AV29" s="234">
        <f t="shared" si="21"/>
        <v>44</v>
      </c>
      <c r="AW29" s="234">
        <f>COUNTIF( AV$7:AV29, AV29 )</f>
        <v>4</v>
      </c>
      <c r="AX29" s="287">
        <f t="shared" si="22"/>
        <v>44.4</v>
      </c>
      <c r="AY29" s="234">
        <f t="shared" si="23"/>
        <v>47</v>
      </c>
      <c r="AZ29" s="236"/>
      <c r="BA29" s="236"/>
      <c r="BC29" s="234">
        <f t="shared" ca="1" si="24"/>
        <v>23</v>
      </c>
      <c r="BD29" s="288">
        <f t="shared" ca="1" si="7"/>
        <v>48</v>
      </c>
      <c r="BF29" s="240" t="str">
        <f t="shared" ca="1" si="8"/>
        <v>TECO Energy, Inc.</v>
      </c>
      <c r="BG29" s="240" t="str">
        <f t="shared" ca="1" si="9"/>
        <v>BBB+</v>
      </c>
      <c r="BH29" s="240">
        <f t="shared" ca="1" si="9"/>
        <v>19</v>
      </c>
      <c r="BI29" s="240" t="str">
        <f t="shared" ca="1" si="9"/>
        <v>TE</v>
      </c>
    </row>
    <row r="30" spans="1:61" x14ac:dyDescent="0.2">
      <c r="A30" s="303" t="s">
        <v>9</v>
      </c>
      <c r="B30" s="304" t="s">
        <v>28</v>
      </c>
      <c r="C30" s="304">
        <v>18</v>
      </c>
      <c r="D30" s="304" t="s">
        <v>274</v>
      </c>
      <c r="E30" s="305" t="str">
        <f t="shared" ca="1" si="0"/>
        <v>R</v>
      </c>
      <c r="F30" s="306"/>
      <c r="G30" s="307">
        <f t="shared" ca="1" si="1"/>
        <v>9</v>
      </c>
      <c r="H30" s="250"/>
      <c r="I30" s="321"/>
      <c r="J30" s="262"/>
      <c r="K30" s="321"/>
      <c r="N30" s="321"/>
      <c r="Q30" s="321"/>
      <c r="T30" s="321"/>
      <c r="W30" s="321"/>
      <c r="AF30" s="236">
        <f t="shared" si="2"/>
        <v>0</v>
      </c>
      <c r="AG30" s="236" t="str">
        <f t="shared" ca="1" si="3"/>
        <v/>
      </c>
      <c r="AH30" s="236" t="str">
        <f t="shared" ca="1" si="19"/>
        <v/>
      </c>
      <c r="AJ30" s="236">
        <f t="shared" ca="1" si="4"/>
        <v>29</v>
      </c>
      <c r="AK30" s="236" t="str">
        <f t="shared" ca="1" si="20"/>
        <v>BBB</v>
      </c>
      <c r="AL30" s="236">
        <f t="shared" ca="1" si="20"/>
        <v>18</v>
      </c>
      <c r="AM30" s="236" t="str">
        <f t="shared" ca="1" si="5"/>
        <v/>
      </c>
      <c r="AQ30" s="286" t="s">
        <v>452</v>
      </c>
      <c r="AR30" s="286" t="s">
        <v>28</v>
      </c>
      <c r="AS30" s="286">
        <v>18</v>
      </c>
      <c r="AT30" s="286" t="s">
        <v>444</v>
      </c>
      <c r="AV30" s="234">
        <f t="shared" si="21"/>
        <v>24</v>
      </c>
      <c r="AW30" s="234">
        <f>COUNTIF( AV$7:AV30, AV30 )</f>
        <v>11</v>
      </c>
      <c r="AX30" s="287">
        <f t="shared" si="22"/>
        <v>25.1</v>
      </c>
      <c r="AY30" s="234">
        <f t="shared" si="23"/>
        <v>34</v>
      </c>
      <c r="AZ30" s="236"/>
      <c r="BA30" s="236"/>
      <c r="BC30" s="234">
        <f t="shared" ca="1" si="24"/>
        <v>24</v>
      </c>
      <c r="BD30" s="288">
        <f t="shared" ca="1" si="7"/>
        <v>3</v>
      </c>
      <c r="BF30" s="240" t="str">
        <f t="shared" ca="1" si="8"/>
        <v>Ameren Corporation</v>
      </c>
      <c r="BG30" s="240" t="str">
        <f t="shared" ca="1" si="9"/>
        <v>BBB</v>
      </c>
      <c r="BH30" s="240">
        <f t="shared" ca="1" si="9"/>
        <v>18</v>
      </c>
      <c r="BI30" s="240" t="str">
        <f t="shared" ca="1" si="9"/>
        <v>AEE</v>
      </c>
    </row>
    <row r="31" spans="1:61" x14ac:dyDescent="0.2">
      <c r="A31" s="303" t="s">
        <v>259</v>
      </c>
      <c r="B31" s="304" t="s">
        <v>28</v>
      </c>
      <c r="C31" s="304">
        <v>18</v>
      </c>
      <c r="D31" s="304" t="s">
        <v>275</v>
      </c>
      <c r="E31" s="305" t="str">
        <f t="shared" ca="1" si="0"/>
        <v>R</v>
      </c>
      <c r="F31" s="306"/>
      <c r="G31" s="307">
        <f t="shared" ca="1" si="1"/>
        <v>10</v>
      </c>
      <c r="H31" s="250"/>
      <c r="I31" s="321"/>
      <c r="J31" s="262"/>
      <c r="K31" s="321"/>
      <c r="N31" s="321"/>
      <c r="O31" s="253"/>
      <c r="Q31" s="321"/>
      <c r="T31" s="321"/>
      <c r="W31" s="321"/>
      <c r="AF31" s="236">
        <f t="shared" si="2"/>
        <v>0</v>
      </c>
      <c r="AG31" s="236" t="str">
        <f t="shared" ca="1" si="3"/>
        <v/>
      </c>
      <c r="AH31" s="236" t="str">
        <f t="shared" ca="1" si="19"/>
        <v/>
      </c>
      <c r="AJ31" s="236">
        <f t="shared" ca="1" si="4"/>
        <v>30</v>
      </c>
      <c r="AK31" s="236" t="str">
        <f t="shared" ca="1" si="20"/>
        <v>BBB</v>
      </c>
      <c r="AL31" s="236">
        <f t="shared" ca="1" si="20"/>
        <v>18</v>
      </c>
      <c r="AM31" s="236" t="str">
        <f t="shared" ca="1" si="5"/>
        <v/>
      </c>
      <c r="AQ31" s="286" t="s">
        <v>20</v>
      </c>
      <c r="AR31" s="286" t="s">
        <v>28</v>
      </c>
      <c r="AS31" s="286">
        <v>18</v>
      </c>
      <c r="AT31" s="286" t="s">
        <v>303</v>
      </c>
      <c r="AV31" s="234">
        <f t="shared" si="21"/>
        <v>24</v>
      </c>
      <c r="AW31" s="234">
        <f>COUNTIF( AV$7:AV31, AV31 )</f>
        <v>12</v>
      </c>
      <c r="AX31" s="287">
        <f t="shared" si="22"/>
        <v>25.2</v>
      </c>
      <c r="AY31" s="234">
        <f t="shared" si="23"/>
        <v>35</v>
      </c>
      <c r="AZ31" s="236"/>
      <c r="BA31" s="236"/>
      <c r="BC31" s="234">
        <f t="shared" ca="1" si="24"/>
        <v>25</v>
      </c>
      <c r="BD31" s="288">
        <f t="shared" ca="1" si="7"/>
        <v>4</v>
      </c>
      <c r="BF31" s="240" t="str">
        <f t="shared" ca="1" si="8"/>
        <v>American Electric Power Company, Inc.</v>
      </c>
      <c r="BG31" s="240" t="str">
        <f t="shared" ca="1" si="9"/>
        <v>BBB</v>
      </c>
      <c r="BH31" s="240">
        <f t="shared" ca="1" si="9"/>
        <v>18</v>
      </c>
      <c r="BI31" s="240" t="str">
        <f t="shared" ca="1" si="9"/>
        <v>AEP</v>
      </c>
    </row>
    <row r="32" spans="1:61" x14ac:dyDescent="0.2">
      <c r="A32" s="303" t="s">
        <v>55</v>
      </c>
      <c r="B32" s="304" t="s">
        <v>28</v>
      </c>
      <c r="C32" s="304">
        <v>18</v>
      </c>
      <c r="D32" s="304" t="s">
        <v>278</v>
      </c>
      <c r="E32" s="305" t="str">
        <f t="shared" ca="1" si="0"/>
        <v>R</v>
      </c>
      <c r="F32" s="306"/>
      <c r="G32" s="307">
        <f t="shared" ca="1" si="1"/>
        <v>11</v>
      </c>
      <c r="H32" s="250"/>
      <c r="I32" s="321"/>
      <c r="J32" s="262"/>
      <c r="K32" s="321"/>
      <c r="N32" s="321"/>
      <c r="Q32" s="321"/>
      <c r="T32" s="321"/>
      <c r="W32" s="321"/>
      <c r="AF32" s="236">
        <f t="shared" si="2"/>
        <v>0</v>
      </c>
      <c r="AG32" s="236" t="str">
        <f t="shared" ca="1" si="3"/>
        <v/>
      </c>
      <c r="AH32" s="236" t="str">
        <f t="shared" ca="1" si="19"/>
        <v/>
      </c>
      <c r="AJ32" s="236">
        <f t="shared" ca="1" si="4"/>
        <v>31</v>
      </c>
      <c r="AK32" s="236" t="str">
        <f t="shared" ca="1" si="20"/>
        <v>BBB</v>
      </c>
      <c r="AL32" s="236">
        <f t="shared" ca="1" si="20"/>
        <v>18</v>
      </c>
      <c r="AM32" s="236" t="str">
        <f t="shared" ca="1" si="5"/>
        <v/>
      </c>
      <c r="AQ32" s="286" t="s">
        <v>254</v>
      </c>
      <c r="AR32" s="286" t="s">
        <v>10</v>
      </c>
      <c r="AS32" s="286">
        <v>20</v>
      </c>
      <c r="AT32" s="286" t="s">
        <v>331</v>
      </c>
      <c r="AV32" s="234">
        <f t="shared" si="21"/>
        <v>2</v>
      </c>
      <c r="AW32" s="234">
        <f>COUNTIF( AV$7:AV32, AV32 )</f>
        <v>5</v>
      </c>
      <c r="AX32" s="287">
        <f t="shared" si="22"/>
        <v>2.5</v>
      </c>
      <c r="AY32" s="234">
        <f t="shared" si="23"/>
        <v>6</v>
      </c>
      <c r="AZ32" s="236"/>
      <c r="BA32" s="236"/>
      <c r="BC32" s="234">
        <f t="shared" ca="1" si="24"/>
        <v>26</v>
      </c>
      <c r="BD32" s="288">
        <f t="shared" ca="1" si="7"/>
        <v>5</v>
      </c>
      <c r="BF32" s="240" t="str">
        <f t="shared" ca="1" si="8"/>
        <v>Avista Corporation</v>
      </c>
      <c r="BG32" s="240" t="str">
        <f t="shared" ca="1" si="9"/>
        <v>BBB</v>
      </c>
      <c r="BH32" s="240">
        <f t="shared" ca="1" si="9"/>
        <v>18</v>
      </c>
      <c r="BI32" s="240" t="str">
        <f t="shared" ca="1" si="9"/>
        <v>AVA</v>
      </c>
    </row>
    <row r="33" spans="1:61" x14ac:dyDescent="0.2">
      <c r="A33" s="303" t="s">
        <v>30</v>
      </c>
      <c r="B33" s="304" t="s">
        <v>28</v>
      </c>
      <c r="C33" s="304">
        <v>18</v>
      </c>
      <c r="D33" s="304" t="s">
        <v>285</v>
      </c>
      <c r="E33" s="305" t="str">
        <f t="shared" ca="1" si="0"/>
        <v>R</v>
      </c>
      <c r="F33" s="306"/>
      <c r="G33" s="307">
        <f t="shared" ca="1" si="1"/>
        <v>14</v>
      </c>
      <c r="H33" s="250"/>
      <c r="I33" s="321"/>
      <c r="J33" s="262"/>
      <c r="K33" s="321"/>
      <c r="N33" s="321"/>
      <c r="Q33" s="321"/>
      <c r="T33" s="321"/>
      <c r="W33" s="321"/>
      <c r="AF33" s="236">
        <f t="shared" si="2"/>
        <v>0</v>
      </c>
      <c r="AG33" s="236" t="str">
        <f t="shared" ca="1" si="3"/>
        <v/>
      </c>
      <c r="AH33" s="236" t="str">
        <f t="shared" ca="1" si="19"/>
        <v/>
      </c>
      <c r="AJ33" s="236">
        <f t="shared" ca="1" si="4"/>
        <v>32</v>
      </c>
      <c r="AK33" s="236" t="str">
        <f t="shared" ca="1" si="20"/>
        <v>BBB</v>
      </c>
      <c r="AL33" s="236">
        <f t="shared" ca="1" si="20"/>
        <v>18</v>
      </c>
      <c r="AM33" s="236" t="str">
        <f t="shared" ca="1" si="5"/>
        <v/>
      </c>
      <c r="AQ33" s="286" t="s">
        <v>58</v>
      </c>
      <c r="AR33" s="286" t="s">
        <v>49</v>
      </c>
      <c r="AS33" s="286">
        <v>17</v>
      </c>
      <c r="AT33" s="286" t="s">
        <v>446</v>
      </c>
      <c r="AV33" s="234">
        <f t="shared" si="21"/>
        <v>44</v>
      </c>
      <c r="AW33" s="234">
        <f>COUNTIF( AV$7:AV33, AV33 )</f>
        <v>5</v>
      </c>
      <c r="AX33" s="287">
        <f t="shared" si="22"/>
        <v>44.5</v>
      </c>
      <c r="AY33" s="234">
        <f t="shared" si="23"/>
        <v>48</v>
      </c>
      <c r="AZ33" s="236"/>
      <c r="BA33" s="236"/>
      <c r="BC33" s="234">
        <f t="shared" ca="1" si="24"/>
        <v>27</v>
      </c>
      <c r="BD33" s="288">
        <f t="shared" ca="1" si="7"/>
        <v>8</v>
      </c>
      <c r="BF33" s="240" t="str">
        <f t="shared" ca="1" si="8"/>
        <v>Cleco Corporation</v>
      </c>
      <c r="BG33" s="240" t="str">
        <f t="shared" ca="1" si="9"/>
        <v>BBB</v>
      </c>
      <c r="BH33" s="240">
        <f t="shared" ca="1" si="9"/>
        <v>18</v>
      </c>
      <c r="BI33" s="240" t="str">
        <f t="shared" ca="1" si="9"/>
        <v>CNL</v>
      </c>
    </row>
    <row r="34" spans="1:61" x14ac:dyDescent="0.2">
      <c r="A34" s="303" t="s">
        <v>60</v>
      </c>
      <c r="B34" s="304" t="s">
        <v>28</v>
      </c>
      <c r="C34" s="304">
        <v>18</v>
      </c>
      <c r="D34" s="304" t="s">
        <v>284</v>
      </c>
      <c r="E34" s="305" t="str">
        <f t="shared" ca="1" si="0"/>
        <v>R</v>
      </c>
      <c r="F34" s="306"/>
      <c r="G34" s="307">
        <f t="shared" ca="1" si="1"/>
        <v>15</v>
      </c>
      <c r="H34" s="250"/>
      <c r="I34" s="321"/>
      <c r="J34" s="262"/>
      <c r="K34" s="321"/>
      <c r="L34" s="235"/>
      <c r="M34" s="235"/>
      <c r="N34" s="321"/>
      <c r="Q34" s="321"/>
      <c r="T34" s="321"/>
      <c r="W34" s="321"/>
      <c r="AF34" s="236">
        <f t="shared" si="2"/>
        <v>0</v>
      </c>
      <c r="AG34" s="236" t="str">
        <f t="shared" ca="1" si="3"/>
        <v/>
      </c>
      <c r="AH34" s="236" t="str">
        <f t="shared" ca="1" si="19"/>
        <v/>
      </c>
      <c r="AJ34" s="236">
        <f t="shared" ca="1" si="4"/>
        <v>33</v>
      </c>
      <c r="AK34" s="236" t="str">
        <f t="shared" ca="1" si="20"/>
        <v>BBB</v>
      </c>
      <c r="AL34" s="236">
        <f t="shared" ca="1" si="20"/>
        <v>18</v>
      </c>
      <c r="AM34" s="236" t="str">
        <f t="shared" ca="1" si="5"/>
        <v/>
      </c>
      <c r="AQ34" s="286" t="s">
        <v>12</v>
      </c>
      <c r="AR34" s="286" t="s">
        <v>16</v>
      </c>
      <c r="AS34" s="286">
        <v>19</v>
      </c>
      <c r="AT34" s="286" t="s">
        <v>309</v>
      </c>
      <c r="AV34" s="234">
        <f t="shared" si="21"/>
        <v>13</v>
      </c>
      <c r="AW34" s="234">
        <f>COUNTIF( AV$7:AV34, AV34 )</f>
        <v>4</v>
      </c>
      <c r="AX34" s="287">
        <f t="shared" si="22"/>
        <v>13.4</v>
      </c>
      <c r="AY34" s="234">
        <f t="shared" si="23"/>
        <v>16</v>
      </c>
      <c r="AZ34" s="236"/>
      <c r="BA34" s="236"/>
      <c r="BC34" s="234">
        <f t="shared" ca="1" si="24"/>
        <v>28</v>
      </c>
      <c r="BD34" s="288">
        <f t="shared" ca="1" si="7"/>
        <v>9</v>
      </c>
      <c r="BF34" s="240" t="str">
        <f t="shared" ca="1" si="8"/>
        <v>CMS Energy Corporation</v>
      </c>
      <c r="BG34" s="240" t="str">
        <f t="shared" ca="1" si="9"/>
        <v>BBB</v>
      </c>
      <c r="BH34" s="240">
        <f t="shared" ca="1" si="9"/>
        <v>18</v>
      </c>
      <c r="BI34" s="240" t="str">
        <f t="shared" ca="1" si="9"/>
        <v>CMS</v>
      </c>
    </row>
    <row r="35" spans="1:61" x14ac:dyDescent="0.2">
      <c r="A35" s="303" t="s">
        <v>34</v>
      </c>
      <c r="B35" s="304" t="s">
        <v>28</v>
      </c>
      <c r="C35" s="304">
        <v>18</v>
      </c>
      <c r="D35" s="304" t="s">
        <v>294</v>
      </c>
      <c r="E35" s="305" t="str">
        <f t="shared" ca="1" si="0"/>
        <v>R</v>
      </c>
      <c r="F35" s="306"/>
      <c r="G35" s="307">
        <f t="shared" ca="1" si="1"/>
        <v>21</v>
      </c>
      <c r="H35" s="250"/>
      <c r="I35" s="321"/>
      <c r="K35" s="321"/>
      <c r="L35" s="235"/>
      <c r="M35" s="235"/>
      <c r="N35" s="321"/>
      <c r="Q35" s="321"/>
      <c r="T35" s="321"/>
      <c r="W35" s="321"/>
      <c r="AF35" s="236">
        <f t="shared" si="2"/>
        <v>0</v>
      </c>
      <c r="AG35" s="236" t="str">
        <f t="shared" ca="1" si="3"/>
        <v/>
      </c>
      <c r="AH35" s="236" t="str">
        <f t="shared" ca="1" si="19"/>
        <v/>
      </c>
      <c r="AJ35" s="236">
        <f t="shared" ca="1" si="4"/>
        <v>34</v>
      </c>
      <c r="AK35" s="236" t="str">
        <f t="shared" ca="1" si="20"/>
        <v>BBB</v>
      </c>
      <c r="AL35" s="236">
        <f t="shared" ca="1" si="20"/>
        <v>18</v>
      </c>
      <c r="AM35" s="236" t="str">
        <f t="shared" ca="1" si="5"/>
        <v/>
      </c>
      <c r="AQ35" s="286" t="s">
        <v>52</v>
      </c>
      <c r="AR35" s="286" t="s">
        <v>16</v>
      </c>
      <c r="AS35" s="286">
        <v>19</v>
      </c>
      <c r="AT35" s="286" t="s">
        <v>447</v>
      </c>
      <c r="AV35" s="234">
        <f t="shared" si="21"/>
        <v>13</v>
      </c>
      <c r="AW35" s="234">
        <f>COUNTIF( AV$7:AV35, AV35 )</f>
        <v>5</v>
      </c>
      <c r="AX35" s="287">
        <f t="shared" si="22"/>
        <v>13.5</v>
      </c>
      <c r="AY35" s="234">
        <f t="shared" si="23"/>
        <v>17</v>
      </c>
      <c r="AZ35" s="236"/>
      <c r="BA35" s="236"/>
      <c r="BC35" s="234">
        <f t="shared" ca="1" si="24"/>
        <v>29</v>
      </c>
      <c r="BD35" s="288">
        <f t="shared" ca="1" si="7"/>
        <v>16</v>
      </c>
      <c r="BF35" s="240" t="str">
        <f t="shared" ca="1" si="8"/>
        <v>El Paso Electric Company</v>
      </c>
      <c r="BG35" s="240" t="str">
        <f t="shared" ca="1" si="9"/>
        <v>BBB</v>
      </c>
      <c r="BH35" s="240">
        <f t="shared" ca="1" si="9"/>
        <v>18</v>
      </c>
      <c r="BI35" s="240" t="str">
        <f t="shared" ca="1" si="9"/>
        <v>EE</v>
      </c>
    </row>
    <row r="36" spans="1:61" x14ac:dyDescent="0.2">
      <c r="A36" s="303" t="s">
        <v>35</v>
      </c>
      <c r="B36" s="304" t="s">
        <v>28</v>
      </c>
      <c r="C36" s="304">
        <v>18</v>
      </c>
      <c r="D36" s="304" t="s">
        <v>293</v>
      </c>
      <c r="E36" s="305" t="str">
        <f t="shared" ca="1" si="0"/>
        <v>R</v>
      </c>
      <c r="F36" s="306"/>
      <c r="G36" s="307">
        <f t="shared" ca="1" si="1"/>
        <v>22</v>
      </c>
      <c r="H36" s="250"/>
      <c r="I36" s="321"/>
      <c r="J36" s="262"/>
      <c r="K36" s="321"/>
      <c r="L36" s="263"/>
      <c r="M36" s="263"/>
      <c r="N36" s="321"/>
      <c r="Q36" s="321"/>
      <c r="T36" s="321"/>
      <c r="W36" s="321"/>
      <c r="AF36" s="236">
        <f t="shared" si="2"/>
        <v>0</v>
      </c>
      <c r="AG36" s="236" t="str">
        <f t="shared" ca="1" si="3"/>
        <v/>
      </c>
      <c r="AH36" s="236" t="str">
        <f t="shared" ca="1" si="19"/>
        <v/>
      </c>
      <c r="AJ36" s="236">
        <f t="shared" ca="1" si="4"/>
        <v>35</v>
      </c>
      <c r="AK36" s="236" t="str">
        <f t="shared" ca="1" si="20"/>
        <v>BBB</v>
      </c>
      <c r="AL36" s="236">
        <f t="shared" ca="1" si="20"/>
        <v>18</v>
      </c>
      <c r="AM36" s="236" t="str">
        <f t="shared" ca="1" si="5"/>
        <v/>
      </c>
      <c r="AQ36" s="286" t="s">
        <v>370</v>
      </c>
      <c r="AR36" s="286" t="s">
        <v>10</v>
      </c>
      <c r="AS36" s="286">
        <v>20</v>
      </c>
      <c r="AT36" s="286" t="s">
        <v>369</v>
      </c>
      <c r="AV36" s="234">
        <f t="shared" si="21"/>
        <v>2</v>
      </c>
      <c r="AW36" s="234">
        <f>COUNTIF( AV$7:AV36, AV36 )</f>
        <v>6</v>
      </c>
      <c r="AX36" s="287">
        <f t="shared" si="22"/>
        <v>2.6</v>
      </c>
      <c r="AY36" s="234">
        <f t="shared" si="23"/>
        <v>7</v>
      </c>
      <c r="AZ36" s="236"/>
      <c r="BA36" s="236"/>
      <c r="BC36" s="234">
        <f t="shared" ca="1" si="24"/>
        <v>30</v>
      </c>
      <c r="BD36" s="288">
        <f t="shared" ca="1" si="7"/>
        <v>17</v>
      </c>
      <c r="BF36" s="240" t="str">
        <f t="shared" ca="1" si="8"/>
        <v>Empire District Electric Company</v>
      </c>
      <c r="BG36" s="240" t="str">
        <f t="shared" ca="1" si="9"/>
        <v>BBB</v>
      </c>
      <c r="BH36" s="240">
        <f t="shared" ca="1" si="9"/>
        <v>18</v>
      </c>
      <c r="BI36" s="240" t="str">
        <f t="shared" ca="1" si="9"/>
        <v>EDE</v>
      </c>
    </row>
    <row r="37" spans="1:61" x14ac:dyDescent="0.2">
      <c r="A37" s="303" t="s">
        <v>36</v>
      </c>
      <c r="B37" s="304" t="s">
        <v>28</v>
      </c>
      <c r="C37" s="304">
        <v>18</v>
      </c>
      <c r="D37" s="304" t="s">
        <v>297</v>
      </c>
      <c r="E37" s="305" t="str">
        <f t="shared" ca="1" si="0"/>
        <v>R</v>
      </c>
      <c r="F37" s="306"/>
      <c r="G37" s="307">
        <f t="shared" ca="1" si="1"/>
        <v>23</v>
      </c>
      <c r="H37" s="250"/>
      <c r="I37" s="321"/>
      <c r="K37" s="321"/>
      <c r="L37" s="264"/>
      <c r="M37" s="235"/>
      <c r="N37" s="321"/>
      <c r="Q37" s="321"/>
      <c r="T37" s="321"/>
      <c r="W37" s="321"/>
      <c r="AF37" s="236">
        <f t="shared" si="2"/>
        <v>0</v>
      </c>
      <c r="AG37" s="236" t="str">
        <f t="shared" ca="1" si="3"/>
        <v/>
      </c>
      <c r="AH37" s="236" t="str">
        <f t="shared" ca="1" si="19"/>
        <v/>
      </c>
      <c r="AJ37" s="236">
        <f t="shared" ca="1" si="4"/>
        <v>36</v>
      </c>
      <c r="AK37" s="236" t="str">
        <f t="shared" ca="1" si="20"/>
        <v>BBB</v>
      </c>
      <c r="AL37" s="236">
        <f t="shared" ca="1" si="20"/>
        <v>18</v>
      </c>
      <c r="AM37" s="236" t="str">
        <f t="shared" ca="1" si="5"/>
        <v/>
      </c>
      <c r="AQ37" s="286" t="s">
        <v>40</v>
      </c>
      <c r="AR37" s="286" t="s">
        <v>49</v>
      </c>
      <c r="AS37" s="286">
        <v>17</v>
      </c>
      <c r="AT37" s="286" t="s">
        <v>311</v>
      </c>
      <c r="AV37" s="234">
        <f t="shared" si="21"/>
        <v>44</v>
      </c>
      <c r="AW37" s="234">
        <f>COUNTIF( AV$7:AV37, AV37 )</f>
        <v>6</v>
      </c>
      <c r="AX37" s="287">
        <f t="shared" si="22"/>
        <v>44.6</v>
      </c>
      <c r="AY37" s="234">
        <f t="shared" si="23"/>
        <v>49</v>
      </c>
      <c r="AZ37" s="236"/>
      <c r="BA37" s="236"/>
      <c r="BC37" s="234">
        <f t="shared" ca="1" si="24"/>
        <v>31</v>
      </c>
      <c r="BD37" s="288">
        <f t="shared" ca="1" si="7"/>
        <v>19</v>
      </c>
      <c r="BF37" s="240" t="str">
        <f t="shared" ca="1" si="8"/>
        <v>Entergy Corporation</v>
      </c>
      <c r="BG37" s="240" t="str">
        <f t="shared" ca="1" si="9"/>
        <v>BBB</v>
      </c>
      <c r="BH37" s="240">
        <f t="shared" ca="1" si="9"/>
        <v>18</v>
      </c>
      <c r="BI37" s="240" t="str">
        <f t="shared" ca="1" si="9"/>
        <v>ETR</v>
      </c>
    </row>
    <row r="38" spans="1:61" x14ac:dyDescent="0.2">
      <c r="A38" s="303" t="s">
        <v>11</v>
      </c>
      <c r="B38" s="304" t="s">
        <v>28</v>
      </c>
      <c r="C38" s="304">
        <v>18</v>
      </c>
      <c r="D38" s="304" t="s">
        <v>298</v>
      </c>
      <c r="E38" s="305" t="str">
        <f t="shared" ca="1" si="0"/>
        <v>MR</v>
      </c>
      <c r="F38" s="306"/>
      <c r="G38" s="307">
        <f t="shared" ca="1" si="1"/>
        <v>24</v>
      </c>
      <c r="H38" s="250"/>
      <c r="I38" s="321"/>
      <c r="J38" s="262"/>
      <c r="K38" s="321"/>
      <c r="L38" s="264"/>
      <c r="M38" s="235"/>
      <c r="N38" s="321"/>
      <c r="Q38" s="321"/>
      <c r="T38" s="321"/>
      <c r="W38" s="321"/>
      <c r="AF38" s="236">
        <f t="shared" si="2"/>
        <v>0</v>
      </c>
      <c r="AG38" s="236" t="str">
        <f t="shared" ca="1" si="3"/>
        <v/>
      </c>
      <c r="AH38" s="236" t="str">
        <f t="shared" ca="1" si="19"/>
        <v/>
      </c>
      <c r="AJ38" s="236">
        <f t="shared" ca="1" si="4"/>
        <v>37</v>
      </c>
      <c r="AK38" s="236" t="str">
        <f t="shared" ca="1" si="20"/>
        <v>BBB</v>
      </c>
      <c r="AL38" s="236">
        <f t="shared" ca="1" si="20"/>
        <v>18</v>
      </c>
      <c r="AM38" s="236" t="str">
        <f t="shared" ca="1" si="5"/>
        <v/>
      </c>
      <c r="AQ38" s="286" t="s">
        <v>513</v>
      </c>
      <c r="AR38" s="286" t="s">
        <v>10</v>
      </c>
      <c r="AS38" s="286">
        <v>20</v>
      </c>
      <c r="AT38" s="289" t="s">
        <v>512</v>
      </c>
      <c r="AV38" s="234">
        <f t="shared" si="21"/>
        <v>2</v>
      </c>
      <c r="AW38" s="234">
        <f>COUNTIF( AV$7:AV38, AV38 )</f>
        <v>7</v>
      </c>
      <c r="AX38" s="287">
        <f t="shared" si="22"/>
        <v>2.7</v>
      </c>
      <c r="AY38" s="234">
        <f t="shared" si="23"/>
        <v>8</v>
      </c>
      <c r="AZ38" s="236"/>
      <c r="BA38" s="236"/>
      <c r="BC38" s="234">
        <f t="shared" ca="1" si="24"/>
        <v>32</v>
      </c>
      <c r="BD38" s="288">
        <f t="shared" ca="1" si="7"/>
        <v>20</v>
      </c>
      <c r="BF38" s="240" t="str">
        <f t="shared" ca="1" si="8"/>
        <v>Exelon Corporation</v>
      </c>
      <c r="BG38" s="240" t="str">
        <f t="shared" ca="1" si="9"/>
        <v>BBB</v>
      </c>
      <c r="BH38" s="240">
        <f t="shared" ca="1" si="9"/>
        <v>18</v>
      </c>
      <c r="BI38" s="240" t="str">
        <f t="shared" ca="1" si="9"/>
        <v>EXC</v>
      </c>
    </row>
    <row r="39" spans="1:61" x14ac:dyDescent="0.2">
      <c r="A39" s="303" t="s">
        <v>261</v>
      </c>
      <c r="B39" s="304" t="s">
        <v>28</v>
      </c>
      <c r="C39" s="304">
        <v>18</v>
      </c>
      <c r="D39" s="304" t="s">
        <v>301</v>
      </c>
      <c r="E39" s="305" t="str">
        <f t="shared" ca="1" si="0"/>
        <v>R</v>
      </c>
      <c r="F39" s="306"/>
      <c r="G39" s="307">
        <f t="shared" ca="1" si="1"/>
        <v>26</v>
      </c>
      <c r="H39" s="250"/>
      <c r="I39" s="321"/>
      <c r="K39" s="321"/>
      <c r="L39" s="264"/>
      <c r="M39" s="235"/>
      <c r="N39" s="321"/>
      <c r="Q39" s="321"/>
      <c r="T39" s="321"/>
      <c r="W39" s="321"/>
      <c r="AF39" s="236">
        <f t="shared" si="2"/>
        <v>0</v>
      </c>
      <c r="AG39" s="236" t="str">
        <f t="shared" ca="1" si="3"/>
        <v/>
      </c>
      <c r="AH39" s="236" t="str">
        <f t="shared" ca="1" si="19"/>
        <v/>
      </c>
      <c r="AJ39" s="236">
        <f t="shared" ca="1" si="4"/>
        <v>38</v>
      </c>
      <c r="AK39" s="236" t="str">
        <f t="shared" ca="1" si="20"/>
        <v>BBB</v>
      </c>
      <c r="AL39" s="236">
        <f t="shared" ca="1" si="20"/>
        <v>18</v>
      </c>
      <c r="AM39" s="236" t="str">
        <f t="shared" ca="1" si="5"/>
        <v/>
      </c>
      <c r="AQ39" s="286" t="s">
        <v>66</v>
      </c>
      <c r="AR39" s="286" t="s">
        <v>28</v>
      </c>
      <c r="AS39" s="286">
        <v>18</v>
      </c>
      <c r="AT39" s="286" t="s">
        <v>315</v>
      </c>
      <c r="AV39" s="234">
        <f t="shared" si="21"/>
        <v>24</v>
      </c>
      <c r="AW39" s="234">
        <f>COUNTIF( AV$7:AV39, AV39 )</f>
        <v>13</v>
      </c>
      <c r="AX39" s="287">
        <f t="shared" si="22"/>
        <v>25.3</v>
      </c>
      <c r="AY39" s="234">
        <f t="shared" si="23"/>
        <v>36</v>
      </c>
      <c r="AZ39" s="236"/>
      <c r="BA39" s="236"/>
      <c r="BC39" s="234">
        <f t="shared" ca="1" si="24"/>
        <v>33</v>
      </c>
      <c r="BD39" s="288">
        <f t="shared" ca="1" si="7"/>
        <v>22</v>
      </c>
      <c r="BF39" s="240" t="str">
        <f t="shared" ref="BF39:BF63" ca="1" si="25">OFFSET( AQ$6, $BD39, 0 )</f>
        <v>Great Plains Energy Inc.</v>
      </c>
      <c r="BG39" s="240" t="str">
        <f t="shared" ca="1" si="9"/>
        <v>BBB</v>
      </c>
      <c r="BH39" s="240">
        <f t="shared" ca="1" si="9"/>
        <v>18</v>
      </c>
      <c r="BI39" s="240" t="str">
        <f t="shared" ca="1" si="9"/>
        <v>GXP</v>
      </c>
    </row>
    <row r="40" spans="1:61" x14ac:dyDescent="0.2">
      <c r="A40" s="303" t="s">
        <v>452</v>
      </c>
      <c r="B40" s="304" t="s">
        <v>28</v>
      </c>
      <c r="C40" s="304">
        <v>18</v>
      </c>
      <c r="D40" s="304" t="s">
        <v>444</v>
      </c>
      <c r="E40" s="305" t="str">
        <f t="shared" ca="1" si="0"/>
        <v>R</v>
      </c>
      <c r="F40" s="306"/>
      <c r="G40" s="307">
        <f t="shared" ca="1" si="1"/>
        <v>58</v>
      </c>
      <c r="H40" s="250"/>
      <c r="I40" s="321"/>
      <c r="J40" s="262"/>
      <c r="K40" s="321"/>
      <c r="L40" s="264"/>
      <c r="M40" s="235"/>
      <c r="N40" s="321"/>
      <c r="Q40" s="321"/>
      <c r="T40" s="321"/>
      <c r="W40" s="321"/>
      <c r="AF40" s="236">
        <f t="shared" si="2"/>
        <v>0</v>
      </c>
      <c r="AG40" s="236" t="str">
        <f t="shared" ca="1" si="3"/>
        <v/>
      </c>
      <c r="AH40" s="236" t="str">
        <f t="shared" ca="1" si="19"/>
        <v/>
      </c>
      <c r="AJ40" s="236">
        <f t="shared" ca="1" si="4"/>
        <v>39</v>
      </c>
      <c r="AK40" s="236" t="str">
        <f t="shared" ca="1" si="20"/>
        <v>BBB</v>
      </c>
      <c r="AL40" s="236">
        <f t="shared" ca="1" si="20"/>
        <v>18</v>
      </c>
      <c r="AM40" s="236" t="str">
        <f t="shared" ca="1" si="5"/>
        <v/>
      </c>
      <c r="AQ40" s="286" t="s">
        <v>266</v>
      </c>
      <c r="AR40" s="286" t="s">
        <v>49</v>
      </c>
      <c r="AS40" s="286">
        <v>17</v>
      </c>
      <c r="AT40" s="286" t="s">
        <v>314</v>
      </c>
      <c r="AV40" s="234">
        <f t="shared" si="21"/>
        <v>44</v>
      </c>
      <c r="AW40" s="234">
        <f>COUNTIF( AV$7:AV40, AV40 )</f>
        <v>7</v>
      </c>
      <c r="AX40" s="287">
        <f t="shared" si="22"/>
        <v>44.7</v>
      </c>
      <c r="AY40" s="234">
        <f t="shared" si="23"/>
        <v>50</v>
      </c>
      <c r="AZ40" s="236"/>
      <c r="BA40" s="236"/>
      <c r="BC40" s="234">
        <f t="shared" ca="1" si="24"/>
        <v>34</v>
      </c>
      <c r="BD40" s="288">
        <f t="shared" ca="1" si="7"/>
        <v>24</v>
      </c>
      <c r="BF40" s="240" t="str">
        <f t="shared" ca="1" si="25"/>
        <v>Iberdrola USA</v>
      </c>
      <c r="BG40" s="240" t="str">
        <f t="shared" ca="1" si="9"/>
        <v>BBB</v>
      </c>
      <c r="BH40" s="240">
        <f t="shared" ca="1" si="9"/>
        <v>18</v>
      </c>
      <c r="BI40" s="240" t="str">
        <f t="shared" ca="1" si="9"/>
        <v>**EAST</v>
      </c>
    </row>
    <row r="41" spans="1:61" x14ac:dyDescent="0.2">
      <c r="A41" s="303" t="s">
        <v>20</v>
      </c>
      <c r="B41" s="304" t="s">
        <v>28</v>
      </c>
      <c r="C41" s="304">
        <v>18</v>
      </c>
      <c r="D41" s="304" t="s">
        <v>303</v>
      </c>
      <c r="E41" s="305" t="str">
        <f t="shared" ca="1" si="0"/>
        <v>R</v>
      </c>
      <c r="F41" s="306"/>
      <c r="G41" s="307">
        <f t="shared" ca="1" si="1"/>
        <v>28</v>
      </c>
      <c r="H41" s="250"/>
      <c r="I41" s="321"/>
      <c r="J41" s="262"/>
      <c r="K41" s="321"/>
      <c r="L41" s="264"/>
      <c r="M41" s="235"/>
      <c r="N41" s="321"/>
      <c r="Q41" s="321"/>
      <c r="T41" s="321"/>
      <c r="W41" s="321"/>
      <c r="AF41" s="236">
        <f t="shared" si="2"/>
        <v>0</v>
      </c>
      <c r="AG41" s="236" t="str">
        <f t="shared" ca="1" si="3"/>
        <v/>
      </c>
      <c r="AH41" s="236" t="str">
        <f t="shared" ca="1" si="19"/>
        <v/>
      </c>
      <c r="AJ41" s="236">
        <f t="shared" ca="1" si="4"/>
        <v>40</v>
      </c>
      <c r="AK41" s="236" t="str">
        <f t="shared" ca="1" si="20"/>
        <v>BBB</v>
      </c>
      <c r="AL41" s="236">
        <f t="shared" ca="1" si="20"/>
        <v>18</v>
      </c>
      <c r="AM41" s="236" t="str">
        <f t="shared" ca="1" si="5"/>
        <v/>
      </c>
      <c r="AQ41" s="286" t="s">
        <v>21</v>
      </c>
      <c r="AR41" s="286" t="s">
        <v>10</v>
      </c>
      <c r="AS41" s="286">
        <v>20</v>
      </c>
      <c r="AT41" s="286" t="s">
        <v>316</v>
      </c>
      <c r="AV41" s="234">
        <f t="shared" si="21"/>
        <v>2</v>
      </c>
      <c r="AW41" s="234">
        <f>COUNTIF( AV$7:AV41, AV41 )</f>
        <v>8</v>
      </c>
      <c r="AX41" s="287">
        <f t="shared" si="22"/>
        <v>2.8</v>
      </c>
      <c r="AY41" s="234">
        <f t="shared" si="23"/>
        <v>9</v>
      </c>
      <c r="AZ41" s="236"/>
      <c r="BA41" s="236"/>
      <c r="BC41" s="234">
        <f t="shared" ca="1" si="24"/>
        <v>35</v>
      </c>
      <c r="BD41" s="288">
        <f t="shared" ca="1" si="7"/>
        <v>25</v>
      </c>
      <c r="BF41" s="240" t="str">
        <f t="shared" ca="1" si="25"/>
        <v>IDACORP, Inc.</v>
      </c>
      <c r="BG41" s="240" t="str">
        <f t="shared" ca="1" si="9"/>
        <v>BBB</v>
      </c>
      <c r="BH41" s="240">
        <f t="shared" ca="1" si="9"/>
        <v>18</v>
      </c>
      <c r="BI41" s="240" t="str">
        <f t="shared" ca="1" si="9"/>
        <v>IDA</v>
      </c>
    </row>
    <row r="42" spans="1:61" x14ac:dyDescent="0.2">
      <c r="A42" s="303" t="s">
        <v>66</v>
      </c>
      <c r="B42" s="304" t="s">
        <v>28</v>
      </c>
      <c r="C42" s="304">
        <v>18</v>
      </c>
      <c r="D42" s="304" t="s">
        <v>315</v>
      </c>
      <c r="E42" s="305" t="str">
        <f t="shared" ca="1" si="0"/>
        <v>R</v>
      </c>
      <c r="F42" s="306"/>
      <c r="G42" s="307">
        <f t="shared" ca="1" si="1"/>
        <v>35</v>
      </c>
      <c r="H42" s="250"/>
      <c r="I42" s="321"/>
      <c r="J42" s="262"/>
      <c r="K42" s="321"/>
      <c r="L42" s="264"/>
      <c r="M42" s="235"/>
      <c r="N42" s="321"/>
      <c r="Q42" s="321"/>
      <c r="T42" s="321"/>
      <c r="W42" s="321"/>
      <c r="AF42" s="236">
        <f t="shared" si="2"/>
        <v>0</v>
      </c>
      <c r="AG42" s="236" t="str">
        <f t="shared" ca="1" si="3"/>
        <v/>
      </c>
      <c r="AH42" s="236" t="str">
        <f t="shared" ca="1" si="19"/>
        <v/>
      </c>
      <c r="AJ42" s="236">
        <f t="shared" ca="1" si="4"/>
        <v>41</v>
      </c>
      <c r="AK42" s="236" t="str">
        <f t="shared" ca="1" si="20"/>
        <v>BBB</v>
      </c>
      <c r="AL42" s="236">
        <f t="shared" ca="1" si="20"/>
        <v>18</v>
      </c>
      <c r="AM42" s="236" t="str">
        <f t="shared" ca="1" si="5"/>
        <v/>
      </c>
      <c r="AQ42" s="286" t="s">
        <v>22</v>
      </c>
      <c r="AR42" s="286" t="s">
        <v>28</v>
      </c>
      <c r="AS42" s="286">
        <v>18</v>
      </c>
      <c r="AT42" s="286" t="s">
        <v>317</v>
      </c>
      <c r="AV42" s="234">
        <f t="shared" si="21"/>
        <v>24</v>
      </c>
      <c r="AW42" s="234">
        <f>COUNTIF( AV$7:AV42, AV42 )</f>
        <v>14</v>
      </c>
      <c r="AX42" s="287">
        <f t="shared" si="22"/>
        <v>25.4</v>
      </c>
      <c r="AY42" s="234">
        <f t="shared" si="23"/>
        <v>37</v>
      </c>
      <c r="AZ42" s="236"/>
      <c r="BA42" s="236"/>
      <c r="BC42" s="234">
        <f t="shared" ca="1" si="24"/>
        <v>36</v>
      </c>
      <c r="BD42" s="288">
        <f t="shared" ca="1" si="7"/>
        <v>33</v>
      </c>
      <c r="BF42" s="240" t="str">
        <f t="shared" ca="1" si="25"/>
        <v>NorthWestern Corporation</v>
      </c>
      <c r="BG42" s="240" t="str">
        <f t="shared" ca="1" si="9"/>
        <v>BBB</v>
      </c>
      <c r="BH42" s="240">
        <f t="shared" ca="1" si="9"/>
        <v>18</v>
      </c>
      <c r="BI42" s="240" t="str">
        <f t="shared" ca="1" si="9"/>
        <v>NWE</v>
      </c>
    </row>
    <row r="43" spans="1:61" x14ac:dyDescent="0.2">
      <c r="A43" s="303" t="s">
        <v>22</v>
      </c>
      <c r="B43" s="304" t="s">
        <v>28</v>
      </c>
      <c r="C43" s="304">
        <v>18</v>
      </c>
      <c r="D43" s="304" t="s">
        <v>317</v>
      </c>
      <c r="E43" s="305" t="str">
        <f t="shared" ca="1" si="0"/>
        <v>MR</v>
      </c>
      <c r="F43" s="306"/>
      <c r="G43" s="307">
        <f t="shared" ca="1" si="1"/>
        <v>38</v>
      </c>
      <c r="H43" s="250"/>
      <c r="I43" s="321"/>
      <c r="J43" s="262"/>
      <c r="K43" s="321"/>
      <c r="L43" s="235"/>
      <c r="M43" s="235"/>
      <c r="N43" s="321"/>
      <c r="Q43" s="321"/>
      <c r="T43" s="321"/>
      <c r="W43" s="321"/>
      <c r="AF43" s="236">
        <f t="shared" si="2"/>
        <v>0</v>
      </c>
      <c r="AG43" s="236">
        <f t="shared" ca="1" si="3"/>
        <v>1</v>
      </c>
      <c r="AH43" s="236" t="str">
        <f t="shared" ca="1" si="19"/>
        <v/>
      </c>
      <c r="AJ43" s="236">
        <f t="shared" ca="1" si="4"/>
        <v>55</v>
      </c>
      <c r="AK43" s="236" t="str">
        <f t="shared" ca="1" si="20"/>
        <v>BBB-</v>
      </c>
      <c r="AL43" s="236">
        <f t="shared" ca="1" si="20"/>
        <v>17</v>
      </c>
      <c r="AM43" s="236" t="str">
        <f t="shared" ca="1" si="5"/>
        <v>Change</v>
      </c>
      <c r="AQ43" s="286" t="s">
        <v>23</v>
      </c>
      <c r="AR43" s="286" t="s">
        <v>16</v>
      </c>
      <c r="AS43" s="286">
        <v>19</v>
      </c>
      <c r="AT43" s="286" t="s">
        <v>323</v>
      </c>
      <c r="AV43" s="234">
        <f t="shared" si="21"/>
        <v>13</v>
      </c>
      <c r="AW43" s="234">
        <f>COUNTIF( AV$7:AV43, AV43 )</f>
        <v>6</v>
      </c>
      <c r="AX43" s="287">
        <f t="shared" si="22"/>
        <v>13.6</v>
      </c>
      <c r="AY43" s="234">
        <f t="shared" si="23"/>
        <v>18</v>
      </c>
      <c r="AZ43" s="236"/>
      <c r="BA43" s="236"/>
      <c r="BC43" s="234">
        <f t="shared" ca="1" si="24"/>
        <v>37</v>
      </c>
      <c r="BD43" s="288">
        <f t="shared" ca="1" si="7"/>
        <v>36</v>
      </c>
      <c r="BF43" s="240" t="str">
        <f t="shared" ca="1" si="25"/>
        <v>Otter Tail Corporation</v>
      </c>
      <c r="BG43" s="240" t="str">
        <f t="shared" ca="1" si="9"/>
        <v>BBB</v>
      </c>
      <c r="BH43" s="240">
        <f t="shared" ca="1" si="9"/>
        <v>18</v>
      </c>
      <c r="BI43" s="240" t="str">
        <f t="shared" ca="1" si="9"/>
        <v>OTTR</v>
      </c>
    </row>
    <row r="44" spans="1:61" x14ac:dyDescent="0.2">
      <c r="A44" s="303" t="s">
        <v>53</v>
      </c>
      <c r="B44" s="304" t="s">
        <v>28</v>
      </c>
      <c r="C44" s="304">
        <v>18</v>
      </c>
      <c r="D44" s="304" t="s">
        <v>318</v>
      </c>
      <c r="E44" s="305" t="str">
        <f t="shared" ca="1" si="0"/>
        <v>R</v>
      </c>
      <c r="F44" s="306"/>
      <c r="G44" s="307">
        <f t="shared" ca="1" si="1"/>
        <v>40</v>
      </c>
      <c r="H44" s="250"/>
      <c r="I44" s="321"/>
      <c r="J44" s="262"/>
      <c r="K44" s="321"/>
      <c r="L44" s="235"/>
      <c r="M44" s="235"/>
      <c r="N44" s="321"/>
      <c r="Q44" s="321"/>
      <c r="T44" s="321"/>
      <c r="W44" s="321"/>
      <c r="AF44" s="236">
        <f t="shared" si="2"/>
        <v>0</v>
      </c>
      <c r="AG44" s="236" t="str">
        <f t="shared" ca="1" si="3"/>
        <v/>
      </c>
      <c r="AH44" s="236" t="str">
        <f t="shared" ca="1" si="19"/>
        <v/>
      </c>
      <c r="AJ44" s="236">
        <f t="shared" ca="1" si="4"/>
        <v>42</v>
      </c>
      <c r="AK44" s="236" t="str">
        <f t="shared" ca="1" si="20"/>
        <v>BBB</v>
      </c>
      <c r="AL44" s="236">
        <f t="shared" ca="1" si="20"/>
        <v>18</v>
      </c>
      <c r="AM44" s="236" t="str">
        <f t="shared" ca="1" si="5"/>
        <v/>
      </c>
      <c r="AQ44" s="286" t="s">
        <v>53</v>
      </c>
      <c r="AR44" s="286" t="s">
        <v>28</v>
      </c>
      <c r="AS44" s="286">
        <v>18</v>
      </c>
      <c r="AT44" s="286" t="s">
        <v>318</v>
      </c>
      <c r="AV44" s="234">
        <f t="shared" si="21"/>
        <v>24</v>
      </c>
      <c r="AW44" s="234">
        <f>COUNTIF( AV$7:AV44, AV44 )</f>
        <v>15</v>
      </c>
      <c r="AX44" s="287">
        <f t="shared" si="22"/>
        <v>25.5</v>
      </c>
      <c r="AY44" s="234">
        <f t="shared" si="23"/>
        <v>38</v>
      </c>
      <c r="AZ44" s="236"/>
      <c r="BA44" s="236"/>
      <c r="BC44" s="234">
        <f t="shared" ca="1" si="24"/>
        <v>38</v>
      </c>
      <c r="BD44" s="288">
        <f t="shared" ca="1" si="7"/>
        <v>38</v>
      </c>
      <c r="BF44" s="240" t="str">
        <f t="shared" ca="1" si="25"/>
        <v>PG&amp;E Corporation</v>
      </c>
      <c r="BG44" s="240" t="str">
        <f t="shared" ca="1" si="9"/>
        <v>BBB</v>
      </c>
      <c r="BH44" s="240">
        <f t="shared" ca="1" si="9"/>
        <v>18</v>
      </c>
      <c r="BI44" s="240" t="str">
        <f t="shared" ca="1" si="9"/>
        <v>PCG</v>
      </c>
    </row>
    <row r="45" spans="1:61" x14ac:dyDescent="0.2">
      <c r="A45" s="303" t="s">
        <v>42</v>
      </c>
      <c r="B45" s="304" t="s">
        <v>28</v>
      </c>
      <c r="C45" s="304">
        <v>18</v>
      </c>
      <c r="D45" s="304" t="s">
        <v>321</v>
      </c>
      <c r="E45" s="305" t="str">
        <f t="shared" ca="1" si="0"/>
        <v>R</v>
      </c>
      <c r="F45" s="306"/>
      <c r="G45" s="307">
        <f t="shared" ca="1" si="1"/>
        <v>42</v>
      </c>
      <c r="H45" s="250"/>
      <c r="I45" s="321"/>
      <c r="J45" s="262"/>
      <c r="K45" s="321"/>
      <c r="L45" s="235"/>
      <c r="M45" s="235"/>
      <c r="N45" s="321"/>
      <c r="Q45" s="321"/>
      <c r="T45" s="321"/>
      <c r="W45" s="321"/>
      <c r="AF45" s="236">
        <f t="shared" si="2"/>
        <v>0</v>
      </c>
      <c r="AG45" s="236">
        <f t="shared" ca="1" si="3"/>
        <v>1</v>
      </c>
      <c r="AH45" s="236" t="str">
        <f t="shared" ca="1" si="19"/>
        <v/>
      </c>
      <c r="AJ45" s="236">
        <f t="shared" ca="1" si="4"/>
        <v>56</v>
      </c>
      <c r="AK45" s="236" t="str">
        <f t="shared" ca="1" si="20"/>
        <v>BBB-</v>
      </c>
      <c r="AL45" s="236">
        <f t="shared" ca="1" si="20"/>
        <v>17</v>
      </c>
      <c r="AM45" s="236" t="str">
        <f t="shared" ca="1" si="5"/>
        <v>Change</v>
      </c>
      <c r="AQ45" s="286" t="s">
        <v>41</v>
      </c>
      <c r="AR45" s="286" t="s">
        <v>16</v>
      </c>
      <c r="AS45" s="286">
        <v>19</v>
      </c>
      <c r="AT45" s="286" t="s">
        <v>322</v>
      </c>
      <c r="AV45" s="234">
        <f t="shared" si="21"/>
        <v>13</v>
      </c>
      <c r="AW45" s="234">
        <f>COUNTIF( AV$7:AV45, AV45 )</f>
        <v>7</v>
      </c>
      <c r="AX45" s="287">
        <f t="shared" si="22"/>
        <v>13.7</v>
      </c>
      <c r="AY45" s="234">
        <f t="shared" si="23"/>
        <v>19</v>
      </c>
      <c r="AZ45" s="236"/>
      <c r="BA45" s="236"/>
      <c r="BC45" s="234">
        <f t="shared" ca="1" si="24"/>
        <v>39</v>
      </c>
      <c r="BD45" s="288">
        <f t="shared" ca="1" si="7"/>
        <v>40</v>
      </c>
      <c r="BF45" s="240" t="str">
        <f t="shared" ca="1" si="25"/>
        <v>PNM Resources, Inc.</v>
      </c>
      <c r="BG45" s="240" t="str">
        <f t="shared" ca="1" si="9"/>
        <v>BBB</v>
      </c>
      <c r="BH45" s="240">
        <f t="shared" ca="1" si="9"/>
        <v>18</v>
      </c>
      <c r="BI45" s="240" t="str">
        <f t="shared" ca="1" si="9"/>
        <v>PNM</v>
      </c>
    </row>
    <row r="46" spans="1:61" x14ac:dyDescent="0.2">
      <c r="A46" s="303" t="s">
        <v>24</v>
      </c>
      <c r="B46" s="304" t="s">
        <v>28</v>
      </c>
      <c r="C46" s="304">
        <v>18</v>
      </c>
      <c r="D46" s="304" t="s">
        <v>324</v>
      </c>
      <c r="E46" s="305" t="str">
        <f t="shared" ca="1" si="0"/>
        <v>R</v>
      </c>
      <c r="F46" s="306"/>
      <c r="G46" s="307">
        <f t="shared" ca="1" si="1"/>
        <v>43</v>
      </c>
      <c r="H46" s="250"/>
      <c r="I46" s="262"/>
      <c r="K46" s="262"/>
      <c r="N46" s="257"/>
      <c r="W46" s="262"/>
      <c r="AF46" s="236">
        <f t="shared" si="2"/>
        <v>0</v>
      </c>
      <c r="AG46" s="236" t="str">
        <f t="shared" ca="1" si="3"/>
        <v/>
      </c>
      <c r="AH46" s="236" t="str">
        <f t="shared" ca="1" si="19"/>
        <v/>
      </c>
      <c r="AJ46" s="236">
        <f t="shared" ca="1" si="4"/>
        <v>43</v>
      </c>
      <c r="AK46" s="236" t="str">
        <f t="shared" ca="1" si="20"/>
        <v>BBB</v>
      </c>
      <c r="AL46" s="236">
        <f t="shared" ca="1" si="20"/>
        <v>18</v>
      </c>
      <c r="AM46" s="236" t="str">
        <f t="shared" ca="1" si="5"/>
        <v/>
      </c>
      <c r="AQ46" s="286" t="s">
        <v>42</v>
      </c>
      <c r="AR46" s="286" t="s">
        <v>28</v>
      </c>
      <c r="AS46" s="286">
        <v>18</v>
      </c>
      <c r="AT46" s="286" t="s">
        <v>321</v>
      </c>
      <c r="AV46" s="234">
        <f t="shared" si="21"/>
        <v>24</v>
      </c>
      <c r="AW46" s="234">
        <f>COUNTIF( AV$7:AV46, AV46 )</f>
        <v>16</v>
      </c>
      <c r="AX46" s="287">
        <f t="shared" si="22"/>
        <v>25.6</v>
      </c>
      <c r="AY46" s="234">
        <f t="shared" si="23"/>
        <v>39</v>
      </c>
      <c r="AZ46" s="236"/>
      <c r="BA46" s="236"/>
      <c r="BC46" s="234">
        <f t="shared" ca="1" si="24"/>
        <v>40</v>
      </c>
      <c r="BD46" s="288">
        <f t="shared" ca="1" si="7"/>
        <v>41</v>
      </c>
      <c r="BF46" s="240" t="str">
        <f t="shared" ca="1" si="25"/>
        <v>Portland General Electric Company</v>
      </c>
      <c r="BG46" s="240" t="str">
        <f t="shared" ca="1" si="9"/>
        <v>BBB</v>
      </c>
      <c r="BH46" s="240">
        <f t="shared" ca="1" si="9"/>
        <v>18</v>
      </c>
      <c r="BI46" s="240" t="str">
        <f t="shared" ca="1" si="9"/>
        <v>POR</v>
      </c>
    </row>
    <row r="47" spans="1:61" x14ac:dyDescent="0.2">
      <c r="A47" s="303" t="s">
        <v>43</v>
      </c>
      <c r="B47" s="304" t="s">
        <v>28</v>
      </c>
      <c r="C47" s="304">
        <v>18</v>
      </c>
      <c r="D47" s="304" t="s">
        <v>325</v>
      </c>
      <c r="E47" s="305" t="str">
        <f t="shared" ca="1" si="0"/>
        <v>MR</v>
      </c>
      <c r="F47" s="306"/>
      <c r="G47" s="307">
        <f t="shared" ca="1" si="1"/>
        <v>44</v>
      </c>
      <c r="H47" s="250"/>
      <c r="I47" s="250"/>
      <c r="J47" s="258" t="s">
        <v>268</v>
      </c>
      <c r="K47" s="262"/>
      <c r="M47" s="253"/>
      <c r="N47" s="253"/>
      <c r="AF47" s="236">
        <f t="shared" si="2"/>
        <v>0</v>
      </c>
      <c r="AG47" s="236" t="str">
        <f t="shared" ca="1" si="3"/>
        <v/>
      </c>
      <c r="AH47" s="236" t="str">
        <f t="shared" ca="1" si="19"/>
        <v/>
      </c>
      <c r="AJ47" s="236">
        <f t="shared" ca="1" si="4"/>
        <v>44</v>
      </c>
      <c r="AK47" s="236" t="str">
        <f t="shared" ca="1" si="20"/>
        <v>BBB</v>
      </c>
      <c r="AL47" s="236">
        <f t="shared" ca="1" si="20"/>
        <v>18</v>
      </c>
      <c r="AM47" s="236" t="str">
        <f t="shared" ca="1" si="5"/>
        <v/>
      </c>
      <c r="AQ47" s="286" t="s">
        <v>24</v>
      </c>
      <c r="AR47" s="286" t="s">
        <v>28</v>
      </c>
      <c r="AS47" s="286">
        <v>18</v>
      </c>
      <c r="AT47" s="286" t="s">
        <v>324</v>
      </c>
      <c r="AV47" s="234">
        <f t="shared" si="21"/>
        <v>24</v>
      </c>
      <c r="AW47" s="234">
        <f>COUNTIF( AV$7:AV47, AV47 )</f>
        <v>17</v>
      </c>
      <c r="AX47" s="287">
        <f t="shared" si="22"/>
        <v>25.7</v>
      </c>
      <c r="AY47" s="234">
        <f t="shared" si="23"/>
        <v>40</v>
      </c>
      <c r="AZ47" s="236"/>
      <c r="BA47" s="236"/>
      <c r="BC47" s="234">
        <f t="shared" ca="1" si="24"/>
        <v>41</v>
      </c>
      <c r="BD47" s="288">
        <f t="shared" ca="1" si="7"/>
        <v>42</v>
      </c>
      <c r="BF47" s="240" t="str">
        <f t="shared" ca="1" si="25"/>
        <v>PPL Corporation</v>
      </c>
      <c r="BG47" s="240" t="str">
        <f t="shared" ca="1" si="9"/>
        <v>BBB</v>
      </c>
      <c r="BH47" s="240">
        <f t="shared" ca="1" si="9"/>
        <v>18</v>
      </c>
      <c r="BI47" s="240" t="str">
        <f t="shared" ca="1" si="9"/>
        <v>PPL</v>
      </c>
    </row>
    <row r="48" spans="1:61" x14ac:dyDescent="0.2">
      <c r="A48" s="303" t="s">
        <v>75</v>
      </c>
      <c r="B48" s="304" t="s">
        <v>28</v>
      </c>
      <c r="C48" s="304">
        <v>18</v>
      </c>
      <c r="D48" s="304" t="s">
        <v>332</v>
      </c>
      <c r="E48" s="305" t="str">
        <f t="shared" ca="1" si="0"/>
        <v>R</v>
      </c>
      <c r="F48" s="306"/>
      <c r="G48" s="307">
        <f t="shared" ca="1" si="1"/>
        <v>50</v>
      </c>
      <c r="H48" s="250"/>
      <c r="I48" s="250"/>
      <c r="K48" s="262"/>
      <c r="M48" s="253"/>
      <c r="N48" s="253"/>
      <c r="AF48" s="236">
        <f t="shared" si="2"/>
        <v>0</v>
      </c>
      <c r="AG48" s="236" t="str">
        <f t="shared" ca="1" si="3"/>
        <v/>
      </c>
      <c r="AH48" s="236" t="str">
        <f t="shared" ca="1" si="19"/>
        <v/>
      </c>
      <c r="AJ48" s="236">
        <f t="shared" ca="1" si="4"/>
        <v>46</v>
      </c>
      <c r="AK48" s="236" t="str">
        <f t="shared" ca="1" si="20"/>
        <v>BBB</v>
      </c>
      <c r="AL48" s="236">
        <f t="shared" ca="1" si="20"/>
        <v>18</v>
      </c>
      <c r="AM48" s="236" t="str">
        <f t="shared" ca="1" si="5"/>
        <v/>
      </c>
      <c r="AQ48" s="286" t="s">
        <v>43</v>
      </c>
      <c r="AR48" s="286" t="s">
        <v>28</v>
      </c>
      <c r="AS48" s="286">
        <v>18</v>
      </c>
      <c r="AT48" s="286" t="s">
        <v>325</v>
      </c>
      <c r="AV48" s="234">
        <f t="shared" si="21"/>
        <v>24</v>
      </c>
      <c r="AW48" s="234">
        <f>COUNTIF( AV$7:AV48, AV48 )</f>
        <v>18</v>
      </c>
      <c r="AX48" s="287">
        <f t="shared" si="22"/>
        <v>25.8</v>
      </c>
      <c r="AY48" s="234">
        <f t="shared" si="23"/>
        <v>41</v>
      </c>
      <c r="AZ48" s="236"/>
      <c r="BA48" s="236"/>
      <c r="BC48" s="234">
        <f t="shared" ca="1" si="24"/>
        <v>42</v>
      </c>
      <c r="BD48" s="288">
        <f t="shared" ca="1" si="7"/>
        <v>49</v>
      </c>
      <c r="BF48" s="240" t="str">
        <f t="shared" ca="1" si="25"/>
        <v>UIL Holdings Corporation</v>
      </c>
      <c r="BG48" s="240" t="str">
        <f t="shared" ca="1" si="9"/>
        <v>BBB</v>
      </c>
      <c r="BH48" s="240">
        <f t="shared" ca="1" si="9"/>
        <v>18</v>
      </c>
      <c r="BI48" s="240" t="str">
        <f t="shared" ca="1" si="9"/>
        <v>UIL</v>
      </c>
    </row>
    <row r="49" spans="1:61" x14ac:dyDescent="0.2">
      <c r="A49" s="303" t="s">
        <v>59</v>
      </c>
      <c r="B49" s="304" t="s">
        <v>28</v>
      </c>
      <c r="C49" s="304">
        <v>18</v>
      </c>
      <c r="D49" s="304" t="s">
        <v>337</v>
      </c>
      <c r="E49" s="305" t="str">
        <f t="shared" ca="1" si="0"/>
        <v>R</v>
      </c>
      <c r="F49" s="306"/>
      <c r="G49" s="307">
        <f t="shared" ca="1" si="1"/>
        <v>54</v>
      </c>
      <c r="H49" s="250"/>
      <c r="I49" s="250"/>
      <c r="J49" s="262"/>
      <c r="K49" s="262"/>
      <c r="M49" s="253"/>
      <c r="N49" s="253"/>
      <c r="AF49" s="236">
        <f t="shared" si="2"/>
        <v>0</v>
      </c>
      <c r="AG49" s="236" t="str">
        <f t="shared" ca="1" si="3"/>
        <v/>
      </c>
      <c r="AH49" s="236" t="str">
        <f t="shared" ca="1" si="19"/>
        <v/>
      </c>
      <c r="AJ49" s="236">
        <f t="shared" ca="1" si="4"/>
        <v>47</v>
      </c>
      <c r="AK49" s="236" t="str">
        <f t="shared" ca="1" si="20"/>
        <v>BBB</v>
      </c>
      <c r="AL49" s="236">
        <f t="shared" ca="1" si="20"/>
        <v>18</v>
      </c>
      <c r="AM49" s="236" t="str">
        <f t="shared" ca="1" si="5"/>
        <v/>
      </c>
      <c r="AQ49" s="286" t="s">
        <v>45</v>
      </c>
      <c r="AR49" s="286" t="s">
        <v>16</v>
      </c>
      <c r="AS49" s="286">
        <v>19</v>
      </c>
      <c r="AT49" s="286" t="s">
        <v>319</v>
      </c>
      <c r="AV49" s="234">
        <f t="shared" si="21"/>
        <v>13</v>
      </c>
      <c r="AW49" s="234">
        <f>COUNTIF( AV$7:AV49, AV49 )</f>
        <v>8</v>
      </c>
      <c r="AX49" s="287">
        <f t="shared" si="22"/>
        <v>13.8</v>
      </c>
      <c r="AY49" s="234">
        <f t="shared" si="23"/>
        <v>20</v>
      </c>
      <c r="AZ49" s="236"/>
      <c r="BA49" s="236"/>
      <c r="BC49" s="234">
        <f t="shared" ca="1" si="24"/>
        <v>43</v>
      </c>
      <c r="BD49" s="288">
        <f t="shared" ca="1" si="7"/>
        <v>51</v>
      </c>
      <c r="BF49" s="240" t="str">
        <f t="shared" ca="1" si="25"/>
        <v>Westar Energy, Inc.</v>
      </c>
      <c r="BG49" s="240" t="str">
        <f t="shared" ca="1" si="9"/>
        <v>BBB</v>
      </c>
      <c r="BH49" s="240">
        <f t="shared" ca="1" si="9"/>
        <v>18</v>
      </c>
      <c r="BI49" s="240" t="str">
        <f t="shared" ca="1" si="9"/>
        <v>WR</v>
      </c>
    </row>
    <row r="50" spans="1:61" x14ac:dyDescent="0.2">
      <c r="A50" s="303" t="s">
        <v>48</v>
      </c>
      <c r="B50" s="304" t="s">
        <v>49</v>
      </c>
      <c r="C50" s="304">
        <v>17</v>
      </c>
      <c r="D50" s="304" t="s">
        <v>280</v>
      </c>
      <c r="E50" s="305" t="str">
        <f t="shared" ca="1" si="0"/>
        <v>R</v>
      </c>
      <c r="F50" s="306"/>
      <c r="G50" s="307">
        <f t="shared" ca="1" si="1"/>
        <v>12</v>
      </c>
      <c r="H50" s="250"/>
      <c r="I50" s="250"/>
      <c r="J50" s="262"/>
      <c r="K50" s="262"/>
      <c r="L50" s="235"/>
      <c r="M50" s="257"/>
      <c r="N50" s="257"/>
      <c r="AF50" s="236">
        <f t="shared" si="2"/>
        <v>1</v>
      </c>
      <c r="AG50" s="236" t="str">
        <f t="shared" ca="1" si="3"/>
        <v/>
      </c>
      <c r="AH50" s="236" t="str">
        <f t="shared" ca="1" si="19"/>
        <v/>
      </c>
      <c r="AJ50" s="236">
        <f t="shared" ca="1" si="4"/>
        <v>48</v>
      </c>
      <c r="AK50" s="236" t="str">
        <f t="shared" ca="1" si="20"/>
        <v>BBB-</v>
      </c>
      <c r="AL50" s="236">
        <f t="shared" ca="1" si="20"/>
        <v>17</v>
      </c>
      <c r="AM50" s="236" t="str">
        <f t="shared" ca="1" si="5"/>
        <v/>
      </c>
      <c r="AQ50" s="286" t="s">
        <v>54</v>
      </c>
      <c r="AR50" s="286" t="s">
        <v>56</v>
      </c>
      <c r="AS50" s="286">
        <v>16</v>
      </c>
      <c r="AT50" s="286" t="s">
        <v>449</v>
      </c>
      <c r="AV50" s="234">
        <f t="shared" si="21"/>
        <v>51</v>
      </c>
      <c r="AW50" s="234">
        <f>COUNTIF( AV$7:AV50, AV50 )</f>
        <v>1</v>
      </c>
      <c r="AX50" s="287">
        <f t="shared" si="22"/>
        <v>51.1</v>
      </c>
      <c r="AY50" s="234">
        <f t="shared" si="23"/>
        <v>51</v>
      </c>
      <c r="AZ50" s="236"/>
      <c r="BA50" s="236"/>
      <c r="BC50" s="234">
        <f t="shared" ca="1" si="24"/>
        <v>44</v>
      </c>
      <c r="BD50" s="288">
        <f t="shared" ca="1" si="7"/>
        <v>6</v>
      </c>
      <c r="BF50" s="240" t="str">
        <f t="shared" ca="1" si="25"/>
        <v>Black Hills Corporation</v>
      </c>
      <c r="BG50" s="240" t="str">
        <f t="shared" ca="1" si="9"/>
        <v>BBB-</v>
      </c>
      <c r="BH50" s="240">
        <f t="shared" ca="1" si="9"/>
        <v>17</v>
      </c>
      <c r="BI50" s="240" t="str">
        <f t="shared" ca="1" si="9"/>
        <v>BKH</v>
      </c>
    </row>
    <row r="51" spans="1:61" x14ac:dyDescent="0.2">
      <c r="A51" s="303" t="s">
        <v>57</v>
      </c>
      <c r="B51" s="304" t="s">
        <v>49</v>
      </c>
      <c r="C51" s="304">
        <v>17</v>
      </c>
      <c r="D51" s="304" t="s">
        <v>296</v>
      </c>
      <c r="E51" s="305" t="str">
        <f t="shared" ca="1" si="0"/>
        <v>R</v>
      </c>
      <c r="F51" s="306"/>
      <c r="G51" s="307">
        <f t="shared" ca="1" si="1"/>
        <v>20</v>
      </c>
      <c r="H51" s="250"/>
      <c r="I51" s="250"/>
      <c r="J51" s="262"/>
      <c r="K51" s="262"/>
      <c r="L51" s="235"/>
      <c r="M51" s="257"/>
      <c r="N51" s="257"/>
      <c r="AF51" s="236">
        <f t="shared" si="2"/>
        <v>1</v>
      </c>
      <c r="AG51" s="236" t="str">
        <f t="shared" ca="1" si="3"/>
        <v/>
      </c>
      <c r="AH51" s="236" t="str">
        <f t="shared" ca="1" si="19"/>
        <v/>
      </c>
      <c r="AJ51" s="236">
        <f t="shared" ca="1" si="4"/>
        <v>49</v>
      </c>
      <c r="AK51" s="236" t="str">
        <f t="shared" ca="1" si="20"/>
        <v>BBB-</v>
      </c>
      <c r="AL51" s="236">
        <f t="shared" ca="1" si="20"/>
        <v>17</v>
      </c>
      <c r="AM51" s="236" t="str">
        <f t="shared" ca="1" si="5"/>
        <v/>
      </c>
      <c r="AQ51" s="286" t="s">
        <v>13</v>
      </c>
      <c r="AR51" s="286" t="s">
        <v>16</v>
      </c>
      <c r="AS51" s="286">
        <v>19</v>
      </c>
      <c r="AT51" s="286" t="s">
        <v>327</v>
      </c>
      <c r="AV51" s="234">
        <f t="shared" si="21"/>
        <v>13</v>
      </c>
      <c r="AW51" s="234">
        <f>COUNTIF( AV$7:AV51, AV51 )</f>
        <v>9</v>
      </c>
      <c r="AX51" s="287">
        <f t="shared" si="22"/>
        <v>13.9</v>
      </c>
      <c r="AY51" s="234">
        <f t="shared" si="23"/>
        <v>21</v>
      </c>
      <c r="AZ51" s="236"/>
      <c r="BA51" s="236"/>
      <c r="BC51" s="234">
        <f t="shared" ca="1" si="24"/>
        <v>45</v>
      </c>
      <c r="BD51" s="288">
        <f t="shared" ca="1" si="7"/>
        <v>15</v>
      </c>
      <c r="BF51" s="240" t="str">
        <f t="shared" ca="1" si="25"/>
        <v>Edison International</v>
      </c>
      <c r="BG51" s="240" t="str">
        <f t="shared" ca="1" si="9"/>
        <v>BBB-</v>
      </c>
      <c r="BH51" s="240">
        <f t="shared" ca="1" si="9"/>
        <v>17</v>
      </c>
      <c r="BI51" s="240" t="str">
        <f t="shared" ca="1" si="9"/>
        <v>EIX</v>
      </c>
    </row>
    <row r="52" spans="1:61" x14ac:dyDescent="0.2">
      <c r="A52" s="303" t="s">
        <v>51</v>
      </c>
      <c r="B52" s="304" t="s">
        <v>49</v>
      </c>
      <c r="C52" s="304">
        <v>17</v>
      </c>
      <c r="D52" s="304" t="s">
        <v>299</v>
      </c>
      <c r="E52" s="305" t="str">
        <f t="shared" ca="1" si="0"/>
        <v>MR</v>
      </c>
      <c r="F52" s="306"/>
      <c r="G52" s="307">
        <f t="shared" ca="1" si="1"/>
        <v>25</v>
      </c>
      <c r="H52" s="250"/>
      <c r="I52" s="250"/>
      <c r="J52" s="262"/>
      <c r="K52" s="262"/>
      <c r="AF52" s="236">
        <f t="shared" si="2"/>
        <v>1</v>
      </c>
      <c r="AG52" s="236" t="str">
        <f t="shared" ca="1" si="3"/>
        <v/>
      </c>
      <c r="AH52" s="236" t="str">
        <f t="shared" ca="1" si="19"/>
        <v/>
      </c>
      <c r="AJ52" s="236">
        <f t="shared" ca="1" si="4"/>
        <v>50</v>
      </c>
      <c r="AK52" s="236" t="str">
        <f t="shared" ca="1" si="20"/>
        <v>BBB-</v>
      </c>
      <c r="AL52" s="236">
        <f t="shared" ca="1" si="20"/>
        <v>17</v>
      </c>
      <c r="AM52" s="236" t="str">
        <f t="shared" ca="1" si="5"/>
        <v/>
      </c>
      <c r="AQ52" s="286" t="s">
        <v>25</v>
      </c>
      <c r="AR52" s="286" t="s">
        <v>16</v>
      </c>
      <c r="AS52" s="286">
        <v>19</v>
      </c>
      <c r="AT52" s="286" t="s">
        <v>329</v>
      </c>
      <c r="AV52" s="234">
        <f t="shared" si="21"/>
        <v>13</v>
      </c>
      <c r="AW52" s="234">
        <f>COUNTIF( AV$7:AV52, AV52 )</f>
        <v>10</v>
      </c>
      <c r="AX52" s="287">
        <f t="shared" si="22"/>
        <v>14</v>
      </c>
      <c r="AY52" s="234">
        <f t="shared" si="23"/>
        <v>22</v>
      </c>
      <c r="AZ52" s="236"/>
      <c r="BA52" s="236"/>
      <c r="BC52" s="234">
        <f t="shared" ca="1" si="24"/>
        <v>46</v>
      </c>
      <c r="BD52" s="288">
        <f t="shared" ca="1" si="7"/>
        <v>21</v>
      </c>
      <c r="BF52" s="240" t="str">
        <f t="shared" ca="1" si="25"/>
        <v>FirstEnergy Corp.</v>
      </c>
      <c r="BG52" s="240" t="str">
        <f t="shared" ca="1" si="9"/>
        <v>BBB-</v>
      </c>
      <c r="BH52" s="240">
        <f t="shared" ca="1" si="9"/>
        <v>17</v>
      </c>
      <c r="BI52" s="240" t="str">
        <f t="shared" ca="1" si="9"/>
        <v>FE</v>
      </c>
    </row>
    <row r="53" spans="1:61" x14ac:dyDescent="0.2">
      <c r="A53" s="303" t="s">
        <v>39</v>
      </c>
      <c r="B53" s="304" t="s">
        <v>49</v>
      </c>
      <c r="C53" s="304">
        <v>17</v>
      </c>
      <c r="D53" s="304" t="s">
        <v>302</v>
      </c>
      <c r="E53" s="305" t="str">
        <f t="shared" ca="1" si="0"/>
        <v>MR</v>
      </c>
      <c r="F53" s="306"/>
      <c r="G53" s="307">
        <f t="shared" ca="1" si="1"/>
        <v>27</v>
      </c>
      <c r="H53" s="250"/>
      <c r="I53" s="250"/>
      <c r="J53" s="262"/>
      <c r="K53" s="262"/>
      <c r="AF53" s="236">
        <f t="shared" si="2"/>
        <v>1</v>
      </c>
      <c r="AG53" s="236" t="str">
        <f t="shared" ca="1" si="3"/>
        <v/>
      </c>
      <c r="AH53" s="236" t="str">
        <f t="shared" ca="1" si="19"/>
        <v/>
      </c>
      <c r="AJ53" s="236">
        <f t="shared" ca="1" si="4"/>
        <v>51</v>
      </c>
      <c r="AK53" s="236" t="str">
        <f t="shared" ca="1" si="20"/>
        <v>BBB-</v>
      </c>
      <c r="AL53" s="236">
        <f t="shared" ca="1" si="20"/>
        <v>17</v>
      </c>
      <c r="AM53" s="236" t="str">
        <f t="shared" ca="1" si="5"/>
        <v/>
      </c>
      <c r="AQ53" s="286" t="s">
        <v>7</v>
      </c>
      <c r="AR53" s="286" t="s">
        <v>2</v>
      </c>
      <c r="AS53" s="286">
        <v>21</v>
      </c>
      <c r="AT53" s="286" t="s">
        <v>328</v>
      </c>
      <c r="AV53" s="234">
        <f t="shared" si="21"/>
        <v>1</v>
      </c>
      <c r="AW53" s="234">
        <f>COUNTIF( AV$7:AV53, AV53 )</f>
        <v>1</v>
      </c>
      <c r="AX53" s="287">
        <f t="shared" si="22"/>
        <v>1.1000000000000001</v>
      </c>
      <c r="AY53" s="234">
        <f t="shared" si="23"/>
        <v>1</v>
      </c>
      <c r="AZ53" s="236"/>
      <c r="BA53" s="236"/>
      <c r="BC53" s="234">
        <f t="shared" ca="1" si="24"/>
        <v>47</v>
      </c>
      <c r="BD53" s="288">
        <f t="shared" ca="1" si="7"/>
        <v>23</v>
      </c>
      <c r="BF53" s="240" t="str">
        <f t="shared" ca="1" si="25"/>
        <v>Hawaiian Electric Industries, Inc.</v>
      </c>
      <c r="BG53" s="240" t="str">
        <f t="shared" ca="1" si="9"/>
        <v>BBB-</v>
      </c>
      <c r="BH53" s="240">
        <f t="shared" ca="1" si="9"/>
        <v>17</v>
      </c>
      <c r="BI53" s="240" t="str">
        <f t="shared" ca="1" si="9"/>
        <v>HE</v>
      </c>
    </row>
    <row r="54" spans="1:61" x14ac:dyDescent="0.2">
      <c r="A54" s="303" t="s">
        <v>58</v>
      </c>
      <c r="B54" s="304" t="s">
        <v>49</v>
      </c>
      <c r="C54" s="304">
        <v>17</v>
      </c>
      <c r="D54" s="304" t="s">
        <v>446</v>
      </c>
      <c r="E54" s="305" t="str">
        <f t="shared" ca="1" si="0"/>
        <v>R</v>
      </c>
      <c r="F54" s="306"/>
      <c r="G54" s="307">
        <f t="shared" ca="1" si="1"/>
        <v>61</v>
      </c>
      <c r="H54" s="250"/>
      <c r="I54" s="250"/>
      <c r="J54" s="262"/>
      <c r="K54" s="262"/>
      <c r="AF54" s="236">
        <f t="shared" si="2"/>
        <v>1</v>
      </c>
      <c r="AG54" s="236" t="str">
        <f t="shared" ca="1" si="3"/>
        <v/>
      </c>
      <c r="AH54" s="236" t="str">
        <f t="shared" ca="1" si="19"/>
        <v/>
      </c>
      <c r="AJ54" s="236">
        <f t="shared" ca="1" si="4"/>
        <v>52</v>
      </c>
      <c r="AK54" s="236" t="str">
        <f t="shared" ca="1" si="20"/>
        <v>BBB-</v>
      </c>
      <c r="AL54" s="236">
        <f t="shared" ca="1" si="20"/>
        <v>17</v>
      </c>
      <c r="AM54" s="236" t="str">
        <f t="shared" ca="1" si="5"/>
        <v/>
      </c>
      <c r="AQ54" s="286" t="s">
        <v>62</v>
      </c>
      <c r="AR54" s="286" t="s">
        <v>16</v>
      </c>
      <c r="AS54" s="286">
        <v>19</v>
      </c>
      <c r="AT54" s="286" t="s">
        <v>330</v>
      </c>
      <c r="AV54" s="234">
        <f t="shared" si="21"/>
        <v>13</v>
      </c>
      <c r="AW54" s="234">
        <f>COUNTIF( AV$7:AV54, AV54 )</f>
        <v>11</v>
      </c>
      <c r="AX54" s="287">
        <f t="shared" si="22"/>
        <v>14.1</v>
      </c>
      <c r="AY54" s="234">
        <f t="shared" si="23"/>
        <v>23</v>
      </c>
      <c r="AZ54" s="236"/>
      <c r="BA54" s="236"/>
      <c r="BC54" s="234">
        <f t="shared" ca="1" si="24"/>
        <v>48</v>
      </c>
      <c r="BD54" s="288">
        <f t="shared" ca="1" si="7"/>
        <v>27</v>
      </c>
      <c r="BF54" s="240" t="str">
        <f t="shared" ca="1" si="25"/>
        <v>IPALCO Enterprises, Inc.</v>
      </c>
      <c r="BG54" s="240" t="str">
        <f t="shared" ca="1" si="9"/>
        <v>BBB-</v>
      </c>
      <c r="BH54" s="240">
        <f t="shared" ca="1" si="9"/>
        <v>17</v>
      </c>
      <c r="BI54" s="240" t="str">
        <f t="shared" ca="1" si="9"/>
        <v>**IPALCO</v>
      </c>
    </row>
    <row r="55" spans="1:61" x14ac:dyDescent="0.2">
      <c r="A55" s="303" t="s">
        <v>40</v>
      </c>
      <c r="B55" s="304" t="s">
        <v>49</v>
      </c>
      <c r="C55" s="304">
        <v>17</v>
      </c>
      <c r="D55" s="304" t="s">
        <v>311</v>
      </c>
      <c r="E55" s="305" t="str">
        <f t="shared" ca="1" si="0"/>
        <v>MR</v>
      </c>
      <c r="F55" s="306"/>
      <c r="G55" s="307">
        <f t="shared" ca="1" si="1"/>
        <v>33</v>
      </c>
      <c r="H55" s="250"/>
      <c r="I55" s="250"/>
      <c r="J55" s="262"/>
      <c r="K55" s="262"/>
      <c r="AF55" s="236">
        <f t="shared" si="2"/>
        <v>1</v>
      </c>
      <c r="AG55" s="236" t="str">
        <f t="shared" ca="1" si="3"/>
        <v/>
      </c>
      <c r="AH55" s="236" t="str">
        <f t="shared" ca="1" si="19"/>
        <v/>
      </c>
      <c r="AJ55" s="236">
        <f t="shared" ca="1" si="4"/>
        <v>53</v>
      </c>
      <c r="AK55" s="236" t="str">
        <f t="shared" ca="1" si="20"/>
        <v>BBB-</v>
      </c>
      <c r="AL55" s="236">
        <f t="shared" ca="1" si="20"/>
        <v>17</v>
      </c>
      <c r="AM55" s="236" t="str">
        <f t="shared" ca="1" si="5"/>
        <v/>
      </c>
      <c r="AQ55" s="286" t="s">
        <v>75</v>
      </c>
      <c r="AR55" s="286" t="s">
        <v>28</v>
      </c>
      <c r="AS55" s="286">
        <v>18</v>
      </c>
      <c r="AT55" s="286" t="s">
        <v>332</v>
      </c>
      <c r="AV55" s="234">
        <f t="shared" si="21"/>
        <v>24</v>
      </c>
      <c r="AW55" s="234">
        <f>COUNTIF( AV$7:AV55, AV55 )</f>
        <v>19</v>
      </c>
      <c r="AX55" s="287">
        <f t="shared" si="22"/>
        <v>25.9</v>
      </c>
      <c r="AY55" s="234">
        <f t="shared" si="23"/>
        <v>42</v>
      </c>
      <c r="AZ55" s="236"/>
      <c r="BA55" s="236"/>
      <c r="BC55" s="234">
        <f t="shared" ca="1" si="24"/>
        <v>49</v>
      </c>
      <c r="BD55" s="288">
        <f t="shared" ca="1" si="7"/>
        <v>31</v>
      </c>
      <c r="BF55" s="240" t="str">
        <f t="shared" ca="1" si="25"/>
        <v>NiSource Inc.</v>
      </c>
      <c r="BG55" s="240" t="str">
        <f t="shared" ca="1" si="9"/>
        <v>BBB-</v>
      </c>
      <c r="BH55" s="240">
        <f t="shared" ca="1" si="9"/>
        <v>17</v>
      </c>
      <c r="BI55" s="240" t="str">
        <f t="shared" ca="1" si="9"/>
        <v>NI</v>
      </c>
    </row>
    <row r="56" spans="1:61" x14ac:dyDescent="0.2">
      <c r="A56" s="303" t="s">
        <v>266</v>
      </c>
      <c r="B56" s="304" t="s">
        <v>49</v>
      </c>
      <c r="C56" s="304">
        <v>17</v>
      </c>
      <c r="D56" s="304" t="s">
        <v>314</v>
      </c>
      <c r="E56" s="305" t="str">
        <f t="shared" ca="1" si="0"/>
        <v>R</v>
      </c>
      <c r="F56" s="306"/>
      <c r="G56" s="307">
        <f t="shared" ca="1" si="1"/>
        <v>36</v>
      </c>
      <c r="H56" s="250"/>
      <c r="I56" s="250"/>
      <c r="J56" s="262"/>
      <c r="K56" s="262"/>
      <c r="AF56" s="236">
        <f t="shared" si="2"/>
        <v>1</v>
      </c>
      <c r="AG56" s="236" t="str">
        <f t="shared" ca="1" si="3"/>
        <v/>
      </c>
      <c r="AH56" s="236" t="str">
        <f t="shared" ca="1" si="19"/>
        <v/>
      </c>
      <c r="AJ56" s="236">
        <f t="shared" ca="1" si="4"/>
        <v>54</v>
      </c>
      <c r="AK56" s="236" t="str">
        <f t="shared" ca="1" si="20"/>
        <v>BBB-</v>
      </c>
      <c r="AL56" s="236">
        <f t="shared" ca="1" si="20"/>
        <v>17</v>
      </c>
      <c r="AM56" s="236" t="str">
        <f t="shared" ca="1" si="5"/>
        <v/>
      </c>
      <c r="AQ56" s="286" t="s">
        <v>14</v>
      </c>
      <c r="AR56" s="286" t="s">
        <v>10</v>
      </c>
      <c r="AS56" s="286">
        <v>20</v>
      </c>
      <c r="AT56" s="286" t="s">
        <v>335</v>
      </c>
      <c r="AV56" s="234">
        <f t="shared" si="21"/>
        <v>2</v>
      </c>
      <c r="AW56" s="234">
        <f>COUNTIF( AV$7:AV56, AV56 )</f>
        <v>9</v>
      </c>
      <c r="AX56" s="287">
        <f t="shared" si="22"/>
        <v>2.9</v>
      </c>
      <c r="AY56" s="234">
        <f t="shared" si="23"/>
        <v>10</v>
      </c>
      <c r="AZ56" s="236"/>
      <c r="BA56" s="236"/>
      <c r="BC56" s="234">
        <f t="shared" ca="1" si="24"/>
        <v>50</v>
      </c>
      <c r="BD56" s="288">
        <f t="shared" ca="1" si="7"/>
        <v>34</v>
      </c>
      <c r="BF56" s="240" t="str">
        <f t="shared" ca="1" si="25"/>
        <v>NV Energy, Inc.</v>
      </c>
      <c r="BG56" s="240" t="str">
        <f t="shared" ca="1" si="9"/>
        <v>BBB-</v>
      </c>
      <c r="BH56" s="240">
        <f t="shared" ca="1" si="9"/>
        <v>17</v>
      </c>
      <c r="BI56" s="240" t="str">
        <f t="shared" ca="1" si="9"/>
        <v>NVE</v>
      </c>
    </row>
    <row r="57" spans="1:61" x14ac:dyDescent="0.2">
      <c r="A57" s="303" t="s">
        <v>54</v>
      </c>
      <c r="B57" s="304" t="s">
        <v>56</v>
      </c>
      <c r="C57" s="304">
        <v>16</v>
      </c>
      <c r="D57" s="304" t="s">
        <v>449</v>
      </c>
      <c r="E57" s="305" t="str">
        <f t="shared" ca="1" si="0"/>
        <v>R</v>
      </c>
      <c r="F57" s="306"/>
      <c r="G57" s="307">
        <f t="shared" ca="1" si="1"/>
        <v>63</v>
      </c>
      <c r="H57" s="250"/>
      <c r="I57" s="250"/>
      <c r="J57" s="262"/>
      <c r="K57" s="262"/>
      <c r="AF57" s="236">
        <f t="shared" si="2"/>
        <v>0</v>
      </c>
      <c r="AG57" s="236" t="str">
        <f t="shared" ca="1" si="3"/>
        <v/>
      </c>
      <c r="AH57" s="236" t="str">
        <f t="shared" ca="1" si="19"/>
        <v/>
      </c>
      <c r="AJ57" s="236">
        <f t="shared" ca="1" si="4"/>
        <v>57</v>
      </c>
      <c r="AK57" s="236" t="str">
        <f t="shared" ca="1" si="20"/>
        <v>BB+</v>
      </c>
      <c r="AL57" s="236">
        <f t="shared" ca="1" si="20"/>
        <v>16</v>
      </c>
      <c r="AM57" s="236" t="str">
        <f t="shared" ca="1" si="5"/>
        <v/>
      </c>
      <c r="AQ57" s="286" t="s">
        <v>59</v>
      </c>
      <c r="AR57" s="286" t="s">
        <v>28</v>
      </c>
      <c r="AS57" s="286">
        <v>18</v>
      </c>
      <c r="AT57" s="286" t="s">
        <v>337</v>
      </c>
      <c r="AV57" s="234">
        <f t="shared" si="21"/>
        <v>24</v>
      </c>
      <c r="AW57" s="234">
        <f>COUNTIF( AV$7:AV57, AV57 )</f>
        <v>20</v>
      </c>
      <c r="AX57" s="287">
        <f t="shared" si="22"/>
        <v>26</v>
      </c>
      <c r="AY57" s="234">
        <f t="shared" si="23"/>
        <v>43</v>
      </c>
      <c r="AZ57" s="236"/>
      <c r="BA57" s="236"/>
      <c r="BC57" s="234">
        <f t="shared" ca="1" si="24"/>
        <v>51</v>
      </c>
      <c r="BD57" s="288">
        <f t="shared" ca="1" si="7"/>
        <v>44</v>
      </c>
      <c r="BF57" s="240" t="str">
        <f t="shared" ca="1" si="25"/>
        <v>Puget Energy, Inc.</v>
      </c>
      <c r="BG57" s="240" t="str">
        <f t="shared" ca="1" si="9"/>
        <v>BB+</v>
      </c>
      <c r="BH57" s="240">
        <f t="shared" ca="1" si="9"/>
        <v>16</v>
      </c>
      <c r="BI57" s="240" t="str">
        <f t="shared" ca="1" si="9"/>
        <v>**PSD</v>
      </c>
    </row>
    <row r="58" spans="1:61" x14ac:dyDescent="0.2">
      <c r="A58" s="303" t="s">
        <v>64</v>
      </c>
      <c r="B58" s="304" t="s">
        <v>61</v>
      </c>
      <c r="C58" s="304">
        <v>15</v>
      </c>
      <c r="D58" s="304" t="s">
        <v>443</v>
      </c>
      <c r="E58" s="305" t="str">
        <f t="shared" ca="1" si="0"/>
        <v>R</v>
      </c>
      <c r="F58" s="306"/>
      <c r="G58" s="307">
        <f t="shared" ca="1" si="1"/>
        <v>59</v>
      </c>
      <c r="H58" s="250"/>
      <c r="I58" s="250"/>
      <c r="J58" s="262"/>
      <c r="K58" s="262"/>
      <c r="AF58" s="236">
        <f t="shared" si="2"/>
        <v>1</v>
      </c>
      <c r="AG58" s="236" t="str">
        <f t="shared" ca="1" si="3"/>
        <v/>
      </c>
      <c r="AH58" s="236" t="str">
        <f t="shared" ca="1" si="19"/>
        <v/>
      </c>
      <c r="AJ58" s="236">
        <f t="shared" ca="1" si="4"/>
        <v>58</v>
      </c>
      <c r="AK58" s="236" t="str">
        <f t="shared" ca="1" si="20"/>
        <v>BB</v>
      </c>
      <c r="AL58" s="236">
        <f t="shared" ca="1" si="20"/>
        <v>15</v>
      </c>
      <c r="AM58" s="236" t="str">
        <f t="shared" ca="1" si="5"/>
        <v/>
      </c>
      <c r="AQ58" s="286" t="s">
        <v>26</v>
      </c>
      <c r="AR58" s="286" t="s">
        <v>10</v>
      </c>
      <c r="AS58" s="286">
        <v>20</v>
      </c>
      <c r="AT58" s="286" t="s">
        <v>336</v>
      </c>
      <c r="AV58" s="234">
        <f t="shared" si="21"/>
        <v>2</v>
      </c>
      <c r="AW58" s="234">
        <f>COUNTIF( AV$7:AV58, AV58 )</f>
        <v>10</v>
      </c>
      <c r="AX58" s="287">
        <f t="shared" si="22"/>
        <v>3</v>
      </c>
      <c r="AY58" s="234">
        <f t="shared" si="23"/>
        <v>11</v>
      </c>
      <c r="AZ58" s="236"/>
      <c r="BA58" s="236"/>
      <c r="BC58" s="234">
        <f t="shared" ca="1" si="24"/>
        <v>52</v>
      </c>
      <c r="BD58" s="288">
        <f t="shared" ca="1" si="7"/>
        <v>12</v>
      </c>
      <c r="BF58" s="240" t="str">
        <f t="shared" ca="1" si="25"/>
        <v>DPL Inc.</v>
      </c>
      <c r="BG58" s="240" t="str">
        <f t="shared" ca="1" si="9"/>
        <v>BB</v>
      </c>
      <c r="BH58" s="240">
        <f t="shared" ca="1" si="9"/>
        <v>15</v>
      </c>
      <c r="BI58" s="240" t="str">
        <f t="shared" ca="1" si="9"/>
        <v>**DPL</v>
      </c>
    </row>
    <row r="59" spans="1:61" x14ac:dyDescent="0.2">
      <c r="A59" s="303" t="s">
        <v>249</v>
      </c>
      <c r="B59" s="304" t="s">
        <v>125</v>
      </c>
      <c r="C59" s="304">
        <v>9</v>
      </c>
      <c r="D59" s="304" t="s">
        <v>445</v>
      </c>
      <c r="E59" s="305" t="str">
        <f t="shared" ca="1" si="0"/>
        <v>D</v>
      </c>
      <c r="F59" s="306"/>
      <c r="G59" s="307">
        <f t="shared" ca="1" si="1"/>
        <v>60</v>
      </c>
      <c r="H59" s="250"/>
      <c r="I59" s="250"/>
      <c r="J59" s="262"/>
      <c r="K59" s="262"/>
      <c r="AF59" s="236">
        <f t="shared" si="2"/>
        <v>0</v>
      </c>
      <c r="AG59" s="236" t="str">
        <f t="shared" ca="1" si="3"/>
        <v/>
      </c>
      <c r="AH59" s="236" t="str">
        <f t="shared" ca="1" si="19"/>
        <v/>
      </c>
      <c r="AJ59" s="236">
        <f t="shared" ca="1" si="4"/>
        <v>59</v>
      </c>
      <c r="AK59" s="236" t="str">
        <f t="shared" ca="1" si="20"/>
        <v>CCC</v>
      </c>
      <c r="AL59" s="236">
        <f t="shared" ca="1" si="20"/>
        <v>9</v>
      </c>
      <c r="AM59" s="236" t="str">
        <f t="shared" ca="1" si="5"/>
        <v/>
      </c>
      <c r="AQ59" s="286" t="s">
        <v>258</v>
      </c>
      <c r="AR59" s="286" t="s">
        <v>10</v>
      </c>
      <c r="AS59" s="286">
        <v>20</v>
      </c>
      <c r="AT59" s="286" t="s">
        <v>338</v>
      </c>
      <c r="AV59" s="234">
        <f t="shared" si="21"/>
        <v>2</v>
      </c>
      <c r="AW59" s="234">
        <f>COUNTIF( AV$7:AV59, AV59 )</f>
        <v>11</v>
      </c>
      <c r="AX59" s="287">
        <f t="shared" si="22"/>
        <v>3.1</v>
      </c>
      <c r="AY59" s="234">
        <f t="shared" si="23"/>
        <v>12</v>
      </c>
      <c r="AZ59" s="236"/>
      <c r="BA59" s="236"/>
      <c r="BC59" s="234">
        <f t="shared" ca="1" si="24"/>
        <v>53</v>
      </c>
      <c r="BD59" s="288">
        <f t="shared" ca="1" si="7"/>
        <v>18</v>
      </c>
      <c r="BF59" s="240" t="str">
        <f t="shared" ca="1" si="25"/>
        <v>Energy Future Holdings Corp.</v>
      </c>
      <c r="BG59" s="240" t="str">
        <f t="shared" ca="1" si="9"/>
        <v>CCC</v>
      </c>
      <c r="BH59" s="240">
        <f t="shared" ca="1" si="9"/>
        <v>9</v>
      </c>
      <c r="BI59" s="240" t="str">
        <f t="shared" ca="1" si="9"/>
        <v>**EFH</v>
      </c>
    </row>
    <row r="60" spans="1:61" x14ac:dyDescent="0.2">
      <c r="A60" s="247"/>
      <c r="B60" s="248"/>
      <c r="C60" s="248"/>
      <c r="D60" s="248"/>
      <c r="E60" s="249"/>
      <c r="F60" s="250"/>
      <c r="G60" s="251" t="str">
        <f t="shared" ca="1" si="1"/>
        <v/>
      </c>
      <c r="H60" s="250"/>
      <c r="I60" s="250"/>
      <c r="AF60" s="236">
        <f t="shared" si="2"/>
        <v>0</v>
      </c>
      <c r="AG60" s="236" t="str">
        <f t="shared" si="3"/>
        <v/>
      </c>
      <c r="AH60" s="236" t="str">
        <f t="shared" si="19"/>
        <v/>
      </c>
      <c r="AJ60" s="236" t="e">
        <f t="shared" ca="1" si="4"/>
        <v>#N/A</v>
      </c>
      <c r="AK60" s="236" t="str">
        <f t="shared" ca="1" si="20"/>
        <v/>
      </c>
      <c r="AL60" s="236" t="str">
        <f t="shared" ca="1" si="20"/>
        <v/>
      </c>
      <c r="AM60" s="236" t="str">
        <f t="shared" ca="1" si="5"/>
        <v/>
      </c>
      <c r="AQ60" s="286"/>
      <c r="AR60" s="286"/>
      <c r="AS60" s="286"/>
      <c r="AT60" s="286"/>
      <c r="AV60" s="234">
        <f t="shared" si="21"/>
        <v>99</v>
      </c>
      <c r="AW60" s="234">
        <f>COUNTIF( AV$7:AV60, AV60 )</f>
        <v>1</v>
      </c>
      <c r="AX60" s="287">
        <f t="shared" si="22"/>
        <v>99.1</v>
      </c>
      <c r="AY60" s="234">
        <f t="shared" si="23"/>
        <v>54</v>
      </c>
      <c r="AZ60" s="236"/>
      <c r="BA60" s="236"/>
      <c r="BC60" s="234">
        <f t="shared" ca="1" si="24"/>
        <v>54</v>
      </c>
      <c r="BD60" s="288">
        <f t="shared" ca="1" si="7"/>
        <v>54</v>
      </c>
      <c r="BF60" s="240">
        <f t="shared" ca="1" si="25"/>
        <v>0</v>
      </c>
      <c r="BG60" s="240">
        <f t="shared" ca="1" si="9"/>
        <v>0</v>
      </c>
      <c r="BH60" s="240">
        <f t="shared" ca="1" si="9"/>
        <v>0</v>
      </c>
      <c r="BI60" s="240">
        <f t="shared" ca="1" si="9"/>
        <v>0</v>
      </c>
    </row>
    <row r="61" spans="1:61" ht="13.5" thickBot="1" x14ac:dyDescent="0.25">
      <c r="A61" s="265"/>
      <c r="B61" s="266"/>
      <c r="C61" s="266"/>
      <c r="D61" s="266"/>
      <c r="E61" s="267"/>
      <c r="F61" s="250"/>
      <c r="G61" s="251" t="str">
        <f t="shared" ca="1" si="1"/>
        <v/>
      </c>
      <c r="H61" s="250"/>
      <c r="I61" s="250"/>
      <c r="AF61" s="236">
        <f t="shared" si="2"/>
        <v>0</v>
      </c>
      <c r="AG61" s="236" t="str">
        <f t="shared" si="3"/>
        <v/>
      </c>
      <c r="AH61" s="236" t="str">
        <f t="shared" si="19"/>
        <v/>
      </c>
      <c r="AJ61" s="236" t="e">
        <f t="shared" ca="1" si="4"/>
        <v>#N/A</v>
      </c>
      <c r="AK61" s="236" t="str">
        <f t="shared" ca="1" si="20"/>
        <v/>
      </c>
      <c r="AL61" s="236" t="str">
        <f t="shared" ca="1" si="20"/>
        <v/>
      </c>
      <c r="AM61" s="236" t="str">
        <f t="shared" ca="1" si="5"/>
        <v/>
      </c>
      <c r="AQ61" s="286"/>
      <c r="AR61" s="286"/>
      <c r="AS61" s="286"/>
      <c r="AT61" s="286"/>
      <c r="AV61" s="234">
        <f t="shared" si="21"/>
        <v>99</v>
      </c>
      <c r="AW61" s="234">
        <f>COUNTIF( AV$7:AV61, AV61 )</f>
        <v>2</v>
      </c>
      <c r="AX61" s="287">
        <f t="shared" si="22"/>
        <v>99.2</v>
      </c>
      <c r="AY61" s="234">
        <f t="shared" si="23"/>
        <v>55</v>
      </c>
      <c r="AZ61" s="236"/>
      <c r="BA61" s="236"/>
      <c r="BC61" s="234">
        <f t="shared" ca="1" si="24"/>
        <v>55</v>
      </c>
      <c r="BD61" s="288">
        <f t="shared" ca="1" si="7"/>
        <v>55</v>
      </c>
      <c r="BF61" s="240">
        <f t="shared" ca="1" si="25"/>
        <v>0</v>
      </c>
      <c r="BG61" s="240">
        <f t="shared" ca="1" si="9"/>
        <v>0</v>
      </c>
      <c r="BH61" s="240">
        <f t="shared" ca="1" si="9"/>
        <v>0</v>
      </c>
      <c r="BI61" s="240">
        <f t="shared" ca="1" si="9"/>
        <v>0</v>
      </c>
    </row>
    <row r="62" spans="1:61" x14ac:dyDescent="0.2">
      <c r="A62" s="308" t="s">
        <v>474</v>
      </c>
      <c r="B62" s="309" t="s">
        <v>108</v>
      </c>
      <c r="C62" s="309">
        <v>23</v>
      </c>
      <c r="D62" s="309" t="s">
        <v>440</v>
      </c>
      <c r="E62" s="310" t="str">
        <f ca="1">OFFSET( INDIRECT( E$3 &amp; E$4 ), $G62 - 1, 0 )</f>
        <v>MR</v>
      </c>
      <c r="F62" s="311"/>
      <c r="G62" s="312">
        <f t="shared" ca="1" si="1"/>
        <v>31</v>
      </c>
      <c r="H62" s="250"/>
      <c r="I62" s="250"/>
      <c r="AF62" s="236">
        <f t="shared" si="2"/>
        <v>1</v>
      </c>
      <c r="AG62" s="236" t="str">
        <f t="shared" ca="1" si="3"/>
        <v/>
      </c>
      <c r="AH62" s="236" t="str">
        <f t="shared" ca="1" si="19"/>
        <v/>
      </c>
      <c r="AJ62" s="236">
        <f t="shared" ca="1" si="4"/>
        <v>62</v>
      </c>
      <c r="AK62" s="236" t="str">
        <f t="shared" ca="1" si="20"/>
        <v>AA-</v>
      </c>
      <c r="AL62" s="236">
        <f t="shared" ca="1" si="20"/>
        <v>23</v>
      </c>
      <c r="AM62" s="236" t="str">
        <f t="shared" ca="1" si="5"/>
        <v/>
      </c>
      <c r="AQ62" s="286"/>
      <c r="AR62" s="286"/>
      <c r="AS62" s="286"/>
      <c r="AT62" s="286"/>
      <c r="AV62" s="234">
        <f t="shared" si="21"/>
        <v>99</v>
      </c>
      <c r="AW62" s="234">
        <f>COUNTIF( AV$7:AV62, AV62 )</f>
        <v>3</v>
      </c>
      <c r="AX62" s="287">
        <f t="shared" si="22"/>
        <v>99.3</v>
      </c>
      <c r="AY62" s="234">
        <f t="shared" si="23"/>
        <v>56</v>
      </c>
      <c r="AZ62" s="236"/>
      <c r="BA62" s="236"/>
      <c r="BC62" s="234">
        <f t="shared" ca="1" si="24"/>
        <v>56</v>
      </c>
      <c r="BD62" s="288">
        <f t="shared" ca="1" si="7"/>
        <v>56</v>
      </c>
      <c r="BF62" s="240">
        <f t="shared" ca="1" si="25"/>
        <v>0</v>
      </c>
      <c r="BG62" s="240">
        <f t="shared" ca="1" si="9"/>
        <v>0</v>
      </c>
      <c r="BH62" s="240">
        <f t="shared" ca="1" si="9"/>
        <v>0</v>
      </c>
      <c r="BI62" s="240">
        <f t="shared" ca="1" si="9"/>
        <v>0</v>
      </c>
    </row>
    <row r="63" spans="1:61" x14ac:dyDescent="0.2">
      <c r="A63" s="303" t="s">
        <v>476</v>
      </c>
      <c r="B63" s="304" t="s">
        <v>56</v>
      </c>
      <c r="C63" s="304">
        <v>16</v>
      </c>
      <c r="D63" s="304" t="s">
        <v>442</v>
      </c>
      <c r="E63" s="305" t="str">
        <f ca="1">OFFSET( INDIRECT( E$3 &amp; E$4 ), $G63 - 1, 0 )</f>
        <v>R</v>
      </c>
      <c r="F63" s="306"/>
      <c r="G63" s="307">
        <f t="shared" ca="1" si="1"/>
        <v>52</v>
      </c>
      <c r="H63" s="250"/>
      <c r="I63" s="250"/>
      <c r="AF63" s="236">
        <f t="shared" si="2"/>
        <v>0</v>
      </c>
      <c r="AG63" s="236" t="str">
        <f t="shared" ca="1" si="3"/>
        <v/>
      </c>
      <c r="AH63" s="236" t="str">
        <f t="shared" ca="1" si="19"/>
        <v/>
      </c>
      <c r="AJ63" s="236">
        <f t="shared" ca="1" si="4"/>
        <v>64</v>
      </c>
      <c r="AK63" s="236" t="str">
        <f t="shared" ca="1" si="20"/>
        <v>BB+</v>
      </c>
      <c r="AL63" s="236">
        <f t="shared" ca="1" si="20"/>
        <v>16</v>
      </c>
      <c r="AM63" s="236" t="str">
        <f t="shared" ca="1" si="5"/>
        <v/>
      </c>
      <c r="AQ63" s="286"/>
      <c r="AR63" s="286"/>
      <c r="AS63" s="286"/>
      <c r="AT63" s="286"/>
      <c r="AU63" s="286"/>
      <c r="AV63" s="234">
        <f t="shared" si="21"/>
        <v>99</v>
      </c>
      <c r="AW63" s="234">
        <f>COUNTIF( AV$7:AV63, AV63 )</f>
        <v>4</v>
      </c>
      <c r="AX63" s="287">
        <f t="shared" si="22"/>
        <v>99.4</v>
      </c>
      <c r="AY63" s="234">
        <f t="shared" si="23"/>
        <v>57</v>
      </c>
      <c r="AZ63" s="236"/>
      <c r="BA63" s="236"/>
      <c r="BC63" s="234">
        <f t="shared" ca="1" si="24"/>
        <v>57</v>
      </c>
      <c r="BD63" s="288">
        <f ca="1">MATCH( BC63, $AY$7:$AY$63, 0 )</f>
        <v>57</v>
      </c>
      <c r="BF63" s="240">
        <f t="shared" ca="1" si="25"/>
        <v>0</v>
      </c>
      <c r="BG63" s="240">
        <f t="shared" ref="BG63:BI63" ca="1" si="26">OFFSET( AR$6, $BD63, 0 )</f>
        <v>0</v>
      </c>
      <c r="BH63" s="240">
        <f t="shared" ca="1" si="26"/>
        <v>0</v>
      </c>
      <c r="BI63" s="240">
        <f t="shared" ca="1" si="26"/>
        <v>0</v>
      </c>
    </row>
    <row r="64" spans="1:61" x14ac:dyDescent="0.2">
      <c r="A64" s="303" t="s">
        <v>477</v>
      </c>
      <c r="B64" s="304"/>
      <c r="C64" s="304"/>
      <c r="D64" s="304" t="s">
        <v>448</v>
      </c>
      <c r="E64" s="305" t="str">
        <f ca="1">OFFSET( INDIRECT( E$3 &amp; E$4 ), $G64 - 1, 0 )</f>
        <v>R</v>
      </c>
      <c r="F64" s="306"/>
      <c r="G64" s="307">
        <f t="shared" ca="1" si="1"/>
        <v>51</v>
      </c>
      <c r="H64" s="250"/>
      <c r="I64" s="250"/>
      <c r="AF64" s="236">
        <f t="shared" si="2"/>
        <v>0</v>
      </c>
      <c r="AG64" s="236" t="str">
        <f t="shared" si="3"/>
        <v/>
      </c>
      <c r="AH64" s="236" t="str">
        <f t="shared" si="19"/>
        <v/>
      </c>
      <c r="AJ64" s="236">
        <f t="shared" ca="1" si="4"/>
        <v>65</v>
      </c>
      <c r="AK64" s="236" t="str">
        <f t="shared" ca="1" si="20"/>
        <v/>
      </c>
      <c r="AL64" s="236" t="str">
        <f t="shared" ca="1" si="20"/>
        <v/>
      </c>
      <c r="AM64" s="236" t="str">
        <f t="shared" ca="1" si="5"/>
        <v/>
      </c>
      <c r="AQ64" s="286"/>
      <c r="AR64" s="286"/>
      <c r="AS64" s="286"/>
      <c r="AT64" s="286"/>
      <c r="AU64" s="286"/>
      <c r="AZ64" s="236"/>
      <c r="BA64" s="236"/>
      <c r="BF64" s="236"/>
    </row>
    <row r="65" spans="1:58" x14ac:dyDescent="0.2">
      <c r="A65" s="303"/>
      <c r="B65" s="313"/>
      <c r="C65" s="304"/>
      <c r="D65" s="304"/>
      <c r="E65" s="305"/>
      <c r="F65" s="306"/>
      <c r="G65" s="307"/>
      <c r="H65" s="250"/>
      <c r="I65" s="250"/>
      <c r="N65" s="234" t="s">
        <v>73</v>
      </c>
      <c r="AF65" s="236">
        <f t="shared" si="2"/>
        <v>0</v>
      </c>
      <c r="AG65" s="236" t="str">
        <f>IF( LEN( $C65 ) = 0, "", IF( $C65 &gt; $AL65, 1, "" ) )</f>
        <v/>
      </c>
      <c r="AH65" s="236" t="str">
        <f t="shared" si="19"/>
        <v/>
      </c>
      <c r="AJ65" s="236" t="e">
        <f t="shared" ca="1" si="4"/>
        <v>#N/A</v>
      </c>
      <c r="AK65" s="236" t="str">
        <f t="shared" ca="1" si="20"/>
        <v/>
      </c>
      <c r="AL65" s="236" t="str">
        <f t="shared" ca="1" si="20"/>
        <v/>
      </c>
      <c r="AM65" s="236" t="str">
        <f t="shared" ca="1" si="5"/>
        <v/>
      </c>
      <c r="AQ65" s="286"/>
      <c r="AR65" s="286"/>
      <c r="AS65" s="286"/>
      <c r="AT65" s="286"/>
      <c r="AU65" s="286"/>
      <c r="AZ65" s="236"/>
      <c r="BA65" s="236"/>
      <c r="BF65" s="236"/>
    </row>
    <row r="66" spans="1:58" x14ac:dyDescent="0.2">
      <c r="A66" s="268"/>
      <c r="B66" s="269"/>
      <c r="C66" s="270"/>
      <c r="D66" s="270"/>
      <c r="E66" s="249"/>
      <c r="F66" s="250"/>
      <c r="H66" s="250"/>
      <c r="I66" s="250"/>
      <c r="AF66" s="236">
        <f t="shared" si="2"/>
        <v>0</v>
      </c>
      <c r="AG66" s="236" t="str">
        <f t="shared" ref="AG66:AG67" si="27">IF( LEN( $C66 ) = 0, "", IF( $C66 &gt; $AL66, 1, "" ) )</f>
        <v/>
      </c>
      <c r="AH66" s="236" t="str">
        <f t="shared" si="19"/>
        <v/>
      </c>
      <c r="AJ66" s="236" t="e">
        <f t="shared" ca="1" si="4"/>
        <v>#N/A</v>
      </c>
      <c r="AK66" s="236" t="str">
        <f t="shared" ca="1" si="20"/>
        <v/>
      </c>
      <c r="AL66" s="236" t="str">
        <f t="shared" ca="1" si="20"/>
        <v/>
      </c>
      <c r="AM66" s="236" t="str">
        <f t="shared" ca="1" si="5"/>
        <v/>
      </c>
      <c r="AQ66" s="286" t="s">
        <v>474</v>
      </c>
      <c r="AR66" s="286" t="s">
        <v>108</v>
      </c>
      <c r="AS66" s="286">
        <v>23</v>
      </c>
      <c r="AT66" s="286" t="s">
        <v>440</v>
      </c>
      <c r="AU66" s="286"/>
      <c r="AX66" s="287"/>
      <c r="AZ66" s="236"/>
      <c r="BA66" s="236"/>
      <c r="BD66" s="288"/>
      <c r="BF66" s="236"/>
    </row>
    <row r="67" spans="1:58" ht="13.5" thickBot="1" x14ac:dyDescent="0.25">
      <c r="A67" s="271"/>
      <c r="B67" s="272"/>
      <c r="C67" s="337"/>
      <c r="D67" s="272"/>
      <c r="E67" s="273"/>
      <c r="F67" s="250"/>
      <c r="H67" s="250"/>
      <c r="I67" s="250"/>
      <c r="AF67" s="236">
        <f t="shared" si="2"/>
        <v>0</v>
      </c>
      <c r="AG67" s="236" t="str">
        <f t="shared" si="27"/>
        <v/>
      </c>
      <c r="AH67" s="236" t="str">
        <f t="shared" si="19"/>
        <v/>
      </c>
      <c r="AJ67" s="236" t="e">
        <f t="shared" ca="1" si="4"/>
        <v>#N/A</v>
      </c>
      <c r="AK67" s="236" t="str">
        <f t="shared" ca="1" si="20"/>
        <v/>
      </c>
      <c r="AL67" s="236" t="str">
        <f t="shared" ca="1" si="20"/>
        <v/>
      </c>
      <c r="AM67" s="236" t="str">
        <f t="shared" ca="1" si="5"/>
        <v/>
      </c>
      <c r="AQ67" s="286" t="s">
        <v>476</v>
      </c>
      <c r="AR67" s="286" t="s">
        <v>56</v>
      </c>
      <c r="AS67" s="286">
        <v>16</v>
      </c>
      <c r="AT67" s="286" t="s">
        <v>442</v>
      </c>
      <c r="AX67" s="287"/>
      <c r="AZ67" s="236"/>
      <c r="BA67" s="236"/>
      <c r="BD67" s="288"/>
      <c r="BF67" s="236"/>
    </row>
    <row r="68" spans="1:58" x14ac:dyDescent="0.2">
      <c r="A68" s="274" t="s">
        <v>135</v>
      </c>
      <c r="B68" s="275" t="s">
        <v>28</v>
      </c>
      <c r="C68" s="276">
        <f>AVERAGE(C7:C65)</f>
        <v>18.327272727272728</v>
      </c>
      <c r="D68" s="276"/>
      <c r="E68" s="276"/>
      <c r="F68" s="250"/>
      <c r="H68" s="250"/>
      <c r="I68" s="250"/>
      <c r="J68" s="253"/>
      <c r="K68" s="253"/>
      <c r="AQ68" s="286" t="s">
        <v>477</v>
      </c>
      <c r="AR68" s="286"/>
      <c r="AS68" s="286"/>
      <c r="AT68" s="286" t="s">
        <v>448</v>
      </c>
      <c r="AX68" s="287"/>
      <c r="AZ68" s="236"/>
      <c r="BA68" s="236"/>
      <c r="BD68" s="288"/>
      <c r="BF68" s="236"/>
    </row>
    <row r="69" spans="1:58" x14ac:dyDescent="0.2">
      <c r="A69" s="277"/>
      <c r="B69" s="278"/>
      <c r="F69" s="250"/>
      <c r="H69" s="250"/>
      <c r="I69" s="250"/>
      <c r="AX69" s="287"/>
      <c r="AZ69" s="236"/>
      <c r="BA69" s="236"/>
      <c r="BD69" s="288"/>
      <c r="BF69" s="236"/>
    </row>
    <row r="70" spans="1:58" x14ac:dyDescent="0.2">
      <c r="A70" s="277"/>
      <c r="B70" s="278"/>
      <c r="F70" s="240"/>
      <c r="H70" s="240"/>
      <c r="I70" s="240"/>
      <c r="J70" s="253"/>
      <c r="K70" s="253"/>
    </row>
    <row r="71" spans="1:58" x14ac:dyDescent="0.2">
      <c r="A71" s="279" t="s">
        <v>267</v>
      </c>
      <c r="F71" s="240"/>
      <c r="H71" s="240"/>
      <c r="I71" s="240"/>
    </row>
    <row r="72" spans="1:58" x14ac:dyDescent="0.2">
      <c r="A72" s="279" t="s">
        <v>366</v>
      </c>
      <c r="B72" s="240"/>
      <c r="D72" s="264"/>
      <c r="E72" s="264"/>
      <c r="F72" s="280"/>
      <c r="H72" s="280"/>
      <c r="I72" s="280"/>
    </row>
    <row r="73" spans="1:58" x14ac:dyDescent="0.2">
      <c r="A73" s="281" t="s">
        <v>357</v>
      </c>
      <c r="B73" s="240"/>
      <c r="D73" s="264"/>
      <c r="E73" s="264"/>
      <c r="F73" s="280"/>
      <c r="H73" s="280"/>
      <c r="I73" s="280"/>
    </row>
    <row r="74" spans="1:58" x14ac:dyDescent="0.2">
      <c r="A74" s="281" t="s">
        <v>470</v>
      </c>
      <c r="D74" s="280"/>
      <c r="E74" s="234"/>
      <c r="F74" s="282"/>
      <c r="H74" s="282"/>
      <c r="I74" s="282"/>
    </row>
    <row r="75" spans="1:58" x14ac:dyDescent="0.2">
      <c r="A75" s="279" t="s">
        <v>359</v>
      </c>
      <c r="D75" s="280"/>
      <c r="E75" s="234"/>
      <c r="F75" s="282"/>
      <c r="H75" s="282"/>
      <c r="I75" s="282"/>
      <c r="AQ75" s="286"/>
      <c r="AR75" s="286"/>
      <c r="AS75" s="286"/>
    </row>
    <row r="76" spans="1:58" x14ac:dyDescent="0.2">
      <c r="A76" s="279"/>
      <c r="D76" s="280"/>
      <c r="E76" s="234"/>
      <c r="F76" s="282"/>
      <c r="H76" s="282"/>
      <c r="I76" s="282"/>
      <c r="AQ76" s="286"/>
      <c r="AR76" s="286"/>
      <c r="AS76" s="286"/>
    </row>
    <row r="77" spans="1:58" x14ac:dyDescent="0.2">
      <c r="A77" s="279"/>
      <c r="AQ77" s="286"/>
      <c r="AR77" s="286"/>
      <c r="AS77" s="286"/>
    </row>
    <row r="78" spans="1:58" x14ac:dyDescent="0.2">
      <c r="C78" s="339">
        <f>SUMPRODUCT( L8:L13, Y8:Y13 ) / L14</f>
        <v>18.436363636363637</v>
      </c>
      <c r="E78" s="283"/>
      <c r="G78" s="251"/>
      <c r="J78" s="240"/>
      <c r="K78" s="240"/>
      <c r="AQ78" s="286"/>
      <c r="AR78" s="286"/>
      <c r="AS78" s="286"/>
    </row>
    <row r="79" spans="1:58" s="240" customFormat="1" x14ac:dyDescent="0.2">
      <c r="A79" s="284"/>
      <c r="B79" s="285"/>
      <c r="C79" s="285"/>
      <c r="D79" s="285"/>
      <c r="E79" s="249"/>
      <c r="F79" s="234"/>
      <c r="G79" s="236"/>
      <c r="H79" s="234"/>
      <c r="I79" s="234"/>
      <c r="Q79" s="234"/>
      <c r="T79" s="236"/>
      <c r="U79" s="236"/>
      <c r="V79" s="236"/>
      <c r="AF79" s="236"/>
      <c r="AG79" s="236"/>
      <c r="AH79" s="236"/>
      <c r="AJ79" s="236"/>
      <c r="AK79" s="236"/>
      <c r="AL79" s="236"/>
      <c r="AM79" s="236"/>
      <c r="AN79" s="236"/>
      <c r="AQ79" s="286"/>
      <c r="AR79" s="286"/>
      <c r="AS79" s="286"/>
    </row>
  </sheetData>
  <sortState ref="AQ7:AT64">
    <sortCondition ref="AQ7"/>
  </sortState>
  <mergeCells count="9">
    <mergeCell ref="L16:M16"/>
    <mergeCell ref="O16:P16"/>
    <mergeCell ref="R16:S16"/>
    <mergeCell ref="U16:V16"/>
    <mergeCell ref="J5:J6"/>
    <mergeCell ref="L5:M6"/>
    <mergeCell ref="O5:P6"/>
    <mergeCell ref="R5:S6"/>
    <mergeCell ref="U5:V6"/>
  </mergeCells>
  <conditionalFormatting sqref="A60:E61 E7:E59 E62:E65">
    <cfRule type="expression" dxfId="344" priority="28" stopIfTrue="1">
      <formula>IF( $AH7 = 1, TRUE, FALSE )</formula>
    </cfRule>
    <cfRule type="expression" dxfId="343" priority="29" stopIfTrue="1">
      <formula>IF( $AG7 = 1, TRUE, FALSE )</formula>
    </cfRule>
    <cfRule type="expression" dxfId="342" priority="30" stopIfTrue="1">
      <formula>IF( $AF7 = 1, TRUE, FALSE )</formula>
    </cfRule>
  </conditionalFormatting>
  <conditionalFormatting sqref="A67:E67">
    <cfRule type="expression" dxfId="341" priority="31" stopIfTrue="1">
      <formula>IF( $AH67 = 1, TRUE, FALSE )</formula>
    </cfRule>
    <cfRule type="expression" dxfId="340" priority="32" stopIfTrue="1">
      <formula>IF( $AG67 = 1, TRUE, FALSE )</formula>
    </cfRule>
    <cfRule type="expression" dxfId="339" priority="33" stopIfTrue="1">
      <formula>IF( $AF67 = 1, TRUE, FALSE )</formula>
    </cfRule>
  </conditionalFormatting>
  <conditionalFormatting sqref="A66:E66">
    <cfRule type="expression" dxfId="338" priority="25" stopIfTrue="1">
      <formula>IF( $AH66 = 1, TRUE, FALSE )</formula>
    </cfRule>
    <cfRule type="expression" dxfId="337" priority="26" stopIfTrue="1">
      <formula>IF( $AG66 = 1, TRUE, FALSE )</formula>
    </cfRule>
    <cfRule type="expression" dxfId="336" priority="27" stopIfTrue="1">
      <formula>IF( $AF66 = 1, TRUE, FALSE )</formula>
    </cfRule>
  </conditionalFormatting>
  <conditionalFormatting sqref="A8:D58 B7:D7">
    <cfRule type="expression" dxfId="335" priority="22" stopIfTrue="1">
      <formula>IF( $AH7 = 1, TRUE, FALSE )</formula>
    </cfRule>
    <cfRule type="expression" dxfId="334" priority="23" stopIfTrue="1">
      <formula>IF( $AG7 = 1, TRUE, FALSE )</formula>
    </cfRule>
    <cfRule type="expression" dxfId="333" priority="24" stopIfTrue="1">
      <formula>IF( $AF7 = 1, TRUE, FALSE )</formula>
    </cfRule>
  </conditionalFormatting>
  <conditionalFormatting sqref="A59:D59">
    <cfRule type="expression" dxfId="332" priority="19" stopIfTrue="1">
      <formula>IF( $AH59 = 1, TRUE, FALSE )</formula>
    </cfRule>
    <cfRule type="expression" dxfId="331" priority="20" stopIfTrue="1">
      <formula>IF( $AG59 = 1, TRUE, FALSE )</formula>
    </cfRule>
    <cfRule type="expression" dxfId="330" priority="21" stopIfTrue="1">
      <formula>IF( $AF59 = 1, TRUE, FALSE )</formula>
    </cfRule>
  </conditionalFormatting>
  <conditionalFormatting sqref="A62:D65">
    <cfRule type="expression" dxfId="329" priority="16" stopIfTrue="1">
      <formula>IF( $AH62 = 1, TRUE, FALSE )</formula>
    </cfRule>
    <cfRule type="expression" dxfId="328" priority="17" stopIfTrue="1">
      <formula>IF( $AG62 = 1, TRUE, FALSE )</formula>
    </cfRule>
    <cfRule type="expression" dxfId="327" priority="18" stopIfTrue="1">
      <formula>IF( $AF62 = 1, TRUE, FALSE )</formula>
    </cfRule>
  </conditionalFormatting>
  <conditionalFormatting sqref="U8:U12">
    <cfRule type="cellIs" dxfId="326" priority="15" operator="equal">
      <formula>0</formula>
    </cfRule>
  </conditionalFormatting>
  <conditionalFormatting sqref="O8:O12 Q8:Q12">
    <cfRule type="cellIs" dxfId="325" priority="14" operator="equal">
      <formula>0</formula>
    </cfRule>
  </conditionalFormatting>
  <conditionalFormatting sqref="V8:V12">
    <cfRule type="cellIs" dxfId="324" priority="13" operator="equal">
      <formula>0</formula>
    </cfRule>
  </conditionalFormatting>
  <conditionalFormatting sqref="S8:S12">
    <cfRule type="cellIs" dxfId="323" priority="11" operator="equal">
      <formula>0</formula>
    </cfRule>
  </conditionalFormatting>
  <conditionalFormatting sqref="R8:R12">
    <cfRule type="cellIs" dxfId="322" priority="12" operator="equal">
      <formula>0</formula>
    </cfRule>
  </conditionalFormatting>
  <conditionalFormatting sqref="P8:P12">
    <cfRule type="cellIs" dxfId="321" priority="10" operator="equal">
      <formula>0</formula>
    </cfRule>
  </conditionalFormatting>
  <conditionalFormatting sqref="M8:M12">
    <cfRule type="cellIs" dxfId="320" priority="9" operator="equal">
      <formula>0</formula>
    </cfRule>
  </conditionalFormatting>
  <conditionalFormatting sqref="T8:T12">
    <cfRule type="cellIs" dxfId="319" priority="8" operator="equal">
      <formula>0</formula>
    </cfRule>
  </conditionalFormatting>
  <conditionalFormatting sqref="N8:N12">
    <cfRule type="cellIs" dxfId="318" priority="7" operator="equal">
      <formula>0</formula>
    </cfRule>
  </conditionalFormatting>
  <conditionalFormatting sqref="K8:K12">
    <cfRule type="cellIs" dxfId="317" priority="6" operator="equal">
      <formula>0</formula>
    </cfRule>
  </conditionalFormatting>
  <conditionalFormatting sqref="I8:I12">
    <cfRule type="cellIs" dxfId="316" priority="5" operator="equal">
      <formula>0</formula>
    </cfRule>
  </conditionalFormatting>
  <conditionalFormatting sqref="W8:W12">
    <cfRule type="cellIs" dxfId="315" priority="4" operator="equal">
      <formula>0</formula>
    </cfRule>
  </conditionalFormatting>
  <conditionalFormatting sqref="A7">
    <cfRule type="expression" dxfId="314" priority="1" stopIfTrue="1">
      <formula>IF( $AH7 = 1, TRUE, FALSE )</formula>
    </cfRule>
    <cfRule type="expression" dxfId="313" priority="2" stopIfTrue="1">
      <formula>IF( $AG7 = 1, TRUE, FALSE )</formula>
    </cfRule>
    <cfRule type="expression" dxfId="312" priority="3" stopIfTrue="1">
      <formula>IF( $AF7 = 1, TRUE, FALSE )</formula>
    </cfRule>
  </conditionalFormatting>
  <pageMargins left="0.17" right="0.18" top="0.28000000000000003" bottom="0.17" header="0.3" footer="0.3"/>
  <pageSetup scale="19" orientation="portrait" horizontalDpi="1200" verticalDpi="120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BJ82"/>
  <sheetViews>
    <sheetView showGridLines="0" zoomScale="70" zoomScaleNormal="70" workbookViewId="0">
      <pane ySplit="6" topLeftCell="A7" activePane="bottomLeft" state="frozen"/>
      <selection activeCell="X68" sqref="X68"/>
      <selection pane="bottomLeft" activeCell="A7" sqref="A7"/>
    </sheetView>
  </sheetViews>
  <sheetFormatPr defaultColWidth="9.140625" defaultRowHeight="12.75" outlineLevelRow="1" outlineLevelCol="2" x14ac:dyDescent="0.2"/>
  <cols>
    <col min="1" max="1" width="35.140625" style="234" customWidth="1"/>
    <col min="2" max="2" width="9.140625" style="234"/>
    <col min="3" max="3" width="9.42578125" style="263" customWidth="1"/>
    <col min="4" max="4" width="9.140625" style="235" customWidth="1" outlineLevel="1"/>
    <col min="5" max="5" width="12.5703125" style="235" customWidth="1" outlineLevel="1"/>
    <col min="6" max="6" width="3.42578125" style="234" customWidth="1" outlineLevel="1"/>
    <col min="7" max="7" width="17.7109375" style="236" hidden="1" customWidth="1" outlineLevel="2"/>
    <col min="8" max="8" width="3.42578125" style="234" hidden="1" customWidth="1" outlineLevel="2" collapsed="1"/>
    <col min="9" max="9" width="3.28515625" style="234" customWidth="1" outlineLevel="1" collapsed="1"/>
    <col min="10" max="10" width="22" style="234" customWidth="1"/>
    <col min="11" max="11" width="2" style="234" customWidth="1"/>
    <col min="12" max="13" width="10.42578125" style="234" customWidth="1"/>
    <col min="14" max="14" width="2" style="234" customWidth="1"/>
    <col min="15" max="16" width="10.42578125" style="234" customWidth="1"/>
    <col min="17" max="17" width="2" style="234" customWidth="1"/>
    <col min="18" max="19" width="10.42578125" style="234" customWidth="1"/>
    <col min="20" max="20" width="2" style="236" customWidth="1"/>
    <col min="21" max="22" width="10.42578125" style="236" customWidth="1"/>
    <col min="23" max="23" width="2" style="234" customWidth="1"/>
    <col min="24" max="24" width="4.140625" style="234" bestFit="1" customWidth="1"/>
    <col min="25" max="25" width="5.5703125" style="234" bestFit="1" customWidth="1"/>
    <col min="26" max="26" width="2.42578125" style="234" bestFit="1" customWidth="1"/>
    <col min="27" max="27" width="4.28515625" style="234" bestFit="1" customWidth="1"/>
    <col min="28" max="30" width="2.42578125" style="234" hidden="1" customWidth="1" outlineLevel="1"/>
    <col min="31" max="31" width="4.42578125" style="234" hidden="1" customWidth="1" outlineLevel="1"/>
    <col min="32" max="32" width="6.5703125" style="236" hidden="1" customWidth="1" outlineLevel="1" collapsed="1"/>
    <col min="33" max="34" width="6.5703125" style="236" hidden="1" customWidth="1" outlineLevel="1"/>
    <col min="35" max="35" width="3.140625" style="234" hidden="1" customWidth="1" outlineLevel="1"/>
    <col min="36" max="36" width="7.85546875" style="236" hidden="1" customWidth="1" outlineLevel="1" collapsed="1"/>
    <col min="37" max="38" width="9" style="236" hidden="1" customWidth="1" outlineLevel="1"/>
    <col min="39" max="39" width="8.42578125" style="236" hidden="1" customWidth="1" outlineLevel="1"/>
    <col min="40" max="40" width="11.85546875" style="236" hidden="1" customWidth="1" outlineLevel="1"/>
    <col min="41" max="41" width="3.42578125" style="234" customWidth="1" collapsed="1"/>
    <col min="42" max="42" width="3.42578125" style="234" customWidth="1"/>
    <col min="43" max="43" width="29.7109375" style="234" hidden="1" customWidth="1" outlineLevel="1"/>
    <col min="44" max="44" width="6.42578125" style="234" hidden="1" customWidth="1" outlineLevel="1"/>
    <col min="45" max="45" width="3.42578125" style="234" hidden="1" customWidth="1" outlineLevel="1"/>
    <col min="46" max="46" width="8.7109375" style="234" hidden="1" customWidth="1" outlineLevel="1"/>
    <col min="47" max="47" width="3.140625" style="234" hidden="1" customWidth="1" outlineLevel="1"/>
    <col min="48" max="56" width="9.140625" style="234" hidden="1" customWidth="1" outlineLevel="2"/>
    <col min="57" max="57" width="5.42578125" style="234" hidden="1" customWidth="1" outlineLevel="1" collapsed="1"/>
    <col min="58" max="58" width="36.85546875" style="234" hidden="1" customWidth="1" outlineLevel="1"/>
    <col min="59" max="59" width="6.42578125" style="234" hidden="1" customWidth="1" outlineLevel="1"/>
    <col min="60" max="60" width="3.42578125" style="234" hidden="1" customWidth="1" outlineLevel="1"/>
    <col min="61" max="61" width="9.140625" style="234" hidden="1" customWidth="1" outlineLevel="1"/>
    <col min="62" max="62" width="9.140625" style="234" collapsed="1"/>
    <col min="63" max="16384" width="9.140625" style="234"/>
  </cols>
  <sheetData>
    <row r="1" spans="1:61" ht="18.75" x14ac:dyDescent="0.2">
      <c r="A1" s="323" t="str">
        <f>"I.  S&amp;P Utility Credit Ratings Distribution -- " &amp; B6</f>
        <v>I.  S&amp;P Utility Credit Ratings Distribution -- 2013 Q1</v>
      </c>
      <c r="AF1" s="237" t="s">
        <v>420</v>
      </c>
      <c r="AG1" s="237" t="s">
        <v>421</v>
      </c>
      <c r="AH1" s="237" t="s">
        <v>422</v>
      </c>
      <c r="AJ1" s="237" t="s">
        <v>424</v>
      </c>
      <c r="AK1" s="237" t="s">
        <v>426</v>
      </c>
      <c r="AL1" s="237" t="s">
        <v>426</v>
      </c>
      <c r="AM1" s="237" t="s">
        <v>424</v>
      </c>
      <c r="AN1" s="237"/>
    </row>
    <row r="2" spans="1:61" ht="18.75" hidden="1" outlineLevel="1" x14ac:dyDescent="0.2">
      <c r="A2" s="233"/>
      <c r="E2" s="238" t="str">
        <f>G2</f>
        <v>Reg_Percent_2011</v>
      </c>
      <c r="G2" s="239" t="s">
        <v>437</v>
      </c>
      <c r="AJ2" s="240" t="str">
        <f>AJ4 &amp; AJ3</f>
        <v>'Credit_2012Q4'!a:a</v>
      </c>
      <c r="AK2" s="240" t="str">
        <f>AK4 &amp; AK3</f>
        <v>'Credit_2012Q4'!b1</v>
      </c>
      <c r="AL2" s="240" t="str">
        <f>AL4 &amp; AL3</f>
        <v>'Credit_2012Q4'!c1</v>
      </c>
    </row>
    <row r="3" spans="1:61" ht="18.75" hidden="1" outlineLevel="1" x14ac:dyDescent="0.2">
      <c r="A3" s="233"/>
      <c r="E3" s="241" t="str">
        <f>"'" &amp; E2 &amp; "'!"</f>
        <v>'Reg_Percent_2011'!</v>
      </c>
      <c r="G3" s="234" t="str">
        <f>"'" &amp; G2 &amp; "'!"</f>
        <v>'Reg_Percent_2011'!</v>
      </c>
      <c r="O3" s="242" t="s">
        <v>371</v>
      </c>
      <c r="P3" s="242"/>
      <c r="Q3" s="242"/>
      <c r="R3" s="242" t="s">
        <v>372</v>
      </c>
      <c r="T3" s="234"/>
      <c r="U3" s="242" t="s">
        <v>86</v>
      </c>
      <c r="V3" s="234"/>
      <c r="X3" s="242"/>
      <c r="Y3" s="242"/>
      <c r="Z3" s="242"/>
      <c r="AA3" s="242"/>
      <c r="AJ3" s="210" t="s">
        <v>425</v>
      </c>
      <c r="AK3" s="210" t="s">
        <v>427</v>
      </c>
      <c r="AL3" s="210" t="s">
        <v>453</v>
      </c>
    </row>
    <row r="4" spans="1:61" ht="18.75" hidden="1" outlineLevel="1" x14ac:dyDescent="0.2">
      <c r="A4" s="233"/>
      <c r="E4" s="242" t="s">
        <v>439</v>
      </c>
      <c r="G4" s="242" t="s">
        <v>438</v>
      </c>
      <c r="O4" s="236"/>
      <c r="P4" s="236"/>
      <c r="Q4" s="236"/>
      <c r="T4" s="234"/>
      <c r="U4" s="234"/>
      <c r="V4" s="234"/>
      <c r="AJ4" s="232" t="s">
        <v>451</v>
      </c>
      <c r="AK4" s="236" t="str">
        <f>AJ4</f>
        <v>'Credit_2012Q4'!</v>
      </c>
      <c r="AL4" s="236" t="str">
        <f>AK4</f>
        <v>'Credit_2012Q4'!</v>
      </c>
    </row>
    <row r="5" spans="1:61" collapsed="1" x14ac:dyDescent="0.2">
      <c r="E5" s="243" t="s">
        <v>436</v>
      </c>
      <c r="G5" s="237" t="s">
        <v>424</v>
      </c>
      <c r="I5" s="314"/>
      <c r="J5" s="466" t="s">
        <v>77</v>
      </c>
      <c r="K5" s="314"/>
      <c r="L5" s="468" t="str">
        <f>"All Companies" &amp; CHAR( 10 ) &amp; "("&amp; L14 &amp; ")"</f>
        <v>All Companies
(56)</v>
      </c>
      <c r="M5" s="468"/>
      <c r="N5" s="314"/>
      <c r="O5" s="466" t="str">
        <f ca="1">"Regulated" &amp; CHAR( 10 ) &amp; "(" &amp; O14 &amp; ")"</f>
        <v>Regulated
(36)</v>
      </c>
      <c r="P5" s="470"/>
      <c r="Q5" s="314"/>
      <c r="R5" s="466" t="str">
        <f ca="1">"Mostly Regulated" &amp; CHAR( 10 ) &amp; "(" &amp; R14 &amp; ")"</f>
        <v>Mostly Regulated
(17)</v>
      </c>
      <c r="S5" s="470"/>
      <c r="T5" s="314"/>
      <c r="U5" s="466" t="str">
        <f ca="1">"Diversified" &amp; CHAR( 10 ) &amp; "(" &amp; U14 &amp; ")"</f>
        <v>Diversified
(3)</v>
      </c>
      <c r="V5" s="470"/>
      <c r="W5" s="314"/>
      <c r="AE5" s="244"/>
      <c r="AF5" s="234"/>
      <c r="AG5" s="234"/>
      <c r="AH5" s="234"/>
      <c r="AJ5" s="234"/>
      <c r="AK5" s="234"/>
      <c r="AL5" s="234"/>
      <c r="AM5" s="234"/>
      <c r="AN5" s="234"/>
    </row>
    <row r="6" spans="1:61" ht="28.5" customHeight="1" x14ac:dyDescent="0.2">
      <c r="A6" s="299" t="s">
        <v>0</v>
      </c>
      <c r="B6" s="300" t="s">
        <v>429</v>
      </c>
      <c r="C6" s="338" t="s">
        <v>471</v>
      </c>
      <c r="D6" s="301"/>
      <c r="E6" s="302">
        <v>40908</v>
      </c>
      <c r="I6" s="315"/>
      <c r="J6" s="467"/>
      <c r="K6" s="315"/>
      <c r="L6" s="469"/>
      <c r="M6" s="469"/>
      <c r="N6" s="315"/>
      <c r="O6" s="467"/>
      <c r="P6" s="467"/>
      <c r="Q6" s="315"/>
      <c r="R6" s="467" t="s">
        <v>137</v>
      </c>
      <c r="S6" s="467"/>
      <c r="T6" s="315"/>
      <c r="U6" s="467"/>
      <c r="V6" s="467"/>
      <c r="W6" s="315"/>
      <c r="AE6" s="245"/>
      <c r="AJ6" s="246"/>
    </row>
    <row r="7" spans="1:61" x14ac:dyDescent="0.2">
      <c r="A7" s="303" t="s">
        <v>7</v>
      </c>
      <c r="B7" s="304" t="s">
        <v>2</v>
      </c>
      <c r="C7" s="304">
        <v>21</v>
      </c>
      <c r="D7" s="304" t="s">
        <v>328</v>
      </c>
      <c r="E7" s="305" t="str">
        <f t="shared" ref="E7:E59" ca="1" si="0">OFFSET( INDIRECT( E$3 &amp; E$4 ), $G7 - 1, 0 )</f>
        <v>R</v>
      </c>
      <c r="F7" s="306"/>
      <c r="G7" s="307">
        <f t="shared" ref="G7:G65" ca="1" si="1">IF( LEN( $D7 ) = 0, "", MATCH( $D7, INDIRECT( G$3 &amp; G$4 ), 0 ) )</f>
        <v>53</v>
      </c>
      <c r="H7" s="250"/>
      <c r="I7" s="316"/>
      <c r="J7" s="252"/>
      <c r="K7" s="316"/>
      <c r="L7" s="252" t="s">
        <v>81</v>
      </c>
      <c r="M7" s="252" t="s">
        <v>82</v>
      </c>
      <c r="N7" s="316"/>
      <c r="O7" s="252" t="s">
        <v>81</v>
      </c>
      <c r="P7" s="252" t="s">
        <v>82</v>
      </c>
      <c r="Q7" s="316"/>
      <c r="R7" s="252" t="s">
        <v>81</v>
      </c>
      <c r="S7" s="252" t="s">
        <v>82</v>
      </c>
      <c r="T7" s="316"/>
      <c r="U7" s="252" t="s">
        <v>81</v>
      </c>
      <c r="V7" s="252" t="s">
        <v>82</v>
      </c>
      <c r="W7" s="316"/>
      <c r="AE7" s="254"/>
      <c r="AF7" s="236">
        <f t="shared" ref="AF7:AF67" si="2">IF( LEN( C7 ) = 0, 0, IF( C7 = C6, AF6, IF( AF6 = 1, 0, 1 ) ) )</f>
        <v>1</v>
      </c>
      <c r="AG7" s="236" t="str">
        <f t="shared" ref="AG7:AG64" ca="1" si="3">IF( LEN( $C7 ) = 0, "", IF( $C7 &gt; $AL7, 1, "" ) )</f>
        <v/>
      </c>
      <c r="AH7" s="236" t="str">
        <f ca="1">IF( LEN( $C7 ) = 0, "", IF( $C7 &lt; $AL7, 1, "" ) )</f>
        <v/>
      </c>
      <c r="AJ7" s="236">
        <f t="shared" ref="AJ7:AJ67" ca="1" si="4">MATCH( $A7, INDIRECT( AJ$2 ), 0 )</f>
        <v>7</v>
      </c>
      <c r="AK7" s="236" t="str">
        <f ca="1">IF( ISNA( $AJ7 ), "", OFFSET( INDIRECT( AK$2 ), $AJ7-1, 0 ) )</f>
        <v>A</v>
      </c>
      <c r="AL7" s="236">
        <f ca="1">IF( ISNA( $AJ7 ), "", OFFSET( INDIRECT( AL$2 ), $AJ7-1, 0 ) )</f>
        <v>21</v>
      </c>
      <c r="AM7" s="236" t="str">
        <f t="shared" ref="AM7:AM67" ca="1" si="5">IF( B7 = AK7, "", "Change" )</f>
        <v/>
      </c>
      <c r="AQ7" s="286" t="s">
        <v>15</v>
      </c>
      <c r="AR7" s="286" t="s">
        <v>16</v>
      </c>
      <c r="AS7" s="286">
        <v>15</v>
      </c>
      <c r="AT7" s="286" t="s">
        <v>277</v>
      </c>
      <c r="AV7" s="234">
        <f>IF( LEN( AS7 ) = 0, 99, RANK( AS7, $AS$7:$AS$63 ) )</f>
        <v>11</v>
      </c>
      <c r="AW7" s="234">
        <f>COUNTIF( AV7:AV$7, AV7 )</f>
        <v>1</v>
      </c>
      <c r="AX7" s="287">
        <f>AV7 + AW7 / 10</f>
        <v>11.1</v>
      </c>
      <c r="AY7" s="234">
        <f>RANK( AX7, $AX$7:$AX$63, 1 )</f>
        <v>11</v>
      </c>
      <c r="AZ7" s="236"/>
      <c r="BA7" s="236"/>
      <c r="BC7" s="234">
        <f t="shared" ref="BC7" ca="1" si="6">OFFSET( BC7, -1, 0 ) + 1</f>
        <v>1</v>
      </c>
      <c r="BD7" s="288">
        <f t="shared" ref="BD7:BD62" ca="1" si="7">MATCH( BC7, $AY$7:$AY$63, 0 )</f>
        <v>47</v>
      </c>
      <c r="BF7" s="240" t="str">
        <f t="shared" ref="BF7:BF38" ca="1" si="8">OFFSET( AQ$6, $BD7, 0 )</f>
        <v>Southern Company</v>
      </c>
      <c r="BG7" s="240" t="str">
        <f t="shared" ref="BG7:BI62" ca="1" si="9">OFFSET( AR$6, $BD7, 0 )</f>
        <v>A</v>
      </c>
      <c r="BH7" s="240">
        <f t="shared" ca="1" si="9"/>
        <v>17</v>
      </c>
      <c r="BI7" s="240" t="str">
        <f t="shared" ca="1" si="9"/>
        <v>SO</v>
      </c>
    </row>
    <row r="8" spans="1:61" x14ac:dyDescent="0.2">
      <c r="A8" s="303" t="s">
        <v>17</v>
      </c>
      <c r="B8" s="304" t="s">
        <v>10</v>
      </c>
      <c r="C8" s="304">
        <v>20</v>
      </c>
      <c r="D8" s="304" t="s">
        <v>307</v>
      </c>
      <c r="E8" s="305" t="str">
        <f t="shared" ca="1" si="0"/>
        <v>R</v>
      </c>
      <c r="F8" s="306"/>
      <c r="G8" s="307">
        <f t="shared" ca="1" si="1"/>
        <v>8</v>
      </c>
      <c r="H8" s="250"/>
      <c r="I8" s="317"/>
      <c r="J8" s="293" t="s">
        <v>138</v>
      </c>
      <c r="K8" s="317"/>
      <c r="L8" s="293">
        <f t="shared" ref="L8:L13" si="10">COUNTIF($C$7:$C$67,$X8)</f>
        <v>3</v>
      </c>
      <c r="M8" s="294">
        <f t="shared" ref="M8:M13" si="11">IF( L8 = 0, "", L8/L$14 )</f>
        <v>5.3571428571428568E-2</v>
      </c>
      <c r="N8" s="317"/>
      <c r="O8" s="293">
        <f t="shared" ref="O8:O13" ca="1" si="12">COUNTIFS( $E$7:$E$66, O$3, $C$7:$C$66, $X8 )</f>
        <v>2</v>
      </c>
      <c r="P8" s="294">
        <f t="shared" ref="P8:P13" ca="1" si="13">IF( O8 = 0, "", O8/O$14 )</f>
        <v>5.5555555555555552E-2</v>
      </c>
      <c r="Q8" s="317"/>
      <c r="R8" s="293">
        <f t="shared" ref="R8:R13" ca="1" si="14">COUNTIFS( $E$7:$E$66, R$3, $C$7:$C$66, $X8 )</f>
        <v>1</v>
      </c>
      <c r="S8" s="294">
        <f t="shared" ref="S8:S13" ca="1" si="15">IF( R8 = 0, "", R8/R$14 )</f>
        <v>5.8823529411764705E-2</v>
      </c>
      <c r="T8" s="317"/>
      <c r="U8" s="293">
        <f t="shared" ref="U8:U13" ca="1" si="16">COUNTIFS( $E$7:$E$66, U$3, $C$7:$C$66, $X8 )</f>
        <v>0</v>
      </c>
      <c r="V8" s="294" t="str">
        <f t="shared" ref="V8:V13" ca="1" si="17">IF( U8 = 0, "", U8/U$14 )</f>
        <v/>
      </c>
      <c r="W8" s="317"/>
      <c r="X8" s="256" t="s">
        <v>464</v>
      </c>
      <c r="Y8" s="256">
        <v>21</v>
      </c>
      <c r="Z8" s="256">
        <v>1</v>
      </c>
      <c r="AA8" s="255">
        <f t="shared" ref="AA8:AA13" ca="1" si="18">SUM(O8, R8, U8)</f>
        <v>3</v>
      </c>
      <c r="AC8" s="257"/>
      <c r="AE8" s="254"/>
      <c r="AF8" s="236">
        <f t="shared" si="2"/>
        <v>0</v>
      </c>
      <c r="AG8" s="236">
        <f t="shared" ca="1" si="3"/>
        <v>1</v>
      </c>
      <c r="AH8" s="236" t="str">
        <f t="shared" ref="AH8:AH67" ca="1" si="19">IF( LEN( $C8 ) = 0, "", IF( $C8 &lt; $AL8, 1, "" ) )</f>
        <v/>
      </c>
      <c r="AJ8" s="236">
        <f t="shared" ca="1" si="4"/>
        <v>17</v>
      </c>
      <c r="AK8" s="236" t="str">
        <f t="shared" ref="AK8:AL67" ca="1" si="20">IF( ISNA( $AJ8 ), "", OFFSET( INDIRECT( AK$2 ), $AJ8-1, 0 ) )</f>
        <v>BBB+</v>
      </c>
      <c r="AL8" s="236">
        <f t="shared" ca="1" si="20"/>
        <v>19</v>
      </c>
      <c r="AM8" s="236" t="str">
        <f t="shared" ca="1" si="5"/>
        <v>Change</v>
      </c>
      <c r="AQ8" s="286" t="s">
        <v>17</v>
      </c>
      <c r="AR8" s="286" t="s">
        <v>10</v>
      </c>
      <c r="AS8" s="286">
        <v>16</v>
      </c>
      <c r="AT8" s="286" t="s">
        <v>307</v>
      </c>
      <c r="AV8" s="234">
        <f t="shared" ref="AV8:AV63" si="21">IF( LEN( AS8 ) = 0, 99, RANK( AS8, $AS$7:$AS$63 ) )</f>
        <v>2</v>
      </c>
      <c r="AW8" s="234">
        <f>COUNTIF( AV$7:AV8, AV8 )</f>
        <v>1</v>
      </c>
      <c r="AX8" s="287">
        <f t="shared" ref="AX8:AX63" si="22">AV8 + AW8 / 10</f>
        <v>2.1</v>
      </c>
      <c r="AY8" s="234">
        <f t="shared" ref="AY8:AY63" si="23">RANK( AX8, $AX$7:$AX$63, 1 )</f>
        <v>2</v>
      </c>
      <c r="AZ8" s="236"/>
      <c r="BA8" s="236"/>
      <c r="BC8" s="234">
        <f ca="1">OFFSET( BC8, -1, 0 ) + 1</f>
        <v>2</v>
      </c>
      <c r="BD8" s="288">
        <f t="shared" ca="1" si="7"/>
        <v>2</v>
      </c>
      <c r="BF8" s="240" t="str">
        <f t="shared" ca="1" si="8"/>
        <v>Alliant Energy Corporation</v>
      </c>
      <c r="BG8" s="240" t="str">
        <f t="shared" ca="1" si="9"/>
        <v>A-</v>
      </c>
      <c r="BH8" s="240">
        <f t="shared" ca="1" si="9"/>
        <v>16</v>
      </c>
      <c r="BI8" s="240" t="str">
        <f t="shared" ca="1" si="9"/>
        <v>LNT</v>
      </c>
    </row>
    <row r="9" spans="1:61" x14ac:dyDescent="0.2">
      <c r="A9" s="303" t="s">
        <v>3</v>
      </c>
      <c r="B9" s="304" t="s">
        <v>10</v>
      </c>
      <c r="C9" s="304">
        <v>20</v>
      </c>
      <c r="D9" s="304" t="s">
        <v>292</v>
      </c>
      <c r="E9" s="305" t="str">
        <f t="shared" ca="1" si="0"/>
        <v>R</v>
      </c>
      <c r="F9" s="306"/>
      <c r="G9" s="307">
        <f t="shared" ca="1" si="1"/>
        <v>18</v>
      </c>
      <c r="H9" s="250"/>
      <c r="I9" s="318"/>
      <c r="J9" s="295" t="s">
        <v>10</v>
      </c>
      <c r="K9" s="318"/>
      <c r="L9" s="295">
        <f t="shared" si="10"/>
        <v>9</v>
      </c>
      <c r="M9" s="296">
        <f t="shared" si="11"/>
        <v>0.16071428571428573</v>
      </c>
      <c r="N9" s="318"/>
      <c r="O9" s="295">
        <f t="shared" ca="1" si="12"/>
        <v>7</v>
      </c>
      <c r="P9" s="296">
        <f t="shared" ca="1" si="13"/>
        <v>0.19444444444444445</v>
      </c>
      <c r="Q9" s="318"/>
      <c r="R9" s="295">
        <f t="shared" ca="1" si="14"/>
        <v>2</v>
      </c>
      <c r="S9" s="296">
        <f t="shared" ca="1" si="15"/>
        <v>0.11764705882352941</v>
      </c>
      <c r="T9" s="318"/>
      <c r="U9" s="295">
        <f t="shared" ca="1" si="16"/>
        <v>0</v>
      </c>
      <c r="V9" s="296" t="str">
        <f t="shared" ca="1" si="17"/>
        <v/>
      </c>
      <c r="W9" s="318"/>
      <c r="X9" s="256" t="s">
        <v>465</v>
      </c>
      <c r="Y9" s="256">
        <v>20</v>
      </c>
      <c r="Z9" s="256">
        <v>1</v>
      </c>
      <c r="AA9" s="255">
        <f t="shared" ca="1" si="18"/>
        <v>9</v>
      </c>
      <c r="AC9" s="253"/>
      <c r="AE9" s="254"/>
      <c r="AF9" s="236">
        <f t="shared" si="2"/>
        <v>0</v>
      </c>
      <c r="AG9" s="236" t="str">
        <f t="shared" ca="1" si="3"/>
        <v/>
      </c>
      <c r="AH9" s="236" t="str">
        <f t="shared" ca="1" si="19"/>
        <v/>
      </c>
      <c r="AJ9" s="236">
        <f t="shared" ca="1" si="4"/>
        <v>8</v>
      </c>
      <c r="AK9" s="236" t="str">
        <f t="shared" ca="1" si="20"/>
        <v>A-</v>
      </c>
      <c r="AL9" s="236">
        <f t="shared" ca="1" si="20"/>
        <v>20</v>
      </c>
      <c r="AM9" s="236" t="str">
        <f t="shared" ca="1" si="5"/>
        <v/>
      </c>
      <c r="AQ9" s="286" t="s">
        <v>9</v>
      </c>
      <c r="AR9" s="286" t="s">
        <v>28</v>
      </c>
      <c r="AS9" s="286">
        <v>14</v>
      </c>
      <c r="AT9" s="286" t="s">
        <v>274</v>
      </c>
      <c r="AV9" s="234">
        <f t="shared" si="21"/>
        <v>23</v>
      </c>
      <c r="AW9" s="234">
        <f>COUNTIF( AV$7:AV9, AV9 )</f>
        <v>1</v>
      </c>
      <c r="AX9" s="287">
        <f t="shared" si="22"/>
        <v>23.1</v>
      </c>
      <c r="AY9" s="234">
        <f t="shared" si="23"/>
        <v>23</v>
      </c>
      <c r="AZ9" s="236"/>
      <c r="BA9" s="236"/>
      <c r="BC9" s="234">
        <f t="shared" ref="BC9:BC63" ca="1" si="24">OFFSET( BC9, -1, 0 ) + 1</f>
        <v>3</v>
      </c>
      <c r="BD9" s="288">
        <f t="shared" ca="1" si="7"/>
        <v>10</v>
      </c>
      <c r="BF9" s="240" t="str">
        <f t="shared" ca="1" si="8"/>
        <v>Consolidated Edison, Inc.</v>
      </c>
      <c r="BG9" s="240" t="str">
        <f t="shared" ca="1" si="9"/>
        <v>A-</v>
      </c>
      <c r="BH9" s="240">
        <f t="shared" ca="1" si="9"/>
        <v>16</v>
      </c>
      <c r="BI9" s="240" t="str">
        <f t="shared" ca="1" si="9"/>
        <v>ED</v>
      </c>
    </row>
    <row r="10" spans="1:61" x14ac:dyDescent="0.2">
      <c r="A10" s="303" t="s">
        <v>18</v>
      </c>
      <c r="B10" s="304" t="s">
        <v>10</v>
      </c>
      <c r="C10" s="304">
        <v>20</v>
      </c>
      <c r="D10" s="304" t="s">
        <v>86</v>
      </c>
      <c r="E10" s="305" t="str">
        <f t="shared" ca="1" si="0"/>
        <v>MR</v>
      </c>
      <c r="F10" s="306"/>
      <c r="G10" s="307">
        <f t="shared" ca="1" si="1"/>
        <v>20</v>
      </c>
      <c r="H10" s="250"/>
      <c r="I10" s="318"/>
      <c r="J10" s="295" t="s">
        <v>16</v>
      </c>
      <c r="K10" s="318"/>
      <c r="L10" s="295">
        <f t="shared" si="10"/>
        <v>12</v>
      </c>
      <c r="M10" s="296">
        <f t="shared" si="11"/>
        <v>0.21428571428571427</v>
      </c>
      <c r="N10" s="318"/>
      <c r="O10" s="295">
        <f t="shared" ca="1" si="12"/>
        <v>4</v>
      </c>
      <c r="P10" s="296">
        <f t="shared" ca="1" si="13"/>
        <v>0.1111111111111111</v>
      </c>
      <c r="Q10" s="318"/>
      <c r="R10" s="295">
        <f t="shared" ca="1" si="14"/>
        <v>7</v>
      </c>
      <c r="S10" s="296">
        <f t="shared" ca="1" si="15"/>
        <v>0.41176470588235292</v>
      </c>
      <c r="T10" s="318"/>
      <c r="U10" s="295">
        <f t="shared" ca="1" si="16"/>
        <v>1</v>
      </c>
      <c r="V10" s="296">
        <f t="shared" ca="1" si="17"/>
        <v>0.33333333333333331</v>
      </c>
      <c r="W10" s="318"/>
      <c r="X10" s="256" t="s">
        <v>466</v>
      </c>
      <c r="Y10" s="256">
        <v>19</v>
      </c>
      <c r="Z10" s="256">
        <v>1</v>
      </c>
      <c r="AA10" s="255">
        <f t="shared" ca="1" si="18"/>
        <v>12</v>
      </c>
      <c r="AE10" s="254"/>
      <c r="AF10" s="236">
        <f t="shared" si="2"/>
        <v>0</v>
      </c>
      <c r="AG10" s="236" t="str">
        <f t="shared" ca="1" si="3"/>
        <v/>
      </c>
      <c r="AH10" s="236" t="str">
        <f t="shared" ca="1" si="19"/>
        <v/>
      </c>
      <c r="AJ10" s="236">
        <f t="shared" ca="1" si="4"/>
        <v>9</v>
      </c>
      <c r="AK10" s="236" t="str">
        <f t="shared" ca="1" si="20"/>
        <v>A-</v>
      </c>
      <c r="AL10" s="236">
        <f t="shared" ca="1" si="20"/>
        <v>20</v>
      </c>
      <c r="AM10" s="236" t="str">
        <f t="shared" ca="1" si="5"/>
        <v/>
      </c>
      <c r="AQ10" s="286" t="s">
        <v>259</v>
      </c>
      <c r="AR10" s="286" t="s">
        <v>28</v>
      </c>
      <c r="AS10" s="286">
        <v>14</v>
      </c>
      <c r="AT10" s="286" t="s">
        <v>275</v>
      </c>
      <c r="AV10" s="234">
        <f t="shared" si="21"/>
        <v>23</v>
      </c>
      <c r="AW10" s="234">
        <f>COUNTIF( AV$7:AV10, AV10 )</f>
        <v>2</v>
      </c>
      <c r="AX10" s="287">
        <f t="shared" si="22"/>
        <v>23.2</v>
      </c>
      <c r="AY10" s="234">
        <f t="shared" si="23"/>
        <v>24</v>
      </c>
      <c r="AZ10" s="236"/>
      <c r="BA10" s="236"/>
      <c r="BC10" s="234">
        <f t="shared" ca="1" si="24"/>
        <v>4</v>
      </c>
      <c r="BD10" s="288">
        <f t="shared" ca="1" si="7"/>
        <v>11</v>
      </c>
      <c r="BF10" s="240" t="str">
        <f t="shared" ca="1" si="8"/>
        <v>Dominion Resources, Inc.</v>
      </c>
      <c r="BG10" s="240" t="str">
        <f t="shared" ca="1" si="9"/>
        <v>A-</v>
      </c>
      <c r="BH10" s="240">
        <f t="shared" ca="1" si="9"/>
        <v>16</v>
      </c>
      <c r="BI10" s="240" t="str">
        <f t="shared" ca="1" si="9"/>
        <v>D</v>
      </c>
    </row>
    <row r="11" spans="1:61" x14ac:dyDescent="0.2">
      <c r="A11" s="303" t="s">
        <v>254</v>
      </c>
      <c r="B11" s="304" t="s">
        <v>10</v>
      </c>
      <c r="C11" s="304">
        <v>20</v>
      </c>
      <c r="D11" s="304" t="s">
        <v>331</v>
      </c>
      <c r="E11" s="305" t="str">
        <f t="shared" ca="1" si="0"/>
        <v>R</v>
      </c>
      <c r="F11" s="306"/>
      <c r="G11" s="307">
        <f t="shared" ca="1" si="1"/>
        <v>32</v>
      </c>
      <c r="H11" s="250"/>
      <c r="I11" s="318"/>
      <c r="J11" s="295" t="s">
        <v>28</v>
      </c>
      <c r="K11" s="318"/>
      <c r="L11" s="295">
        <f t="shared" si="10"/>
        <v>19</v>
      </c>
      <c r="M11" s="296">
        <f t="shared" si="11"/>
        <v>0.3392857142857143</v>
      </c>
      <c r="N11" s="318"/>
      <c r="O11" s="295">
        <f t="shared" ca="1" si="12"/>
        <v>16</v>
      </c>
      <c r="P11" s="296">
        <f t="shared" ca="1" si="13"/>
        <v>0.44444444444444442</v>
      </c>
      <c r="Q11" s="318"/>
      <c r="R11" s="295">
        <f t="shared" ca="1" si="14"/>
        <v>3</v>
      </c>
      <c r="S11" s="296">
        <f t="shared" ca="1" si="15"/>
        <v>0.17647058823529413</v>
      </c>
      <c r="T11" s="318"/>
      <c r="U11" s="295">
        <f t="shared" ca="1" si="16"/>
        <v>0</v>
      </c>
      <c r="V11" s="296" t="str">
        <f t="shared" ca="1" si="17"/>
        <v/>
      </c>
      <c r="W11" s="318"/>
      <c r="X11" s="256" t="s">
        <v>467</v>
      </c>
      <c r="Y11" s="256">
        <v>18</v>
      </c>
      <c r="Z11" s="256">
        <v>1</v>
      </c>
      <c r="AA11" s="255">
        <f t="shared" ca="1" si="18"/>
        <v>19</v>
      </c>
      <c r="AE11" s="254"/>
      <c r="AF11" s="236">
        <f t="shared" si="2"/>
        <v>0</v>
      </c>
      <c r="AG11" s="236" t="str">
        <f t="shared" ca="1" si="3"/>
        <v/>
      </c>
      <c r="AH11" s="236" t="str">
        <f t="shared" ca="1" si="19"/>
        <v/>
      </c>
      <c r="AJ11" s="236">
        <f t="shared" ca="1" si="4"/>
        <v>10</v>
      </c>
      <c r="AK11" s="236" t="str">
        <f t="shared" ca="1" si="20"/>
        <v>A-</v>
      </c>
      <c r="AL11" s="236">
        <f t="shared" ca="1" si="20"/>
        <v>20</v>
      </c>
      <c r="AM11" s="236" t="str">
        <f t="shared" ca="1" si="5"/>
        <v/>
      </c>
      <c r="AQ11" s="286" t="s">
        <v>55</v>
      </c>
      <c r="AR11" s="286" t="s">
        <v>28</v>
      </c>
      <c r="AS11" s="286">
        <v>14</v>
      </c>
      <c r="AT11" s="286" t="s">
        <v>278</v>
      </c>
      <c r="AV11" s="234">
        <f t="shared" si="21"/>
        <v>23</v>
      </c>
      <c r="AW11" s="234">
        <f>COUNTIF( AV$7:AV11, AV11 )</f>
        <v>3</v>
      </c>
      <c r="AX11" s="287">
        <f t="shared" si="22"/>
        <v>23.3</v>
      </c>
      <c r="AY11" s="234">
        <f t="shared" si="23"/>
        <v>25</v>
      </c>
      <c r="AZ11" s="236"/>
      <c r="BA11" s="236"/>
      <c r="BC11" s="234">
        <f t="shared" ca="1" si="24"/>
        <v>5</v>
      </c>
      <c r="BD11" s="288">
        <f t="shared" ca="1" si="7"/>
        <v>26</v>
      </c>
      <c r="BF11" s="240" t="str">
        <f t="shared" ca="1" si="8"/>
        <v>Integrys Energy Group, Inc.</v>
      </c>
      <c r="BG11" s="240" t="str">
        <f t="shared" ca="1" si="9"/>
        <v>A-</v>
      </c>
      <c r="BH11" s="240">
        <f t="shared" ca="1" si="9"/>
        <v>16</v>
      </c>
      <c r="BI11" s="240" t="str">
        <f t="shared" ca="1" si="9"/>
        <v>TEG</v>
      </c>
    </row>
    <row r="12" spans="1:61" x14ac:dyDescent="0.2">
      <c r="A12" s="303" t="s">
        <v>370</v>
      </c>
      <c r="B12" s="304" t="s">
        <v>10</v>
      </c>
      <c r="C12" s="304">
        <v>20</v>
      </c>
      <c r="D12" s="304" t="s">
        <v>369</v>
      </c>
      <c r="E12" s="305" t="str">
        <f t="shared" ca="1" si="0"/>
        <v>MR</v>
      </c>
      <c r="F12" s="306"/>
      <c r="G12" s="307">
        <f t="shared" ca="1" si="1"/>
        <v>35</v>
      </c>
      <c r="H12" s="250"/>
      <c r="I12" s="318"/>
      <c r="J12" s="295" t="s">
        <v>49</v>
      </c>
      <c r="K12" s="318"/>
      <c r="L12" s="295">
        <f t="shared" si="10"/>
        <v>9</v>
      </c>
      <c r="M12" s="296">
        <f t="shared" si="11"/>
        <v>0.16071428571428573</v>
      </c>
      <c r="N12" s="318"/>
      <c r="O12" s="295">
        <f t="shared" ca="1" si="12"/>
        <v>4</v>
      </c>
      <c r="P12" s="296">
        <f t="shared" ca="1" si="13"/>
        <v>0.1111111111111111</v>
      </c>
      <c r="Q12" s="318"/>
      <c r="R12" s="295">
        <f t="shared" ca="1" si="14"/>
        <v>4</v>
      </c>
      <c r="S12" s="296">
        <f t="shared" ca="1" si="15"/>
        <v>0.23529411764705882</v>
      </c>
      <c r="T12" s="318"/>
      <c r="U12" s="295">
        <f t="shared" ca="1" si="16"/>
        <v>1</v>
      </c>
      <c r="V12" s="296">
        <f t="shared" ca="1" si="17"/>
        <v>0.33333333333333331</v>
      </c>
      <c r="W12" s="318"/>
      <c r="X12" s="256" t="s">
        <v>468</v>
      </c>
      <c r="Y12" s="256">
        <v>17</v>
      </c>
      <c r="Z12" s="256">
        <v>1</v>
      </c>
      <c r="AA12" s="255">
        <f t="shared" ca="1" si="18"/>
        <v>9</v>
      </c>
      <c r="AE12" s="254"/>
      <c r="AF12" s="236">
        <f t="shared" si="2"/>
        <v>0</v>
      </c>
      <c r="AG12" s="236" t="str">
        <f t="shared" ca="1" si="3"/>
        <v/>
      </c>
      <c r="AH12" s="236" t="str">
        <f t="shared" ca="1" si="19"/>
        <v/>
      </c>
      <c r="AJ12" s="236">
        <f t="shared" ca="1" si="4"/>
        <v>11</v>
      </c>
      <c r="AK12" s="236" t="str">
        <f t="shared" ca="1" si="20"/>
        <v>A-</v>
      </c>
      <c r="AL12" s="236">
        <f t="shared" ca="1" si="20"/>
        <v>20</v>
      </c>
      <c r="AM12" s="236" t="str">
        <f t="shared" ca="1" si="5"/>
        <v/>
      </c>
      <c r="AQ12" s="286" t="s">
        <v>48</v>
      </c>
      <c r="AR12" s="286" t="s">
        <v>49</v>
      </c>
      <c r="AS12" s="286">
        <v>13</v>
      </c>
      <c r="AT12" s="286" t="s">
        <v>280</v>
      </c>
      <c r="AV12" s="234">
        <f t="shared" si="21"/>
        <v>42</v>
      </c>
      <c r="AW12" s="234">
        <f>COUNTIF( AV$7:AV12, AV12 )</f>
        <v>1</v>
      </c>
      <c r="AX12" s="287">
        <f t="shared" si="22"/>
        <v>42.1</v>
      </c>
      <c r="AY12" s="234">
        <f t="shared" si="23"/>
        <v>42</v>
      </c>
      <c r="AZ12" s="236"/>
      <c r="BA12" s="236"/>
      <c r="BC12" s="234">
        <f t="shared" ca="1" si="24"/>
        <v>6</v>
      </c>
      <c r="BD12" s="288">
        <f t="shared" ca="1" si="7"/>
        <v>30</v>
      </c>
      <c r="BF12" s="240" t="str">
        <f t="shared" ca="1" si="8"/>
        <v>NextEra Energy, Inc.</v>
      </c>
      <c r="BG12" s="240" t="str">
        <f t="shared" ca="1" si="9"/>
        <v>A-</v>
      </c>
      <c r="BH12" s="240">
        <f t="shared" ca="1" si="9"/>
        <v>16</v>
      </c>
      <c r="BI12" s="240" t="str">
        <f t="shared" ca="1" si="9"/>
        <v>NEE</v>
      </c>
    </row>
    <row r="13" spans="1:61" x14ac:dyDescent="0.2">
      <c r="A13" s="303" t="s">
        <v>513</v>
      </c>
      <c r="B13" s="304" t="s">
        <v>10</v>
      </c>
      <c r="C13" s="304">
        <v>20</v>
      </c>
      <c r="D13" s="304" t="s">
        <v>512</v>
      </c>
      <c r="E13" s="305" t="str">
        <f t="shared" ca="1" si="0"/>
        <v>R</v>
      </c>
      <c r="F13" s="306"/>
      <c r="G13" s="307">
        <f t="shared" ca="1" si="1"/>
        <v>37</v>
      </c>
      <c r="H13" s="250"/>
      <c r="I13" s="319"/>
      <c r="J13" s="297" t="s">
        <v>79</v>
      </c>
      <c r="K13" s="319"/>
      <c r="L13" s="297">
        <f t="shared" si="10"/>
        <v>4</v>
      </c>
      <c r="M13" s="298">
        <f t="shared" si="11"/>
        <v>7.1428571428571425E-2</v>
      </c>
      <c r="N13" s="319"/>
      <c r="O13" s="297">
        <f t="shared" ca="1" si="12"/>
        <v>3</v>
      </c>
      <c r="P13" s="298">
        <f t="shared" ca="1" si="13"/>
        <v>8.3333333333333329E-2</v>
      </c>
      <c r="Q13" s="319"/>
      <c r="R13" s="297">
        <f t="shared" ca="1" si="14"/>
        <v>0</v>
      </c>
      <c r="S13" s="298" t="str">
        <f t="shared" ca="1" si="15"/>
        <v/>
      </c>
      <c r="T13" s="319"/>
      <c r="U13" s="297">
        <f t="shared" ca="1" si="16"/>
        <v>1</v>
      </c>
      <c r="V13" s="298">
        <f t="shared" ca="1" si="17"/>
        <v>0.33333333333333331</v>
      </c>
      <c r="W13" s="319"/>
      <c r="X13" s="256" t="s">
        <v>469</v>
      </c>
      <c r="Y13" s="256">
        <v>16</v>
      </c>
      <c r="Z13" s="256">
        <v>1</v>
      </c>
      <c r="AA13" s="259">
        <f t="shared" ca="1" si="18"/>
        <v>4</v>
      </c>
      <c r="AE13" s="254"/>
      <c r="AF13" s="236">
        <f t="shared" si="2"/>
        <v>0</v>
      </c>
      <c r="AG13" s="236" t="str">
        <f t="shared" ca="1" si="3"/>
        <v/>
      </c>
      <c r="AH13" s="236" t="str">
        <f t="shared" ca="1" si="19"/>
        <v/>
      </c>
      <c r="AJ13" s="236">
        <f t="shared" ca="1" si="4"/>
        <v>12</v>
      </c>
      <c r="AK13" s="236" t="str">
        <f t="shared" ca="1" si="20"/>
        <v>A-</v>
      </c>
      <c r="AL13" s="236">
        <f t="shared" ca="1" si="20"/>
        <v>20</v>
      </c>
      <c r="AM13" s="236" t="str">
        <f t="shared" ca="1" si="5"/>
        <v/>
      </c>
      <c r="AQ13" s="286" t="s">
        <v>29</v>
      </c>
      <c r="AR13" s="286" t="s">
        <v>16</v>
      </c>
      <c r="AS13" s="286">
        <v>15</v>
      </c>
      <c r="AT13" s="286" t="s">
        <v>286</v>
      </c>
      <c r="AV13" s="234">
        <f t="shared" si="21"/>
        <v>11</v>
      </c>
      <c r="AW13" s="234">
        <f>COUNTIF( AV$7:AV13, AV13 )</f>
        <v>2</v>
      </c>
      <c r="AX13" s="287">
        <f t="shared" si="22"/>
        <v>11.2</v>
      </c>
      <c r="AY13" s="234">
        <f t="shared" si="23"/>
        <v>12</v>
      </c>
      <c r="AZ13" s="236"/>
      <c r="BA13" s="236"/>
      <c r="BC13" s="234">
        <f t="shared" ca="1" si="24"/>
        <v>7</v>
      </c>
      <c r="BD13" s="288">
        <f t="shared" ca="1" si="7"/>
        <v>32</v>
      </c>
      <c r="BF13" s="240" t="str">
        <f t="shared" ca="1" si="8"/>
        <v>Eversource</v>
      </c>
      <c r="BG13" s="240" t="str">
        <f t="shared" ca="1" si="9"/>
        <v>A-</v>
      </c>
      <c r="BH13" s="240">
        <f t="shared" ca="1" si="9"/>
        <v>16</v>
      </c>
      <c r="BI13" s="240" t="str">
        <f t="shared" ca="1" si="9"/>
        <v>ES</v>
      </c>
    </row>
    <row r="14" spans="1:61" x14ac:dyDescent="0.2">
      <c r="A14" s="303" t="s">
        <v>14</v>
      </c>
      <c r="B14" s="304" t="s">
        <v>10</v>
      </c>
      <c r="C14" s="304">
        <v>20</v>
      </c>
      <c r="D14" s="304" t="s">
        <v>335</v>
      </c>
      <c r="E14" s="305" t="str">
        <f t="shared" ca="1" si="0"/>
        <v>R</v>
      </c>
      <c r="F14" s="306"/>
      <c r="G14" s="307">
        <f t="shared" ca="1" si="1"/>
        <v>58</v>
      </c>
      <c r="H14" s="250"/>
      <c r="I14" s="320"/>
      <c r="J14" s="291" t="s">
        <v>80</v>
      </c>
      <c r="K14" s="320"/>
      <c r="L14" s="291">
        <f>SUM(L8:L13)</f>
        <v>56</v>
      </c>
      <c r="M14" s="292">
        <f>L14/L$14</f>
        <v>1</v>
      </c>
      <c r="N14" s="320"/>
      <c r="O14" s="291">
        <f ca="1">SUM(O8:O13)</f>
        <v>36</v>
      </c>
      <c r="P14" s="292">
        <f ca="1">O14/O$14</f>
        <v>1</v>
      </c>
      <c r="Q14" s="320"/>
      <c r="R14" s="291">
        <f ca="1">SUM(R8:R13)</f>
        <v>17</v>
      </c>
      <c r="S14" s="292">
        <f ca="1">R14/R$14</f>
        <v>1</v>
      </c>
      <c r="T14" s="320"/>
      <c r="U14" s="291">
        <f ca="1">SUM(U8:U13)</f>
        <v>3</v>
      </c>
      <c r="V14" s="292">
        <f ca="1">U14/U$14</f>
        <v>1</v>
      </c>
      <c r="W14" s="320"/>
      <c r="Y14" s="261">
        <f>SUMPRODUCT( L8:L13, Y8:Y13 ) / L14</f>
        <v>18.392857142857142</v>
      </c>
      <c r="Z14" s="261"/>
      <c r="AA14" s="260">
        <f ca="1">SUM(AA8:AA13)</f>
        <v>56</v>
      </c>
      <c r="AE14" s="254"/>
      <c r="AF14" s="236">
        <f t="shared" si="2"/>
        <v>0</v>
      </c>
      <c r="AG14" s="236" t="str">
        <f t="shared" ca="1" si="3"/>
        <v/>
      </c>
      <c r="AH14" s="236" t="str">
        <f t="shared" ca="1" si="19"/>
        <v/>
      </c>
      <c r="AJ14" s="236">
        <f t="shared" ca="1" si="4"/>
        <v>13</v>
      </c>
      <c r="AK14" s="236" t="str">
        <f t="shared" ca="1" si="20"/>
        <v>A-</v>
      </c>
      <c r="AL14" s="236">
        <f t="shared" ca="1" si="20"/>
        <v>20</v>
      </c>
      <c r="AM14" s="236" t="str">
        <f t="shared" ca="1" si="5"/>
        <v/>
      </c>
      <c r="AQ14" s="286" t="s">
        <v>30</v>
      </c>
      <c r="AR14" s="286" t="s">
        <v>28</v>
      </c>
      <c r="AS14" s="286">
        <v>14</v>
      </c>
      <c r="AT14" s="286" t="s">
        <v>285</v>
      </c>
      <c r="AV14" s="234">
        <f>IF( LEN( AS14 ) = 0, 99, RANK( AS14, $AS$7:$AS$63 ) )</f>
        <v>23</v>
      </c>
      <c r="AW14" s="234">
        <f>COUNTIF( AV$7:AV14, AV14 )</f>
        <v>4</v>
      </c>
      <c r="AX14" s="287">
        <f t="shared" si="22"/>
        <v>23.4</v>
      </c>
      <c r="AY14" s="234">
        <f t="shared" si="23"/>
        <v>26</v>
      </c>
      <c r="AZ14" s="236"/>
      <c r="BA14" s="236"/>
      <c r="BC14" s="234">
        <f t="shared" ca="1" si="24"/>
        <v>8</v>
      </c>
      <c r="BD14" s="288">
        <f t="shared" ca="1" si="7"/>
        <v>50</v>
      </c>
      <c r="BF14" s="240" t="str">
        <f t="shared" ca="1" si="8"/>
        <v>Vectren Corporation</v>
      </c>
      <c r="BG14" s="240" t="str">
        <f t="shared" ca="1" si="9"/>
        <v>A-</v>
      </c>
      <c r="BH14" s="240">
        <f t="shared" ca="1" si="9"/>
        <v>16</v>
      </c>
      <c r="BI14" s="240" t="str">
        <f t="shared" ca="1" si="9"/>
        <v>VVC</v>
      </c>
    </row>
    <row r="15" spans="1:61" x14ac:dyDescent="0.2">
      <c r="A15" s="303" t="s">
        <v>26</v>
      </c>
      <c r="B15" s="304" t="s">
        <v>10</v>
      </c>
      <c r="C15" s="304">
        <v>20</v>
      </c>
      <c r="D15" s="304" t="s">
        <v>336</v>
      </c>
      <c r="E15" s="305" t="str">
        <f t="shared" ca="1" si="0"/>
        <v>R</v>
      </c>
      <c r="F15" s="306"/>
      <c r="G15" s="307">
        <f t="shared" ca="1" si="1"/>
        <v>60</v>
      </c>
      <c r="H15" s="250"/>
      <c r="I15" s="321"/>
      <c r="K15" s="321"/>
      <c r="N15" s="321"/>
      <c r="Q15" s="321"/>
      <c r="T15" s="321"/>
      <c r="W15" s="321"/>
      <c r="X15" s="240"/>
      <c r="AA15" s="240"/>
      <c r="AE15" s="254"/>
      <c r="AF15" s="236">
        <f t="shared" si="2"/>
        <v>0</v>
      </c>
      <c r="AG15" s="236" t="str">
        <f t="shared" ca="1" si="3"/>
        <v/>
      </c>
      <c r="AH15" s="236" t="str">
        <f t="shared" ca="1" si="19"/>
        <v/>
      </c>
      <c r="AJ15" s="236">
        <f t="shared" ca="1" si="4"/>
        <v>14</v>
      </c>
      <c r="AK15" s="236" t="str">
        <f t="shared" ca="1" si="20"/>
        <v>A-</v>
      </c>
      <c r="AL15" s="236">
        <f t="shared" ca="1" si="20"/>
        <v>20</v>
      </c>
      <c r="AM15" s="236" t="str">
        <f t="shared" ca="1" si="5"/>
        <v/>
      </c>
      <c r="AQ15" s="286" t="s">
        <v>60</v>
      </c>
      <c r="AR15" s="286" t="s">
        <v>28</v>
      </c>
      <c r="AS15" s="286">
        <v>14</v>
      </c>
      <c r="AT15" s="286" t="s">
        <v>284</v>
      </c>
      <c r="AV15" s="234">
        <f t="shared" si="21"/>
        <v>23</v>
      </c>
      <c r="AW15" s="234">
        <f>COUNTIF( AV$7:AV15, AV15 )</f>
        <v>5</v>
      </c>
      <c r="AX15" s="287">
        <f t="shared" si="22"/>
        <v>23.5</v>
      </c>
      <c r="AY15" s="234">
        <f t="shared" si="23"/>
        <v>27</v>
      </c>
      <c r="AZ15" s="236"/>
      <c r="BA15" s="236"/>
      <c r="BC15" s="234">
        <f t="shared" ca="1" si="24"/>
        <v>9</v>
      </c>
      <c r="BD15" s="288">
        <f t="shared" ca="1" si="7"/>
        <v>52</v>
      </c>
      <c r="BF15" s="240" t="str">
        <f t="shared" ca="1" si="8"/>
        <v>Wisconsin Energy Corporation</v>
      </c>
      <c r="BG15" s="240" t="str">
        <f t="shared" ca="1" si="9"/>
        <v>A-</v>
      </c>
      <c r="BH15" s="240">
        <f t="shared" ca="1" si="9"/>
        <v>16</v>
      </c>
      <c r="BI15" s="240" t="str">
        <f t="shared" ca="1" si="9"/>
        <v>WEC</v>
      </c>
    </row>
    <row r="16" spans="1:61" x14ac:dyDescent="0.2">
      <c r="A16" s="303" t="s">
        <v>258</v>
      </c>
      <c r="B16" s="304" t="s">
        <v>10</v>
      </c>
      <c r="C16" s="304">
        <v>20</v>
      </c>
      <c r="D16" s="304" t="s">
        <v>338</v>
      </c>
      <c r="E16" s="305" t="str">
        <f t="shared" ca="1" si="0"/>
        <v>R</v>
      </c>
      <c r="F16" s="306"/>
      <c r="G16" s="307">
        <f t="shared" ca="1" si="1"/>
        <v>61</v>
      </c>
      <c r="H16" s="250"/>
      <c r="I16" s="316"/>
      <c r="J16" s="290" t="s">
        <v>450</v>
      </c>
      <c r="K16" s="316"/>
      <c r="L16" s="463">
        <f t="array" ref="L16">SUM( IF( LEN( $C$7:$C$65 ) = 0, 0, $C$7:$C$65 ) ) / SUM( IF( LEN( $C$7:$C$65 ) = 0, 0, 1  ) )</f>
        <v>18.285714285714285</v>
      </c>
      <c r="M16" s="464"/>
      <c r="N16" s="316"/>
      <c r="O16" s="463">
        <f t="array" aca="1" ref="O16" ca="1">SUM( IF( LEN( $C$7:$C$65 ) = 0, 0, IF( $E$7:$E$65 = O3, $C$7:$C$65, 0 ) ) ) / SUM( IF( LEN( $C$7:$C$65 ) = 0, 0, IF( $E$7:$E$65 = O3, 1, 0 ) ) )</f>
        <v>18.361111111111111</v>
      </c>
      <c r="P16" s="464"/>
      <c r="Q16" s="316"/>
      <c r="R16" s="463">
        <f t="array" aca="1" ref="R16" ca="1">SUM( IF( LEN( $C$7:$C$65 ) = 0, 0, IF( $E$7:$E$65 = R3, $C$7:$C$65, 0 ) ) ) / SUM( IF( LEN( $C$7:$C$65 ) = 0, 0, IF( $E$7:$E$65 = R3, 1, 0 ) ) )</f>
        <v>18.705882352941178</v>
      </c>
      <c r="S16" s="464"/>
      <c r="T16" s="316"/>
      <c r="U16" s="463">
        <f t="array" aca="1" ref="U16" ca="1">SUM( IF( LEN( $C$7:$C$65 ) = 0, 0, IF( $E$7:$E$65 = U3, $C$7:$C$65, 0 ) ) ) / SUM( IF( LEN( $C$7:$C$65 ) = 0, 0, IF( $E$7:$E$65 = U3, 1, 0 ) ) )</f>
        <v>15</v>
      </c>
      <c r="V16" s="465"/>
      <c r="W16" s="316"/>
      <c r="AE16" s="254"/>
      <c r="AF16" s="236">
        <f t="shared" si="2"/>
        <v>0</v>
      </c>
      <c r="AG16" s="236" t="str">
        <f t="shared" ca="1" si="3"/>
        <v/>
      </c>
      <c r="AH16" s="236" t="str">
        <f t="shared" ca="1" si="19"/>
        <v/>
      </c>
      <c r="AJ16" s="236">
        <f t="shared" ca="1" si="4"/>
        <v>15</v>
      </c>
      <c r="AK16" s="236" t="str">
        <f t="shared" ca="1" si="20"/>
        <v>A-</v>
      </c>
      <c r="AL16" s="236">
        <f t="shared" ca="1" si="20"/>
        <v>20</v>
      </c>
      <c r="AM16" s="236" t="str">
        <f t="shared" ca="1" si="5"/>
        <v/>
      </c>
      <c r="AQ16" s="286" t="s">
        <v>3</v>
      </c>
      <c r="AR16" s="286" t="s">
        <v>10</v>
      </c>
      <c r="AS16" s="286">
        <v>16</v>
      </c>
      <c r="AT16" s="286" t="s">
        <v>292</v>
      </c>
      <c r="AV16" s="234">
        <f t="shared" si="21"/>
        <v>2</v>
      </c>
      <c r="AW16" s="234">
        <f>COUNTIF( AV$7:AV16, AV16 )</f>
        <v>2</v>
      </c>
      <c r="AX16" s="287">
        <f t="shared" si="22"/>
        <v>2.2000000000000002</v>
      </c>
      <c r="AY16" s="234">
        <f t="shared" si="23"/>
        <v>3</v>
      </c>
      <c r="AZ16" s="236"/>
      <c r="BA16" s="236"/>
      <c r="BC16" s="234">
        <f t="shared" ca="1" si="24"/>
        <v>10</v>
      </c>
      <c r="BD16" s="288">
        <f t="shared" ca="1" si="7"/>
        <v>53</v>
      </c>
      <c r="BF16" s="240" t="str">
        <f t="shared" ca="1" si="8"/>
        <v>Xcel Energy Inc.</v>
      </c>
      <c r="BG16" s="240" t="str">
        <f t="shared" ca="1" si="9"/>
        <v>A-</v>
      </c>
      <c r="BH16" s="240">
        <f t="shared" ca="1" si="9"/>
        <v>16</v>
      </c>
      <c r="BI16" s="240" t="str">
        <f t="shared" ca="1" si="9"/>
        <v>XEL</v>
      </c>
    </row>
    <row r="17" spans="1:61" x14ac:dyDescent="0.2">
      <c r="A17" s="303" t="s">
        <v>15</v>
      </c>
      <c r="B17" s="304" t="s">
        <v>16</v>
      </c>
      <c r="C17" s="304">
        <v>19</v>
      </c>
      <c r="D17" s="304" t="s">
        <v>277</v>
      </c>
      <c r="E17" s="305" t="str">
        <f t="shared" ca="1" si="0"/>
        <v>R</v>
      </c>
      <c r="F17" s="306"/>
      <c r="G17" s="307">
        <f t="shared" ca="1" si="1"/>
        <v>7</v>
      </c>
      <c r="H17" s="250"/>
      <c r="I17" s="321"/>
      <c r="K17" s="321"/>
      <c r="N17" s="321"/>
      <c r="O17" s="240"/>
      <c r="Q17" s="321"/>
      <c r="T17" s="321"/>
      <c r="W17" s="321"/>
      <c r="AE17" s="245"/>
      <c r="AF17" s="236">
        <f t="shared" si="2"/>
        <v>1</v>
      </c>
      <c r="AG17" s="236" t="str">
        <f t="shared" ca="1" si="3"/>
        <v/>
      </c>
      <c r="AH17" s="236" t="str">
        <f t="shared" ca="1" si="19"/>
        <v/>
      </c>
      <c r="AJ17" s="236">
        <f t="shared" ca="1" si="4"/>
        <v>16</v>
      </c>
      <c r="AK17" s="236" t="str">
        <f t="shared" ca="1" si="20"/>
        <v>BBB+</v>
      </c>
      <c r="AL17" s="236">
        <f t="shared" ca="1" si="20"/>
        <v>19</v>
      </c>
      <c r="AM17" s="236" t="str">
        <f t="shared" ca="1" si="5"/>
        <v/>
      </c>
      <c r="AQ17" s="286" t="s">
        <v>18</v>
      </c>
      <c r="AR17" s="286" t="s">
        <v>10</v>
      </c>
      <c r="AS17" s="286">
        <v>16</v>
      </c>
      <c r="AT17" s="289" t="s">
        <v>86</v>
      </c>
      <c r="AV17" s="234">
        <f t="shared" si="21"/>
        <v>2</v>
      </c>
      <c r="AW17" s="234">
        <f>COUNTIF( AV$7:AV17, AV17 )</f>
        <v>3</v>
      </c>
      <c r="AX17" s="287">
        <f t="shared" si="22"/>
        <v>2.2999999999999998</v>
      </c>
      <c r="AY17" s="234">
        <f t="shared" si="23"/>
        <v>4</v>
      </c>
      <c r="AZ17" s="236"/>
      <c r="BA17" s="236"/>
      <c r="BC17" s="234">
        <f t="shared" ca="1" si="24"/>
        <v>11</v>
      </c>
      <c r="BD17" s="288">
        <f t="shared" ca="1" si="7"/>
        <v>1</v>
      </c>
      <c r="BF17" s="240" t="str">
        <f t="shared" ca="1" si="8"/>
        <v>ALLETE, Inc.</v>
      </c>
      <c r="BG17" s="240" t="str">
        <f t="shared" ca="1" si="9"/>
        <v>BBB+</v>
      </c>
      <c r="BH17" s="240">
        <f t="shared" ca="1" si="9"/>
        <v>15</v>
      </c>
      <c r="BI17" s="240" t="str">
        <f t="shared" ca="1" si="9"/>
        <v>ALE</v>
      </c>
    </row>
    <row r="18" spans="1:61" x14ac:dyDescent="0.2">
      <c r="A18" s="303" t="s">
        <v>29</v>
      </c>
      <c r="B18" s="304" t="s">
        <v>16</v>
      </c>
      <c r="C18" s="304">
        <v>19</v>
      </c>
      <c r="D18" s="304" t="s">
        <v>286</v>
      </c>
      <c r="E18" s="305" t="str">
        <f t="shared" ca="1" si="0"/>
        <v>MR</v>
      </c>
      <c r="F18" s="306"/>
      <c r="G18" s="307">
        <f t="shared" ca="1" si="1"/>
        <v>13</v>
      </c>
      <c r="H18" s="250"/>
      <c r="I18" s="321"/>
      <c r="K18" s="321"/>
      <c r="N18" s="321"/>
      <c r="O18" s="240"/>
      <c r="Q18" s="321"/>
      <c r="T18" s="321"/>
      <c r="W18" s="321"/>
      <c r="AE18" s="254"/>
      <c r="AF18" s="236">
        <f t="shared" si="2"/>
        <v>1</v>
      </c>
      <c r="AG18" s="236" t="str">
        <f t="shared" ca="1" si="3"/>
        <v/>
      </c>
      <c r="AH18" s="236" t="str">
        <f t="shared" ca="1" si="19"/>
        <v/>
      </c>
      <c r="AJ18" s="236">
        <f t="shared" ca="1" si="4"/>
        <v>18</v>
      </c>
      <c r="AK18" s="236" t="str">
        <f t="shared" ca="1" si="20"/>
        <v>BBB+</v>
      </c>
      <c r="AL18" s="236">
        <f t="shared" ca="1" si="20"/>
        <v>19</v>
      </c>
      <c r="AM18" s="236" t="str">
        <f t="shared" ca="1" si="5"/>
        <v/>
      </c>
      <c r="AQ18" s="286" t="s">
        <v>64</v>
      </c>
      <c r="AR18" s="286" t="s">
        <v>61</v>
      </c>
      <c r="AS18" s="286">
        <v>11</v>
      </c>
      <c r="AT18" s="286" t="s">
        <v>443</v>
      </c>
      <c r="AV18" s="234">
        <f t="shared" si="21"/>
        <v>52</v>
      </c>
      <c r="AW18" s="234">
        <f>COUNTIF( AV$7:AV18, AV18 )</f>
        <v>1</v>
      </c>
      <c r="AX18" s="287">
        <f t="shared" si="22"/>
        <v>52.1</v>
      </c>
      <c r="AY18" s="234">
        <f t="shared" si="23"/>
        <v>52</v>
      </c>
      <c r="AZ18" s="236"/>
      <c r="BA18" s="236"/>
      <c r="BC18" s="234">
        <f t="shared" ca="1" si="24"/>
        <v>12</v>
      </c>
      <c r="BD18" s="288">
        <f t="shared" ca="1" si="7"/>
        <v>7</v>
      </c>
      <c r="BF18" s="240" t="str">
        <f t="shared" ca="1" si="8"/>
        <v>CenterPoint Energy, Inc.</v>
      </c>
      <c r="BG18" s="240" t="str">
        <f t="shared" ca="1" si="9"/>
        <v>BBB+</v>
      </c>
      <c r="BH18" s="240">
        <f t="shared" ca="1" si="9"/>
        <v>15</v>
      </c>
      <c r="BI18" s="240" t="str">
        <f t="shared" ca="1" si="9"/>
        <v>CNP</v>
      </c>
    </row>
    <row r="19" spans="1:61" x14ac:dyDescent="0.2">
      <c r="A19" s="303" t="s">
        <v>31</v>
      </c>
      <c r="B19" s="304" t="s">
        <v>16</v>
      </c>
      <c r="C19" s="304">
        <v>19</v>
      </c>
      <c r="D19" s="304" t="s">
        <v>289</v>
      </c>
      <c r="E19" s="305" t="str">
        <f t="shared" ca="1" si="0"/>
        <v>R</v>
      </c>
      <c r="F19" s="306"/>
      <c r="G19" s="307">
        <f t="shared" ca="1" si="1"/>
        <v>21</v>
      </c>
      <c r="H19" s="250"/>
      <c r="I19" s="321"/>
      <c r="K19" s="321"/>
      <c r="N19" s="321"/>
      <c r="O19" s="240"/>
      <c r="Q19" s="321"/>
      <c r="T19" s="321"/>
      <c r="W19" s="321"/>
      <c r="AE19" s="254"/>
      <c r="AF19" s="236">
        <f t="shared" si="2"/>
        <v>1</v>
      </c>
      <c r="AG19" s="236" t="str">
        <f t="shared" ca="1" si="3"/>
        <v/>
      </c>
      <c r="AH19" s="236" t="str">
        <f t="shared" ca="1" si="19"/>
        <v/>
      </c>
      <c r="AJ19" s="236">
        <f t="shared" ca="1" si="4"/>
        <v>19</v>
      </c>
      <c r="AK19" s="236" t="str">
        <f t="shared" ca="1" si="20"/>
        <v>BBB+</v>
      </c>
      <c r="AL19" s="236">
        <f t="shared" ca="1" si="20"/>
        <v>19</v>
      </c>
      <c r="AM19" s="236" t="str">
        <f t="shared" ca="1" si="5"/>
        <v/>
      </c>
      <c r="AQ19" s="286" t="s">
        <v>31</v>
      </c>
      <c r="AR19" s="286" t="s">
        <v>16</v>
      </c>
      <c r="AS19" s="286">
        <v>15</v>
      </c>
      <c r="AT19" s="289" t="s">
        <v>289</v>
      </c>
      <c r="AV19" s="234">
        <f t="shared" si="21"/>
        <v>11</v>
      </c>
      <c r="AW19" s="234">
        <f>COUNTIF( AV$7:AV19, AV19 )</f>
        <v>3</v>
      </c>
      <c r="AX19" s="287">
        <f t="shared" si="22"/>
        <v>11.3</v>
      </c>
      <c r="AY19" s="234">
        <f t="shared" si="23"/>
        <v>13</v>
      </c>
      <c r="AZ19" s="236"/>
      <c r="BA19" s="236"/>
      <c r="BC19" s="234">
        <f t="shared" ca="1" si="24"/>
        <v>13</v>
      </c>
      <c r="BD19" s="288">
        <f t="shared" ca="1" si="7"/>
        <v>13</v>
      </c>
      <c r="BF19" s="240" t="str">
        <f t="shared" ca="1" si="8"/>
        <v>DTE Energy Company</v>
      </c>
      <c r="BG19" s="240" t="str">
        <f t="shared" ca="1" si="9"/>
        <v>BBB+</v>
      </c>
      <c r="BH19" s="240">
        <f t="shared" ca="1" si="9"/>
        <v>15</v>
      </c>
      <c r="BI19" s="240" t="str">
        <f t="shared" ca="1" si="9"/>
        <v>DTE</v>
      </c>
    </row>
    <row r="20" spans="1:61" x14ac:dyDescent="0.2">
      <c r="A20" s="303" t="s">
        <v>32</v>
      </c>
      <c r="B20" s="304" t="s">
        <v>16</v>
      </c>
      <c r="C20" s="304">
        <v>19</v>
      </c>
      <c r="D20" s="304" t="s">
        <v>290</v>
      </c>
      <c r="E20" s="305" t="str">
        <f t="shared" ca="1" si="0"/>
        <v>MR</v>
      </c>
      <c r="F20" s="306"/>
      <c r="G20" s="307">
        <f t="shared" ca="1" si="1"/>
        <v>22</v>
      </c>
      <c r="H20" s="250"/>
      <c r="I20" s="322"/>
      <c r="K20" s="322"/>
      <c r="N20" s="322"/>
      <c r="O20" s="240"/>
      <c r="Q20" s="322"/>
      <c r="T20" s="322"/>
      <c r="W20" s="322"/>
      <c r="AE20" s="254"/>
      <c r="AF20" s="236">
        <f t="shared" si="2"/>
        <v>1</v>
      </c>
      <c r="AG20" s="236" t="str">
        <f t="shared" ca="1" si="3"/>
        <v/>
      </c>
      <c r="AH20" s="236" t="str">
        <f t="shared" ca="1" si="19"/>
        <v/>
      </c>
      <c r="AJ20" s="236">
        <f t="shared" ca="1" si="4"/>
        <v>20</v>
      </c>
      <c r="AK20" s="236" t="str">
        <f t="shared" ca="1" si="20"/>
        <v>BBB+</v>
      </c>
      <c r="AL20" s="236">
        <f t="shared" ca="1" si="20"/>
        <v>19</v>
      </c>
      <c r="AM20" s="236" t="str">
        <f t="shared" ca="1" si="5"/>
        <v/>
      </c>
      <c r="AQ20" s="286" t="s">
        <v>32</v>
      </c>
      <c r="AR20" s="286" t="s">
        <v>16</v>
      </c>
      <c r="AS20" s="286">
        <v>15</v>
      </c>
      <c r="AT20" s="289" t="s">
        <v>290</v>
      </c>
      <c r="AV20" s="234">
        <f t="shared" si="21"/>
        <v>11</v>
      </c>
      <c r="AW20" s="234">
        <f>COUNTIF( AV$7:AV20, AV20 )</f>
        <v>4</v>
      </c>
      <c r="AX20" s="287">
        <f t="shared" si="22"/>
        <v>11.4</v>
      </c>
      <c r="AY20" s="234">
        <f t="shared" si="23"/>
        <v>14</v>
      </c>
      <c r="AZ20" s="236"/>
      <c r="BA20" s="236"/>
      <c r="BC20" s="234">
        <f t="shared" ca="1" si="24"/>
        <v>14</v>
      </c>
      <c r="BD20" s="288">
        <f t="shared" ca="1" si="7"/>
        <v>14</v>
      </c>
      <c r="BF20" s="240" t="str">
        <f t="shared" ca="1" si="8"/>
        <v>Duke Energy Corporation</v>
      </c>
      <c r="BG20" s="240" t="str">
        <f t="shared" ca="1" si="9"/>
        <v>BBB+</v>
      </c>
      <c r="BH20" s="240">
        <f t="shared" ca="1" si="9"/>
        <v>15</v>
      </c>
      <c r="BI20" s="240" t="str">
        <f t="shared" ca="1" si="9"/>
        <v>DUK</v>
      </c>
    </row>
    <row r="21" spans="1:61" x14ac:dyDescent="0.2">
      <c r="A21" s="303" t="s">
        <v>12</v>
      </c>
      <c r="B21" s="304" t="s">
        <v>16</v>
      </c>
      <c r="C21" s="304">
        <v>19</v>
      </c>
      <c r="D21" s="304" t="s">
        <v>309</v>
      </c>
      <c r="E21" s="305" t="str">
        <f t="shared" ca="1" si="0"/>
        <v>D</v>
      </c>
      <c r="F21" s="306"/>
      <c r="G21" s="307">
        <f t="shared" ca="1" si="1"/>
        <v>33</v>
      </c>
      <c r="H21" s="250"/>
      <c r="I21" s="321"/>
      <c r="K21" s="321"/>
      <c r="N21" s="321"/>
      <c r="Q21" s="321"/>
      <c r="T21" s="321"/>
      <c r="W21" s="321"/>
      <c r="AE21" s="254"/>
      <c r="AF21" s="236">
        <f t="shared" si="2"/>
        <v>1</v>
      </c>
      <c r="AG21" s="236" t="str">
        <f t="shared" ca="1" si="3"/>
        <v/>
      </c>
      <c r="AH21" s="236" t="str">
        <f t="shared" ca="1" si="19"/>
        <v/>
      </c>
      <c r="AJ21" s="236">
        <f t="shared" ca="1" si="4"/>
        <v>21</v>
      </c>
      <c r="AK21" s="236" t="str">
        <f t="shared" ca="1" si="20"/>
        <v>BBB+</v>
      </c>
      <c r="AL21" s="236">
        <f t="shared" ca="1" si="20"/>
        <v>19</v>
      </c>
      <c r="AM21" s="236" t="str">
        <f t="shared" ca="1" si="5"/>
        <v/>
      </c>
      <c r="AQ21" s="286" t="s">
        <v>57</v>
      </c>
      <c r="AR21" s="286" t="s">
        <v>49</v>
      </c>
      <c r="AS21" s="286">
        <v>13</v>
      </c>
      <c r="AT21" s="286" t="s">
        <v>296</v>
      </c>
      <c r="AV21" s="234">
        <f t="shared" si="21"/>
        <v>42</v>
      </c>
      <c r="AW21" s="234">
        <f>COUNTIF( AV$7:AV21, AV21 )</f>
        <v>2</v>
      </c>
      <c r="AX21" s="287">
        <f t="shared" si="22"/>
        <v>42.2</v>
      </c>
      <c r="AY21" s="234">
        <f t="shared" si="23"/>
        <v>43</v>
      </c>
      <c r="AZ21" s="236"/>
      <c r="BA21" s="236"/>
      <c r="BC21" s="234">
        <f t="shared" ca="1" si="24"/>
        <v>15</v>
      </c>
      <c r="BD21" s="288">
        <f t="shared" ca="1" si="7"/>
        <v>28</v>
      </c>
      <c r="BF21" s="240" t="str">
        <f t="shared" ca="1" si="8"/>
        <v>MDU Resources Group, Inc.</v>
      </c>
      <c r="BG21" s="240" t="str">
        <f t="shared" ca="1" si="9"/>
        <v>BBB+</v>
      </c>
      <c r="BH21" s="240">
        <f t="shared" ca="1" si="9"/>
        <v>15</v>
      </c>
      <c r="BI21" s="240" t="str">
        <f t="shared" ca="1" si="9"/>
        <v>MDU</v>
      </c>
    </row>
    <row r="22" spans="1:61" x14ac:dyDescent="0.2">
      <c r="A22" s="303" t="s">
        <v>52</v>
      </c>
      <c r="B22" s="304" t="s">
        <v>16</v>
      </c>
      <c r="C22" s="304">
        <v>19</v>
      </c>
      <c r="D22" s="304" t="s">
        <v>447</v>
      </c>
      <c r="E22" s="305" t="str">
        <f t="shared" ca="1" si="0"/>
        <v>MR</v>
      </c>
      <c r="F22" s="306"/>
      <c r="G22" s="307">
        <f t="shared" ca="1" si="1"/>
        <v>67</v>
      </c>
      <c r="H22" s="250"/>
      <c r="I22" s="321"/>
      <c r="K22" s="321"/>
      <c r="N22" s="321"/>
      <c r="Q22" s="321"/>
      <c r="T22" s="321"/>
      <c r="W22" s="321"/>
      <c r="AE22" s="254"/>
      <c r="AF22" s="236">
        <f t="shared" si="2"/>
        <v>1</v>
      </c>
      <c r="AG22" s="236" t="str">
        <f t="shared" ca="1" si="3"/>
        <v/>
      </c>
      <c r="AH22" s="236" t="str">
        <f t="shared" ca="1" si="19"/>
        <v/>
      </c>
      <c r="AJ22" s="236">
        <f t="shared" ca="1" si="4"/>
        <v>22</v>
      </c>
      <c r="AK22" s="236" t="str">
        <f t="shared" ca="1" si="20"/>
        <v>BBB+</v>
      </c>
      <c r="AL22" s="236">
        <f t="shared" ca="1" si="20"/>
        <v>19</v>
      </c>
      <c r="AM22" s="236" t="str">
        <f t="shared" ca="1" si="5"/>
        <v/>
      </c>
      <c r="AQ22" s="286" t="s">
        <v>34</v>
      </c>
      <c r="AR22" s="286" t="s">
        <v>28</v>
      </c>
      <c r="AS22" s="286">
        <v>14</v>
      </c>
      <c r="AT22" s="286" t="s">
        <v>294</v>
      </c>
      <c r="AV22" s="234">
        <f t="shared" si="21"/>
        <v>23</v>
      </c>
      <c r="AW22" s="234">
        <f>COUNTIF( AV$7:AV22, AV22 )</f>
        <v>6</v>
      </c>
      <c r="AX22" s="287">
        <f t="shared" si="22"/>
        <v>23.6</v>
      </c>
      <c r="AY22" s="234">
        <f t="shared" si="23"/>
        <v>28</v>
      </c>
      <c r="AZ22" s="236"/>
      <c r="BA22" s="236"/>
      <c r="BC22" s="234">
        <f t="shared" ca="1" si="24"/>
        <v>16</v>
      </c>
      <c r="BD22" s="288">
        <f t="shared" ca="1" si="7"/>
        <v>29</v>
      </c>
      <c r="BF22" s="240" t="str">
        <f t="shared" ca="1" si="8"/>
        <v>MidAmerican Energy Holdings Company</v>
      </c>
      <c r="BG22" s="240" t="str">
        <f t="shared" ca="1" si="9"/>
        <v>BBB+</v>
      </c>
      <c r="BH22" s="240">
        <f t="shared" ca="1" si="9"/>
        <v>15</v>
      </c>
      <c r="BI22" s="240" t="str">
        <f t="shared" ca="1" si="9"/>
        <v>**BRK</v>
      </c>
    </row>
    <row r="23" spans="1:61" x14ac:dyDescent="0.2">
      <c r="A23" s="303" t="s">
        <v>21</v>
      </c>
      <c r="B23" s="304" t="s">
        <v>16</v>
      </c>
      <c r="C23" s="304">
        <v>19</v>
      </c>
      <c r="D23" s="304" t="s">
        <v>316</v>
      </c>
      <c r="E23" s="305" t="str">
        <f t="shared" ca="1" si="0"/>
        <v>MR</v>
      </c>
      <c r="F23" s="306"/>
      <c r="G23" s="307">
        <f t="shared" ca="1" si="1"/>
        <v>41</v>
      </c>
      <c r="H23" s="250"/>
      <c r="I23" s="321"/>
      <c r="K23" s="321"/>
      <c r="N23" s="321"/>
      <c r="Q23" s="321"/>
      <c r="T23" s="321"/>
      <c r="W23" s="321"/>
      <c r="AE23" s="254"/>
      <c r="AF23" s="236">
        <f t="shared" si="2"/>
        <v>1</v>
      </c>
      <c r="AG23" s="236" t="str">
        <f t="shared" ca="1" si="3"/>
        <v/>
      </c>
      <c r="AH23" s="236" t="str">
        <f t="shared" ca="1" si="19"/>
        <v/>
      </c>
      <c r="AJ23" s="236">
        <f t="shared" ca="1" si="4"/>
        <v>23</v>
      </c>
      <c r="AK23" s="236" t="str">
        <f t="shared" ca="1" si="20"/>
        <v>BBB+</v>
      </c>
      <c r="AL23" s="236">
        <f t="shared" ca="1" si="20"/>
        <v>19</v>
      </c>
      <c r="AM23" s="236" t="str">
        <f t="shared" ca="1" si="5"/>
        <v/>
      </c>
      <c r="AQ23" s="286" t="s">
        <v>35</v>
      </c>
      <c r="AR23" s="286" t="s">
        <v>28</v>
      </c>
      <c r="AS23" s="286">
        <v>14</v>
      </c>
      <c r="AT23" s="286" t="s">
        <v>293</v>
      </c>
      <c r="AV23" s="234">
        <f t="shared" si="21"/>
        <v>23</v>
      </c>
      <c r="AW23" s="234">
        <f>COUNTIF( AV$7:AV23, AV23 )</f>
        <v>7</v>
      </c>
      <c r="AX23" s="287">
        <f t="shared" si="22"/>
        <v>23.7</v>
      </c>
      <c r="AY23" s="234">
        <f t="shared" si="23"/>
        <v>29</v>
      </c>
      <c r="AZ23" s="236"/>
      <c r="BA23" s="236"/>
      <c r="BC23" s="234">
        <f t="shared" ca="1" si="24"/>
        <v>17</v>
      </c>
      <c r="BD23" s="288">
        <f t="shared" ca="1" si="7"/>
        <v>35</v>
      </c>
      <c r="BF23" s="240" t="str">
        <f t="shared" ca="1" si="8"/>
        <v>OGE Energy Corp.</v>
      </c>
      <c r="BG23" s="240" t="str">
        <f t="shared" ca="1" si="9"/>
        <v>BBB+</v>
      </c>
      <c r="BH23" s="240">
        <f t="shared" ca="1" si="9"/>
        <v>15</v>
      </c>
      <c r="BI23" s="240" t="str">
        <f t="shared" ca="1" si="9"/>
        <v>OGE</v>
      </c>
    </row>
    <row r="24" spans="1:61" x14ac:dyDescent="0.2">
      <c r="A24" s="303" t="s">
        <v>23</v>
      </c>
      <c r="B24" s="304" t="s">
        <v>16</v>
      </c>
      <c r="C24" s="304">
        <v>19</v>
      </c>
      <c r="D24" s="304" t="s">
        <v>323</v>
      </c>
      <c r="E24" s="305" t="str">
        <f t="shared" ca="1" si="0"/>
        <v>MR</v>
      </c>
      <c r="F24" s="306"/>
      <c r="G24" s="307">
        <f t="shared" ca="1" si="1"/>
        <v>43</v>
      </c>
      <c r="H24" s="250"/>
      <c r="I24" s="321"/>
      <c r="J24" s="262"/>
      <c r="K24" s="321"/>
      <c r="N24" s="321"/>
      <c r="Q24" s="321"/>
      <c r="T24" s="321"/>
      <c r="W24" s="321"/>
      <c r="AE24" s="254"/>
      <c r="AF24" s="236">
        <f t="shared" si="2"/>
        <v>1</v>
      </c>
      <c r="AG24" s="236" t="str">
        <f t="shared" ca="1" si="3"/>
        <v/>
      </c>
      <c r="AH24" s="236" t="str">
        <f t="shared" ca="1" si="19"/>
        <v/>
      </c>
      <c r="AJ24" s="236">
        <f t="shared" ca="1" si="4"/>
        <v>24</v>
      </c>
      <c r="AK24" s="236" t="str">
        <f t="shared" ca="1" si="20"/>
        <v>BBB+</v>
      </c>
      <c r="AL24" s="236">
        <f t="shared" ca="1" si="20"/>
        <v>19</v>
      </c>
      <c r="AM24" s="236" t="str">
        <f t="shared" ca="1" si="5"/>
        <v/>
      </c>
      <c r="AQ24" s="286" t="s">
        <v>249</v>
      </c>
      <c r="AR24" s="286" t="s">
        <v>125</v>
      </c>
      <c r="AS24" s="286">
        <v>5</v>
      </c>
      <c r="AT24" s="286" t="s">
        <v>445</v>
      </c>
      <c r="AV24" s="234">
        <f t="shared" si="21"/>
        <v>53</v>
      </c>
      <c r="AW24" s="234">
        <f>COUNTIF( AV$7:AV24, AV24 )</f>
        <v>1</v>
      </c>
      <c r="AX24" s="287">
        <f t="shared" si="22"/>
        <v>53.1</v>
      </c>
      <c r="AY24" s="234">
        <f t="shared" si="23"/>
        <v>53</v>
      </c>
      <c r="AZ24" s="236"/>
      <c r="BA24" s="236"/>
      <c r="BC24" s="234">
        <f t="shared" ca="1" si="24"/>
        <v>18</v>
      </c>
      <c r="BD24" s="288">
        <f t="shared" ca="1" si="7"/>
        <v>37</v>
      </c>
      <c r="BF24" s="240" t="str">
        <f t="shared" ca="1" si="8"/>
        <v>Pepco Holdings, Inc.</v>
      </c>
      <c r="BG24" s="240" t="str">
        <f t="shared" ca="1" si="9"/>
        <v>BBB+</v>
      </c>
      <c r="BH24" s="240">
        <f t="shared" ca="1" si="9"/>
        <v>15</v>
      </c>
      <c r="BI24" s="240" t="str">
        <f t="shared" ca="1" si="9"/>
        <v>POM</v>
      </c>
    </row>
    <row r="25" spans="1:61" x14ac:dyDescent="0.2">
      <c r="A25" s="303" t="s">
        <v>41</v>
      </c>
      <c r="B25" s="304" t="s">
        <v>16</v>
      </c>
      <c r="C25" s="304">
        <v>19</v>
      </c>
      <c r="D25" s="304" t="s">
        <v>322</v>
      </c>
      <c r="E25" s="305" t="str">
        <f t="shared" ca="1" si="0"/>
        <v>R</v>
      </c>
      <c r="F25" s="306"/>
      <c r="G25" s="307">
        <f t="shared" ca="1" si="1"/>
        <v>45</v>
      </c>
      <c r="H25" s="250"/>
      <c r="I25" s="321"/>
      <c r="J25" s="262"/>
      <c r="K25" s="321"/>
      <c r="N25" s="321"/>
      <c r="Q25" s="321"/>
      <c r="T25" s="321"/>
      <c r="W25" s="321"/>
      <c r="AE25" s="254"/>
      <c r="AF25" s="236">
        <f t="shared" si="2"/>
        <v>1</v>
      </c>
      <c r="AG25" s="236" t="str">
        <f t="shared" ca="1" si="3"/>
        <v/>
      </c>
      <c r="AH25" s="236" t="str">
        <f t="shared" ca="1" si="19"/>
        <v/>
      </c>
      <c r="AJ25" s="236">
        <f t="shared" ca="1" si="4"/>
        <v>25</v>
      </c>
      <c r="AK25" s="236" t="str">
        <f t="shared" ca="1" si="20"/>
        <v>BBB+</v>
      </c>
      <c r="AL25" s="236">
        <f t="shared" ca="1" si="20"/>
        <v>19</v>
      </c>
      <c r="AM25" s="236" t="str">
        <f t="shared" ca="1" si="5"/>
        <v/>
      </c>
      <c r="AQ25" s="286" t="s">
        <v>36</v>
      </c>
      <c r="AR25" s="286" t="s">
        <v>28</v>
      </c>
      <c r="AS25" s="286">
        <v>14</v>
      </c>
      <c r="AT25" s="286" t="s">
        <v>297</v>
      </c>
      <c r="AV25" s="234">
        <f t="shared" si="21"/>
        <v>23</v>
      </c>
      <c r="AW25" s="234">
        <f>COUNTIF( AV$7:AV25, AV25 )</f>
        <v>8</v>
      </c>
      <c r="AX25" s="287">
        <f t="shared" si="22"/>
        <v>23.8</v>
      </c>
      <c r="AY25" s="234">
        <f t="shared" si="23"/>
        <v>30</v>
      </c>
      <c r="AZ25" s="236"/>
      <c r="BA25" s="236"/>
      <c r="BC25" s="234">
        <f t="shared" ca="1" si="24"/>
        <v>19</v>
      </c>
      <c r="BD25" s="288">
        <f t="shared" ca="1" si="7"/>
        <v>39</v>
      </c>
      <c r="BF25" s="240" t="str">
        <f t="shared" ca="1" si="8"/>
        <v>Pinnacle West Capital Corporation</v>
      </c>
      <c r="BG25" s="240" t="str">
        <f t="shared" ca="1" si="9"/>
        <v>BBB+</v>
      </c>
      <c r="BH25" s="240">
        <f t="shared" ca="1" si="9"/>
        <v>15</v>
      </c>
      <c r="BI25" s="240" t="str">
        <f t="shared" ca="1" si="9"/>
        <v>PNW</v>
      </c>
    </row>
    <row r="26" spans="1:61" x14ac:dyDescent="0.2">
      <c r="A26" s="303" t="s">
        <v>13</v>
      </c>
      <c r="B26" s="304" t="s">
        <v>16</v>
      </c>
      <c r="C26" s="304">
        <v>19</v>
      </c>
      <c r="D26" s="304" t="s">
        <v>327</v>
      </c>
      <c r="E26" s="305" t="str">
        <f t="shared" ca="1" si="0"/>
        <v>MR</v>
      </c>
      <c r="F26" s="306"/>
      <c r="G26" s="307">
        <f t="shared" ca="1" si="1"/>
        <v>51</v>
      </c>
      <c r="H26" s="250"/>
      <c r="I26" s="321"/>
      <c r="J26" s="262"/>
      <c r="K26" s="321"/>
      <c r="N26" s="321"/>
      <c r="Q26" s="321"/>
      <c r="T26" s="321"/>
      <c r="W26" s="321"/>
      <c r="AE26" s="254"/>
      <c r="AF26" s="236">
        <f t="shared" si="2"/>
        <v>1</v>
      </c>
      <c r="AG26" s="236" t="str">
        <f t="shared" ca="1" si="3"/>
        <v/>
      </c>
      <c r="AH26" s="236" t="str">
        <f t="shared" ca="1" si="19"/>
        <v/>
      </c>
      <c r="AJ26" s="236">
        <f t="shared" ca="1" si="4"/>
        <v>26</v>
      </c>
      <c r="AK26" s="236" t="str">
        <f t="shared" ca="1" si="20"/>
        <v>BBB+</v>
      </c>
      <c r="AL26" s="236">
        <f t="shared" ca="1" si="20"/>
        <v>19</v>
      </c>
      <c r="AM26" s="236" t="str">
        <f t="shared" ca="1" si="5"/>
        <v/>
      </c>
      <c r="AQ26" s="286" t="s">
        <v>11</v>
      </c>
      <c r="AR26" s="286" t="s">
        <v>28</v>
      </c>
      <c r="AS26" s="286">
        <v>14</v>
      </c>
      <c r="AT26" s="286" t="s">
        <v>298</v>
      </c>
      <c r="AV26" s="234">
        <f t="shared" si="21"/>
        <v>23</v>
      </c>
      <c r="AW26" s="234">
        <f>COUNTIF( AV$7:AV26, AV26 )</f>
        <v>9</v>
      </c>
      <c r="AX26" s="287">
        <f t="shared" si="22"/>
        <v>23.9</v>
      </c>
      <c r="AY26" s="234">
        <f t="shared" si="23"/>
        <v>31</v>
      </c>
      <c r="AZ26" s="236"/>
      <c r="BA26" s="236"/>
      <c r="BC26" s="234">
        <f t="shared" ca="1" si="24"/>
        <v>20</v>
      </c>
      <c r="BD26" s="288">
        <f t="shared" ca="1" si="7"/>
        <v>45</v>
      </c>
      <c r="BF26" s="240" t="str">
        <f t="shared" ca="1" si="8"/>
        <v>SCANA Corporation</v>
      </c>
      <c r="BG26" s="240" t="str">
        <f t="shared" ca="1" si="9"/>
        <v>BBB+</v>
      </c>
      <c r="BH26" s="240">
        <f t="shared" ca="1" si="9"/>
        <v>15</v>
      </c>
      <c r="BI26" s="240" t="str">
        <f t="shared" ca="1" si="9"/>
        <v>SCG</v>
      </c>
    </row>
    <row r="27" spans="1:61" x14ac:dyDescent="0.2">
      <c r="A27" s="303" t="s">
        <v>25</v>
      </c>
      <c r="B27" s="304" t="s">
        <v>16</v>
      </c>
      <c r="C27" s="304">
        <v>19</v>
      </c>
      <c r="D27" s="304" t="s">
        <v>329</v>
      </c>
      <c r="E27" s="305" t="str">
        <f t="shared" ca="1" si="0"/>
        <v>MR</v>
      </c>
      <c r="F27" s="306"/>
      <c r="G27" s="307">
        <f t="shared" ca="1" si="1"/>
        <v>52</v>
      </c>
      <c r="H27" s="250"/>
      <c r="I27" s="321"/>
      <c r="J27" s="262"/>
      <c r="K27" s="321"/>
      <c r="N27" s="321"/>
      <c r="Q27" s="321"/>
      <c r="T27" s="321"/>
      <c r="W27" s="321"/>
      <c r="AE27" s="254"/>
      <c r="AF27" s="236">
        <f t="shared" si="2"/>
        <v>1</v>
      </c>
      <c r="AG27" s="236" t="str">
        <f t="shared" ca="1" si="3"/>
        <v/>
      </c>
      <c r="AH27" s="236" t="str">
        <f t="shared" ca="1" si="19"/>
        <v/>
      </c>
      <c r="AJ27" s="236">
        <f t="shared" ca="1" si="4"/>
        <v>27</v>
      </c>
      <c r="AK27" s="236" t="str">
        <f t="shared" ca="1" si="20"/>
        <v>BBB+</v>
      </c>
      <c r="AL27" s="236">
        <f t="shared" ca="1" si="20"/>
        <v>19</v>
      </c>
      <c r="AM27" s="236" t="str">
        <f t="shared" ca="1" si="5"/>
        <v/>
      </c>
      <c r="AQ27" s="286" t="s">
        <v>51</v>
      </c>
      <c r="AR27" s="286" t="s">
        <v>49</v>
      </c>
      <c r="AS27" s="286">
        <v>13</v>
      </c>
      <c r="AT27" s="286" t="s">
        <v>299</v>
      </c>
      <c r="AV27" s="234">
        <f t="shared" si="21"/>
        <v>42</v>
      </c>
      <c r="AW27" s="234">
        <f>COUNTIF( AV$7:AV27, AV27 )</f>
        <v>3</v>
      </c>
      <c r="AX27" s="287">
        <f t="shared" si="22"/>
        <v>42.3</v>
      </c>
      <c r="AY27" s="234">
        <f t="shared" si="23"/>
        <v>44</v>
      </c>
      <c r="AZ27" s="236"/>
      <c r="BA27" s="236"/>
      <c r="BC27" s="234">
        <f t="shared" ca="1" si="24"/>
        <v>21</v>
      </c>
      <c r="BD27" s="288">
        <f t="shared" ca="1" si="7"/>
        <v>46</v>
      </c>
      <c r="BF27" s="240" t="str">
        <f t="shared" ca="1" si="8"/>
        <v>Sempra Energy</v>
      </c>
      <c r="BG27" s="240" t="str">
        <f t="shared" ca="1" si="9"/>
        <v>BBB+</v>
      </c>
      <c r="BH27" s="240">
        <f t="shared" ca="1" si="9"/>
        <v>15</v>
      </c>
      <c r="BI27" s="240" t="str">
        <f t="shared" ca="1" si="9"/>
        <v>SRE</v>
      </c>
    </row>
    <row r="28" spans="1:61" x14ac:dyDescent="0.2">
      <c r="A28" s="303" t="s">
        <v>62</v>
      </c>
      <c r="B28" s="304" t="s">
        <v>16</v>
      </c>
      <c r="C28" s="304">
        <v>19</v>
      </c>
      <c r="D28" s="304" t="s">
        <v>330</v>
      </c>
      <c r="E28" s="305" t="str">
        <f t="shared" ca="1" si="0"/>
        <v>R</v>
      </c>
      <c r="F28" s="306"/>
      <c r="G28" s="307">
        <f t="shared" ca="1" si="1"/>
        <v>54</v>
      </c>
      <c r="H28" s="250"/>
      <c r="I28" s="321"/>
      <c r="J28" s="262"/>
      <c r="K28" s="321"/>
      <c r="N28" s="321"/>
      <c r="Q28" s="321"/>
      <c r="T28" s="321"/>
      <c r="W28" s="321"/>
      <c r="AE28" s="245"/>
      <c r="AF28" s="236">
        <f t="shared" si="2"/>
        <v>1</v>
      </c>
      <c r="AG28" s="236" t="str">
        <f t="shared" ca="1" si="3"/>
        <v/>
      </c>
      <c r="AH28" s="236" t="str">
        <f t="shared" ca="1" si="19"/>
        <v/>
      </c>
      <c r="AJ28" s="236">
        <f t="shared" ca="1" si="4"/>
        <v>28</v>
      </c>
      <c r="AK28" s="236" t="str">
        <f t="shared" ca="1" si="20"/>
        <v>BBB+</v>
      </c>
      <c r="AL28" s="236">
        <f t="shared" ca="1" si="20"/>
        <v>19</v>
      </c>
      <c r="AM28" s="236" t="str">
        <f t="shared" ca="1" si="5"/>
        <v/>
      </c>
      <c r="AQ28" s="286" t="s">
        <v>261</v>
      </c>
      <c r="AR28" s="286" t="s">
        <v>28</v>
      </c>
      <c r="AS28" s="286">
        <v>14</v>
      </c>
      <c r="AT28" s="286" t="s">
        <v>301</v>
      </c>
      <c r="AV28" s="234">
        <f t="shared" si="21"/>
        <v>23</v>
      </c>
      <c r="AW28" s="234">
        <f>COUNTIF( AV$7:AV28, AV28 )</f>
        <v>10</v>
      </c>
      <c r="AX28" s="287">
        <f t="shared" si="22"/>
        <v>24</v>
      </c>
      <c r="AY28" s="234">
        <f t="shared" si="23"/>
        <v>32</v>
      </c>
      <c r="AZ28" s="236"/>
      <c r="BA28" s="236"/>
      <c r="BC28" s="234">
        <f t="shared" ca="1" si="24"/>
        <v>22</v>
      </c>
      <c r="BD28" s="288">
        <f t="shared" ca="1" si="7"/>
        <v>48</v>
      </c>
      <c r="BF28" s="240" t="str">
        <f t="shared" ca="1" si="8"/>
        <v>TECO Energy, Inc.</v>
      </c>
      <c r="BG28" s="240" t="str">
        <f t="shared" ca="1" si="9"/>
        <v>BBB+</v>
      </c>
      <c r="BH28" s="240">
        <f t="shared" ca="1" si="9"/>
        <v>15</v>
      </c>
      <c r="BI28" s="240" t="str">
        <f t="shared" ca="1" si="9"/>
        <v>TE</v>
      </c>
    </row>
    <row r="29" spans="1:61" x14ac:dyDescent="0.2">
      <c r="A29" s="303" t="s">
        <v>9</v>
      </c>
      <c r="B29" s="304" t="s">
        <v>28</v>
      </c>
      <c r="C29" s="304">
        <v>18</v>
      </c>
      <c r="D29" s="304" t="s">
        <v>274</v>
      </c>
      <c r="E29" s="305" t="str">
        <f t="shared" ca="1" si="0"/>
        <v>R</v>
      </c>
      <c r="F29" s="306"/>
      <c r="G29" s="307">
        <f t="shared" ca="1" si="1"/>
        <v>9</v>
      </c>
      <c r="H29" s="250"/>
      <c r="I29" s="321"/>
      <c r="J29" s="262"/>
      <c r="K29" s="321"/>
      <c r="N29" s="321"/>
      <c r="Q29" s="321"/>
      <c r="T29" s="321"/>
      <c r="W29" s="321"/>
      <c r="AF29" s="236">
        <f t="shared" si="2"/>
        <v>0</v>
      </c>
      <c r="AG29" s="236">
        <f t="shared" ca="1" si="3"/>
        <v>1</v>
      </c>
      <c r="AH29" s="236" t="str">
        <f t="shared" ca="1" si="19"/>
        <v/>
      </c>
      <c r="AJ29" s="236">
        <f t="shared" ca="1" si="4"/>
        <v>45</v>
      </c>
      <c r="AK29" s="236" t="str">
        <f t="shared" ca="1" si="20"/>
        <v>BBB-</v>
      </c>
      <c r="AL29" s="236">
        <f t="shared" ca="1" si="20"/>
        <v>17</v>
      </c>
      <c r="AM29" s="236" t="str">
        <f t="shared" ca="1" si="5"/>
        <v>Change</v>
      </c>
      <c r="AQ29" s="286" t="s">
        <v>39</v>
      </c>
      <c r="AR29" s="286" t="s">
        <v>49</v>
      </c>
      <c r="AS29" s="286">
        <v>13</v>
      </c>
      <c r="AT29" s="289" t="s">
        <v>302</v>
      </c>
      <c r="AV29" s="234">
        <f t="shared" si="21"/>
        <v>42</v>
      </c>
      <c r="AW29" s="234">
        <f>COUNTIF( AV$7:AV29, AV29 )</f>
        <v>4</v>
      </c>
      <c r="AX29" s="287">
        <f t="shared" si="22"/>
        <v>42.4</v>
      </c>
      <c r="AY29" s="234">
        <f t="shared" si="23"/>
        <v>45</v>
      </c>
      <c r="AZ29" s="236"/>
      <c r="BA29" s="236"/>
      <c r="BC29" s="234">
        <f t="shared" ca="1" si="24"/>
        <v>23</v>
      </c>
      <c r="BD29" s="288">
        <f t="shared" ca="1" si="7"/>
        <v>3</v>
      </c>
      <c r="BF29" s="240" t="str">
        <f t="shared" ca="1" si="8"/>
        <v>Ameren Corporation</v>
      </c>
      <c r="BG29" s="240" t="str">
        <f t="shared" ca="1" si="9"/>
        <v>BBB</v>
      </c>
      <c r="BH29" s="240">
        <f t="shared" ca="1" si="9"/>
        <v>14</v>
      </c>
      <c r="BI29" s="240" t="str">
        <f t="shared" ca="1" si="9"/>
        <v>AEE</v>
      </c>
    </row>
    <row r="30" spans="1:61" x14ac:dyDescent="0.2">
      <c r="A30" s="303" t="s">
        <v>259</v>
      </c>
      <c r="B30" s="304" t="s">
        <v>28</v>
      </c>
      <c r="C30" s="304">
        <v>18</v>
      </c>
      <c r="D30" s="304" t="s">
        <v>275</v>
      </c>
      <c r="E30" s="305" t="str">
        <f t="shared" ca="1" si="0"/>
        <v>R</v>
      </c>
      <c r="F30" s="306"/>
      <c r="G30" s="307">
        <f t="shared" ca="1" si="1"/>
        <v>10</v>
      </c>
      <c r="H30" s="250"/>
      <c r="I30" s="321"/>
      <c r="J30" s="262"/>
      <c r="K30" s="321"/>
      <c r="N30" s="321"/>
      <c r="Q30" s="321"/>
      <c r="T30" s="321"/>
      <c r="W30" s="321"/>
      <c r="AF30" s="236">
        <f t="shared" si="2"/>
        <v>0</v>
      </c>
      <c r="AG30" s="236" t="str">
        <f t="shared" ca="1" si="3"/>
        <v/>
      </c>
      <c r="AH30" s="236" t="str">
        <f t="shared" ca="1" si="19"/>
        <v/>
      </c>
      <c r="AJ30" s="236">
        <f t="shared" ca="1" si="4"/>
        <v>29</v>
      </c>
      <c r="AK30" s="236" t="str">
        <f t="shared" ca="1" si="20"/>
        <v>BBB</v>
      </c>
      <c r="AL30" s="236">
        <f t="shared" ca="1" si="20"/>
        <v>18</v>
      </c>
      <c r="AM30" s="236" t="str">
        <f t="shared" ca="1" si="5"/>
        <v/>
      </c>
      <c r="AQ30" s="286" t="s">
        <v>452</v>
      </c>
      <c r="AR30" s="286" t="s">
        <v>28</v>
      </c>
      <c r="AS30" s="286">
        <v>14</v>
      </c>
      <c r="AT30" s="286" t="s">
        <v>444</v>
      </c>
      <c r="AV30" s="234">
        <f t="shared" si="21"/>
        <v>23</v>
      </c>
      <c r="AW30" s="234">
        <f>COUNTIF( AV$7:AV30, AV30 )</f>
        <v>11</v>
      </c>
      <c r="AX30" s="287">
        <f t="shared" si="22"/>
        <v>24.1</v>
      </c>
      <c r="AY30" s="234">
        <f t="shared" si="23"/>
        <v>33</v>
      </c>
      <c r="AZ30" s="236"/>
      <c r="BA30" s="236"/>
      <c r="BC30" s="234">
        <f t="shared" ca="1" si="24"/>
        <v>24</v>
      </c>
      <c r="BD30" s="288">
        <f t="shared" ca="1" si="7"/>
        <v>4</v>
      </c>
      <c r="BF30" s="240" t="str">
        <f t="shared" ca="1" si="8"/>
        <v>American Electric Power Company, Inc.</v>
      </c>
      <c r="BG30" s="240" t="str">
        <f t="shared" ca="1" si="9"/>
        <v>BBB</v>
      </c>
      <c r="BH30" s="240">
        <f t="shared" ca="1" si="9"/>
        <v>14</v>
      </c>
      <c r="BI30" s="240" t="str">
        <f t="shared" ca="1" si="9"/>
        <v>AEP</v>
      </c>
    </row>
    <row r="31" spans="1:61" x14ac:dyDescent="0.2">
      <c r="A31" s="303" t="s">
        <v>55</v>
      </c>
      <c r="B31" s="304" t="s">
        <v>28</v>
      </c>
      <c r="C31" s="304">
        <v>18</v>
      </c>
      <c r="D31" s="304" t="s">
        <v>278</v>
      </c>
      <c r="E31" s="305" t="str">
        <f t="shared" ca="1" si="0"/>
        <v>R</v>
      </c>
      <c r="F31" s="306"/>
      <c r="G31" s="307">
        <f t="shared" ca="1" si="1"/>
        <v>11</v>
      </c>
      <c r="H31" s="250"/>
      <c r="I31" s="321"/>
      <c r="J31" s="262"/>
      <c r="K31" s="321"/>
      <c r="N31" s="321"/>
      <c r="O31" s="253"/>
      <c r="Q31" s="321"/>
      <c r="T31" s="321"/>
      <c r="W31" s="321"/>
      <c r="AF31" s="236">
        <f t="shared" si="2"/>
        <v>0</v>
      </c>
      <c r="AG31" s="236" t="str">
        <f t="shared" ca="1" si="3"/>
        <v/>
      </c>
      <c r="AH31" s="236" t="str">
        <f t="shared" ca="1" si="19"/>
        <v/>
      </c>
      <c r="AJ31" s="236">
        <f t="shared" ca="1" si="4"/>
        <v>30</v>
      </c>
      <c r="AK31" s="236" t="str">
        <f t="shared" ca="1" si="20"/>
        <v>BBB</v>
      </c>
      <c r="AL31" s="236">
        <f t="shared" ca="1" si="20"/>
        <v>18</v>
      </c>
      <c r="AM31" s="236" t="str">
        <f t="shared" ca="1" si="5"/>
        <v/>
      </c>
      <c r="AQ31" s="286" t="s">
        <v>20</v>
      </c>
      <c r="AR31" s="286" t="s">
        <v>28</v>
      </c>
      <c r="AS31" s="286">
        <v>14</v>
      </c>
      <c r="AT31" s="286" t="s">
        <v>303</v>
      </c>
      <c r="AV31" s="234">
        <f t="shared" si="21"/>
        <v>23</v>
      </c>
      <c r="AW31" s="234">
        <f>COUNTIF( AV$7:AV31, AV31 )</f>
        <v>12</v>
      </c>
      <c r="AX31" s="287">
        <f t="shared" si="22"/>
        <v>24.2</v>
      </c>
      <c r="AY31" s="234">
        <f t="shared" si="23"/>
        <v>34</v>
      </c>
      <c r="AZ31" s="236"/>
      <c r="BA31" s="236"/>
      <c r="BC31" s="234">
        <f t="shared" ca="1" si="24"/>
        <v>25</v>
      </c>
      <c r="BD31" s="288">
        <f t="shared" ca="1" si="7"/>
        <v>5</v>
      </c>
      <c r="BF31" s="240" t="str">
        <f t="shared" ca="1" si="8"/>
        <v>Avista Corporation</v>
      </c>
      <c r="BG31" s="240" t="str">
        <f t="shared" ca="1" si="9"/>
        <v>BBB</v>
      </c>
      <c r="BH31" s="240">
        <f t="shared" ca="1" si="9"/>
        <v>14</v>
      </c>
      <c r="BI31" s="240" t="str">
        <f t="shared" ca="1" si="9"/>
        <v>AVA</v>
      </c>
    </row>
    <row r="32" spans="1:61" x14ac:dyDescent="0.2">
      <c r="A32" s="303" t="s">
        <v>30</v>
      </c>
      <c r="B32" s="304" t="s">
        <v>28</v>
      </c>
      <c r="C32" s="304">
        <v>18</v>
      </c>
      <c r="D32" s="304" t="s">
        <v>285</v>
      </c>
      <c r="E32" s="305" t="str">
        <f t="shared" ca="1" si="0"/>
        <v>R</v>
      </c>
      <c r="F32" s="306"/>
      <c r="G32" s="307">
        <f t="shared" ca="1" si="1"/>
        <v>16</v>
      </c>
      <c r="H32" s="250"/>
      <c r="I32" s="321"/>
      <c r="J32" s="262"/>
      <c r="K32" s="321"/>
      <c r="N32" s="321"/>
      <c r="Q32" s="321"/>
      <c r="T32" s="321"/>
      <c r="W32" s="321"/>
      <c r="AF32" s="236">
        <f t="shared" si="2"/>
        <v>0</v>
      </c>
      <c r="AG32" s="236" t="str">
        <f t="shared" ca="1" si="3"/>
        <v/>
      </c>
      <c r="AH32" s="236" t="str">
        <f t="shared" ca="1" si="19"/>
        <v/>
      </c>
      <c r="AJ32" s="236">
        <f t="shared" ca="1" si="4"/>
        <v>31</v>
      </c>
      <c r="AK32" s="236" t="str">
        <f t="shared" ca="1" si="20"/>
        <v>BBB</v>
      </c>
      <c r="AL32" s="236">
        <f t="shared" ca="1" si="20"/>
        <v>18</v>
      </c>
      <c r="AM32" s="236" t="str">
        <f t="shared" ca="1" si="5"/>
        <v/>
      </c>
      <c r="AQ32" s="286" t="s">
        <v>254</v>
      </c>
      <c r="AR32" s="286" t="s">
        <v>10</v>
      </c>
      <c r="AS32" s="286">
        <v>16</v>
      </c>
      <c r="AT32" s="286" t="s">
        <v>331</v>
      </c>
      <c r="AV32" s="234">
        <f t="shared" si="21"/>
        <v>2</v>
      </c>
      <c r="AW32" s="234">
        <f>COUNTIF( AV$7:AV32, AV32 )</f>
        <v>4</v>
      </c>
      <c r="AX32" s="287">
        <f t="shared" si="22"/>
        <v>2.4</v>
      </c>
      <c r="AY32" s="234">
        <f t="shared" si="23"/>
        <v>5</v>
      </c>
      <c r="AZ32" s="236"/>
      <c r="BA32" s="236"/>
      <c r="BC32" s="234">
        <f t="shared" ca="1" si="24"/>
        <v>26</v>
      </c>
      <c r="BD32" s="288">
        <f t="shared" ca="1" si="7"/>
        <v>8</v>
      </c>
      <c r="BF32" s="240" t="str">
        <f t="shared" ca="1" si="8"/>
        <v>Cleco Corporation</v>
      </c>
      <c r="BG32" s="240" t="str">
        <f t="shared" ca="1" si="9"/>
        <v>BBB</v>
      </c>
      <c r="BH32" s="240">
        <f t="shared" ca="1" si="9"/>
        <v>14</v>
      </c>
      <c r="BI32" s="240" t="str">
        <f t="shared" ca="1" si="9"/>
        <v>CNL</v>
      </c>
    </row>
    <row r="33" spans="1:61" x14ac:dyDescent="0.2">
      <c r="A33" s="303" t="s">
        <v>60</v>
      </c>
      <c r="B33" s="304" t="s">
        <v>28</v>
      </c>
      <c r="C33" s="304">
        <v>18</v>
      </c>
      <c r="D33" s="304" t="s">
        <v>284</v>
      </c>
      <c r="E33" s="305" t="str">
        <f t="shared" ca="1" si="0"/>
        <v>R</v>
      </c>
      <c r="F33" s="306"/>
      <c r="G33" s="307">
        <f t="shared" ca="1" si="1"/>
        <v>17</v>
      </c>
      <c r="H33" s="250"/>
      <c r="I33" s="321"/>
      <c r="J33" s="262"/>
      <c r="K33" s="321"/>
      <c r="N33" s="321"/>
      <c r="Q33" s="321"/>
      <c r="T33" s="321"/>
      <c r="W33" s="321"/>
      <c r="AF33" s="236">
        <f t="shared" si="2"/>
        <v>0</v>
      </c>
      <c r="AG33" s="236">
        <f t="shared" ca="1" si="3"/>
        <v>1</v>
      </c>
      <c r="AH33" s="236" t="str">
        <f t="shared" ca="1" si="19"/>
        <v/>
      </c>
      <c r="AJ33" s="236">
        <f t="shared" ca="1" si="4"/>
        <v>47</v>
      </c>
      <c r="AK33" s="236" t="str">
        <f t="shared" ca="1" si="20"/>
        <v>BBB-</v>
      </c>
      <c r="AL33" s="236">
        <f t="shared" ca="1" si="20"/>
        <v>17</v>
      </c>
      <c r="AM33" s="236" t="str">
        <f t="shared" ca="1" si="5"/>
        <v>Change</v>
      </c>
      <c r="AQ33" s="286" t="s">
        <v>58</v>
      </c>
      <c r="AR33" s="286" t="s">
        <v>49</v>
      </c>
      <c r="AS33" s="286">
        <v>13</v>
      </c>
      <c r="AT33" s="286" t="s">
        <v>446</v>
      </c>
      <c r="AV33" s="234">
        <f t="shared" si="21"/>
        <v>42</v>
      </c>
      <c r="AW33" s="234">
        <f>COUNTIF( AV$7:AV33, AV33 )</f>
        <v>5</v>
      </c>
      <c r="AX33" s="287">
        <f t="shared" si="22"/>
        <v>42.5</v>
      </c>
      <c r="AY33" s="234">
        <f t="shared" si="23"/>
        <v>46</v>
      </c>
      <c r="AZ33" s="236"/>
      <c r="BA33" s="236"/>
      <c r="BC33" s="234">
        <f t="shared" ca="1" si="24"/>
        <v>27</v>
      </c>
      <c r="BD33" s="288">
        <f t="shared" ca="1" si="7"/>
        <v>9</v>
      </c>
      <c r="BF33" s="240" t="str">
        <f t="shared" ca="1" si="8"/>
        <v>CMS Energy Corporation</v>
      </c>
      <c r="BG33" s="240" t="str">
        <f t="shared" ca="1" si="9"/>
        <v>BBB</v>
      </c>
      <c r="BH33" s="240">
        <f t="shared" ca="1" si="9"/>
        <v>14</v>
      </c>
      <c r="BI33" s="240" t="str">
        <f t="shared" ca="1" si="9"/>
        <v>CMS</v>
      </c>
    </row>
    <row r="34" spans="1:61" x14ac:dyDescent="0.2">
      <c r="A34" s="303" t="s">
        <v>34</v>
      </c>
      <c r="B34" s="304" t="s">
        <v>28</v>
      </c>
      <c r="C34" s="304">
        <v>18</v>
      </c>
      <c r="D34" s="304" t="s">
        <v>294</v>
      </c>
      <c r="E34" s="305" t="str">
        <f t="shared" ca="1" si="0"/>
        <v>R</v>
      </c>
      <c r="F34" s="306"/>
      <c r="G34" s="307">
        <f t="shared" ca="1" si="1"/>
        <v>24</v>
      </c>
      <c r="H34" s="250"/>
      <c r="I34" s="321"/>
      <c r="J34" s="262"/>
      <c r="K34" s="321"/>
      <c r="L34" s="235"/>
      <c r="M34" s="235"/>
      <c r="N34" s="321"/>
      <c r="Q34" s="321"/>
      <c r="T34" s="321"/>
      <c r="W34" s="321"/>
      <c r="AF34" s="236">
        <f t="shared" si="2"/>
        <v>0</v>
      </c>
      <c r="AG34" s="236" t="str">
        <f t="shared" ca="1" si="3"/>
        <v/>
      </c>
      <c r="AH34" s="236" t="str">
        <f t="shared" ca="1" si="19"/>
        <v/>
      </c>
      <c r="AJ34" s="236">
        <f t="shared" ca="1" si="4"/>
        <v>32</v>
      </c>
      <c r="AK34" s="236" t="str">
        <f t="shared" ca="1" si="20"/>
        <v>BBB</v>
      </c>
      <c r="AL34" s="236">
        <f t="shared" ca="1" si="20"/>
        <v>18</v>
      </c>
      <c r="AM34" s="236" t="str">
        <f t="shared" ca="1" si="5"/>
        <v/>
      </c>
      <c r="AQ34" s="286" t="s">
        <v>12</v>
      </c>
      <c r="AR34" s="286" t="s">
        <v>16</v>
      </c>
      <c r="AS34" s="286">
        <v>15</v>
      </c>
      <c r="AT34" s="286" t="s">
        <v>309</v>
      </c>
      <c r="AV34" s="234">
        <f t="shared" si="21"/>
        <v>11</v>
      </c>
      <c r="AW34" s="234">
        <f>COUNTIF( AV$7:AV34, AV34 )</f>
        <v>5</v>
      </c>
      <c r="AX34" s="287">
        <f t="shared" si="22"/>
        <v>11.5</v>
      </c>
      <c r="AY34" s="234">
        <f t="shared" si="23"/>
        <v>15</v>
      </c>
      <c r="AZ34" s="236"/>
      <c r="BA34" s="236"/>
      <c r="BC34" s="234">
        <f t="shared" ca="1" si="24"/>
        <v>28</v>
      </c>
      <c r="BD34" s="288">
        <f t="shared" ca="1" si="7"/>
        <v>16</v>
      </c>
      <c r="BF34" s="240" t="str">
        <f t="shared" ca="1" si="8"/>
        <v>El Paso Electric Company</v>
      </c>
      <c r="BG34" s="240" t="str">
        <f t="shared" ca="1" si="9"/>
        <v>BBB</v>
      </c>
      <c r="BH34" s="240">
        <f t="shared" ca="1" si="9"/>
        <v>14</v>
      </c>
      <c r="BI34" s="240" t="str">
        <f t="shared" ca="1" si="9"/>
        <v>EE</v>
      </c>
    </row>
    <row r="35" spans="1:61" x14ac:dyDescent="0.2">
      <c r="A35" s="303" t="s">
        <v>35</v>
      </c>
      <c r="B35" s="304" t="s">
        <v>28</v>
      </c>
      <c r="C35" s="304">
        <v>18</v>
      </c>
      <c r="D35" s="304" t="s">
        <v>293</v>
      </c>
      <c r="E35" s="305" t="str">
        <f t="shared" ca="1" si="0"/>
        <v>R</v>
      </c>
      <c r="F35" s="306"/>
      <c r="G35" s="307">
        <f t="shared" ca="1" si="1"/>
        <v>25</v>
      </c>
      <c r="H35" s="250"/>
      <c r="I35" s="321"/>
      <c r="K35" s="321"/>
      <c r="L35" s="235"/>
      <c r="M35" s="235"/>
      <c r="N35" s="321"/>
      <c r="Q35" s="321"/>
      <c r="T35" s="321"/>
      <c r="W35" s="321"/>
      <c r="AF35" s="236">
        <f t="shared" si="2"/>
        <v>0</v>
      </c>
      <c r="AG35" s="236">
        <f t="shared" ca="1" si="3"/>
        <v>1</v>
      </c>
      <c r="AH35" s="236" t="str">
        <f t="shared" ca="1" si="19"/>
        <v/>
      </c>
      <c r="AJ35" s="236">
        <f t="shared" ca="1" si="4"/>
        <v>49</v>
      </c>
      <c r="AK35" s="236" t="str">
        <f t="shared" ca="1" si="20"/>
        <v>BBB-</v>
      </c>
      <c r="AL35" s="236">
        <f t="shared" ca="1" si="20"/>
        <v>17</v>
      </c>
      <c r="AM35" s="236" t="str">
        <f t="shared" ca="1" si="5"/>
        <v>Change</v>
      </c>
      <c r="AQ35" s="286" t="s">
        <v>52</v>
      </c>
      <c r="AR35" s="286" t="s">
        <v>16</v>
      </c>
      <c r="AS35" s="286">
        <v>15</v>
      </c>
      <c r="AT35" s="286" t="s">
        <v>447</v>
      </c>
      <c r="AV35" s="234">
        <f t="shared" si="21"/>
        <v>11</v>
      </c>
      <c r="AW35" s="234">
        <f>COUNTIF( AV$7:AV35, AV35 )</f>
        <v>6</v>
      </c>
      <c r="AX35" s="287">
        <f t="shared" si="22"/>
        <v>11.6</v>
      </c>
      <c r="AY35" s="234">
        <f t="shared" si="23"/>
        <v>16</v>
      </c>
      <c r="AZ35" s="236"/>
      <c r="BA35" s="236"/>
      <c r="BC35" s="234">
        <f t="shared" ca="1" si="24"/>
        <v>29</v>
      </c>
      <c r="BD35" s="288">
        <f t="shared" ca="1" si="7"/>
        <v>17</v>
      </c>
      <c r="BF35" s="240" t="str">
        <f t="shared" ca="1" si="8"/>
        <v>Empire District Electric Company</v>
      </c>
      <c r="BG35" s="240" t="str">
        <f t="shared" ca="1" si="9"/>
        <v>BBB</v>
      </c>
      <c r="BH35" s="240">
        <f t="shared" ca="1" si="9"/>
        <v>14</v>
      </c>
      <c r="BI35" s="240" t="str">
        <f t="shared" ca="1" si="9"/>
        <v>EDE</v>
      </c>
    </row>
    <row r="36" spans="1:61" x14ac:dyDescent="0.2">
      <c r="A36" s="303" t="s">
        <v>36</v>
      </c>
      <c r="B36" s="304" t="s">
        <v>28</v>
      </c>
      <c r="C36" s="304">
        <v>18</v>
      </c>
      <c r="D36" s="304" t="s">
        <v>297</v>
      </c>
      <c r="E36" s="305" t="str">
        <f t="shared" ca="1" si="0"/>
        <v>R</v>
      </c>
      <c r="F36" s="306"/>
      <c r="G36" s="307">
        <f t="shared" ca="1" si="1"/>
        <v>26</v>
      </c>
      <c r="H36" s="250"/>
      <c r="I36" s="321"/>
      <c r="J36" s="262"/>
      <c r="K36" s="321"/>
      <c r="L36" s="263"/>
      <c r="M36" s="263"/>
      <c r="N36" s="321"/>
      <c r="Q36" s="321"/>
      <c r="T36" s="321"/>
      <c r="W36" s="321"/>
      <c r="AF36" s="236">
        <f t="shared" si="2"/>
        <v>0</v>
      </c>
      <c r="AG36" s="236" t="str">
        <f t="shared" ca="1" si="3"/>
        <v/>
      </c>
      <c r="AH36" s="236" t="str">
        <f t="shared" ca="1" si="19"/>
        <v/>
      </c>
      <c r="AJ36" s="236">
        <f t="shared" ca="1" si="4"/>
        <v>34</v>
      </c>
      <c r="AK36" s="236" t="str">
        <f t="shared" ca="1" si="20"/>
        <v>BBB</v>
      </c>
      <c r="AL36" s="236">
        <f t="shared" ca="1" si="20"/>
        <v>18</v>
      </c>
      <c r="AM36" s="236" t="str">
        <f t="shared" ca="1" si="5"/>
        <v/>
      </c>
      <c r="AQ36" s="286" t="s">
        <v>370</v>
      </c>
      <c r="AR36" s="286" t="s">
        <v>10</v>
      </c>
      <c r="AS36" s="286">
        <v>16</v>
      </c>
      <c r="AT36" s="286" t="s">
        <v>369</v>
      </c>
      <c r="AV36" s="234">
        <f t="shared" si="21"/>
        <v>2</v>
      </c>
      <c r="AW36" s="234">
        <f>COUNTIF( AV$7:AV36, AV36 )</f>
        <v>5</v>
      </c>
      <c r="AX36" s="287">
        <f t="shared" si="22"/>
        <v>2.5</v>
      </c>
      <c r="AY36" s="234">
        <f t="shared" si="23"/>
        <v>6</v>
      </c>
      <c r="AZ36" s="236"/>
      <c r="BA36" s="236"/>
      <c r="BC36" s="234">
        <f t="shared" ca="1" si="24"/>
        <v>30</v>
      </c>
      <c r="BD36" s="288">
        <f t="shared" ca="1" si="7"/>
        <v>19</v>
      </c>
      <c r="BF36" s="240" t="str">
        <f t="shared" ca="1" si="8"/>
        <v>Entergy Corporation</v>
      </c>
      <c r="BG36" s="240" t="str">
        <f t="shared" ca="1" si="9"/>
        <v>BBB</v>
      </c>
      <c r="BH36" s="240">
        <f t="shared" ca="1" si="9"/>
        <v>14</v>
      </c>
      <c r="BI36" s="240" t="str">
        <f t="shared" ca="1" si="9"/>
        <v>ETR</v>
      </c>
    </row>
    <row r="37" spans="1:61" x14ac:dyDescent="0.2">
      <c r="A37" s="303" t="s">
        <v>11</v>
      </c>
      <c r="B37" s="304" t="s">
        <v>28</v>
      </c>
      <c r="C37" s="304">
        <v>18</v>
      </c>
      <c r="D37" s="304" t="s">
        <v>298</v>
      </c>
      <c r="E37" s="305" t="str">
        <f t="shared" ca="1" si="0"/>
        <v>MR</v>
      </c>
      <c r="F37" s="306"/>
      <c r="G37" s="307">
        <f t="shared" ca="1" si="1"/>
        <v>27</v>
      </c>
      <c r="H37" s="250"/>
      <c r="I37" s="321"/>
      <c r="K37" s="321"/>
      <c r="L37" s="264"/>
      <c r="M37" s="235"/>
      <c r="N37" s="321"/>
      <c r="Q37" s="321"/>
      <c r="T37" s="321"/>
      <c r="W37" s="321"/>
      <c r="AF37" s="236">
        <f t="shared" si="2"/>
        <v>0</v>
      </c>
      <c r="AG37" s="236" t="str">
        <f t="shared" ca="1" si="3"/>
        <v/>
      </c>
      <c r="AH37" s="236" t="str">
        <f t="shared" ca="1" si="19"/>
        <v/>
      </c>
      <c r="AJ37" s="236">
        <f t="shared" ca="1" si="4"/>
        <v>35</v>
      </c>
      <c r="AK37" s="236" t="str">
        <f t="shared" ca="1" si="20"/>
        <v>BBB</v>
      </c>
      <c r="AL37" s="236">
        <f t="shared" ca="1" si="20"/>
        <v>18</v>
      </c>
      <c r="AM37" s="236" t="str">
        <f t="shared" ca="1" si="5"/>
        <v/>
      </c>
      <c r="AQ37" s="286" t="s">
        <v>40</v>
      </c>
      <c r="AR37" s="286" t="s">
        <v>49</v>
      </c>
      <c r="AS37" s="286">
        <v>13</v>
      </c>
      <c r="AT37" s="286" t="s">
        <v>311</v>
      </c>
      <c r="AV37" s="234">
        <f t="shared" si="21"/>
        <v>42</v>
      </c>
      <c r="AW37" s="234">
        <f>COUNTIF( AV$7:AV37, AV37 )</f>
        <v>6</v>
      </c>
      <c r="AX37" s="287">
        <f t="shared" si="22"/>
        <v>42.6</v>
      </c>
      <c r="AY37" s="234">
        <f t="shared" si="23"/>
        <v>47</v>
      </c>
      <c r="AZ37" s="236"/>
      <c r="BA37" s="236"/>
      <c r="BC37" s="234">
        <f t="shared" ca="1" si="24"/>
        <v>31</v>
      </c>
      <c r="BD37" s="288">
        <f t="shared" ca="1" si="7"/>
        <v>20</v>
      </c>
      <c r="BF37" s="240" t="str">
        <f t="shared" ca="1" si="8"/>
        <v>Exelon Corporation</v>
      </c>
      <c r="BG37" s="240" t="str">
        <f t="shared" ca="1" si="9"/>
        <v>BBB</v>
      </c>
      <c r="BH37" s="240">
        <f t="shared" ca="1" si="9"/>
        <v>14</v>
      </c>
      <c r="BI37" s="240" t="str">
        <f t="shared" ca="1" si="9"/>
        <v>EXC</v>
      </c>
    </row>
    <row r="38" spans="1:61" x14ac:dyDescent="0.2">
      <c r="A38" s="303" t="s">
        <v>261</v>
      </c>
      <c r="B38" s="304" t="s">
        <v>28</v>
      </c>
      <c r="C38" s="304">
        <v>18</v>
      </c>
      <c r="D38" s="304" t="s">
        <v>301</v>
      </c>
      <c r="E38" s="305" t="str">
        <f t="shared" ca="1" si="0"/>
        <v>R</v>
      </c>
      <c r="F38" s="306"/>
      <c r="G38" s="307">
        <f t="shared" ca="1" si="1"/>
        <v>29</v>
      </c>
      <c r="H38" s="250"/>
      <c r="I38" s="321"/>
      <c r="J38" s="262"/>
      <c r="K38" s="321"/>
      <c r="L38" s="264"/>
      <c r="M38" s="235"/>
      <c r="N38" s="321"/>
      <c r="Q38" s="321"/>
      <c r="T38" s="321"/>
      <c r="W38" s="321"/>
      <c r="AF38" s="236">
        <f t="shared" si="2"/>
        <v>0</v>
      </c>
      <c r="AG38" s="236" t="str">
        <f t="shared" ca="1" si="3"/>
        <v/>
      </c>
      <c r="AH38" s="236" t="str">
        <f t="shared" ca="1" si="19"/>
        <v/>
      </c>
      <c r="AJ38" s="236">
        <f t="shared" ca="1" si="4"/>
        <v>36</v>
      </c>
      <c r="AK38" s="236" t="str">
        <f t="shared" ca="1" si="20"/>
        <v>BBB</v>
      </c>
      <c r="AL38" s="236">
        <f t="shared" ca="1" si="20"/>
        <v>18</v>
      </c>
      <c r="AM38" s="236" t="str">
        <f t="shared" ca="1" si="5"/>
        <v/>
      </c>
      <c r="AQ38" s="286" t="s">
        <v>513</v>
      </c>
      <c r="AR38" s="286" t="s">
        <v>10</v>
      </c>
      <c r="AS38" s="286">
        <v>16</v>
      </c>
      <c r="AT38" s="289" t="s">
        <v>512</v>
      </c>
      <c r="AV38" s="234">
        <f t="shared" si="21"/>
        <v>2</v>
      </c>
      <c r="AW38" s="234">
        <f>COUNTIF( AV$7:AV38, AV38 )</f>
        <v>6</v>
      </c>
      <c r="AX38" s="287">
        <f t="shared" si="22"/>
        <v>2.6</v>
      </c>
      <c r="AY38" s="234">
        <f t="shared" si="23"/>
        <v>7</v>
      </c>
      <c r="AZ38" s="236"/>
      <c r="BA38" s="236"/>
      <c r="BC38" s="234">
        <f t="shared" ca="1" si="24"/>
        <v>32</v>
      </c>
      <c r="BD38" s="288">
        <f t="shared" ca="1" si="7"/>
        <v>22</v>
      </c>
      <c r="BF38" s="240" t="str">
        <f t="shared" ca="1" si="8"/>
        <v>Great Plains Energy Inc.</v>
      </c>
      <c r="BG38" s="240" t="str">
        <f t="shared" ca="1" si="9"/>
        <v>BBB</v>
      </c>
      <c r="BH38" s="240">
        <f t="shared" ca="1" si="9"/>
        <v>14</v>
      </c>
      <c r="BI38" s="240" t="str">
        <f t="shared" ca="1" si="9"/>
        <v>GXP</v>
      </c>
    </row>
    <row r="39" spans="1:61" x14ac:dyDescent="0.2">
      <c r="A39" s="303" t="s">
        <v>452</v>
      </c>
      <c r="B39" s="304" t="s">
        <v>28</v>
      </c>
      <c r="C39" s="304">
        <v>18</v>
      </c>
      <c r="D39" s="304" t="s">
        <v>444</v>
      </c>
      <c r="E39" s="305" t="str">
        <f t="shared" ca="1" si="0"/>
        <v>R</v>
      </c>
      <c r="F39" s="306"/>
      <c r="G39" s="307">
        <f t="shared" ca="1" si="1"/>
        <v>63</v>
      </c>
      <c r="H39" s="250"/>
      <c r="I39" s="321"/>
      <c r="K39" s="321"/>
      <c r="L39" s="264"/>
      <c r="M39" s="235"/>
      <c r="N39" s="321"/>
      <c r="Q39" s="321"/>
      <c r="T39" s="321"/>
      <c r="W39" s="321"/>
      <c r="AF39" s="236">
        <f t="shared" si="2"/>
        <v>0</v>
      </c>
      <c r="AG39" s="236" t="str">
        <f t="shared" ca="1" si="3"/>
        <v/>
      </c>
      <c r="AH39" s="236" t="str">
        <f t="shared" ca="1" si="19"/>
        <v/>
      </c>
      <c r="AJ39" s="236">
        <f t="shared" ca="1" si="4"/>
        <v>33</v>
      </c>
      <c r="AK39" s="236" t="str">
        <f t="shared" ca="1" si="20"/>
        <v>BBB</v>
      </c>
      <c r="AL39" s="236">
        <f t="shared" ca="1" si="20"/>
        <v>18</v>
      </c>
      <c r="AM39" s="236" t="str">
        <f t="shared" ca="1" si="5"/>
        <v/>
      </c>
      <c r="AQ39" s="286" t="s">
        <v>66</v>
      </c>
      <c r="AR39" s="286" t="s">
        <v>28</v>
      </c>
      <c r="AS39" s="286">
        <v>14</v>
      </c>
      <c r="AT39" s="286" t="s">
        <v>315</v>
      </c>
      <c r="AV39" s="234">
        <f t="shared" si="21"/>
        <v>23</v>
      </c>
      <c r="AW39" s="234">
        <f>COUNTIF( AV$7:AV39, AV39 )</f>
        <v>13</v>
      </c>
      <c r="AX39" s="287">
        <f t="shared" si="22"/>
        <v>24.3</v>
      </c>
      <c r="AY39" s="234">
        <f t="shared" si="23"/>
        <v>35</v>
      </c>
      <c r="AZ39" s="236"/>
      <c r="BA39" s="236"/>
      <c r="BC39" s="234">
        <f t="shared" ca="1" si="24"/>
        <v>33</v>
      </c>
      <c r="BD39" s="288">
        <f t="shared" ca="1" si="7"/>
        <v>24</v>
      </c>
      <c r="BF39" s="240" t="str">
        <f t="shared" ref="BF39:BF63" ca="1" si="25">OFFSET( AQ$6, $BD39, 0 )</f>
        <v>Iberdrola USA</v>
      </c>
      <c r="BG39" s="240" t="str">
        <f t="shared" ca="1" si="9"/>
        <v>BBB</v>
      </c>
      <c r="BH39" s="240">
        <f t="shared" ca="1" si="9"/>
        <v>14</v>
      </c>
      <c r="BI39" s="240" t="str">
        <f t="shared" ca="1" si="9"/>
        <v>**EAST</v>
      </c>
    </row>
    <row r="40" spans="1:61" x14ac:dyDescent="0.2">
      <c r="A40" s="303" t="s">
        <v>20</v>
      </c>
      <c r="B40" s="304" t="s">
        <v>28</v>
      </c>
      <c r="C40" s="304">
        <v>18</v>
      </c>
      <c r="D40" s="304" t="s">
        <v>303</v>
      </c>
      <c r="E40" s="305" t="str">
        <f t="shared" ca="1" si="0"/>
        <v>R</v>
      </c>
      <c r="F40" s="306"/>
      <c r="G40" s="307">
        <f t="shared" ca="1" si="1"/>
        <v>31</v>
      </c>
      <c r="H40" s="250"/>
      <c r="I40" s="321"/>
      <c r="J40" s="262"/>
      <c r="K40" s="321"/>
      <c r="L40" s="264"/>
      <c r="M40" s="235"/>
      <c r="N40" s="321"/>
      <c r="Q40" s="321"/>
      <c r="T40" s="321"/>
      <c r="W40" s="321"/>
      <c r="AF40" s="236">
        <f t="shared" si="2"/>
        <v>0</v>
      </c>
      <c r="AG40" s="236" t="str">
        <f t="shared" ca="1" si="3"/>
        <v/>
      </c>
      <c r="AH40" s="236" t="str">
        <f t="shared" ca="1" si="19"/>
        <v/>
      </c>
      <c r="AJ40" s="236">
        <f t="shared" ca="1" si="4"/>
        <v>37</v>
      </c>
      <c r="AK40" s="236" t="str">
        <f t="shared" ca="1" si="20"/>
        <v>BBB</v>
      </c>
      <c r="AL40" s="236">
        <f t="shared" ca="1" si="20"/>
        <v>18</v>
      </c>
      <c r="AM40" s="236" t="str">
        <f t="shared" ca="1" si="5"/>
        <v/>
      </c>
      <c r="AQ40" s="286" t="s">
        <v>266</v>
      </c>
      <c r="AR40" s="286" t="s">
        <v>49</v>
      </c>
      <c r="AS40" s="286">
        <v>13</v>
      </c>
      <c r="AT40" s="286" t="s">
        <v>314</v>
      </c>
      <c r="AV40" s="234">
        <f t="shared" si="21"/>
        <v>42</v>
      </c>
      <c r="AW40" s="234">
        <f>COUNTIF( AV$7:AV40, AV40 )</f>
        <v>7</v>
      </c>
      <c r="AX40" s="287">
        <f t="shared" si="22"/>
        <v>42.7</v>
      </c>
      <c r="AY40" s="234">
        <f t="shared" si="23"/>
        <v>48</v>
      </c>
      <c r="AZ40" s="236"/>
      <c r="BA40" s="236"/>
      <c r="BC40" s="234">
        <f t="shared" ca="1" si="24"/>
        <v>34</v>
      </c>
      <c r="BD40" s="288">
        <f t="shared" ca="1" si="7"/>
        <v>25</v>
      </c>
      <c r="BF40" s="240" t="str">
        <f t="shared" ca="1" si="25"/>
        <v>IDACORP, Inc.</v>
      </c>
      <c r="BG40" s="240" t="str">
        <f t="shared" ca="1" si="9"/>
        <v>BBB</v>
      </c>
      <c r="BH40" s="240">
        <f t="shared" ca="1" si="9"/>
        <v>14</v>
      </c>
      <c r="BI40" s="240" t="str">
        <f t="shared" ca="1" si="9"/>
        <v>IDA</v>
      </c>
    </row>
    <row r="41" spans="1:61" x14ac:dyDescent="0.2">
      <c r="A41" s="303" t="s">
        <v>66</v>
      </c>
      <c r="B41" s="304" t="s">
        <v>28</v>
      </c>
      <c r="C41" s="304">
        <v>18</v>
      </c>
      <c r="D41" s="304" t="s">
        <v>315</v>
      </c>
      <c r="E41" s="305" t="str">
        <f t="shared" ca="1" si="0"/>
        <v>R</v>
      </c>
      <c r="F41" s="306"/>
      <c r="G41" s="307">
        <f t="shared" ca="1" si="1"/>
        <v>38</v>
      </c>
      <c r="H41" s="250"/>
      <c r="I41" s="321"/>
      <c r="J41" s="262"/>
      <c r="K41" s="321"/>
      <c r="L41" s="264"/>
      <c r="M41" s="235"/>
      <c r="N41" s="321"/>
      <c r="Q41" s="321"/>
      <c r="T41" s="321"/>
      <c r="W41" s="321"/>
      <c r="AF41" s="236">
        <f t="shared" si="2"/>
        <v>0</v>
      </c>
      <c r="AG41" s="236" t="str">
        <f t="shared" ca="1" si="3"/>
        <v/>
      </c>
      <c r="AH41" s="236" t="str">
        <f t="shared" ca="1" si="19"/>
        <v/>
      </c>
      <c r="AJ41" s="236">
        <f t="shared" ca="1" si="4"/>
        <v>38</v>
      </c>
      <c r="AK41" s="236" t="str">
        <f t="shared" ca="1" si="20"/>
        <v>BBB</v>
      </c>
      <c r="AL41" s="236">
        <f t="shared" ca="1" si="20"/>
        <v>18</v>
      </c>
      <c r="AM41" s="236" t="str">
        <f t="shared" ca="1" si="5"/>
        <v/>
      </c>
      <c r="AQ41" s="286" t="s">
        <v>21</v>
      </c>
      <c r="AR41" s="286" t="s">
        <v>16</v>
      </c>
      <c r="AS41" s="286">
        <v>15</v>
      </c>
      <c r="AT41" s="286" t="s">
        <v>316</v>
      </c>
      <c r="AV41" s="234">
        <f t="shared" si="21"/>
        <v>11</v>
      </c>
      <c r="AW41" s="234">
        <f>COUNTIF( AV$7:AV41, AV41 )</f>
        <v>7</v>
      </c>
      <c r="AX41" s="287">
        <f t="shared" si="22"/>
        <v>11.7</v>
      </c>
      <c r="AY41" s="234">
        <f t="shared" si="23"/>
        <v>17</v>
      </c>
      <c r="AZ41" s="236"/>
      <c r="BA41" s="236"/>
      <c r="BC41" s="234">
        <f t="shared" ca="1" si="24"/>
        <v>35</v>
      </c>
      <c r="BD41" s="288">
        <f t="shared" ca="1" si="7"/>
        <v>33</v>
      </c>
      <c r="BF41" s="240" t="str">
        <f t="shared" ca="1" si="25"/>
        <v>NorthWestern Corporation</v>
      </c>
      <c r="BG41" s="240" t="str">
        <f t="shared" ca="1" si="9"/>
        <v>BBB</v>
      </c>
      <c r="BH41" s="240">
        <f t="shared" ca="1" si="9"/>
        <v>14</v>
      </c>
      <c r="BI41" s="240" t="str">
        <f t="shared" ca="1" si="9"/>
        <v>NWE</v>
      </c>
    </row>
    <row r="42" spans="1:61" x14ac:dyDescent="0.2">
      <c r="A42" s="303" t="s">
        <v>53</v>
      </c>
      <c r="B42" s="304" t="s">
        <v>28</v>
      </c>
      <c r="C42" s="304">
        <v>18</v>
      </c>
      <c r="D42" s="304" t="s">
        <v>318</v>
      </c>
      <c r="E42" s="305" t="str">
        <f t="shared" ca="1" si="0"/>
        <v>R</v>
      </c>
      <c r="F42" s="306"/>
      <c r="G42" s="307">
        <f t="shared" ca="1" si="1"/>
        <v>44</v>
      </c>
      <c r="H42" s="250"/>
      <c r="I42" s="321"/>
      <c r="J42" s="262"/>
      <c r="K42" s="321"/>
      <c r="L42" s="264"/>
      <c r="M42" s="235"/>
      <c r="N42" s="321"/>
      <c r="Q42" s="321"/>
      <c r="T42" s="321"/>
      <c r="W42" s="321"/>
      <c r="AF42" s="236">
        <f t="shared" si="2"/>
        <v>0</v>
      </c>
      <c r="AG42" s="236" t="str">
        <f t="shared" ca="1" si="3"/>
        <v/>
      </c>
      <c r="AH42" s="236" t="str">
        <f t="shared" ca="1" si="19"/>
        <v/>
      </c>
      <c r="AJ42" s="236">
        <f t="shared" ca="1" si="4"/>
        <v>39</v>
      </c>
      <c r="AK42" s="236" t="str">
        <f t="shared" ca="1" si="20"/>
        <v>BBB</v>
      </c>
      <c r="AL42" s="236">
        <f t="shared" ca="1" si="20"/>
        <v>18</v>
      </c>
      <c r="AM42" s="236" t="str">
        <f t="shared" ca="1" si="5"/>
        <v/>
      </c>
      <c r="AQ42" s="286" t="s">
        <v>22</v>
      </c>
      <c r="AR42" s="286" t="s">
        <v>49</v>
      </c>
      <c r="AS42" s="286">
        <v>13</v>
      </c>
      <c r="AT42" s="286" t="s">
        <v>317</v>
      </c>
      <c r="AV42" s="234">
        <f t="shared" si="21"/>
        <v>42</v>
      </c>
      <c r="AW42" s="234">
        <f>COUNTIF( AV$7:AV42, AV42 )</f>
        <v>8</v>
      </c>
      <c r="AX42" s="287">
        <f t="shared" si="22"/>
        <v>42.8</v>
      </c>
      <c r="AY42" s="234">
        <f t="shared" si="23"/>
        <v>49</v>
      </c>
      <c r="AZ42" s="236"/>
      <c r="BA42" s="236"/>
      <c r="BC42" s="234">
        <f t="shared" ca="1" si="24"/>
        <v>36</v>
      </c>
      <c r="BD42" s="288">
        <f t="shared" ca="1" si="7"/>
        <v>38</v>
      </c>
      <c r="BF42" s="240" t="str">
        <f t="shared" ca="1" si="25"/>
        <v>PG&amp;E Corporation</v>
      </c>
      <c r="BG42" s="240" t="str">
        <f t="shared" ca="1" si="9"/>
        <v>BBB</v>
      </c>
      <c r="BH42" s="240">
        <f t="shared" ca="1" si="9"/>
        <v>14</v>
      </c>
      <c r="BI42" s="240" t="str">
        <f t="shared" ca="1" si="9"/>
        <v>PCG</v>
      </c>
    </row>
    <row r="43" spans="1:61" x14ac:dyDescent="0.2">
      <c r="A43" s="303" t="s">
        <v>24</v>
      </c>
      <c r="B43" s="304" t="s">
        <v>28</v>
      </c>
      <c r="C43" s="304">
        <v>18</v>
      </c>
      <c r="D43" s="304" t="s">
        <v>324</v>
      </c>
      <c r="E43" s="305" t="str">
        <f t="shared" ca="1" si="0"/>
        <v>R</v>
      </c>
      <c r="F43" s="306"/>
      <c r="G43" s="307">
        <f t="shared" ca="1" si="1"/>
        <v>47</v>
      </c>
      <c r="H43" s="250"/>
      <c r="I43" s="321"/>
      <c r="J43" s="262"/>
      <c r="K43" s="321"/>
      <c r="L43" s="235"/>
      <c r="M43" s="235"/>
      <c r="N43" s="321"/>
      <c r="Q43" s="321"/>
      <c r="T43" s="321"/>
      <c r="W43" s="321"/>
      <c r="AF43" s="236">
        <f t="shared" si="2"/>
        <v>0</v>
      </c>
      <c r="AG43" s="236" t="str">
        <f t="shared" ca="1" si="3"/>
        <v/>
      </c>
      <c r="AH43" s="236" t="str">
        <f t="shared" ca="1" si="19"/>
        <v/>
      </c>
      <c r="AJ43" s="236">
        <f t="shared" ca="1" si="4"/>
        <v>40</v>
      </c>
      <c r="AK43" s="236" t="str">
        <f t="shared" ca="1" si="20"/>
        <v>BBB</v>
      </c>
      <c r="AL43" s="236">
        <f t="shared" ca="1" si="20"/>
        <v>18</v>
      </c>
      <c r="AM43" s="236" t="str">
        <f t="shared" ca="1" si="5"/>
        <v/>
      </c>
      <c r="AQ43" s="286" t="s">
        <v>23</v>
      </c>
      <c r="AR43" s="286" t="s">
        <v>16</v>
      </c>
      <c r="AS43" s="286">
        <v>15</v>
      </c>
      <c r="AT43" s="286" t="s">
        <v>323</v>
      </c>
      <c r="AV43" s="234">
        <f t="shared" si="21"/>
        <v>11</v>
      </c>
      <c r="AW43" s="234">
        <f>COUNTIF( AV$7:AV43, AV43 )</f>
        <v>8</v>
      </c>
      <c r="AX43" s="287">
        <f t="shared" si="22"/>
        <v>11.8</v>
      </c>
      <c r="AY43" s="234">
        <f t="shared" si="23"/>
        <v>18</v>
      </c>
      <c r="AZ43" s="236"/>
      <c r="BA43" s="236"/>
      <c r="BC43" s="234">
        <f t="shared" ca="1" si="24"/>
        <v>37</v>
      </c>
      <c r="BD43" s="288">
        <f t="shared" ca="1" si="7"/>
        <v>41</v>
      </c>
      <c r="BF43" s="240" t="str">
        <f t="shared" ca="1" si="25"/>
        <v>Portland General Electric Company</v>
      </c>
      <c r="BG43" s="240" t="str">
        <f t="shared" ca="1" si="9"/>
        <v>BBB</v>
      </c>
      <c r="BH43" s="240">
        <f t="shared" ca="1" si="9"/>
        <v>14</v>
      </c>
      <c r="BI43" s="240" t="str">
        <f t="shared" ca="1" si="9"/>
        <v>POR</v>
      </c>
    </row>
    <row r="44" spans="1:61" x14ac:dyDescent="0.2">
      <c r="A44" s="303" t="s">
        <v>43</v>
      </c>
      <c r="B44" s="304" t="s">
        <v>28</v>
      </c>
      <c r="C44" s="304">
        <v>18</v>
      </c>
      <c r="D44" s="304" t="s">
        <v>325</v>
      </c>
      <c r="E44" s="305" t="str">
        <f t="shared" ca="1" si="0"/>
        <v>MR</v>
      </c>
      <c r="F44" s="306"/>
      <c r="G44" s="307">
        <f t="shared" ca="1" si="1"/>
        <v>48</v>
      </c>
      <c r="H44" s="250"/>
      <c r="I44" s="321"/>
      <c r="J44" s="262"/>
      <c r="K44" s="321"/>
      <c r="L44" s="235"/>
      <c r="M44" s="235"/>
      <c r="N44" s="321"/>
      <c r="Q44" s="321"/>
      <c r="T44" s="321"/>
      <c r="W44" s="321"/>
      <c r="AF44" s="236">
        <f t="shared" si="2"/>
        <v>0</v>
      </c>
      <c r="AG44" s="236" t="str">
        <f t="shared" ca="1" si="3"/>
        <v/>
      </c>
      <c r="AH44" s="236" t="str">
        <f t="shared" ca="1" si="19"/>
        <v/>
      </c>
      <c r="AJ44" s="236">
        <f t="shared" ca="1" si="4"/>
        <v>41</v>
      </c>
      <c r="AK44" s="236" t="str">
        <f t="shared" ca="1" si="20"/>
        <v>BBB</v>
      </c>
      <c r="AL44" s="236">
        <f t="shared" ca="1" si="20"/>
        <v>18</v>
      </c>
      <c r="AM44" s="236" t="str">
        <f t="shared" ca="1" si="5"/>
        <v/>
      </c>
      <c r="AQ44" s="286" t="s">
        <v>53</v>
      </c>
      <c r="AR44" s="286" t="s">
        <v>28</v>
      </c>
      <c r="AS44" s="286">
        <v>14</v>
      </c>
      <c r="AT44" s="286" t="s">
        <v>318</v>
      </c>
      <c r="AV44" s="234">
        <f t="shared" si="21"/>
        <v>23</v>
      </c>
      <c r="AW44" s="234">
        <f>COUNTIF( AV$7:AV44, AV44 )</f>
        <v>14</v>
      </c>
      <c r="AX44" s="287">
        <f t="shared" si="22"/>
        <v>24.4</v>
      </c>
      <c r="AY44" s="234">
        <f t="shared" si="23"/>
        <v>36</v>
      </c>
      <c r="AZ44" s="236"/>
      <c r="BA44" s="236"/>
      <c r="BC44" s="234">
        <f t="shared" ca="1" si="24"/>
        <v>38</v>
      </c>
      <c r="BD44" s="288">
        <f t="shared" ca="1" si="7"/>
        <v>42</v>
      </c>
      <c r="BF44" s="240" t="str">
        <f t="shared" ca="1" si="25"/>
        <v>PPL Corporation</v>
      </c>
      <c r="BG44" s="240" t="str">
        <f t="shared" ca="1" si="9"/>
        <v>BBB</v>
      </c>
      <c r="BH44" s="240">
        <f t="shared" ca="1" si="9"/>
        <v>14</v>
      </c>
      <c r="BI44" s="240" t="str">
        <f t="shared" ca="1" si="9"/>
        <v>PPL</v>
      </c>
    </row>
    <row r="45" spans="1:61" x14ac:dyDescent="0.2">
      <c r="A45" s="303" t="s">
        <v>45</v>
      </c>
      <c r="B45" s="304" t="s">
        <v>28</v>
      </c>
      <c r="C45" s="304">
        <v>18</v>
      </c>
      <c r="D45" s="304" t="s">
        <v>319</v>
      </c>
      <c r="E45" s="305" t="str">
        <f t="shared" ca="1" si="0"/>
        <v>MR</v>
      </c>
      <c r="F45" s="306"/>
      <c r="G45" s="307">
        <f t="shared" ca="1" si="1"/>
        <v>50</v>
      </c>
      <c r="H45" s="250"/>
      <c r="I45" s="321"/>
      <c r="J45" s="262"/>
      <c r="K45" s="321"/>
      <c r="L45" s="235"/>
      <c r="M45" s="235"/>
      <c r="N45" s="321"/>
      <c r="Q45" s="321"/>
      <c r="T45" s="321"/>
      <c r="W45" s="321"/>
      <c r="AF45" s="236">
        <f t="shared" si="2"/>
        <v>0</v>
      </c>
      <c r="AG45" s="236" t="str">
        <f t="shared" ca="1" si="3"/>
        <v/>
      </c>
      <c r="AH45" s="236" t="str">
        <f t="shared" ca="1" si="19"/>
        <v/>
      </c>
      <c r="AJ45" s="236">
        <f t="shared" ca="1" si="4"/>
        <v>42</v>
      </c>
      <c r="AK45" s="236" t="str">
        <f t="shared" ca="1" si="20"/>
        <v>BBB</v>
      </c>
      <c r="AL45" s="236">
        <f t="shared" ca="1" si="20"/>
        <v>18</v>
      </c>
      <c r="AM45" s="236" t="str">
        <f t="shared" ca="1" si="5"/>
        <v/>
      </c>
      <c r="AQ45" s="286" t="s">
        <v>41</v>
      </c>
      <c r="AR45" s="286" t="s">
        <v>16</v>
      </c>
      <c r="AS45" s="286">
        <v>15</v>
      </c>
      <c r="AT45" s="286" t="s">
        <v>322</v>
      </c>
      <c r="AV45" s="234">
        <f t="shared" si="21"/>
        <v>11</v>
      </c>
      <c r="AW45" s="234">
        <f>COUNTIF( AV$7:AV45, AV45 )</f>
        <v>9</v>
      </c>
      <c r="AX45" s="287">
        <f t="shared" si="22"/>
        <v>11.9</v>
      </c>
      <c r="AY45" s="234">
        <f t="shared" si="23"/>
        <v>19</v>
      </c>
      <c r="AZ45" s="236"/>
      <c r="BA45" s="236"/>
      <c r="BC45" s="234">
        <f t="shared" ca="1" si="24"/>
        <v>39</v>
      </c>
      <c r="BD45" s="288">
        <f t="shared" ca="1" si="7"/>
        <v>43</v>
      </c>
      <c r="BF45" s="240" t="str">
        <f t="shared" ca="1" si="25"/>
        <v>Public Service Enterprise Group Incorporated</v>
      </c>
      <c r="BG45" s="240" t="str">
        <f t="shared" ca="1" si="9"/>
        <v>BBB</v>
      </c>
      <c r="BH45" s="240">
        <f t="shared" ca="1" si="9"/>
        <v>14</v>
      </c>
      <c r="BI45" s="240" t="str">
        <f t="shared" ca="1" si="9"/>
        <v>PEG</v>
      </c>
    </row>
    <row r="46" spans="1:61" x14ac:dyDescent="0.2">
      <c r="A46" s="303" t="s">
        <v>75</v>
      </c>
      <c r="B46" s="304" t="s">
        <v>28</v>
      </c>
      <c r="C46" s="304">
        <v>18</v>
      </c>
      <c r="D46" s="304" t="s">
        <v>332</v>
      </c>
      <c r="E46" s="305" t="str">
        <f t="shared" ca="1" si="0"/>
        <v>R</v>
      </c>
      <c r="F46" s="306"/>
      <c r="G46" s="307">
        <f t="shared" ca="1" si="1"/>
        <v>55</v>
      </c>
      <c r="H46" s="250"/>
      <c r="I46" s="262"/>
      <c r="K46" s="262"/>
      <c r="N46" s="257"/>
      <c r="W46" s="262"/>
      <c r="AF46" s="236">
        <f t="shared" si="2"/>
        <v>0</v>
      </c>
      <c r="AG46" s="236" t="str">
        <f t="shared" ca="1" si="3"/>
        <v/>
      </c>
      <c r="AH46" s="236" t="str">
        <f t="shared" ca="1" si="19"/>
        <v/>
      </c>
      <c r="AJ46" s="236">
        <f t="shared" ca="1" si="4"/>
        <v>43</v>
      </c>
      <c r="AK46" s="236" t="str">
        <f t="shared" ca="1" si="20"/>
        <v>BBB</v>
      </c>
      <c r="AL46" s="236">
        <f t="shared" ca="1" si="20"/>
        <v>18</v>
      </c>
      <c r="AM46" s="236" t="str">
        <f t="shared" ca="1" si="5"/>
        <v/>
      </c>
      <c r="AQ46" s="286" t="s">
        <v>42</v>
      </c>
      <c r="AR46" s="286" t="s">
        <v>49</v>
      </c>
      <c r="AS46" s="286">
        <v>13</v>
      </c>
      <c r="AT46" s="286" t="s">
        <v>321</v>
      </c>
      <c r="AV46" s="234">
        <f t="shared" si="21"/>
        <v>42</v>
      </c>
      <c r="AW46" s="234">
        <f>COUNTIF( AV$7:AV46, AV46 )</f>
        <v>9</v>
      </c>
      <c r="AX46" s="287">
        <f t="shared" si="22"/>
        <v>42.9</v>
      </c>
      <c r="AY46" s="234">
        <f t="shared" si="23"/>
        <v>50</v>
      </c>
      <c r="AZ46" s="236"/>
      <c r="BA46" s="236"/>
      <c r="BC46" s="234">
        <f t="shared" ca="1" si="24"/>
        <v>40</v>
      </c>
      <c r="BD46" s="288">
        <f t="shared" ca="1" si="7"/>
        <v>49</v>
      </c>
      <c r="BF46" s="240" t="str">
        <f t="shared" ca="1" si="25"/>
        <v>UIL Holdings Corporation</v>
      </c>
      <c r="BG46" s="240" t="str">
        <f t="shared" ca="1" si="9"/>
        <v>BBB</v>
      </c>
      <c r="BH46" s="240">
        <f t="shared" ca="1" si="9"/>
        <v>14</v>
      </c>
      <c r="BI46" s="240" t="str">
        <f t="shared" ca="1" si="9"/>
        <v>UIL</v>
      </c>
    </row>
    <row r="47" spans="1:61" x14ac:dyDescent="0.2">
      <c r="A47" s="303" t="s">
        <v>59</v>
      </c>
      <c r="B47" s="304" t="s">
        <v>28</v>
      </c>
      <c r="C47" s="304">
        <v>18</v>
      </c>
      <c r="D47" s="304" t="s">
        <v>337</v>
      </c>
      <c r="E47" s="305" t="str">
        <f t="shared" ca="1" si="0"/>
        <v>R</v>
      </c>
      <c r="F47" s="306"/>
      <c r="G47" s="307">
        <f t="shared" ca="1" si="1"/>
        <v>59</v>
      </c>
      <c r="H47" s="250"/>
      <c r="I47" s="250"/>
      <c r="J47" s="258" t="s">
        <v>268</v>
      </c>
      <c r="K47" s="262"/>
      <c r="M47" s="253"/>
      <c r="N47" s="253"/>
      <c r="AF47" s="236">
        <f t="shared" si="2"/>
        <v>0</v>
      </c>
      <c r="AG47" s="236" t="str">
        <f t="shared" ca="1" si="3"/>
        <v/>
      </c>
      <c r="AH47" s="236" t="str">
        <f t="shared" ca="1" si="19"/>
        <v/>
      </c>
      <c r="AJ47" s="236">
        <f t="shared" ca="1" si="4"/>
        <v>44</v>
      </c>
      <c r="AK47" s="236" t="str">
        <f t="shared" ca="1" si="20"/>
        <v>BBB</v>
      </c>
      <c r="AL47" s="236">
        <f t="shared" ca="1" si="20"/>
        <v>18</v>
      </c>
      <c r="AM47" s="236" t="str">
        <f t="shared" ca="1" si="5"/>
        <v/>
      </c>
      <c r="AQ47" s="286" t="s">
        <v>24</v>
      </c>
      <c r="AR47" s="286" t="s">
        <v>28</v>
      </c>
      <c r="AS47" s="286">
        <v>14</v>
      </c>
      <c r="AT47" s="286" t="s">
        <v>324</v>
      </c>
      <c r="AV47" s="234">
        <f t="shared" si="21"/>
        <v>23</v>
      </c>
      <c r="AW47" s="234">
        <f>COUNTIF( AV$7:AV47, AV47 )</f>
        <v>15</v>
      </c>
      <c r="AX47" s="287">
        <f t="shared" si="22"/>
        <v>24.5</v>
      </c>
      <c r="AY47" s="234">
        <f t="shared" si="23"/>
        <v>37</v>
      </c>
      <c r="AZ47" s="236"/>
      <c r="BA47" s="236"/>
      <c r="BC47" s="234">
        <f t="shared" ca="1" si="24"/>
        <v>41</v>
      </c>
      <c r="BD47" s="288">
        <f t="shared" ca="1" si="7"/>
        <v>51</v>
      </c>
      <c r="BF47" s="240" t="str">
        <f t="shared" ca="1" si="25"/>
        <v>Westar Energy, Inc.</v>
      </c>
      <c r="BG47" s="240" t="str">
        <f t="shared" ca="1" si="9"/>
        <v>BBB</v>
      </c>
      <c r="BH47" s="240">
        <f t="shared" ca="1" si="9"/>
        <v>14</v>
      </c>
      <c r="BI47" s="240" t="str">
        <f t="shared" ca="1" si="9"/>
        <v>WR</v>
      </c>
    </row>
    <row r="48" spans="1:61" x14ac:dyDescent="0.2">
      <c r="A48" s="303" t="s">
        <v>48</v>
      </c>
      <c r="B48" s="304" t="s">
        <v>49</v>
      </c>
      <c r="C48" s="304">
        <v>17</v>
      </c>
      <c r="D48" s="304" t="s">
        <v>280</v>
      </c>
      <c r="E48" s="305" t="str">
        <f t="shared" ca="1" si="0"/>
        <v>MR</v>
      </c>
      <c r="F48" s="306"/>
      <c r="G48" s="307">
        <f t="shared" ca="1" si="1"/>
        <v>12</v>
      </c>
      <c r="H48" s="250"/>
      <c r="I48" s="250"/>
      <c r="K48" s="262"/>
      <c r="M48" s="253"/>
      <c r="N48" s="253"/>
      <c r="AF48" s="236">
        <f t="shared" si="2"/>
        <v>1</v>
      </c>
      <c r="AG48" s="236" t="str">
        <f t="shared" ca="1" si="3"/>
        <v/>
      </c>
      <c r="AH48" s="236" t="str">
        <f t="shared" ca="1" si="19"/>
        <v/>
      </c>
      <c r="AJ48" s="236">
        <f t="shared" ca="1" si="4"/>
        <v>46</v>
      </c>
      <c r="AK48" s="236" t="str">
        <f t="shared" ca="1" si="20"/>
        <v>BBB-</v>
      </c>
      <c r="AL48" s="236">
        <f t="shared" ca="1" si="20"/>
        <v>17</v>
      </c>
      <c r="AM48" s="236" t="str">
        <f t="shared" ca="1" si="5"/>
        <v/>
      </c>
      <c r="AQ48" s="286" t="s">
        <v>43</v>
      </c>
      <c r="AR48" s="286" t="s">
        <v>28</v>
      </c>
      <c r="AS48" s="286">
        <v>14</v>
      </c>
      <c r="AT48" s="286" t="s">
        <v>325</v>
      </c>
      <c r="AV48" s="234">
        <f t="shared" si="21"/>
        <v>23</v>
      </c>
      <c r="AW48" s="234">
        <f>COUNTIF( AV$7:AV48, AV48 )</f>
        <v>16</v>
      </c>
      <c r="AX48" s="287">
        <f t="shared" si="22"/>
        <v>24.6</v>
      </c>
      <c r="AY48" s="234">
        <f t="shared" si="23"/>
        <v>38</v>
      </c>
      <c r="AZ48" s="236"/>
      <c r="BA48" s="236"/>
      <c r="BC48" s="234">
        <f t="shared" ca="1" si="24"/>
        <v>42</v>
      </c>
      <c r="BD48" s="288">
        <f t="shared" ca="1" si="7"/>
        <v>6</v>
      </c>
      <c r="BF48" s="240" t="str">
        <f t="shared" ca="1" si="25"/>
        <v>Black Hills Corporation</v>
      </c>
      <c r="BG48" s="240" t="str">
        <f t="shared" ca="1" si="9"/>
        <v>BBB-</v>
      </c>
      <c r="BH48" s="240">
        <f t="shared" ca="1" si="9"/>
        <v>13</v>
      </c>
      <c r="BI48" s="240" t="str">
        <f t="shared" ca="1" si="9"/>
        <v>BKH</v>
      </c>
    </row>
    <row r="49" spans="1:61" x14ac:dyDescent="0.2">
      <c r="A49" s="303" t="s">
        <v>57</v>
      </c>
      <c r="B49" s="304" t="s">
        <v>49</v>
      </c>
      <c r="C49" s="304">
        <v>17</v>
      </c>
      <c r="D49" s="304" t="s">
        <v>296</v>
      </c>
      <c r="E49" s="305" t="str">
        <f t="shared" ca="1" si="0"/>
        <v>R</v>
      </c>
      <c r="F49" s="306"/>
      <c r="G49" s="307">
        <f t="shared" ca="1" si="1"/>
        <v>23</v>
      </c>
      <c r="H49" s="250"/>
      <c r="I49" s="250"/>
      <c r="J49" s="262"/>
      <c r="K49" s="262"/>
      <c r="M49" s="253"/>
      <c r="N49" s="253"/>
      <c r="AF49" s="236">
        <f t="shared" si="2"/>
        <v>1</v>
      </c>
      <c r="AG49" s="236" t="str">
        <f t="shared" ca="1" si="3"/>
        <v/>
      </c>
      <c r="AH49" s="236" t="str">
        <f t="shared" ca="1" si="19"/>
        <v/>
      </c>
      <c r="AJ49" s="236">
        <f t="shared" ca="1" si="4"/>
        <v>48</v>
      </c>
      <c r="AK49" s="236" t="str">
        <f t="shared" ca="1" si="20"/>
        <v>BBB-</v>
      </c>
      <c r="AL49" s="236">
        <f t="shared" ca="1" si="20"/>
        <v>17</v>
      </c>
      <c r="AM49" s="236" t="str">
        <f t="shared" ca="1" si="5"/>
        <v/>
      </c>
      <c r="AQ49" s="286" t="s">
        <v>45</v>
      </c>
      <c r="AR49" s="286" t="s">
        <v>28</v>
      </c>
      <c r="AS49" s="286">
        <v>14</v>
      </c>
      <c r="AT49" s="286" t="s">
        <v>319</v>
      </c>
      <c r="AV49" s="234">
        <f t="shared" si="21"/>
        <v>23</v>
      </c>
      <c r="AW49" s="234">
        <f>COUNTIF( AV$7:AV49, AV49 )</f>
        <v>17</v>
      </c>
      <c r="AX49" s="287">
        <f t="shared" si="22"/>
        <v>24.7</v>
      </c>
      <c r="AY49" s="234">
        <f t="shared" si="23"/>
        <v>39</v>
      </c>
      <c r="AZ49" s="236"/>
      <c r="BA49" s="236"/>
      <c r="BC49" s="234">
        <f t="shared" ca="1" si="24"/>
        <v>43</v>
      </c>
      <c r="BD49" s="288">
        <f t="shared" ca="1" si="7"/>
        <v>15</v>
      </c>
      <c r="BF49" s="240" t="str">
        <f t="shared" ca="1" si="25"/>
        <v>Edison International</v>
      </c>
      <c r="BG49" s="240" t="str">
        <f t="shared" ca="1" si="9"/>
        <v>BBB-</v>
      </c>
      <c r="BH49" s="240">
        <f t="shared" ca="1" si="9"/>
        <v>13</v>
      </c>
      <c r="BI49" s="240" t="str">
        <f t="shared" ca="1" si="9"/>
        <v>EIX</v>
      </c>
    </row>
    <row r="50" spans="1:61" x14ac:dyDescent="0.2">
      <c r="A50" s="303" t="s">
        <v>51</v>
      </c>
      <c r="B50" s="304" t="s">
        <v>49</v>
      </c>
      <c r="C50" s="304">
        <v>17</v>
      </c>
      <c r="D50" s="304" t="s">
        <v>299</v>
      </c>
      <c r="E50" s="305" t="str">
        <f t="shared" ca="1" si="0"/>
        <v>MR</v>
      </c>
      <c r="F50" s="306"/>
      <c r="G50" s="307">
        <f t="shared" ca="1" si="1"/>
        <v>28</v>
      </c>
      <c r="H50" s="250"/>
      <c r="I50" s="250"/>
      <c r="J50" s="262"/>
      <c r="K50" s="262"/>
      <c r="L50" s="235"/>
      <c r="M50" s="257"/>
      <c r="N50" s="257"/>
      <c r="AF50" s="236">
        <f t="shared" si="2"/>
        <v>1</v>
      </c>
      <c r="AG50" s="236" t="str">
        <f t="shared" ca="1" si="3"/>
        <v/>
      </c>
      <c r="AH50" s="236" t="str">
        <f t="shared" ca="1" si="19"/>
        <v/>
      </c>
      <c r="AJ50" s="236">
        <f t="shared" ca="1" si="4"/>
        <v>50</v>
      </c>
      <c r="AK50" s="236" t="str">
        <f t="shared" ca="1" si="20"/>
        <v>BBB-</v>
      </c>
      <c r="AL50" s="236">
        <f t="shared" ca="1" si="20"/>
        <v>17</v>
      </c>
      <c r="AM50" s="236" t="str">
        <f t="shared" ca="1" si="5"/>
        <v/>
      </c>
      <c r="AQ50" s="286" t="s">
        <v>54</v>
      </c>
      <c r="AR50" s="286" t="s">
        <v>56</v>
      </c>
      <c r="AS50" s="286">
        <v>12</v>
      </c>
      <c r="AT50" s="286" t="s">
        <v>449</v>
      </c>
      <c r="AV50" s="234">
        <f t="shared" si="21"/>
        <v>51</v>
      </c>
      <c r="AW50" s="234">
        <f>COUNTIF( AV$7:AV50, AV50 )</f>
        <v>1</v>
      </c>
      <c r="AX50" s="287">
        <f t="shared" si="22"/>
        <v>51.1</v>
      </c>
      <c r="AY50" s="234">
        <f t="shared" si="23"/>
        <v>51</v>
      </c>
      <c r="AZ50" s="236"/>
      <c r="BA50" s="236"/>
      <c r="BC50" s="234">
        <f t="shared" ca="1" si="24"/>
        <v>44</v>
      </c>
      <c r="BD50" s="288">
        <f t="shared" ca="1" si="7"/>
        <v>21</v>
      </c>
      <c r="BF50" s="240" t="str">
        <f t="shared" ca="1" si="25"/>
        <v>FirstEnergy Corp.</v>
      </c>
      <c r="BG50" s="240" t="str">
        <f t="shared" ca="1" si="9"/>
        <v>BBB-</v>
      </c>
      <c r="BH50" s="240">
        <f t="shared" ca="1" si="9"/>
        <v>13</v>
      </c>
      <c r="BI50" s="240" t="str">
        <f t="shared" ca="1" si="9"/>
        <v>FE</v>
      </c>
    </row>
    <row r="51" spans="1:61" x14ac:dyDescent="0.2">
      <c r="A51" s="303" t="s">
        <v>39</v>
      </c>
      <c r="B51" s="304" t="s">
        <v>49</v>
      </c>
      <c r="C51" s="304">
        <v>17</v>
      </c>
      <c r="D51" s="304" t="s">
        <v>302</v>
      </c>
      <c r="E51" s="305" t="str">
        <f t="shared" ca="1" si="0"/>
        <v>D</v>
      </c>
      <c r="F51" s="306"/>
      <c r="G51" s="307">
        <f t="shared" ca="1" si="1"/>
        <v>30</v>
      </c>
      <c r="H51" s="250"/>
      <c r="I51" s="250"/>
      <c r="J51" s="262"/>
      <c r="K51" s="262"/>
      <c r="L51" s="235"/>
      <c r="M51" s="257"/>
      <c r="N51" s="257"/>
      <c r="AF51" s="236">
        <f t="shared" si="2"/>
        <v>1</v>
      </c>
      <c r="AG51" s="236" t="str">
        <f t="shared" ca="1" si="3"/>
        <v/>
      </c>
      <c r="AH51" s="236" t="str">
        <f t="shared" ca="1" si="19"/>
        <v/>
      </c>
      <c r="AJ51" s="236">
        <f t="shared" ca="1" si="4"/>
        <v>51</v>
      </c>
      <c r="AK51" s="236" t="str">
        <f t="shared" ca="1" si="20"/>
        <v>BBB-</v>
      </c>
      <c r="AL51" s="236">
        <f t="shared" ca="1" si="20"/>
        <v>17</v>
      </c>
      <c r="AM51" s="236" t="str">
        <f t="shared" ca="1" si="5"/>
        <v/>
      </c>
      <c r="AQ51" s="286" t="s">
        <v>13</v>
      </c>
      <c r="AR51" s="286" t="s">
        <v>16</v>
      </c>
      <c r="AS51" s="286">
        <v>15</v>
      </c>
      <c r="AT51" s="286" t="s">
        <v>327</v>
      </c>
      <c r="AV51" s="234">
        <f t="shared" si="21"/>
        <v>11</v>
      </c>
      <c r="AW51" s="234">
        <f>COUNTIF( AV$7:AV51, AV51 )</f>
        <v>10</v>
      </c>
      <c r="AX51" s="287">
        <f t="shared" si="22"/>
        <v>12</v>
      </c>
      <c r="AY51" s="234">
        <f t="shared" si="23"/>
        <v>20</v>
      </c>
      <c r="AZ51" s="236"/>
      <c r="BA51" s="236"/>
      <c r="BC51" s="234">
        <f t="shared" ca="1" si="24"/>
        <v>45</v>
      </c>
      <c r="BD51" s="288">
        <f t="shared" ca="1" si="7"/>
        <v>23</v>
      </c>
      <c r="BF51" s="240" t="str">
        <f t="shared" ca="1" si="25"/>
        <v>Hawaiian Electric Industries, Inc.</v>
      </c>
      <c r="BG51" s="240" t="str">
        <f t="shared" ca="1" si="9"/>
        <v>BBB-</v>
      </c>
      <c r="BH51" s="240">
        <f t="shared" ca="1" si="9"/>
        <v>13</v>
      </c>
      <c r="BI51" s="240" t="str">
        <f t="shared" ca="1" si="9"/>
        <v>HE</v>
      </c>
    </row>
    <row r="52" spans="1:61" x14ac:dyDescent="0.2">
      <c r="A52" s="303" t="s">
        <v>58</v>
      </c>
      <c r="B52" s="304" t="s">
        <v>49</v>
      </c>
      <c r="C52" s="304">
        <v>17</v>
      </c>
      <c r="D52" s="304" t="s">
        <v>446</v>
      </c>
      <c r="E52" s="305" t="str">
        <f t="shared" ca="1" si="0"/>
        <v>R</v>
      </c>
      <c r="F52" s="306"/>
      <c r="G52" s="307">
        <f t="shared" ca="1" si="1"/>
        <v>66</v>
      </c>
      <c r="H52" s="250"/>
      <c r="I52" s="250"/>
      <c r="J52" s="262"/>
      <c r="K52" s="262"/>
      <c r="AF52" s="236">
        <f t="shared" si="2"/>
        <v>1</v>
      </c>
      <c r="AG52" s="236" t="str">
        <f t="shared" ca="1" si="3"/>
        <v/>
      </c>
      <c r="AH52" s="236" t="str">
        <f t="shared" ca="1" si="19"/>
        <v/>
      </c>
      <c r="AJ52" s="236">
        <f t="shared" ca="1" si="4"/>
        <v>52</v>
      </c>
      <c r="AK52" s="236" t="str">
        <f t="shared" ca="1" si="20"/>
        <v>BBB-</v>
      </c>
      <c r="AL52" s="236">
        <f t="shared" ca="1" si="20"/>
        <v>17</v>
      </c>
      <c r="AM52" s="236" t="str">
        <f t="shared" ca="1" si="5"/>
        <v/>
      </c>
      <c r="AQ52" s="286" t="s">
        <v>25</v>
      </c>
      <c r="AR52" s="286" t="s">
        <v>16</v>
      </c>
      <c r="AS52" s="286">
        <v>15</v>
      </c>
      <c r="AT52" s="286" t="s">
        <v>329</v>
      </c>
      <c r="AV52" s="234">
        <f t="shared" si="21"/>
        <v>11</v>
      </c>
      <c r="AW52" s="234">
        <f>COUNTIF( AV$7:AV52, AV52 )</f>
        <v>11</v>
      </c>
      <c r="AX52" s="287">
        <f t="shared" si="22"/>
        <v>12.1</v>
      </c>
      <c r="AY52" s="234">
        <f t="shared" si="23"/>
        <v>21</v>
      </c>
      <c r="AZ52" s="236"/>
      <c r="BA52" s="236"/>
      <c r="BC52" s="234">
        <f t="shared" ca="1" si="24"/>
        <v>46</v>
      </c>
      <c r="BD52" s="288">
        <f t="shared" ca="1" si="7"/>
        <v>27</v>
      </c>
      <c r="BF52" s="240" t="str">
        <f t="shared" ca="1" si="25"/>
        <v>IPALCO Enterprises, Inc.</v>
      </c>
      <c r="BG52" s="240" t="str">
        <f t="shared" ca="1" si="9"/>
        <v>BBB-</v>
      </c>
      <c r="BH52" s="240">
        <f t="shared" ca="1" si="9"/>
        <v>13</v>
      </c>
      <c r="BI52" s="240" t="str">
        <f t="shared" ca="1" si="9"/>
        <v>**IPALCO</v>
      </c>
    </row>
    <row r="53" spans="1:61" x14ac:dyDescent="0.2">
      <c r="A53" s="303" t="s">
        <v>40</v>
      </c>
      <c r="B53" s="304" t="s">
        <v>49</v>
      </c>
      <c r="C53" s="304">
        <v>17</v>
      </c>
      <c r="D53" s="304" t="s">
        <v>311</v>
      </c>
      <c r="E53" s="305" t="str">
        <f t="shared" ca="1" si="0"/>
        <v>MR</v>
      </c>
      <c r="F53" s="306"/>
      <c r="G53" s="307">
        <f t="shared" ca="1" si="1"/>
        <v>36</v>
      </c>
      <c r="H53" s="250"/>
      <c r="I53" s="250"/>
      <c r="J53" s="262"/>
      <c r="K53" s="262"/>
      <c r="AF53" s="236">
        <f t="shared" si="2"/>
        <v>1</v>
      </c>
      <c r="AG53" s="236" t="str">
        <f t="shared" ca="1" si="3"/>
        <v/>
      </c>
      <c r="AH53" s="236" t="str">
        <f t="shared" ca="1" si="19"/>
        <v/>
      </c>
      <c r="AJ53" s="236">
        <f t="shared" ca="1" si="4"/>
        <v>53</v>
      </c>
      <c r="AK53" s="236" t="str">
        <f t="shared" ca="1" si="20"/>
        <v>BBB-</v>
      </c>
      <c r="AL53" s="236">
        <f t="shared" ca="1" si="20"/>
        <v>17</v>
      </c>
      <c r="AM53" s="236" t="str">
        <f t="shared" ca="1" si="5"/>
        <v/>
      </c>
      <c r="AQ53" s="286" t="s">
        <v>7</v>
      </c>
      <c r="AR53" s="286" t="s">
        <v>2</v>
      </c>
      <c r="AS53" s="286">
        <v>17</v>
      </c>
      <c r="AT53" s="286" t="s">
        <v>328</v>
      </c>
      <c r="AV53" s="234">
        <f t="shared" si="21"/>
        <v>1</v>
      </c>
      <c r="AW53" s="234">
        <f>COUNTIF( AV$7:AV53, AV53 )</f>
        <v>1</v>
      </c>
      <c r="AX53" s="287">
        <f t="shared" si="22"/>
        <v>1.1000000000000001</v>
      </c>
      <c r="AY53" s="234">
        <f t="shared" si="23"/>
        <v>1</v>
      </c>
      <c r="AZ53" s="236"/>
      <c r="BA53" s="236"/>
      <c r="BC53" s="234">
        <f t="shared" ca="1" si="24"/>
        <v>47</v>
      </c>
      <c r="BD53" s="288">
        <f t="shared" ca="1" si="7"/>
        <v>31</v>
      </c>
      <c r="BF53" s="240" t="str">
        <f t="shared" ca="1" si="25"/>
        <v>NiSource Inc.</v>
      </c>
      <c r="BG53" s="240" t="str">
        <f t="shared" ca="1" si="9"/>
        <v>BBB-</v>
      </c>
      <c r="BH53" s="240">
        <f t="shared" ca="1" si="9"/>
        <v>13</v>
      </c>
      <c r="BI53" s="240" t="str">
        <f t="shared" ca="1" si="9"/>
        <v>NI</v>
      </c>
    </row>
    <row r="54" spans="1:61" x14ac:dyDescent="0.2">
      <c r="A54" s="303" t="s">
        <v>266</v>
      </c>
      <c r="B54" s="304" t="s">
        <v>49</v>
      </c>
      <c r="C54" s="304">
        <v>17</v>
      </c>
      <c r="D54" s="304" t="s">
        <v>314</v>
      </c>
      <c r="E54" s="305" t="str">
        <f t="shared" ca="1" si="0"/>
        <v>R</v>
      </c>
      <c r="F54" s="306"/>
      <c r="G54" s="307">
        <f t="shared" ca="1" si="1"/>
        <v>40</v>
      </c>
      <c r="H54" s="250"/>
      <c r="I54" s="250"/>
      <c r="J54" s="262"/>
      <c r="K54" s="262"/>
      <c r="AF54" s="236">
        <f t="shared" si="2"/>
        <v>1</v>
      </c>
      <c r="AG54" s="236">
        <f t="shared" ca="1" si="3"/>
        <v>1</v>
      </c>
      <c r="AH54" s="236" t="str">
        <f t="shared" ca="1" si="19"/>
        <v/>
      </c>
      <c r="AJ54" s="236">
        <f t="shared" ca="1" si="4"/>
        <v>56</v>
      </c>
      <c r="AK54" s="236" t="str">
        <f t="shared" ca="1" si="20"/>
        <v>BB+</v>
      </c>
      <c r="AL54" s="236">
        <f t="shared" ca="1" si="20"/>
        <v>16</v>
      </c>
      <c r="AM54" s="236" t="str">
        <f t="shared" ca="1" si="5"/>
        <v>Change</v>
      </c>
      <c r="AQ54" s="286" t="s">
        <v>62</v>
      </c>
      <c r="AR54" s="286" t="s">
        <v>16</v>
      </c>
      <c r="AS54" s="286">
        <v>15</v>
      </c>
      <c r="AT54" s="286" t="s">
        <v>330</v>
      </c>
      <c r="AV54" s="234">
        <f t="shared" si="21"/>
        <v>11</v>
      </c>
      <c r="AW54" s="234">
        <f>COUNTIF( AV$7:AV54, AV54 )</f>
        <v>12</v>
      </c>
      <c r="AX54" s="287">
        <f t="shared" si="22"/>
        <v>12.2</v>
      </c>
      <c r="AY54" s="234">
        <f t="shared" si="23"/>
        <v>22</v>
      </c>
      <c r="AZ54" s="236"/>
      <c r="BA54" s="236"/>
      <c r="BC54" s="234">
        <f t="shared" ca="1" si="24"/>
        <v>48</v>
      </c>
      <c r="BD54" s="288">
        <f t="shared" ca="1" si="7"/>
        <v>34</v>
      </c>
      <c r="BF54" s="240" t="str">
        <f t="shared" ca="1" si="25"/>
        <v>NV Energy, Inc.</v>
      </c>
      <c r="BG54" s="240" t="str">
        <f t="shared" ca="1" si="9"/>
        <v>BBB-</v>
      </c>
      <c r="BH54" s="240">
        <f t="shared" ca="1" si="9"/>
        <v>13</v>
      </c>
      <c r="BI54" s="240" t="str">
        <f t="shared" ca="1" si="9"/>
        <v>NVE</v>
      </c>
    </row>
    <row r="55" spans="1:61" x14ac:dyDescent="0.2">
      <c r="A55" s="303" t="s">
        <v>22</v>
      </c>
      <c r="B55" s="304" t="s">
        <v>49</v>
      </c>
      <c r="C55" s="304">
        <v>17</v>
      </c>
      <c r="D55" s="304" t="s">
        <v>317</v>
      </c>
      <c r="E55" s="305" t="str">
        <f t="shared" ca="1" si="0"/>
        <v>MR</v>
      </c>
      <c r="F55" s="306"/>
      <c r="G55" s="307">
        <f t="shared" ca="1" si="1"/>
        <v>42</v>
      </c>
      <c r="H55" s="250"/>
      <c r="I55" s="250"/>
      <c r="J55" s="262"/>
      <c r="K55" s="262"/>
      <c r="AF55" s="236">
        <f t="shared" si="2"/>
        <v>1</v>
      </c>
      <c r="AG55" s="236" t="str">
        <f t="shared" ca="1" si="3"/>
        <v/>
      </c>
      <c r="AH55" s="236" t="str">
        <f t="shared" ca="1" si="19"/>
        <v/>
      </c>
      <c r="AJ55" s="236">
        <f t="shared" ca="1" si="4"/>
        <v>54</v>
      </c>
      <c r="AK55" s="236" t="str">
        <f t="shared" ca="1" si="20"/>
        <v>BBB-</v>
      </c>
      <c r="AL55" s="236">
        <f t="shared" ca="1" si="20"/>
        <v>17</v>
      </c>
      <c r="AM55" s="236" t="str">
        <f t="shared" ca="1" si="5"/>
        <v/>
      </c>
      <c r="AQ55" s="286" t="s">
        <v>75</v>
      </c>
      <c r="AR55" s="286" t="s">
        <v>28</v>
      </c>
      <c r="AS55" s="286">
        <v>14</v>
      </c>
      <c r="AT55" s="286" t="s">
        <v>332</v>
      </c>
      <c r="AV55" s="234">
        <f t="shared" si="21"/>
        <v>23</v>
      </c>
      <c r="AW55" s="234">
        <f>COUNTIF( AV$7:AV55, AV55 )</f>
        <v>18</v>
      </c>
      <c r="AX55" s="287">
        <f t="shared" si="22"/>
        <v>24.8</v>
      </c>
      <c r="AY55" s="234">
        <f t="shared" si="23"/>
        <v>40</v>
      </c>
      <c r="AZ55" s="236"/>
      <c r="BA55" s="236"/>
      <c r="BC55" s="234">
        <f t="shared" ca="1" si="24"/>
        <v>49</v>
      </c>
      <c r="BD55" s="288">
        <f t="shared" ca="1" si="7"/>
        <v>36</v>
      </c>
      <c r="BF55" s="240" t="str">
        <f t="shared" ca="1" si="25"/>
        <v>Otter Tail Corporation</v>
      </c>
      <c r="BG55" s="240" t="str">
        <f t="shared" ca="1" si="9"/>
        <v>BBB-</v>
      </c>
      <c r="BH55" s="240">
        <f t="shared" ca="1" si="9"/>
        <v>13</v>
      </c>
      <c r="BI55" s="240" t="str">
        <f t="shared" ca="1" si="9"/>
        <v>OTTR</v>
      </c>
    </row>
    <row r="56" spans="1:61" x14ac:dyDescent="0.2">
      <c r="A56" s="303" t="s">
        <v>42</v>
      </c>
      <c r="B56" s="304" t="s">
        <v>49</v>
      </c>
      <c r="C56" s="304">
        <v>17</v>
      </c>
      <c r="D56" s="304" t="s">
        <v>321</v>
      </c>
      <c r="E56" s="305" t="str">
        <f t="shared" ca="1" si="0"/>
        <v>R</v>
      </c>
      <c r="F56" s="306"/>
      <c r="G56" s="307">
        <f t="shared" ca="1" si="1"/>
        <v>46</v>
      </c>
      <c r="H56" s="250"/>
      <c r="I56" s="250"/>
      <c r="J56" s="262"/>
      <c r="K56" s="262"/>
      <c r="AF56" s="236">
        <f t="shared" si="2"/>
        <v>1</v>
      </c>
      <c r="AG56" s="236" t="str">
        <f t="shared" ca="1" si="3"/>
        <v/>
      </c>
      <c r="AH56" s="236" t="str">
        <f t="shared" ca="1" si="19"/>
        <v/>
      </c>
      <c r="AJ56" s="236">
        <f t="shared" ca="1" si="4"/>
        <v>55</v>
      </c>
      <c r="AK56" s="236" t="str">
        <f t="shared" ca="1" si="20"/>
        <v>BBB-</v>
      </c>
      <c r="AL56" s="236">
        <f t="shared" ca="1" si="20"/>
        <v>17</v>
      </c>
      <c r="AM56" s="236" t="str">
        <f t="shared" ca="1" si="5"/>
        <v/>
      </c>
      <c r="AQ56" s="286" t="s">
        <v>14</v>
      </c>
      <c r="AR56" s="286" t="s">
        <v>10</v>
      </c>
      <c r="AS56" s="286">
        <v>16</v>
      </c>
      <c r="AT56" s="286" t="s">
        <v>335</v>
      </c>
      <c r="AV56" s="234">
        <f t="shared" si="21"/>
        <v>2</v>
      </c>
      <c r="AW56" s="234">
        <f>COUNTIF( AV$7:AV56, AV56 )</f>
        <v>7</v>
      </c>
      <c r="AX56" s="287">
        <f t="shared" si="22"/>
        <v>2.7</v>
      </c>
      <c r="AY56" s="234">
        <f t="shared" si="23"/>
        <v>8</v>
      </c>
      <c r="AZ56" s="236"/>
      <c r="BA56" s="236"/>
      <c r="BC56" s="234">
        <f t="shared" ca="1" si="24"/>
        <v>50</v>
      </c>
      <c r="BD56" s="288">
        <f t="shared" ca="1" si="7"/>
        <v>40</v>
      </c>
      <c r="BF56" s="240" t="str">
        <f t="shared" ca="1" si="25"/>
        <v>PNM Resources, Inc.</v>
      </c>
      <c r="BG56" s="240" t="str">
        <f t="shared" ca="1" si="9"/>
        <v>BBB-</v>
      </c>
      <c r="BH56" s="240">
        <f t="shared" ca="1" si="9"/>
        <v>13</v>
      </c>
      <c r="BI56" s="240" t="str">
        <f t="shared" ca="1" si="9"/>
        <v>PNM</v>
      </c>
    </row>
    <row r="57" spans="1:61" x14ac:dyDescent="0.2">
      <c r="A57" s="303" t="s">
        <v>54</v>
      </c>
      <c r="B57" s="304" t="s">
        <v>56</v>
      </c>
      <c r="C57" s="304">
        <v>16</v>
      </c>
      <c r="D57" s="304" t="s">
        <v>449</v>
      </c>
      <c r="E57" s="305" t="str">
        <f t="shared" ca="1" si="0"/>
        <v>R</v>
      </c>
      <c r="F57" s="306"/>
      <c r="G57" s="307">
        <f t="shared" ca="1" si="1"/>
        <v>68</v>
      </c>
      <c r="H57" s="250"/>
      <c r="I57" s="250"/>
      <c r="J57" s="262"/>
      <c r="K57" s="262"/>
      <c r="AF57" s="236">
        <f t="shared" si="2"/>
        <v>0</v>
      </c>
      <c r="AG57" s="236" t="str">
        <f t="shared" ca="1" si="3"/>
        <v/>
      </c>
      <c r="AH57" s="236" t="str">
        <f t="shared" ca="1" si="19"/>
        <v/>
      </c>
      <c r="AJ57" s="236">
        <f t="shared" ca="1" si="4"/>
        <v>57</v>
      </c>
      <c r="AK57" s="236" t="str">
        <f t="shared" ca="1" si="20"/>
        <v>BB+</v>
      </c>
      <c r="AL57" s="236">
        <f t="shared" ca="1" si="20"/>
        <v>16</v>
      </c>
      <c r="AM57" s="236" t="str">
        <f t="shared" ca="1" si="5"/>
        <v/>
      </c>
      <c r="AQ57" s="286" t="s">
        <v>59</v>
      </c>
      <c r="AR57" s="286" t="s">
        <v>28</v>
      </c>
      <c r="AS57" s="286">
        <v>14</v>
      </c>
      <c r="AT57" s="286" t="s">
        <v>337</v>
      </c>
      <c r="AV57" s="234">
        <f t="shared" si="21"/>
        <v>23</v>
      </c>
      <c r="AW57" s="234">
        <f>COUNTIF( AV$7:AV57, AV57 )</f>
        <v>19</v>
      </c>
      <c r="AX57" s="287">
        <f t="shared" si="22"/>
        <v>24.9</v>
      </c>
      <c r="AY57" s="234">
        <f t="shared" si="23"/>
        <v>41</v>
      </c>
      <c r="AZ57" s="236"/>
      <c r="BA57" s="236"/>
      <c r="BC57" s="234">
        <f t="shared" ca="1" si="24"/>
        <v>51</v>
      </c>
      <c r="BD57" s="288">
        <f t="shared" ca="1" si="7"/>
        <v>44</v>
      </c>
      <c r="BF57" s="240" t="str">
        <f t="shared" ca="1" si="25"/>
        <v>Puget Energy, Inc.</v>
      </c>
      <c r="BG57" s="240" t="str">
        <f t="shared" ca="1" si="9"/>
        <v>BB+</v>
      </c>
      <c r="BH57" s="240">
        <f t="shared" ca="1" si="9"/>
        <v>12</v>
      </c>
      <c r="BI57" s="240" t="str">
        <f t="shared" ca="1" si="9"/>
        <v>**PSD</v>
      </c>
    </row>
    <row r="58" spans="1:61" x14ac:dyDescent="0.2">
      <c r="A58" s="303" t="s">
        <v>64</v>
      </c>
      <c r="B58" s="304" t="s">
        <v>61</v>
      </c>
      <c r="C58" s="304">
        <v>15</v>
      </c>
      <c r="D58" s="304" t="s">
        <v>443</v>
      </c>
      <c r="E58" s="305" t="str">
        <f t="shared" ca="1" si="0"/>
        <v>R</v>
      </c>
      <c r="F58" s="306"/>
      <c r="G58" s="307">
        <f t="shared" ca="1" si="1"/>
        <v>64</v>
      </c>
      <c r="H58" s="250"/>
      <c r="I58" s="250"/>
      <c r="J58" s="262"/>
      <c r="K58" s="262"/>
      <c r="AF58" s="236">
        <f t="shared" si="2"/>
        <v>1</v>
      </c>
      <c r="AG58" s="236" t="str">
        <f t="shared" ca="1" si="3"/>
        <v/>
      </c>
      <c r="AH58" s="236" t="str">
        <f t="shared" ca="1" si="19"/>
        <v/>
      </c>
      <c r="AJ58" s="236">
        <f t="shared" ca="1" si="4"/>
        <v>58</v>
      </c>
      <c r="AK58" s="236" t="str">
        <f t="shared" ca="1" si="20"/>
        <v>BB</v>
      </c>
      <c r="AL58" s="236">
        <f t="shared" ca="1" si="20"/>
        <v>15</v>
      </c>
      <c r="AM58" s="236" t="str">
        <f t="shared" ca="1" si="5"/>
        <v/>
      </c>
      <c r="AQ58" s="286" t="s">
        <v>26</v>
      </c>
      <c r="AR58" s="286" t="s">
        <v>10</v>
      </c>
      <c r="AS58" s="286">
        <v>16</v>
      </c>
      <c r="AT58" s="286" t="s">
        <v>336</v>
      </c>
      <c r="AV58" s="234">
        <f t="shared" si="21"/>
        <v>2</v>
      </c>
      <c r="AW58" s="234">
        <f>COUNTIF( AV$7:AV58, AV58 )</f>
        <v>8</v>
      </c>
      <c r="AX58" s="287">
        <f t="shared" si="22"/>
        <v>2.8</v>
      </c>
      <c r="AY58" s="234">
        <f t="shared" si="23"/>
        <v>9</v>
      </c>
      <c r="AZ58" s="236"/>
      <c r="BA58" s="236"/>
      <c r="BC58" s="234">
        <f t="shared" ca="1" si="24"/>
        <v>52</v>
      </c>
      <c r="BD58" s="288">
        <f t="shared" ca="1" si="7"/>
        <v>12</v>
      </c>
      <c r="BF58" s="240" t="str">
        <f t="shared" ca="1" si="25"/>
        <v>DPL Inc.</v>
      </c>
      <c r="BG58" s="240" t="str">
        <f t="shared" ca="1" si="9"/>
        <v>BB</v>
      </c>
      <c r="BH58" s="240">
        <f t="shared" ca="1" si="9"/>
        <v>11</v>
      </c>
      <c r="BI58" s="240" t="str">
        <f t="shared" ca="1" si="9"/>
        <v>**DPL</v>
      </c>
    </row>
    <row r="59" spans="1:61" x14ac:dyDescent="0.2">
      <c r="A59" s="303" t="s">
        <v>249</v>
      </c>
      <c r="B59" s="304" t="s">
        <v>125</v>
      </c>
      <c r="C59" s="304">
        <v>9</v>
      </c>
      <c r="D59" s="304" t="s">
        <v>445</v>
      </c>
      <c r="E59" s="305" t="str">
        <f t="shared" ca="1" si="0"/>
        <v>D</v>
      </c>
      <c r="F59" s="306"/>
      <c r="G59" s="307">
        <f t="shared" ca="1" si="1"/>
        <v>65</v>
      </c>
      <c r="H59" s="250"/>
      <c r="I59" s="250"/>
      <c r="J59" s="262"/>
      <c r="K59" s="262"/>
      <c r="AF59" s="236">
        <f t="shared" si="2"/>
        <v>0</v>
      </c>
      <c r="AG59" s="236">
        <f t="shared" ca="1" si="3"/>
        <v>1</v>
      </c>
      <c r="AH59" s="236" t="str">
        <f t="shared" ca="1" si="19"/>
        <v/>
      </c>
      <c r="AJ59" s="236">
        <f t="shared" ca="1" si="4"/>
        <v>59</v>
      </c>
      <c r="AK59" s="236" t="str">
        <f t="shared" ca="1" si="20"/>
        <v>SD</v>
      </c>
      <c r="AL59" s="236">
        <f t="shared" ca="1" si="20"/>
        <v>2</v>
      </c>
      <c r="AM59" s="236" t="str">
        <f t="shared" ca="1" si="5"/>
        <v>Change</v>
      </c>
      <c r="AQ59" s="286" t="s">
        <v>258</v>
      </c>
      <c r="AR59" s="286" t="s">
        <v>10</v>
      </c>
      <c r="AS59" s="286">
        <v>16</v>
      </c>
      <c r="AT59" s="286" t="s">
        <v>338</v>
      </c>
      <c r="AV59" s="234">
        <f t="shared" si="21"/>
        <v>2</v>
      </c>
      <c r="AW59" s="234">
        <f>COUNTIF( AV$7:AV59, AV59 )</f>
        <v>9</v>
      </c>
      <c r="AX59" s="287">
        <f t="shared" si="22"/>
        <v>2.9</v>
      </c>
      <c r="AY59" s="234">
        <f t="shared" si="23"/>
        <v>10</v>
      </c>
      <c r="AZ59" s="236"/>
      <c r="BA59" s="236"/>
      <c r="BC59" s="234">
        <f t="shared" ca="1" si="24"/>
        <v>53</v>
      </c>
      <c r="BD59" s="288">
        <f t="shared" ca="1" si="7"/>
        <v>18</v>
      </c>
      <c r="BF59" s="240" t="str">
        <f t="shared" ca="1" si="25"/>
        <v>Energy Future Holdings Corp.</v>
      </c>
      <c r="BG59" s="240" t="str">
        <f t="shared" ca="1" si="9"/>
        <v>CCC</v>
      </c>
      <c r="BH59" s="240">
        <f t="shared" ca="1" si="9"/>
        <v>5</v>
      </c>
      <c r="BI59" s="240" t="str">
        <f t="shared" ca="1" si="9"/>
        <v>**EFH</v>
      </c>
    </row>
    <row r="60" spans="1:61" x14ac:dyDescent="0.2">
      <c r="A60" s="247"/>
      <c r="B60" s="248"/>
      <c r="C60" s="248"/>
      <c r="D60" s="248"/>
      <c r="E60" s="249"/>
      <c r="F60" s="250"/>
      <c r="G60" s="251" t="str">
        <f t="shared" ca="1" si="1"/>
        <v/>
      </c>
      <c r="H60" s="250"/>
      <c r="I60" s="250"/>
      <c r="AF60" s="236">
        <f t="shared" si="2"/>
        <v>0</v>
      </c>
      <c r="AG60" s="236" t="str">
        <f t="shared" si="3"/>
        <v/>
      </c>
      <c r="AH60" s="236" t="str">
        <f t="shared" si="19"/>
        <v/>
      </c>
      <c r="AJ60" s="236" t="e">
        <f t="shared" ca="1" si="4"/>
        <v>#N/A</v>
      </c>
      <c r="AK60" s="236" t="str">
        <f t="shared" ca="1" si="20"/>
        <v/>
      </c>
      <c r="AL60" s="236" t="str">
        <f t="shared" ca="1" si="20"/>
        <v/>
      </c>
      <c r="AM60" s="236" t="str">
        <f t="shared" ca="1" si="5"/>
        <v/>
      </c>
      <c r="AQ60" s="286"/>
      <c r="AR60" s="286"/>
      <c r="AS60" s="286"/>
      <c r="AT60" s="286"/>
      <c r="AV60" s="234">
        <f t="shared" si="21"/>
        <v>99</v>
      </c>
      <c r="AW60" s="234">
        <f>COUNTIF( AV$7:AV60, AV60 )</f>
        <v>1</v>
      </c>
      <c r="AX60" s="287">
        <f t="shared" si="22"/>
        <v>99.1</v>
      </c>
      <c r="AY60" s="234">
        <f t="shared" si="23"/>
        <v>54</v>
      </c>
      <c r="AZ60" s="236"/>
      <c r="BA60" s="236"/>
      <c r="BC60" s="234">
        <f t="shared" ca="1" si="24"/>
        <v>54</v>
      </c>
      <c r="BD60" s="288">
        <f t="shared" ca="1" si="7"/>
        <v>54</v>
      </c>
      <c r="BF60" s="240">
        <f t="shared" ca="1" si="25"/>
        <v>0</v>
      </c>
      <c r="BG60" s="240">
        <f t="shared" ca="1" si="9"/>
        <v>0</v>
      </c>
      <c r="BH60" s="240">
        <f t="shared" ca="1" si="9"/>
        <v>0</v>
      </c>
      <c r="BI60" s="240">
        <f t="shared" ca="1" si="9"/>
        <v>0</v>
      </c>
    </row>
    <row r="61" spans="1:61" ht="13.5" thickBot="1" x14ac:dyDescent="0.25">
      <c r="A61" s="265"/>
      <c r="B61" s="266"/>
      <c r="C61" s="266"/>
      <c r="D61" s="266"/>
      <c r="E61" s="267"/>
      <c r="F61" s="250"/>
      <c r="G61" s="251" t="str">
        <f t="shared" ca="1" si="1"/>
        <v/>
      </c>
      <c r="H61" s="250"/>
      <c r="I61" s="250"/>
      <c r="AF61" s="236">
        <f t="shared" si="2"/>
        <v>0</v>
      </c>
      <c r="AG61" s="236" t="str">
        <f t="shared" si="3"/>
        <v/>
      </c>
      <c r="AH61" s="236" t="str">
        <f t="shared" si="19"/>
        <v/>
      </c>
      <c r="AJ61" s="236" t="e">
        <f t="shared" ca="1" si="4"/>
        <v>#N/A</v>
      </c>
      <c r="AK61" s="236" t="str">
        <f t="shared" ca="1" si="20"/>
        <v/>
      </c>
      <c r="AL61" s="236" t="str">
        <f t="shared" ca="1" si="20"/>
        <v/>
      </c>
      <c r="AM61" s="236" t="str">
        <f t="shared" ca="1" si="5"/>
        <v/>
      </c>
      <c r="AQ61" s="286"/>
      <c r="AR61" s="286"/>
      <c r="AS61" s="286"/>
      <c r="AT61" s="286"/>
      <c r="AV61" s="234">
        <f t="shared" si="21"/>
        <v>99</v>
      </c>
      <c r="AW61" s="234">
        <f>COUNTIF( AV$7:AV61, AV61 )</f>
        <v>2</v>
      </c>
      <c r="AX61" s="287">
        <f t="shared" si="22"/>
        <v>99.2</v>
      </c>
      <c r="AY61" s="234">
        <f t="shared" si="23"/>
        <v>55</v>
      </c>
      <c r="AZ61" s="236"/>
      <c r="BA61" s="236"/>
      <c r="BC61" s="234">
        <f t="shared" ca="1" si="24"/>
        <v>55</v>
      </c>
      <c r="BD61" s="288">
        <f t="shared" ca="1" si="7"/>
        <v>55</v>
      </c>
      <c r="BF61" s="240">
        <f t="shared" ca="1" si="25"/>
        <v>0</v>
      </c>
      <c r="BG61" s="240">
        <f t="shared" ca="1" si="9"/>
        <v>0</v>
      </c>
      <c r="BH61" s="240">
        <f t="shared" ca="1" si="9"/>
        <v>0</v>
      </c>
      <c r="BI61" s="240">
        <f t="shared" ca="1" si="9"/>
        <v>0</v>
      </c>
    </row>
    <row r="62" spans="1:61" x14ac:dyDescent="0.2">
      <c r="A62" s="308" t="s">
        <v>474</v>
      </c>
      <c r="B62" s="309" t="s">
        <v>108</v>
      </c>
      <c r="C62" s="309">
        <v>23</v>
      </c>
      <c r="D62" s="309" t="s">
        <v>440</v>
      </c>
      <c r="E62" s="310" t="str">
        <f ca="1">OFFSET( INDIRECT( E$3 &amp; E$4 ), $G62 - 1, 0 )</f>
        <v>MR</v>
      </c>
      <c r="F62" s="311"/>
      <c r="G62" s="312">
        <f t="shared" ca="1" si="1"/>
        <v>34</v>
      </c>
      <c r="H62" s="250"/>
      <c r="I62" s="250"/>
      <c r="AF62" s="236">
        <f t="shared" si="2"/>
        <v>1</v>
      </c>
      <c r="AG62" s="236" t="str">
        <f t="shared" ca="1" si="3"/>
        <v/>
      </c>
      <c r="AH62" s="236" t="str">
        <f t="shared" ca="1" si="19"/>
        <v/>
      </c>
      <c r="AJ62" s="236">
        <f t="shared" ca="1" si="4"/>
        <v>62</v>
      </c>
      <c r="AK62" s="236" t="str">
        <f t="shared" ca="1" si="20"/>
        <v>AA-</v>
      </c>
      <c r="AL62" s="236">
        <f t="shared" ca="1" si="20"/>
        <v>23</v>
      </c>
      <c r="AM62" s="236" t="str">
        <f t="shared" ca="1" si="5"/>
        <v/>
      </c>
      <c r="AQ62" s="286"/>
      <c r="AR62" s="286"/>
      <c r="AS62" s="286"/>
      <c r="AT62" s="286"/>
      <c r="AV62" s="234">
        <f t="shared" si="21"/>
        <v>99</v>
      </c>
      <c r="AW62" s="234">
        <f>COUNTIF( AV$7:AV62, AV62 )</f>
        <v>3</v>
      </c>
      <c r="AX62" s="287">
        <f t="shared" si="22"/>
        <v>99.3</v>
      </c>
      <c r="AY62" s="234">
        <f t="shared" si="23"/>
        <v>56</v>
      </c>
      <c r="AZ62" s="236"/>
      <c r="BA62" s="236"/>
      <c r="BC62" s="234">
        <f t="shared" ca="1" si="24"/>
        <v>56</v>
      </c>
      <c r="BD62" s="288">
        <f t="shared" ca="1" si="7"/>
        <v>56</v>
      </c>
      <c r="BF62" s="240">
        <f t="shared" ca="1" si="25"/>
        <v>0</v>
      </c>
      <c r="BG62" s="240">
        <f t="shared" ca="1" si="9"/>
        <v>0</v>
      </c>
      <c r="BH62" s="240">
        <f t="shared" ca="1" si="9"/>
        <v>0</v>
      </c>
      <c r="BI62" s="240">
        <f t="shared" ca="1" si="9"/>
        <v>0</v>
      </c>
    </row>
    <row r="63" spans="1:61" x14ac:dyDescent="0.2">
      <c r="A63" s="303" t="s">
        <v>475</v>
      </c>
      <c r="B63" s="304" t="s">
        <v>2</v>
      </c>
      <c r="C63" s="304">
        <v>21</v>
      </c>
      <c r="D63" s="304" t="s">
        <v>441</v>
      </c>
      <c r="E63" s="305" t="str">
        <f ca="1">OFFSET( INDIRECT( E$3 &amp; E$4 ), $G63 - 1, 0 )</f>
        <v>R</v>
      </c>
      <c r="F63" s="306"/>
      <c r="G63" s="307">
        <f t="shared" ca="1" si="1"/>
        <v>15</v>
      </c>
      <c r="H63" s="250"/>
      <c r="I63" s="250"/>
      <c r="AF63" s="236">
        <f t="shared" si="2"/>
        <v>0</v>
      </c>
      <c r="AG63" s="236" t="str">
        <f t="shared" ca="1" si="3"/>
        <v/>
      </c>
      <c r="AH63" s="236" t="str">
        <f t="shared" ca="1" si="19"/>
        <v/>
      </c>
      <c r="AJ63" s="236">
        <f t="shared" ca="1" si="4"/>
        <v>63</v>
      </c>
      <c r="AK63" s="236" t="str">
        <f t="shared" ca="1" si="20"/>
        <v>A</v>
      </c>
      <c r="AL63" s="236">
        <f t="shared" ca="1" si="20"/>
        <v>21</v>
      </c>
      <c r="AM63" s="236" t="str">
        <f t="shared" ca="1" si="5"/>
        <v/>
      </c>
      <c r="AQ63" s="286"/>
      <c r="AR63" s="286"/>
      <c r="AS63" s="286"/>
      <c r="AT63" s="286"/>
      <c r="AU63" s="286"/>
      <c r="AV63" s="234">
        <f t="shared" si="21"/>
        <v>99</v>
      </c>
      <c r="AW63" s="234">
        <f>COUNTIF( AV$7:AV63, AV63 )</f>
        <v>4</v>
      </c>
      <c r="AX63" s="287">
        <f t="shared" si="22"/>
        <v>99.4</v>
      </c>
      <c r="AY63" s="234">
        <f t="shared" si="23"/>
        <v>57</v>
      </c>
      <c r="AZ63" s="236"/>
      <c r="BA63" s="236"/>
      <c r="BC63" s="234">
        <f t="shared" ca="1" si="24"/>
        <v>57</v>
      </c>
      <c r="BD63" s="288">
        <f ca="1">MATCH( BC63, $AY$7:$AY$63, 0 )</f>
        <v>57</v>
      </c>
      <c r="BF63" s="240">
        <f t="shared" ca="1" si="25"/>
        <v>0</v>
      </c>
      <c r="BG63" s="240">
        <f t="shared" ref="BG63:BI63" ca="1" si="26">OFFSET( AR$6, $BD63, 0 )</f>
        <v>0</v>
      </c>
      <c r="BH63" s="240">
        <f t="shared" ca="1" si="26"/>
        <v>0</v>
      </c>
      <c r="BI63" s="240">
        <f t="shared" ca="1" si="26"/>
        <v>0</v>
      </c>
    </row>
    <row r="64" spans="1:61" x14ac:dyDescent="0.2">
      <c r="A64" s="303" t="s">
        <v>476</v>
      </c>
      <c r="B64" s="304" t="s">
        <v>56</v>
      </c>
      <c r="C64" s="304">
        <v>16</v>
      </c>
      <c r="D64" s="304" t="s">
        <v>442</v>
      </c>
      <c r="E64" s="305" t="str">
        <f ca="1">OFFSET( INDIRECT( E$3 &amp; E$4 ), $G64 - 1, 0 )</f>
        <v>R</v>
      </c>
      <c r="F64" s="306"/>
      <c r="G64" s="307">
        <f t="shared" ca="1" si="1"/>
        <v>57</v>
      </c>
      <c r="H64" s="250"/>
      <c r="I64" s="250"/>
      <c r="AF64" s="236">
        <f t="shared" si="2"/>
        <v>1</v>
      </c>
      <c r="AG64" s="236" t="str">
        <f t="shared" ca="1" si="3"/>
        <v/>
      </c>
      <c r="AH64" s="236" t="str">
        <f t="shared" ca="1" si="19"/>
        <v/>
      </c>
      <c r="AJ64" s="236">
        <f t="shared" ca="1" si="4"/>
        <v>64</v>
      </c>
      <c r="AK64" s="236" t="str">
        <f t="shared" ca="1" si="20"/>
        <v>BB+</v>
      </c>
      <c r="AL64" s="236">
        <f t="shared" ca="1" si="20"/>
        <v>16</v>
      </c>
      <c r="AM64" s="236" t="str">
        <f t="shared" ca="1" si="5"/>
        <v/>
      </c>
      <c r="AQ64" s="286"/>
      <c r="AR64" s="286"/>
      <c r="AS64" s="286"/>
      <c r="AT64" s="286"/>
      <c r="AU64" s="286"/>
      <c r="AZ64" s="236"/>
      <c r="BA64" s="236"/>
      <c r="BF64" s="236"/>
    </row>
    <row r="65" spans="1:58" x14ac:dyDescent="0.2">
      <c r="A65" s="303" t="s">
        <v>477</v>
      </c>
      <c r="B65" s="313" t="s">
        <v>73</v>
      </c>
      <c r="C65" s="304" t="s">
        <v>73</v>
      </c>
      <c r="D65" s="304" t="s">
        <v>448</v>
      </c>
      <c r="E65" s="305" t="str">
        <f ca="1">OFFSET( INDIRECT( E$3 &amp; E$4 ), $G65 - 1, 0 )</f>
        <v>R</v>
      </c>
      <c r="F65" s="306"/>
      <c r="G65" s="307">
        <f t="shared" ca="1" si="1"/>
        <v>56</v>
      </c>
      <c r="H65" s="250"/>
      <c r="I65" s="250"/>
      <c r="N65" s="234" t="s">
        <v>73</v>
      </c>
      <c r="AF65" s="236">
        <f t="shared" si="2"/>
        <v>0</v>
      </c>
      <c r="AG65" s="236" t="str">
        <f>IF( LEN( $C65 ) = 0, "", IF( $C65 &gt; $AL65, 1, "" ) )</f>
        <v/>
      </c>
      <c r="AH65" s="236" t="str">
        <f t="shared" si="19"/>
        <v/>
      </c>
      <c r="AJ65" s="236">
        <f t="shared" ca="1" si="4"/>
        <v>65</v>
      </c>
      <c r="AK65" s="236">
        <f t="shared" ca="1" si="20"/>
        <v>0</v>
      </c>
      <c r="AL65" s="236">
        <f t="shared" ca="1" si="20"/>
        <v>0</v>
      </c>
      <c r="AM65" s="236" t="str">
        <f t="shared" ca="1" si="5"/>
        <v>Change</v>
      </c>
      <c r="AQ65" s="286"/>
      <c r="AR65" s="286"/>
      <c r="AS65" s="286"/>
      <c r="AT65" s="286"/>
      <c r="AU65" s="286"/>
      <c r="AZ65" s="236"/>
      <c r="BA65" s="236"/>
      <c r="BF65" s="236"/>
    </row>
    <row r="66" spans="1:58" x14ac:dyDescent="0.2">
      <c r="A66" s="268"/>
      <c r="B66" s="269"/>
      <c r="C66" s="270"/>
      <c r="D66" s="270"/>
      <c r="E66" s="249"/>
      <c r="F66" s="250"/>
      <c r="H66" s="250"/>
      <c r="I66" s="250"/>
      <c r="AF66" s="236">
        <f t="shared" si="2"/>
        <v>0</v>
      </c>
      <c r="AG66" s="236" t="str">
        <f t="shared" ref="AG66:AG67" si="27">IF( LEN( $C66 ) = 0, "", IF( $C66 &gt; $AL66, 1, "" ) )</f>
        <v/>
      </c>
      <c r="AH66" s="236" t="str">
        <f t="shared" si="19"/>
        <v/>
      </c>
      <c r="AJ66" s="236" t="e">
        <f t="shared" ca="1" si="4"/>
        <v>#N/A</v>
      </c>
      <c r="AK66" s="236" t="str">
        <f t="shared" ca="1" si="20"/>
        <v/>
      </c>
      <c r="AL66" s="236" t="str">
        <f t="shared" ca="1" si="20"/>
        <v/>
      </c>
      <c r="AM66" s="236" t="str">
        <f t="shared" ca="1" si="5"/>
        <v/>
      </c>
      <c r="AQ66" s="286" t="s">
        <v>74</v>
      </c>
      <c r="AR66" s="286" t="s">
        <v>108</v>
      </c>
      <c r="AS66" s="286">
        <v>19</v>
      </c>
      <c r="AT66" s="286" t="s">
        <v>440</v>
      </c>
      <c r="AU66" s="286"/>
      <c r="AX66" s="287"/>
      <c r="AZ66" s="236"/>
      <c r="BA66" s="236"/>
      <c r="BD66" s="288"/>
      <c r="BF66" s="236"/>
    </row>
    <row r="67" spans="1:58" ht="13.5" thickBot="1" x14ac:dyDescent="0.25">
      <c r="A67" s="271"/>
      <c r="B67" s="272"/>
      <c r="C67" s="337"/>
      <c r="D67" s="272"/>
      <c r="E67" s="273"/>
      <c r="F67" s="250"/>
      <c r="H67" s="250"/>
      <c r="I67" s="250"/>
      <c r="AF67" s="236">
        <f t="shared" si="2"/>
        <v>0</v>
      </c>
      <c r="AG67" s="236" t="str">
        <f t="shared" si="27"/>
        <v/>
      </c>
      <c r="AH67" s="236" t="str">
        <f t="shared" si="19"/>
        <v/>
      </c>
      <c r="AJ67" s="236" t="e">
        <f t="shared" ca="1" si="4"/>
        <v>#N/A</v>
      </c>
      <c r="AK67" s="236" t="str">
        <f t="shared" ca="1" si="20"/>
        <v/>
      </c>
      <c r="AL67" s="236" t="str">
        <f t="shared" ca="1" si="20"/>
        <v/>
      </c>
      <c r="AM67" s="236" t="str">
        <f t="shared" ca="1" si="5"/>
        <v/>
      </c>
      <c r="AQ67" s="286" t="s">
        <v>1</v>
      </c>
      <c r="AR67" s="286" t="s">
        <v>2</v>
      </c>
      <c r="AS67" s="286">
        <v>17</v>
      </c>
      <c r="AT67" s="286" t="s">
        <v>441</v>
      </c>
      <c r="AX67" s="287"/>
      <c r="AZ67" s="236"/>
      <c r="BA67" s="236"/>
      <c r="BD67" s="288"/>
      <c r="BF67" s="236"/>
    </row>
    <row r="68" spans="1:58" x14ac:dyDescent="0.2">
      <c r="A68" s="274" t="s">
        <v>135</v>
      </c>
      <c r="B68" s="275" t="s">
        <v>28</v>
      </c>
      <c r="C68" s="276">
        <f>AVERAGE(C7:C65)</f>
        <v>18.285714285714285</v>
      </c>
      <c r="D68" s="276"/>
      <c r="E68" s="276"/>
      <c r="F68" s="250"/>
      <c r="H68" s="250"/>
      <c r="I68" s="250"/>
      <c r="J68" s="253"/>
      <c r="K68" s="253"/>
      <c r="AQ68" s="286" t="s">
        <v>428</v>
      </c>
      <c r="AR68" s="286" t="s">
        <v>56</v>
      </c>
      <c r="AS68" s="286">
        <v>12</v>
      </c>
      <c r="AT68" s="286" t="s">
        <v>442</v>
      </c>
      <c r="AX68" s="287"/>
      <c r="AZ68" s="236"/>
      <c r="BA68" s="236"/>
      <c r="BD68" s="288"/>
      <c r="BF68" s="236"/>
    </row>
    <row r="69" spans="1:58" x14ac:dyDescent="0.2">
      <c r="A69" s="277"/>
      <c r="B69" s="278"/>
      <c r="F69" s="250"/>
      <c r="H69" s="250"/>
      <c r="I69" s="250"/>
      <c r="AQ69" s="234" t="s">
        <v>76</v>
      </c>
      <c r="AR69" s="234" t="s">
        <v>73</v>
      </c>
      <c r="AS69" s="234" t="s">
        <v>73</v>
      </c>
      <c r="AT69" s="234" t="s">
        <v>448</v>
      </c>
      <c r="AX69" s="287"/>
      <c r="AZ69" s="236"/>
      <c r="BA69" s="236"/>
      <c r="BD69" s="288"/>
      <c r="BF69" s="236"/>
    </row>
    <row r="70" spans="1:58" x14ac:dyDescent="0.2">
      <c r="A70" s="277"/>
      <c r="B70" s="278"/>
      <c r="F70" s="240"/>
      <c r="H70" s="240"/>
      <c r="I70" s="240"/>
      <c r="J70" s="253"/>
      <c r="K70" s="253"/>
    </row>
    <row r="71" spans="1:58" x14ac:dyDescent="0.2">
      <c r="A71" s="279" t="s">
        <v>267</v>
      </c>
      <c r="F71" s="240"/>
      <c r="H71" s="240"/>
      <c r="I71" s="240"/>
    </row>
    <row r="72" spans="1:58" x14ac:dyDescent="0.2">
      <c r="A72" s="279" t="s">
        <v>366</v>
      </c>
      <c r="B72" s="240"/>
      <c r="D72" s="264"/>
      <c r="E72" s="264"/>
      <c r="F72" s="280"/>
      <c r="H72" s="280"/>
      <c r="I72" s="280"/>
    </row>
    <row r="73" spans="1:58" x14ac:dyDescent="0.2">
      <c r="A73" s="281" t="s">
        <v>356</v>
      </c>
      <c r="B73" s="240"/>
      <c r="D73" s="264"/>
      <c r="E73" s="264"/>
      <c r="F73" s="280"/>
      <c r="H73" s="280"/>
      <c r="I73" s="280"/>
    </row>
    <row r="74" spans="1:58" x14ac:dyDescent="0.2">
      <c r="A74" s="281" t="s">
        <v>357</v>
      </c>
      <c r="B74" s="240"/>
      <c r="D74" s="264"/>
      <c r="E74" s="264"/>
      <c r="F74" s="280"/>
      <c r="H74" s="280"/>
      <c r="I74" s="280"/>
    </row>
    <row r="75" spans="1:58" x14ac:dyDescent="0.2">
      <c r="A75" s="281" t="s">
        <v>470</v>
      </c>
      <c r="D75" s="280"/>
      <c r="E75" s="234"/>
      <c r="F75" s="282"/>
      <c r="H75" s="282"/>
      <c r="I75" s="282"/>
    </row>
    <row r="76" spans="1:58" x14ac:dyDescent="0.2">
      <c r="A76" s="279" t="s">
        <v>359</v>
      </c>
      <c r="D76" s="280"/>
      <c r="E76" s="234"/>
      <c r="F76" s="282"/>
      <c r="H76" s="282"/>
      <c r="I76" s="282"/>
      <c r="AQ76" s="286"/>
      <c r="AR76" s="286"/>
      <c r="AS76" s="286"/>
    </row>
    <row r="77" spans="1:58" x14ac:dyDescent="0.2">
      <c r="A77" s="279"/>
      <c r="D77" s="280"/>
      <c r="E77" s="234"/>
      <c r="F77" s="282"/>
      <c r="H77" s="282"/>
      <c r="I77" s="282"/>
      <c r="AQ77" s="286"/>
      <c r="AR77" s="286"/>
      <c r="AS77" s="286"/>
    </row>
    <row r="78" spans="1:58" x14ac:dyDescent="0.2">
      <c r="A78" s="279"/>
      <c r="AQ78" s="286"/>
      <c r="AR78" s="286"/>
      <c r="AS78" s="286"/>
    </row>
    <row r="79" spans="1:58" x14ac:dyDescent="0.2">
      <c r="C79" s="339">
        <f>SUMPRODUCT( L8:L13, Y8:Y13 ) / L14</f>
        <v>18.392857142857142</v>
      </c>
      <c r="E79" s="283"/>
      <c r="G79" s="251"/>
      <c r="J79" s="240"/>
      <c r="K79" s="240"/>
      <c r="AQ79" s="286"/>
      <c r="AR79" s="286"/>
      <c r="AS79" s="286"/>
    </row>
    <row r="80" spans="1:58" s="240" customFormat="1" x14ac:dyDescent="0.2">
      <c r="A80" s="284"/>
      <c r="B80" s="285"/>
      <c r="C80" s="285"/>
      <c r="D80" s="285"/>
      <c r="E80" s="249"/>
      <c r="F80" s="234"/>
      <c r="G80" s="236"/>
      <c r="H80" s="234"/>
      <c r="I80" s="234"/>
      <c r="Q80" s="234"/>
      <c r="T80" s="236"/>
      <c r="U80" s="236"/>
      <c r="V80" s="236"/>
      <c r="AF80" s="236"/>
      <c r="AG80" s="236"/>
      <c r="AH80" s="236"/>
      <c r="AJ80" s="236"/>
      <c r="AK80" s="236"/>
      <c r="AL80" s="236"/>
      <c r="AM80" s="236"/>
      <c r="AN80" s="236"/>
      <c r="AQ80" s="286"/>
      <c r="AR80" s="286"/>
      <c r="AS80" s="286"/>
    </row>
    <row r="81" spans="43:45" x14ac:dyDescent="0.2">
      <c r="AQ81" s="286"/>
      <c r="AR81" s="286"/>
      <c r="AS81" s="286"/>
    </row>
    <row r="82" spans="43:45" x14ac:dyDescent="0.2">
      <c r="AQ82" s="286"/>
      <c r="AR82" s="286"/>
      <c r="AS82" s="286"/>
    </row>
  </sheetData>
  <sortState ref="AQ7:AT59">
    <sortCondition ref="AQ7"/>
  </sortState>
  <mergeCells count="9">
    <mergeCell ref="L16:M16"/>
    <mergeCell ref="O16:P16"/>
    <mergeCell ref="R16:S16"/>
    <mergeCell ref="U16:V16"/>
    <mergeCell ref="J5:J6"/>
    <mergeCell ref="L5:M6"/>
    <mergeCell ref="O5:P6"/>
    <mergeCell ref="R5:S6"/>
    <mergeCell ref="U5:V6"/>
  </mergeCells>
  <conditionalFormatting sqref="A60:C61">
    <cfRule type="expression" dxfId="311" priority="62" stopIfTrue="1">
      <formula>IF( $AH60 = 1, TRUE, FALSE )</formula>
    </cfRule>
    <cfRule type="expression" dxfId="310" priority="63" stopIfTrue="1">
      <formula>IF( $AG60 = 1, TRUE, FALSE )</formula>
    </cfRule>
    <cfRule type="expression" dxfId="309" priority="64" stopIfTrue="1">
      <formula>IF( $AF60 = 1, TRUE, FALSE )</formula>
    </cfRule>
  </conditionalFormatting>
  <conditionalFormatting sqref="A67:C67">
    <cfRule type="expression" dxfId="308" priority="65" stopIfTrue="1">
      <formula>IF( $AH67 = 1, TRUE, FALSE )</formula>
    </cfRule>
    <cfRule type="expression" dxfId="307" priority="66" stopIfTrue="1">
      <formula>IF( $AG67 = 1, TRUE, FALSE )</formula>
    </cfRule>
    <cfRule type="expression" dxfId="306" priority="67" stopIfTrue="1">
      <formula>IF( $AF67 = 1, TRUE, FALSE )</formula>
    </cfRule>
  </conditionalFormatting>
  <conditionalFormatting sqref="A66:C66">
    <cfRule type="expression" dxfId="305" priority="59" stopIfTrue="1">
      <formula>IF( $AH66 = 1, TRUE, FALSE )</formula>
    </cfRule>
    <cfRule type="expression" dxfId="304" priority="60" stopIfTrue="1">
      <formula>IF( $AG66 = 1, TRUE, FALSE )</formula>
    </cfRule>
    <cfRule type="expression" dxfId="303" priority="61" stopIfTrue="1">
      <formula>IF( $AF66 = 1, TRUE, FALSE )</formula>
    </cfRule>
  </conditionalFormatting>
  <conditionalFormatting sqref="A7:C58">
    <cfRule type="expression" dxfId="302" priority="56" stopIfTrue="1">
      <formula>IF( $AH7 = 1, TRUE, FALSE )</formula>
    </cfRule>
    <cfRule type="expression" dxfId="301" priority="57" stopIfTrue="1">
      <formula>IF( $AG7 = 1, TRUE, FALSE )</formula>
    </cfRule>
    <cfRule type="expression" dxfId="300" priority="58" stopIfTrue="1">
      <formula>IF( $AF7 = 1, TRUE, FALSE )</formula>
    </cfRule>
  </conditionalFormatting>
  <conditionalFormatting sqref="A59:C59">
    <cfRule type="expression" dxfId="299" priority="53" stopIfTrue="1">
      <formula>IF( $AH59 = 1, TRUE, FALSE )</formula>
    </cfRule>
    <cfRule type="expression" dxfId="298" priority="54" stopIfTrue="1">
      <formula>IF( $AG59 = 1, TRUE, FALSE )</formula>
    </cfRule>
    <cfRule type="expression" dxfId="297" priority="55" stopIfTrue="1">
      <formula>IF( $AF59 = 1, TRUE, FALSE )</formula>
    </cfRule>
  </conditionalFormatting>
  <conditionalFormatting sqref="A62:C65">
    <cfRule type="expression" dxfId="296" priority="50" stopIfTrue="1">
      <formula>IF( $AH62 = 1, TRUE, FALSE )</formula>
    </cfRule>
    <cfRule type="expression" dxfId="295" priority="51" stopIfTrue="1">
      <formula>IF( $AG62 = 1, TRUE, FALSE )</formula>
    </cfRule>
    <cfRule type="expression" dxfId="294" priority="52" stopIfTrue="1">
      <formula>IF( $AF62 = 1, TRUE, FALSE )</formula>
    </cfRule>
  </conditionalFormatting>
  <conditionalFormatting sqref="U8:U12">
    <cfRule type="cellIs" dxfId="293" priority="49" operator="equal">
      <formula>0</formula>
    </cfRule>
  </conditionalFormatting>
  <conditionalFormatting sqref="O8:O12 Q8:Q12">
    <cfRule type="cellIs" dxfId="292" priority="48" operator="equal">
      <formula>0</formula>
    </cfRule>
  </conditionalFormatting>
  <conditionalFormatting sqref="V8:V12">
    <cfRule type="cellIs" dxfId="291" priority="47" operator="equal">
      <formula>0</formula>
    </cfRule>
  </conditionalFormatting>
  <conditionalFormatting sqref="S8:S12">
    <cfRule type="cellIs" dxfId="290" priority="45" operator="equal">
      <formula>0</formula>
    </cfRule>
  </conditionalFormatting>
  <conditionalFormatting sqref="R8:R12">
    <cfRule type="cellIs" dxfId="289" priority="46" operator="equal">
      <formula>0</formula>
    </cfRule>
  </conditionalFormatting>
  <conditionalFormatting sqref="P8:P12">
    <cfRule type="cellIs" dxfId="288" priority="44" operator="equal">
      <formula>0</formula>
    </cfRule>
  </conditionalFormatting>
  <conditionalFormatting sqref="M8:M12">
    <cfRule type="cellIs" dxfId="287" priority="43" operator="equal">
      <formula>0</formula>
    </cfRule>
  </conditionalFormatting>
  <conditionalFormatting sqref="T8:T12">
    <cfRule type="cellIs" dxfId="286" priority="42" operator="equal">
      <formula>0</formula>
    </cfRule>
  </conditionalFormatting>
  <conditionalFormatting sqref="N8:N12">
    <cfRule type="cellIs" dxfId="285" priority="41" operator="equal">
      <formula>0</formula>
    </cfRule>
  </conditionalFormatting>
  <conditionalFormatting sqref="K8:K12">
    <cfRule type="cellIs" dxfId="284" priority="40" operator="equal">
      <formula>0</formula>
    </cfRule>
  </conditionalFormatting>
  <conditionalFormatting sqref="W8:W12">
    <cfRule type="cellIs" dxfId="283" priority="38" operator="equal">
      <formula>0</formula>
    </cfRule>
  </conditionalFormatting>
  <conditionalFormatting sqref="D60:E61 E7:E59 E62:E65">
    <cfRule type="expression" dxfId="282" priority="14" stopIfTrue="1">
      <formula>IF( $AH7 = 1, TRUE, FALSE )</formula>
    </cfRule>
    <cfRule type="expression" dxfId="281" priority="15" stopIfTrue="1">
      <formula>IF( $AG7 = 1, TRUE, FALSE )</formula>
    </cfRule>
    <cfRule type="expression" dxfId="280" priority="16" stopIfTrue="1">
      <formula>IF( $AF7 = 1, TRUE, FALSE )</formula>
    </cfRule>
  </conditionalFormatting>
  <conditionalFormatting sqref="D67:E67">
    <cfRule type="expression" dxfId="279" priority="17" stopIfTrue="1">
      <formula>IF( $AH67 = 1, TRUE, FALSE )</formula>
    </cfRule>
    <cfRule type="expression" dxfId="278" priority="18" stopIfTrue="1">
      <formula>IF( $AG67 = 1, TRUE, FALSE )</formula>
    </cfRule>
    <cfRule type="expression" dxfId="277" priority="19" stopIfTrue="1">
      <formula>IF( $AF67 = 1, TRUE, FALSE )</formula>
    </cfRule>
  </conditionalFormatting>
  <conditionalFormatting sqref="D66:E66">
    <cfRule type="expression" dxfId="276" priority="11" stopIfTrue="1">
      <formula>IF( $AH66 = 1, TRUE, FALSE )</formula>
    </cfRule>
    <cfRule type="expression" dxfId="275" priority="12" stopIfTrue="1">
      <formula>IF( $AG66 = 1, TRUE, FALSE )</formula>
    </cfRule>
    <cfRule type="expression" dxfId="274" priority="13" stopIfTrue="1">
      <formula>IF( $AF66 = 1, TRUE, FALSE )</formula>
    </cfRule>
  </conditionalFormatting>
  <conditionalFormatting sqref="D7:D58">
    <cfRule type="expression" dxfId="273" priority="8" stopIfTrue="1">
      <formula>IF( $AH7 = 1, TRUE, FALSE )</formula>
    </cfRule>
    <cfRule type="expression" dxfId="272" priority="9" stopIfTrue="1">
      <formula>IF( $AG7 = 1, TRUE, FALSE )</formula>
    </cfRule>
    <cfRule type="expression" dxfId="271" priority="10" stopIfTrue="1">
      <formula>IF( $AF7 = 1, TRUE, FALSE )</formula>
    </cfRule>
  </conditionalFormatting>
  <conditionalFormatting sqref="D59">
    <cfRule type="expression" dxfId="270" priority="5" stopIfTrue="1">
      <formula>IF( $AH59 = 1, TRUE, FALSE )</formula>
    </cfRule>
    <cfRule type="expression" dxfId="269" priority="6" stopIfTrue="1">
      <formula>IF( $AG59 = 1, TRUE, FALSE )</formula>
    </cfRule>
    <cfRule type="expression" dxfId="268" priority="7" stopIfTrue="1">
      <formula>IF( $AF59 = 1, TRUE, FALSE )</formula>
    </cfRule>
  </conditionalFormatting>
  <conditionalFormatting sqref="D62:D65">
    <cfRule type="expression" dxfId="267" priority="2" stopIfTrue="1">
      <formula>IF( $AH62 = 1, TRUE, FALSE )</formula>
    </cfRule>
    <cfRule type="expression" dxfId="266" priority="3" stopIfTrue="1">
      <formula>IF( $AG62 = 1, TRUE, FALSE )</formula>
    </cfRule>
    <cfRule type="expression" dxfId="265" priority="4" stopIfTrue="1">
      <formula>IF( $AF62 = 1, TRUE, FALSE )</formula>
    </cfRule>
  </conditionalFormatting>
  <conditionalFormatting sqref="I8:I12">
    <cfRule type="cellIs" dxfId="264" priority="1" operator="equal">
      <formula>0</formula>
    </cfRule>
  </conditionalFormatting>
  <pageMargins left="0.17" right="0.18" top="0.28000000000000003" bottom="0.17" header="0.3" footer="0.3"/>
  <pageSetup scale="19" orientation="portrait" horizontalDpi="1200" verticalDpi="120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B0F0"/>
    <pageSetUpPr fitToPage="1"/>
  </sheetPr>
  <dimension ref="A1:BJ82"/>
  <sheetViews>
    <sheetView showGridLines="0" zoomScale="70" zoomScaleNormal="70" workbookViewId="0">
      <pane ySplit="6" topLeftCell="A7" activePane="bottomLeft" state="frozen"/>
      <selection pane="bottomLeft" activeCell="A7" sqref="A7"/>
    </sheetView>
  </sheetViews>
  <sheetFormatPr defaultColWidth="9.140625" defaultRowHeight="12.75" outlineLevelRow="1" outlineLevelCol="2" x14ac:dyDescent="0.2"/>
  <cols>
    <col min="1" max="1" width="35.140625" style="234" customWidth="1"/>
    <col min="2" max="2" width="9.140625" style="234"/>
    <col min="3" max="3" width="9.42578125" style="263" customWidth="1"/>
    <col min="4" max="4" width="9.140625" style="235" customWidth="1" outlineLevel="1"/>
    <col min="5" max="5" width="12.5703125" style="235" customWidth="1" outlineLevel="1"/>
    <col min="6" max="6" width="3.42578125" style="234" customWidth="1" outlineLevel="1"/>
    <col min="7" max="7" width="17.7109375" style="236" hidden="1" customWidth="1" outlineLevel="2"/>
    <col min="8" max="8" width="3.42578125" style="234" hidden="1" customWidth="1" outlineLevel="2" collapsed="1"/>
    <col min="9" max="9" width="3.28515625" style="234" customWidth="1" outlineLevel="1" collapsed="1"/>
    <col min="10" max="10" width="22" style="234" customWidth="1"/>
    <col min="11" max="11" width="2" style="234" customWidth="1"/>
    <col min="12" max="13" width="10.42578125" style="234" customWidth="1"/>
    <col min="14" max="14" width="2" style="234" customWidth="1"/>
    <col min="15" max="16" width="10.42578125" style="234" customWidth="1"/>
    <col min="17" max="17" width="2" style="234" customWidth="1"/>
    <col min="18" max="19" width="10.42578125" style="234" customWidth="1"/>
    <col min="20" max="20" width="2" style="236" customWidth="1"/>
    <col min="21" max="22" width="10.42578125" style="236" customWidth="1"/>
    <col min="23" max="23" width="2" style="234" customWidth="1"/>
    <col min="24" max="24" width="4.140625" style="234" bestFit="1" customWidth="1"/>
    <col min="25" max="25" width="5.5703125" style="234" bestFit="1" customWidth="1"/>
    <col min="26" max="26" width="2.42578125" style="234" bestFit="1" customWidth="1"/>
    <col min="27" max="27" width="4.28515625" style="234" bestFit="1" customWidth="1"/>
    <col min="28" max="30" width="2.42578125" style="234" hidden="1" customWidth="1" outlineLevel="1"/>
    <col min="31" max="31" width="4.42578125" style="234" hidden="1" customWidth="1" outlineLevel="1"/>
    <col min="32" max="32" width="6.5703125" style="236" hidden="1" customWidth="1" outlineLevel="1" collapsed="1"/>
    <col min="33" max="34" width="6.5703125" style="236" hidden="1" customWidth="1" outlineLevel="1"/>
    <col min="35" max="35" width="3.140625" style="234" hidden="1" customWidth="1" outlineLevel="1"/>
    <col min="36" max="36" width="7.85546875" style="236" hidden="1" customWidth="1" outlineLevel="1" collapsed="1"/>
    <col min="37" max="38" width="9" style="236" hidden="1" customWidth="1" outlineLevel="1"/>
    <col min="39" max="39" width="8.42578125" style="236" hidden="1" customWidth="1" outlineLevel="1"/>
    <col min="40" max="40" width="11.85546875" style="236" hidden="1" customWidth="1" outlineLevel="1"/>
    <col min="41" max="41" width="3.42578125" style="234" customWidth="1" collapsed="1"/>
    <col min="42" max="42" width="3.42578125" style="234" customWidth="1"/>
    <col min="43" max="43" width="29.7109375" style="234" hidden="1" customWidth="1" outlineLevel="1"/>
    <col min="44" max="44" width="6.42578125" style="234" hidden="1" customWidth="1" outlineLevel="1"/>
    <col min="45" max="45" width="3.42578125" style="234" hidden="1" customWidth="1" outlineLevel="1"/>
    <col min="46" max="46" width="8.7109375" style="234" hidden="1" customWidth="1" outlineLevel="1"/>
    <col min="47" max="47" width="3.140625" style="234" hidden="1" customWidth="1" outlineLevel="1"/>
    <col min="48" max="56" width="9.140625" style="234" hidden="1" customWidth="1" outlineLevel="2"/>
    <col min="57" max="57" width="5.42578125" style="234" hidden="1" customWidth="1" outlineLevel="1" collapsed="1"/>
    <col min="58" max="58" width="36.85546875" style="234" hidden="1" customWidth="1" outlineLevel="1"/>
    <col min="59" max="59" width="6.42578125" style="234" hidden="1" customWidth="1" outlineLevel="1"/>
    <col min="60" max="60" width="3.42578125" style="234" hidden="1" customWidth="1" outlineLevel="1"/>
    <col min="61" max="61" width="9.140625" style="234" hidden="1" customWidth="1" outlineLevel="1"/>
    <col min="62" max="62" width="9.140625" style="234" collapsed="1"/>
    <col min="63" max="16384" width="9.140625" style="234"/>
  </cols>
  <sheetData>
    <row r="1" spans="1:61" ht="18.75" x14ac:dyDescent="0.2">
      <c r="A1" s="323" t="str">
        <f>"I.  S&amp;P Utility Credit Ratings Distribution -- " &amp; B6</f>
        <v>I.  S&amp;P Utility Credit Ratings Distribution -- 2012 Q4</v>
      </c>
      <c r="AF1" s="237" t="s">
        <v>420</v>
      </c>
      <c r="AG1" s="237" t="s">
        <v>421</v>
      </c>
      <c r="AH1" s="237" t="s">
        <v>422</v>
      </c>
      <c r="AJ1" s="237" t="s">
        <v>424</v>
      </c>
      <c r="AK1" s="237" t="s">
        <v>426</v>
      </c>
      <c r="AL1" s="237" t="s">
        <v>426</v>
      </c>
      <c r="AM1" s="237" t="s">
        <v>424</v>
      </c>
      <c r="AN1" s="237"/>
    </row>
    <row r="2" spans="1:61" ht="18.75" hidden="1" outlineLevel="1" x14ac:dyDescent="0.2">
      <c r="A2" s="233"/>
      <c r="E2" s="238" t="str">
        <f>G2</f>
        <v>Reg_Percent_2011</v>
      </c>
      <c r="G2" s="239" t="s">
        <v>437</v>
      </c>
      <c r="AJ2" s="240" t="str">
        <f>AJ4 &amp; AJ3</f>
        <v>'Credit_2012Q3'!a:a</v>
      </c>
      <c r="AK2" s="240" t="str">
        <f>AK4 &amp; AK3</f>
        <v>'Credit_2012Q3'!b1</v>
      </c>
      <c r="AL2" s="240" t="str">
        <f>AL4 &amp; AL3</f>
        <v>'Credit_2012Q3'!c1</v>
      </c>
    </row>
    <row r="3" spans="1:61" ht="18.75" hidden="1" outlineLevel="1" x14ac:dyDescent="0.2">
      <c r="A3" s="233"/>
      <c r="E3" s="241" t="str">
        <f>"'" &amp; E2 &amp; "'!"</f>
        <v>'Reg_Percent_2011'!</v>
      </c>
      <c r="G3" s="234" t="str">
        <f>"'" &amp; G2 &amp; "'!"</f>
        <v>'Reg_Percent_2011'!</v>
      </c>
      <c r="O3" s="242" t="s">
        <v>371</v>
      </c>
      <c r="P3" s="242"/>
      <c r="Q3" s="242"/>
      <c r="R3" s="242" t="s">
        <v>372</v>
      </c>
      <c r="T3" s="234"/>
      <c r="U3" s="242" t="s">
        <v>86</v>
      </c>
      <c r="V3" s="234"/>
      <c r="X3" s="242"/>
      <c r="Y3" s="242"/>
      <c r="Z3" s="242"/>
      <c r="AA3" s="242"/>
      <c r="AJ3" s="210" t="s">
        <v>425</v>
      </c>
      <c r="AK3" s="210" t="s">
        <v>427</v>
      </c>
      <c r="AL3" s="210" t="s">
        <v>453</v>
      </c>
    </row>
    <row r="4" spans="1:61" ht="18.75" hidden="1" outlineLevel="1" x14ac:dyDescent="0.2">
      <c r="A4" s="233"/>
      <c r="E4" s="242" t="s">
        <v>439</v>
      </c>
      <c r="G4" s="242" t="s">
        <v>438</v>
      </c>
      <c r="O4" s="236"/>
      <c r="P4" s="236"/>
      <c r="Q4" s="236"/>
      <c r="T4" s="234"/>
      <c r="U4" s="234"/>
      <c r="V4" s="234"/>
      <c r="AJ4" s="232" t="s">
        <v>472</v>
      </c>
      <c r="AK4" s="236" t="str">
        <f>AJ4</f>
        <v>'Credit_2012Q3'!</v>
      </c>
      <c r="AL4" s="236" t="str">
        <f>AK4</f>
        <v>'Credit_2012Q3'!</v>
      </c>
    </row>
    <row r="5" spans="1:61" collapsed="1" x14ac:dyDescent="0.2">
      <c r="E5" s="243" t="s">
        <v>436</v>
      </c>
      <c r="G5" s="237" t="s">
        <v>424</v>
      </c>
      <c r="I5" s="314"/>
      <c r="J5" s="466" t="s">
        <v>77</v>
      </c>
      <c r="K5" s="314"/>
      <c r="L5" s="468" t="str">
        <f>"All Companies" &amp; CHAR( 10 ) &amp; "("&amp; L14 &amp; ")"</f>
        <v>All Companies
(56)</v>
      </c>
      <c r="M5" s="468"/>
      <c r="N5" s="314"/>
      <c r="O5" s="466" t="str">
        <f ca="1">"Regulated" &amp; CHAR( 10 ) &amp; "(" &amp; O14 &amp; ")"</f>
        <v>Regulated
(36)</v>
      </c>
      <c r="P5" s="470"/>
      <c r="Q5" s="314"/>
      <c r="R5" s="466" t="str">
        <f ca="1">"Mostly Regulated" &amp; CHAR( 10 ) &amp; "(" &amp; R14 &amp; ")"</f>
        <v>Mostly Regulated
(17)</v>
      </c>
      <c r="S5" s="470"/>
      <c r="T5" s="314"/>
      <c r="U5" s="466" t="str">
        <f ca="1">"Diversified" &amp; CHAR( 10 ) &amp; "(" &amp; U14 &amp; ")"</f>
        <v>Diversified
(3)</v>
      </c>
      <c r="V5" s="470"/>
      <c r="W5" s="314"/>
      <c r="AE5" s="244"/>
      <c r="AF5" s="234"/>
      <c r="AG5" s="234"/>
      <c r="AH5" s="234"/>
      <c r="AJ5" s="234"/>
      <c r="AK5" s="234"/>
      <c r="AL5" s="234"/>
      <c r="AM5" s="234"/>
      <c r="AN5" s="234"/>
    </row>
    <row r="6" spans="1:61" ht="28.5" customHeight="1" x14ac:dyDescent="0.2">
      <c r="A6" s="299" t="s">
        <v>0</v>
      </c>
      <c r="B6" s="300" t="s">
        <v>408</v>
      </c>
      <c r="C6" s="338" t="s">
        <v>471</v>
      </c>
      <c r="D6" s="301"/>
      <c r="E6" s="302">
        <v>40908</v>
      </c>
      <c r="I6" s="315"/>
      <c r="J6" s="467"/>
      <c r="K6" s="315"/>
      <c r="L6" s="469"/>
      <c r="M6" s="469"/>
      <c r="N6" s="315"/>
      <c r="O6" s="467"/>
      <c r="P6" s="467"/>
      <c r="Q6" s="315"/>
      <c r="R6" s="467" t="s">
        <v>137</v>
      </c>
      <c r="S6" s="467"/>
      <c r="T6" s="315"/>
      <c r="U6" s="467"/>
      <c r="V6" s="467"/>
      <c r="W6" s="315"/>
      <c r="AE6" s="245"/>
      <c r="AJ6" s="246"/>
    </row>
    <row r="7" spans="1:61" x14ac:dyDescent="0.2">
      <c r="A7" s="303" t="s">
        <v>7</v>
      </c>
      <c r="B7" s="304" t="s">
        <v>2</v>
      </c>
      <c r="C7" s="304">
        <v>21</v>
      </c>
      <c r="D7" s="304" t="s">
        <v>328</v>
      </c>
      <c r="E7" s="305" t="str">
        <f t="shared" ref="E7:E38" ca="1" si="0">OFFSET( INDIRECT( E$3 &amp; E$4 ), $G7 - 1, 0 )</f>
        <v>R</v>
      </c>
      <c r="F7" s="306"/>
      <c r="G7" s="307">
        <f t="shared" ref="G7:G38" ca="1" si="1">IF( LEN( $D7 ) = 0, "", MATCH( $D7, INDIRECT( G$3 &amp; G$4 ), 0 ) )</f>
        <v>53</v>
      </c>
      <c r="H7" s="250"/>
      <c r="I7" s="316"/>
      <c r="J7" s="252"/>
      <c r="K7" s="316"/>
      <c r="L7" s="252" t="s">
        <v>81</v>
      </c>
      <c r="M7" s="252" t="s">
        <v>82</v>
      </c>
      <c r="N7" s="316"/>
      <c r="O7" s="252" t="s">
        <v>81</v>
      </c>
      <c r="P7" s="252" t="s">
        <v>82</v>
      </c>
      <c r="Q7" s="316"/>
      <c r="R7" s="252" t="s">
        <v>81</v>
      </c>
      <c r="S7" s="252" t="s">
        <v>82</v>
      </c>
      <c r="T7" s="316"/>
      <c r="U7" s="252" t="s">
        <v>81</v>
      </c>
      <c r="V7" s="252" t="s">
        <v>82</v>
      </c>
      <c r="W7" s="316"/>
      <c r="AE7" s="254"/>
      <c r="AF7" s="236">
        <f t="shared" ref="AF7:AF38" si="2">IF( LEN( C7 ) = 0, 0, IF( C7 = C6, AF6, IF( AF6 = 1, 0, 1 ) ) )</f>
        <v>1</v>
      </c>
      <c r="AG7" s="236" t="str">
        <f t="shared" ref="AG7:AG64" ca="1" si="3">IF( LEN( $C7 ) = 0, "", IF( $C7 &gt; $AL7, 1, "" ) )</f>
        <v/>
      </c>
      <c r="AH7" s="236" t="str">
        <f ca="1">IF( LEN( $C7 ) = 0, "", IF( $C7 &lt; $AL7, 1, "" ) )</f>
        <v/>
      </c>
      <c r="AJ7" s="236">
        <f t="shared" ref="AJ7:AJ38" ca="1" si="4">MATCH( $A7, INDIRECT( AJ$2 ), 0 )</f>
        <v>7</v>
      </c>
      <c r="AK7" s="236" t="str">
        <f ca="1">IF( ISNA( $AJ7 ), "", OFFSET( INDIRECT( AK$2 ), $AJ7-1, 0 ) )</f>
        <v>A</v>
      </c>
      <c r="AL7" s="236">
        <f ca="1">IF( ISNA( $AJ7 ), "", OFFSET( INDIRECT( AL$2 ), $AJ7-1, 0 ) )</f>
        <v>21</v>
      </c>
      <c r="AM7" s="236" t="str">
        <f t="shared" ref="AM7:AM38" ca="1" si="5">IF( B7 = AK7, "", "Change" )</f>
        <v/>
      </c>
      <c r="AQ7" s="286" t="s">
        <v>15</v>
      </c>
      <c r="AR7" s="286" t="s">
        <v>16</v>
      </c>
      <c r="AS7" s="286">
        <v>19</v>
      </c>
      <c r="AT7" s="286" t="s">
        <v>277</v>
      </c>
      <c r="AV7" s="234">
        <f>IF( LEN( AS7 ) = 0, 99, RANK( AS7, $AS$7:$AS$63 ) )</f>
        <v>10</v>
      </c>
      <c r="AW7" s="234">
        <f>COUNTIF( AV7:AV$7, AV7 )</f>
        <v>1</v>
      </c>
      <c r="AX7" s="287">
        <f>AV7 + AW7 / 10</f>
        <v>10.1</v>
      </c>
      <c r="AY7" s="234">
        <f>RANK( AX7, $AX$7:$AX$63, 1 )</f>
        <v>10</v>
      </c>
      <c r="AZ7" s="236"/>
      <c r="BA7" s="236"/>
      <c r="BC7" s="234">
        <f t="shared" ref="BC7" ca="1" si="6">OFFSET( BC7, -1, 0 ) + 1</f>
        <v>1</v>
      </c>
      <c r="BD7" s="288">
        <f t="shared" ref="BD7:BD62" ca="1" si="7">MATCH( BC7, $AY$7:$AY$63, 0 )</f>
        <v>47</v>
      </c>
      <c r="BF7" s="240" t="str">
        <f t="shared" ref="BF7:BF38" ca="1" si="8">OFFSET( AQ$6, $BD7, 0 )</f>
        <v>Southern Company</v>
      </c>
      <c r="BG7" s="240" t="str">
        <f t="shared" ref="BG7:BI62" ca="1" si="9">OFFSET( AR$6, $BD7, 0 )</f>
        <v>A</v>
      </c>
      <c r="BH7" s="240">
        <f t="shared" ca="1" si="9"/>
        <v>21</v>
      </c>
      <c r="BI7" s="240" t="str">
        <f t="shared" ca="1" si="9"/>
        <v>SO</v>
      </c>
    </row>
    <row r="8" spans="1:61" x14ac:dyDescent="0.2">
      <c r="A8" s="303" t="s">
        <v>3</v>
      </c>
      <c r="B8" s="304" t="s">
        <v>10</v>
      </c>
      <c r="C8" s="304">
        <v>20</v>
      </c>
      <c r="D8" s="304" t="s">
        <v>292</v>
      </c>
      <c r="E8" s="305" t="str">
        <f t="shared" ca="1" si="0"/>
        <v>R</v>
      </c>
      <c r="F8" s="306"/>
      <c r="G8" s="307">
        <f t="shared" ca="1" si="1"/>
        <v>18</v>
      </c>
      <c r="H8" s="250"/>
      <c r="I8" s="317"/>
      <c r="J8" s="293" t="s">
        <v>138</v>
      </c>
      <c r="K8" s="317"/>
      <c r="L8" s="293">
        <f t="shared" ref="L8:L13" si="10">COUNTIF($C$7:$C$67,$X8)</f>
        <v>3</v>
      </c>
      <c r="M8" s="294">
        <f t="shared" ref="M8:M13" si="11">IF( L8 = 0, "", L8/L$14 )</f>
        <v>5.3571428571428568E-2</v>
      </c>
      <c r="N8" s="317"/>
      <c r="O8" s="293">
        <f t="shared" ref="O8:O13" ca="1" si="12">COUNTIFS( $E$7:$E$66, O$3, $C$7:$C$66, $X8 )</f>
        <v>2</v>
      </c>
      <c r="P8" s="294">
        <f t="shared" ref="P8:P13" ca="1" si="13">IF( O8 = 0, "", O8/O$14 )</f>
        <v>5.5555555555555552E-2</v>
      </c>
      <c r="Q8" s="317"/>
      <c r="R8" s="293">
        <f t="shared" ref="R8:R13" ca="1" si="14">COUNTIFS( $E$7:$E$66, R$3, $C$7:$C$66, $X8 )</f>
        <v>1</v>
      </c>
      <c r="S8" s="294">
        <f t="shared" ref="S8:S13" ca="1" si="15">IF( R8 = 0, "", R8/R$14 )</f>
        <v>5.8823529411764705E-2</v>
      </c>
      <c r="T8" s="317"/>
      <c r="U8" s="293">
        <f t="shared" ref="U8:U13" ca="1" si="16">COUNTIFS( $E$7:$E$66, U$3, $C$7:$C$66, $X8 )</f>
        <v>0</v>
      </c>
      <c r="V8" s="294" t="str">
        <f t="shared" ref="V8:V13" ca="1" si="17">IF( U8 = 0, "", U8/U$14 )</f>
        <v/>
      </c>
      <c r="W8" s="317"/>
      <c r="X8" s="256" t="s">
        <v>464</v>
      </c>
      <c r="Y8" s="256">
        <v>21</v>
      </c>
      <c r="Z8" s="256">
        <v>1</v>
      </c>
      <c r="AA8" s="255">
        <f t="shared" ref="AA8:AA13" ca="1" si="18">SUM(O8, R8, U8)</f>
        <v>3</v>
      </c>
      <c r="AC8" s="257"/>
      <c r="AE8" s="254"/>
      <c r="AF8" s="236">
        <f t="shared" si="2"/>
        <v>0</v>
      </c>
      <c r="AG8" s="236" t="str">
        <f t="shared" ca="1" si="3"/>
        <v/>
      </c>
      <c r="AH8" s="236" t="str">
        <f t="shared" ref="AH8:AH67" ca="1" si="19">IF( LEN( $C8 ) = 0, "", IF( $C8 &lt; $AL8, 1, "" ) )</f>
        <v/>
      </c>
      <c r="AJ8" s="236">
        <f t="shared" ca="1" si="4"/>
        <v>8</v>
      </c>
      <c r="AK8" s="236" t="str">
        <f t="shared" ref="AK8:AL67" ca="1" si="20">IF( ISNA( $AJ8 ), "", OFFSET( INDIRECT( AK$2 ), $AJ8-1, 0 ) )</f>
        <v>A-</v>
      </c>
      <c r="AL8" s="236">
        <f t="shared" ca="1" si="20"/>
        <v>20</v>
      </c>
      <c r="AM8" s="236" t="str">
        <f t="shared" ca="1" si="5"/>
        <v/>
      </c>
      <c r="AQ8" s="286" t="s">
        <v>17</v>
      </c>
      <c r="AR8" s="286" t="s">
        <v>16</v>
      </c>
      <c r="AS8" s="286">
        <v>19</v>
      </c>
      <c r="AT8" s="289" t="s">
        <v>307</v>
      </c>
      <c r="AV8" s="234">
        <f t="shared" ref="AV8:AV63" si="21">IF( LEN( AS8 ) = 0, 99, RANK( AS8, $AS$7:$AS$63 ) )</f>
        <v>10</v>
      </c>
      <c r="AW8" s="234">
        <f>COUNTIF( AV$7:AV8, AV8 )</f>
        <v>2</v>
      </c>
      <c r="AX8" s="287">
        <f t="shared" ref="AX8:AX63" si="22">AV8 + AW8 / 10</f>
        <v>10.199999999999999</v>
      </c>
      <c r="AY8" s="234">
        <f t="shared" ref="AY8:AY63" si="23">RANK( AX8, $AX$7:$AX$63, 1 )</f>
        <v>11</v>
      </c>
      <c r="AZ8" s="236"/>
      <c r="BA8" s="236"/>
      <c r="BC8" s="234">
        <f ca="1">OFFSET( BC8, -1, 0 ) + 1</f>
        <v>2</v>
      </c>
      <c r="BD8" s="288">
        <f t="shared" ca="1" si="7"/>
        <v>10</v>
      </c>
      <c r="BF8" s="240" t="str">
        <f t="shared" ca="1" si="8"/>
        <v>Consolidated Edison, Inc.</v>
      </c>
      <c r="BG8" s="240" t="str">
        <f t="shared" ca="1" si="9"/>
        <v>A-</v>
      </c>
      <c r="BH8" s="240">
        <f t="shared" ca="1" si="9"/>
        <v>20</v>
      </c>
      <c r="BI8" s="240" t="str">
        <f t="shared" ca="1" si="9"/>
        <v>ED</v>
      </c>
    </row>
    <row r="9" spans="1:61" x14ac:dyDescent="0.2">
      <c r="A9" s="303" t="s">
        <v>18</v>
      </c>
      <c r="B9" s="304" t="s">
        <v>10</v>
      </c>
      <c r="C9" s="304">
        <v>20</v>
      </c>
      <c r="D9" s="304" t="s">
        <v>86</v>
      </c>
      <c r="E9" s="305" t="str">
        <f t="shared" ca="1" si="0"/>
        <v>MR</v>
      </c>
      <c r="F9" s="306"/>
      <c r="G9" s="307">
        <f t="shared" ca="1" si="1"/>
        <v>20</v>
      </c>
      <c r="H9" s="250"/>
      <c r="I9" s="318"/>
      <c r="J9" s="295" t="s">
        <v>10</v>
      </c>
      <c r="K9" s="318"/>
      <c r="L9" s="295">
        <f t="shared" si="10"/>
        <v>8</v>
      </c>
      <c r="M9" s="296">
        <f t="shared" si="11"/>
        <v>0.14285714285714285</v>
      </c>
      <c r="N9" s="318"/>
      <c r="O9" s="295">
        <f t="shared" ca="1" si="12"/>
        <v>6</v>
      </c>
      <c r="P9" s="296">
        <f t="shared" ca="1" si="13"/>
        <v>0.16666666666666666</v>
      </c>
      <c r="Q9" s="318"/>
      <c r="R9" s="295">
        <f t="shared" ca="1" si="14"/>
        <v>2</v>
      </c>
      <c r="S9" s="296">
        <f t="shared" ca="1" si="15"/>
        <v>0.11764705882352941</v>
      </c>
      <c r="T9" s="318"/>
      <c r="U9" s="295">
        <f t="shared" ca="1" si="16"/>
        <v>0</v>
      </c>
      <c r="V9" s="296" t="str">
        <f t="shared" ca="1" si="17"/>
        <v/>
      </c>
      <c r="W9" s="318"/>
      <c r="X9" s="256" t="s">
        <v>465</v>
      </c>
      <c r="Y9" s="256">
        <v>20</v>
      </c>
      <c r="Z9" s="256">
        <v>1</v>
      </c>
      <c r="AA9" s="255">
        <f t="shared" ca="1" si="18"/>
        <v>8</v>
      </c>
      <c r="AC9" s="253"/>
      <c r="AE9" s="254"/>
      <c r="AF9" s="236">
        <f t="shared" si="2"/>
        <v>0</v>
      </c>
      <c r="AG9" s="236" t="str">
        <f t="shared" ca="1" si="3"/>
        <v/>
      </c>
      <c r="AH9" s="236" t="str">
        <f t="shared" ca="1" si="19"/>
        <v/>
      </c>
      <c r="AJ9" s="236">
        <f t="shared" ca="1" si="4"/>
        <v>9</v>
      </c>
      <c r="AK9" s="236" t="str">
        <f t="shared" ca="1" si="20"/>
        <v>A-</v>
      </c>
      <c r="AL9" s="236">
        <f t="shared" ca="1" si="20"/>
        <v>20</v>
      </c>
      <c r="AM9" s="236" t="str">
        <f t="shared" ca="1" si="5"/>
        <v/>
      </c>
      <c r="AQ9" s="286" t="s">
        <v>9</v>
      </c>
      <c r="AR9" s="286" t="s">
        <v>49</v>
      </c>
      <c r="AS9" s="286">
        <v>17</v>
      </c>
      <c r="AT9" s="286" t="s">
        <v>274</v>
      </c>
      <c r="AV9" s="234">
        <f t="shared" si="21"/>
        <v>39</v>
      </c>
      <c r="AW9" s="234">
        <f>COUNTIF( AV$7:AV9, AV9 )</f>
        <v>1</v>
      </c>
      <c r="AX9" s="287">
        <f t="shared" si="22"/>
        <v>39.1</v>
      </c>
      <c r="AY9" s="234">
        <f t="shared" si="23"/>
        <v>39</v>
      </c>
      <c r="AZ9" s="236"/>
      <c r="BA9" s="236"/>
      <c r="BC9" s="234">
        <f t="shared" ref="BC9:BC63" ca="1" si="24">OFFSET( BC9, -1, 0 ) + 1</f>
        <v>3</v>
      </c>
      <c r="BD9" s="288">
        <f t="shared" ca="1" si="7"/>
        <v>11</v>
      </c>
      <c r="BF9" s="240" t="str">
        <f t="shared" ca="1" si="8"/>
        <v>Dominion Resources, Inc.</v>
      </c>
      <c r="BG9" s="240" t="str">
        <f t="shared" ca="1" si="9"/>
        <v>A-</v>
      </c>
      <c r="BH9" s="240">
        <f t="shared" ca="1" si="9"/>
        <v>20</v>
      </c>
      <c r="BI9" s="240" t="str">
        <f t="shared" ca="1" si="9"/>
        <v>D</v>
      </c>
    </row>
    <row r="10" spans="1:61" x14ac:dyDescent="0.2">
      <c r="A10" s="303" t="s">
        <v>254</v>
      </c>
      <c r="B10" s="304" t="s">
        <v>10</v>
      </c>
      <c r="C10" s="304">
        <v>20</v>
      </c>
      <c r="D10" s="304" t="s">
        <v>331</v>
      </c>
      <c r="E10" s="305" t="str">
        <f t="shared" ca="1" si="0"/>
        <v>R</v>
      </c>
      <c r="F10" s="306"/>
      <c r="G10" s="307">
        <f t="shared" ca="1" si="1"/>
        <v>32</v>
      </c>
      <c r="H10" s="250"/>
      <c r="I10" s="318"/>
      <c r="J10" s="295" t="s">
        <v>16</v>
      </c>
      <c r="K10" s="318"/>
      <c r="L10" s="295">
        <f t="shared" si="10"/>
        <v>13</v>
      </c>
      <c r="M10" s="296">
        <f t="shared" si="11"/>
        <v>0.23214285714285715</v>
      </c>
      <c r="N10" s="318"/>
      <c r="O10" s="295">
        <f t="shared" ca="1" si="12"/>
        <v>5</v>
      </c>
      <c r="P10" s="296">
        <f t="shared" ca="1" si="13"/>
        <v>0.1388888888888889</v>
      </c>
      <c r="Q10" s="318"/>
      <c r="R10" s="295">
        <f t="shared" ca="1" si="14"/>
        <v>7</v>
      </c>
      <c r="S10" s="296">
        <f t="shared" ca="1" si="15"/>
        <v>0.41176470588235292</v>
      </c>
      <c r="T10" s="318"/>
      <c r="U10" s="295">
        <f t="shared" ca="1" si="16"/>
        <v>1</v>
      </c>
      <c r="V10" s="296">
        <f t="shared" ca="1" si="17"/>
        <v>0.33333333333333331</v>
      </c>
      <c r="W10" s="318"/>
      <c r="X10" s="256" t="s">
        <v>466</v>
      </c>
      <c r="Y10" s="256">
        <v>19</v>
      </c>
      <c r="Z10" s="256">
        <v>1</v>
      </c>
      <c r="AA10" s="255">
        <f t="shared" ca="1" si="18"/>
        <v>13</v>
      </c>
      <c r="AE10" s="254"/>
      <c r="AF10" s="236">
        <f t="shared" si="2"/>
        <v>0</v>
      </c>
      <c r="AG10" s="236" t="str">
        <f t="shared" ca="1" si="3"/>
        <v/>
      </c>
      <c r="AH10" s="236" t="str">
        <f t="shared" ca="1" si="19"/>
        <v/>
      </c>
      <c r="AJ10" s="236">
        <f t="shared" ca="1" si="4"/>
        <v>10</v>
      </c>
      <c r="AK10" s="236" t="str">
        <f t="shared" ca="1" si="20"/>
        <v>A-</v>
      </c>
      <c r="AL10" s="236">
        <f t="shared" ca="1" si="20"/>
        <v>20</v>
      </c>
      <c r="AM10" s="236" t="str">
        <f t="shared" ca="1" si="5"/>
        <v/>
      </c>
      <c r="AQ10" s="286" t="s">
        <v>259</v>
      </c>
      <c r="AR10" s="286" t="s">
        <v>28</v>
      </c>
      <c r="AS10" s="286">
        <v>18</v>
      </c>
      <c r="AT10" s="286" t="s">
        <v>275</v>
      </c>
      <c r="AV10" s="234">
        <f t="shared" si="21"/>
        <v>23</v>
      </c>
      <c r="AW10" s="234">
        <f>COUNTIF( AV$7:AV10, AV10 )</f>
        <v>1</v>
      </c>
      <c r="AX10" s="287">
        <f t="shared" si="22"/>
        <v>23.1</v>
      </c>
      <c r="AY10" s="234">
        <f t="shared" si="23"/>
        <v>23</v>
      </c>
      <c r="AZ10" s="236"/>
      <c r="BA10" s="236"/>
      <c r="BC10" s="234">
        <f t="shared" ca="1" si="24"/>
        <v>4</v>
      </c>
      <c r="BD10" s="288">
        <f t="shared" ca="1" si="7"/>
        <v>26</v>
      </c>
      <c r="BF10" s="240" t="str">
        <f t="shared" ca="1" si="8"/>
        <v>Integrys Energy Group, Inc.</v>
      </c>
      <c r="BG10" s="240" t="str">
        <f t="shared" ca="1" si="9"/>
        <v>A-</v>
      </c>
      <c r="BH10" s="240">
        <f t="shared" ca="1" si="9"/>
        <v>20</v>
      </c>
      <c r="BI10" s="240" t="str">
        <f t="shared" ca="1" si="9"/>
        <v>TEG</v>
      </c>
    </row>
    <row r="11" spans="1:61" x14ac:dyDescent="0.2">
      <c r="A11" s="303" t="s">
        <v>370</v>
      </c>
      <c r="B11" s="304" t="s">
        <v>10</v>
      </c>
      <c r="C11" s="304">
        <v>20</v>
      </c>
      <c r="D11" s="304" t="s">
        <v>369</v>
      </c>
      <c r="E11" s="305" t="str">
        <f t="shared" ca="1" si="0"/>
        <v>MR</v>
      </c>
      <c r="F11" s="306"/>
      <c r="G11" s="307">
        <f t="shared" ca="1" si="1"/>
        <v>35</v>
      </c>
      <c r="H11" s="250"/>
      <c r="I11" s="318"/>
      <c r="J11" s="295" t="s">
        <v>28</v>
      </c>
      <c r="K11" s="318"/>
      <c r="L11" s="295">
        <f t="shared" si="10"/>
        <v>16</v>
      </c>
      <c r="M11" s="296">
        <f t="shared" si="11"/>
        <v>0.2857142857142857</v>
      </c>
      <c r="N11" s="318"/>
      <c r="O11" s="295">
        <f t="shared" ca="1" si="12"/>
        <v>13</v>
      </c>
      <c r="P11" s="296">
        <f t="shared" ca="1" si="13"/>
        <v>0.3611111111111111</v>
      </c>
      <c r="Q11" s="318"/>
      <c r="R11" s="295">
        <f t="shared" ca="1" si="14"/>
        <v>3</v>
      </c>
      <c r="S11" s="296">
        <f t="shared" ca="1" si="15"/>
        <v>0.17647058823529413</v>
      </c>
      <c r="T11" s="318"/>
      <c r="U11" s="295">
        <f t="shared" ca="1" si="16"/>
        <v>0</v>
      </c>
      <c r="V11" s="296" t="str">
        <f t="shared" ca="1" si="17"/>
        <v/>
      </c>
      <c r="W11" s="318"/>
      <c r="X11" s="256" t="s">
        <v>467</v>
      </c>
      <c r="Y11" s="256">
        <v>18</v>
      </c>
      <c r="Z11" s="256">
        <v>1</v>
      </c>
      <c r="AA11" s="255">
        <f t="shared" ca="1" si="18"/>
        <v>16</v>
      </c>
      <c r="AE11" s="254"/>
      <c r="AF11" s="236">
        <f t="shared" si="2"/>
        <v>0</v>
      </c>
      <c r="AG11" s="236" t="str">
        <f t="shared" ca="1" si="3"/>
        <v/>
      </c>
      <c r="AH11" s="236" t="str">
        <f t="shared" ca="1" si="19"/>
        <v/>
      </c>
      <c r="AJ11" s="236">
        <f t="shared" ca="1" si="4"/>
        <v>11</v>
      </c>
      <c r="AK11" s="236" t="str">
        <f t="shared" ca="1" si="20"/>
        <v>A-</v>
      </c>
      <c r="AL11" s="236">
        <f t="shared" ca="1" si="20"/>
        <v>20</v>
      </c>
      <c r="AM11" s="236" t="str">
        <f t="shared" ca="1" si="5"/>
        <v/>
      </c>
      <c r="AQ11" s="286" t="s">
        <v>55</v>
      </c>
      <c r="AR11" s="286" t="s">
        <v>28</v>
      </c>
      <c r="AS11" s="286">
        <v>18</v>
      </c>
      <c r="AT11" s="286" t="s">
        <v>278</v>
      </c>
      <c r="AV11" s="234">
        <f t="shared" si="21"/>
        <v>23</v>
      </c>
      <c r="AW11" s="234">
        <f>COUNTIF( AV$7:AV11, AV11 )</f>
        <v>2</v>
      </c>
      <c r="AX11" s="287">
        <f t="shared" si="22"/>
        <v>23.2</v>
      </c>
      <c r="AY11" s="234">
        <f t="shared" si="23"/>
        <v>24</v>
      </c>
      <c r="AZ11" s="236"/>
      <c r="BA11" s="236"/>
      <c r="BC11" s="234">
        <f t="shared" ca="1" si="24"/>
        <v>5</v>
      </c>
      <c r="BD11" s="288">
        <f t="shared" ca="1" si="7"/>
        <v>30</v>
      </c>
      <c r="BF11" s="240" t="str">
        <f t="shared" ca="1" si="8"/>
        <v>NextEra Energy, Inc.</v>
      </c>
      <c r="BG11" s="240" t="str">
        <f t="shared" ca="1" si="9"/>
        <v>A-</v>
      </c>
      <c r="BH11" s="240">
        <f t="shared" ca="1" si="9"/>
        <v>20</v>
      </c>
      <c r="BI11" s="240" t="str">
        <f t="shared" ca="1" si="9"/>
        <v>NEE</v>
      </c>
    </row>
    <row r="12" spans="1:61" x14ac:dyDescent="0.2">
      <c r="A12" s="303" t="s">
        <v>513</v>
      </c>
      <c r="B12" s="304" t="s">
        <v>10</v>
      </c>
      <c r="C12" s="304">
        <v>20</v>
      </c>
      <c r="D12" s="304" t="s">
        <v>512</v>
      </c>
      <c r="E12" s="305" t="str">
        <f t="shared" ca="1" si="0"/>
        <v>R</v>
      </c>
      <c r="F12" s="306"/>
      <c r="G12" s="307">
        <f t="shared" ca="1" si="1"/>
        <v>37</v>
      </c>
      <c r="H12" s="250"/>
      <c r="I12" s="318"/>
      <c r="J12" s="295" t="s">
        <v>49</v>
      </c>
      <c r="K12" s="318"/>
      <c r="L12" s="295">
        <f t="shared" si="10"/>
        <v>11</v>
      </c>
      <c r="M12" s="296">
        <f t="shared" si="11"/>
        <v>0.19642857142857142</v>
      </c>
      <c r="N12" s="318"/>
      <c r="O12" s="295">
        <f t="shared" ca="1" si="12"/>
        <v>6</v>
      </c>
      <c r="P12" s="296">
        <f t="shared" ca="1" si="13"/>
        <v>0.16666666666666666</v>
      </c>
      <c r="Q12" s="318"/>
      <c r="R12" s="295">
        <f t="shared" ca="1" si="14"/>
        <v>4</v>
      </c>
      <c r="S12" s="296">
        <f t="shared" ca="1" si="15"/>
        <v>0.23529411764705882</v>
      </c>
      <c r="T12" s="318"/>
      <c r="U12" s="295">
        <f t="shared" ca="1" si="16"/>
        <v>1</v>
      </c>
      <c r="V12" s="296">
        <f t="shared" ca="1" si="17"/>
        <v>0.33333333333333331</v>
      </c>
      <c r="W12" s="318"/>
      <c r="X12" s="256" t="s">
        <v>468</v>
      </c>
      <c r="Y12" s="256">
        <v>17</v>
      </c>
      <c r="Z12" s="256">
        <v>1</v>
      </c>
      <c r="AA12" s="255">
        <f t="shared" ca="1" si="18"/>
        <v>11</v>
      </c>
      <c r="AE12" s="254"/>
      <c r="AF12" s="236">
        <f t="shared" si="2"/>
        <v>0</v>
      </c>
      <c r="AG12" s="236" t="str">
        <f t="shared" ca="1" si="3"/>
        <v/>
      </c>
      <c r="AH12" s="236" t="str">
        <f t="shared" ca="1" si="19"/>
        <v/>
      </c>
      <c r="AJ12" s="236">
        <f t="shared" ca="1" si="4"/>
        <v>12</v>
      </c>
      <c r="AK12" s="236" t="str">
        <f t="shared" ca="1" si="20"/>
        <v>A-</v>
      </c>
      <c r="AL12" s="236">
        <f t="shared" ca="1" si="20"/>
        <v>20</v>
      </c>
      <c r="AM12" s="236" t="str">
        <f t="shared" ca="1" si="5"/>
        <v/>
      </c>
      <c r="AQ12" s="286" t="s">
        <v>48</v>
      </c>
      <c r="AR12" s="286" t="s">
        <v>49</v>
      </c>
      <c r="AS12" s="286">
        <v>17</v>
      </c>
      <c r="AT12" s="286" t="s">
        <v>280</v>
      </c>
      <c r="AV12" s="234">
        <f t="shared" si="21"/>
        <v>39</v>
      </c>
      <c r="AW12" s="234">
        <f>COUNTIF( AV$7:AV12, AV12 )</f>
        <v>2</v>
      </c>
      <c r="AX12" s="287">
        <f t="shared" si="22"/>
        <v>39.200000000000003</v>
      </c>
      <c r="AY12" s="234">
        <f t="shared" si="23"/>
        <v>40</v>
      </c>
      <c r="AZ12" s="236"/>
      <c r="BA12" s="236"/>
      <c r="BC12" s="234">
        <f t="shared" ca="1" si="24"/>
        <v>6</v>
      </c>
      <c r="BD12" s="288">
        <f t="shared" ca="1" si="7"/>
        <v>32</v>
      </c>
      <c r="BF12" s="240" t="str">
        <f t="shared" ca="1" si="8"/>
        <v>Eversource</v>
      </c>
      <c r="BG12" s="240" t="str">
        <f t="shared" ca="1" si="9"/>
        <v>A-</v>
      </c>
      <c r="BH12" s="240">
        <f t="shared" ca="1" si="9"/>
        <v>20</v>
      </c>
      <c r="BI12" s="240" t="str">
        <f t="shared" ca="1" si="9"/>
        <v>ES</v>
      </c>
    </row>
    <row r="13" spans="1:61" x14ac:dyDescent="0.2">
      <c r="A13" s="303" t="s">
        <v>14</v>
      </c>
      <c r="B13" s="304" t="s">
        <v>10</v>
      </c>
      <c r="C13" s="304">
        <v>20</v>
      </c>
      <c r="D13" s="304" t="s">
        <v>335</v>
      </c>
      <c r="E13" s="305" t="str">
        <f t="shared" ca="1" si="0"/>
        <v>R</v>
      </c>
      <c r="F13" s="306"/>
      <c r="G13" s="307">
        <f t="shared" ca="1" si="1"/>
        <v>58</v>
      </c>
      <c r="H13" s="250"/>
      <c r="I13" s="319"/>
      <c r="J13" s="297" t="s">
        <v>79</v>
      </c>
      <c r="K13" s="319"/>
      <c r="L13" s="297">
        <f t="shared" si="10"/>
        <v>5</v>
      </c>
      <c r="M13" s="298">
        <f t="shared" si="11"/>
        <v>8.9285714285714288E-2</v>
      </c>
      <c r="N13" s="319"/>
      <c r="O13" s="297">
        <f t="shared" ca="1" si="12"/>
        <v>4</v>
      </c>
      <c r="P13" s="298">
        <f t="shared" ca="1" si="13"/>
        <v>0.1111111111111111</v>
      </c>
      <c r="Q13" s="319"/>
      <c r="R13" s="297">
        <f t="shared" ca="1" si="14"/>
        <v>0</v>
      </c>
      <c r="S13" s="298" t="str">
        <f t="shared" ca="1" si="15"/>
        <v/>
      </c>
      <c r="T13" s="319"/>
      <c r="U13" s="297">
        <f t="shared" ca="1" si="16"/>
        <v>1</v>
      </c>
      <c r="V13" s="298">
        <f t="shared" ca="1" si="17"/>
        <v>0.33333333333333331</v>
      </c>
      <c r="W13" s="319"/>
      <c r="X13" s="256" t="s">
        <v>469</v>
      </c>
      <c r="Y13" s="256">
        <v>16</v>
      </c>
      <c r="Z13" s="256">
        <v>1</v>
      </c>
      <c r="AA13" s="259">
        <f t="shared" ca="1" si="18"/>
        <v>5</v>
      </c>
      <c r="AE13" s="254"/>
      <c r="AF13" s="236">
        <f t="shared" si="2"/>
        <v>0</v>
      </c>
      <c r="AG13" s="236" t="str">
        <f t="shared" ca="1" si="3"/>
        <v/>
      </c>
      <c r="AH13" s="236" t="str">
        <f t="shared" ca="1" si="19"/>
        <v/>
      </c>
      <c r="AJ13" s="236">
        <f t="shared" ca="1" si="4"/>
        <v>13</v>
      </c>
      <c r="AK13" s="236" t="str">
        <f t="shared" ca="1" si="20"/>
        <v>A-</v>
      </c>
      <c r="AL13" s="236">
        <f t="shared" ca="1" si="20"/>
        <v>20</v>
      </c>
      <c r="AM13" s="236" t="str">
        <f t="shared" ca="1" si="5"/>
        <v/>
      </c>
      <c r="AQ13" s="286" t="s">
        <v>29</v>
      </c>
      <c r="AR13" s="286" t="s">
        <v>16</v>
      </c>
      <c r="AS13" s="286">
        <v>19</v>
      </c>
      <c r="AT13" s="286" t="s">
        <v>286</v>
      </c>
      <c r="AV13" s="234">
        <f t="shared" si="21"/>
        <v>10</v>
      </c>
      <c r="AW13" s="234">
        <f>COUNTIF( AV$7:AV13, AV13 )</f>
        <v>3</v>
      </c>
      <c r="AX13" s="287">
        <f t="shared" si="22"/>
        <v>10.3</v>
      </c>
      <c r="AY13" s="234">
        <f t="shared" si="23"/>
        <v>12</v>
      </c>
      <c r="AZ13" s="236"/>
      <c r="BA13" s="236"/>
      <c r="BC13" s="234">
        <f t="shared" ca="1" si="24"/>
        <v>7</v>
      </c>
      <c r="BD13" s="288">
        <f t="shared" ca="1" si="7"/>
        <v>50</v>
      </c>
      <c r="BF13" s="240" t="str">
        <f t="shared" ca="1" si="8"/>
        <v>Vectren Corporation</v>
      </c>
      <c r="BG13" s="240" t="str">
        <f t="shared" ca="1" si="9"/>
        <v>A-</v>
      </c>
      <c r="BH13" s="240">
        <f t="shared" ca="1" si="9"/>
        <v>20</v>
      </c>
      <c r="BI13" s="240" t="str">
        <f t="shared" ca="1" si="9"/>
        <v>VVC</v>
      </c>
    </row>
    <row r="14" spans="1:61" x14ac:dyDescent="0.2">
      <c r="A14" s="303" t="s">
        <v>26</v>
      </c>
      <c r="B14" s="304" t="s">
        <v>10</v>
      </c>
      <c r="C14" s="304">
        <v>20</v>
      </c>
      <c r="D14" s="304" t="s">
        <v>336</v>
      </c>
      <c r="E14" s="305" t="str">
        <f t="shared" ca="1" si="0"/>
        <v>R</v>
      </c>
      <c r="F14" s="306"/>
      <c r="G14" s="307">
        <f t="shared" ca="1" si="1"/>
        <v>60</v>
      </c>
      <c r="H14" s="250"/>
      <c r="I14" s="320"/>
      <c r="J14" s="291" t="s">
        <v>80</v>
      </c>
      <c r="K14" s="320"/>
      <c r="L14" s="291">
        <f>SUM(L8:L13)</f>
        <v>56</v>
      </c>
      <c r="M14" s="292">
        <f>L14/L$14</f>
        <v>1</v>
      </c>
      <c r="N14" s="320"/>
      <c r="O14" s="291">
        <f ca="1">SUM(O8:O13)</f>
        <v>36</v>
      </c>
      <c r="P14" s="292">
        <f ca="1">O14/O$14</f>
        <v>1</v>
      </c>
      <c r="Q14" s="320"/>
      <c r="R14" s="291">
        <f ca="1">SUM(R8:R13)</f>
        <v>17</v>
      </c>
      <c r="S14" s="292">
        <f ca="1">R14/R$14</f>
        <v>1</v>
      </c>
      <c r="T14" s="320"/>
      <c r="U14" s="291">
        <f ca="1">SUM(U8:U13)</f>
        <v>3</v>
      </c>
      <c r="V14" s="292">
        <f ca="1">U14/U$14</f>
        <v>1</v>
      </c>
      <c r="W14" s="320"/>
      <c r="Y14" s="261">
        <f>SUMPRODUCT( L8:L13, Y8:Y13 ) / L14</f>
        <v>18.303571428571427</v>
      </c>
      <c r="Z14" s="261"/>
      <c r="AA14" s="260">
        <f ca="1">SUM(AA8:AA13)</f>
        <v>56</v>
      </c>
      <c r="AE14" s="254"/>
      <c r="AF14" s="236">
        <f t="shared" si="2"/>
        <v>0</v>
      </c>
      <c r="AG14" s="236" t="str">
        <f t="shared" ca="1" si="3"/>
        <v/>
      </c>
      <c r="AH14" s="236" t="str">
        <f t="shared" ca="1" si="19"/>
        <v/>
      </c>
      <c r="AJ14" s="236">
        <f t="shared" ca="1" si="4"/>
        <v>14</v>
      </c>
      <c r="AK14" s="236" t="str">
        <f t="shared" ca="1" si="20"/>
        <v>A-</v>
      </c>
      <c r="AL14" s="236">
        <f t="shared" ca="1" si="20"/>
        <v>20</v>
      </c>
      <c r="AM14" s="236" t="str">
        <f t="shared" ca="1" si="5"/>
        <v/>
      </c>
      <c r="AQ14" s="286" t="s">
        <v>30</v>
      </c>
      <c r="AR14" s="286" t="s">
        <v>28</v>
      </c>
      <c r="AS14" s="286">
        <v>18</v>
      </c>
      <c r="AT14" s="286" t="s">
        <v>285</v>
      </c>
      <c r="AV14" s="234">
        <f>IF( LEN( AS14 ) = 0, 99, RANK( AS14, $AS$7:$AS$63 ) )</f>
        <v>23</v>
      </c>
      <c r="AW14" s="234">
        <f>COUNTIF( AV$7:AV14, AV14 )</f>
        <v>3</v>
      </c>
      <c r="AX14" s="287">
        <f t="shared" si="22"/>
        <v>23.3</v>
      </c>
      <c r="AY14" s="234">
        <f t="shared" si="23"/>
        <v>25</v>
      </c>
      <c r="AZ14" s="236"/>
      <c r="BA14" s="236"/>
      <c r="BC14" s="234">
        <f t="shared" ca="1" si="24"/>
        <v>8</v>
      </c>
      <c r="BD14" s="288">
        <f t="shared" ca="1" si="7"/>
        <v>52</v>
      </c>
      <c r="BF14" s="240" t="str">
        <f t="shared" ca="1" si="8"/>
        <v>Wisconsin Energy Corporation</v>
      </c>
      <c r="BG14" s="240" t="str">
        <f t="shared" ca="1" si="9"/>
        <v>A-</v>
      </c>
      <c r="BH14" s="240">
        <f t="shared" ca="1" si="9"/>
        <v>20</v>
      </c>
      <c r="BI14" s="240" t="str">
        <f t="shared" ca="1" si="9"/>
        <v>WEC</v>
      </c>
    </row>
    <row r="15" spans="1:61" x14ac:dyDescent="0.2">
      <c r="A15" s="303" t="s">
        <v>258</v>
      </c>
      <c r="B15" s="304" t="s">
        <v>10</v>
      </c>
      <c r="C15" s="304">
        <v>20</v>
      </c>
      <c r="D15" s="304" t="s">
        <v>338</v>
      </c>
      <c r="E15" s="305" t="str">
        <f t="shared" ca="1" si="0"/>
        <v>R</v>
      </c>
      <c r="F15" s="306"/>
      <c r="G15" s="307">
        <f t="shared" ca="1" si="1"/>
        <v>61</v>
      </c>
      <c r="H15" s="250"/>
      <c r="I15" s="321"/>
      <c r="K15" s="321"/>
      <c r="N15" s="321"/>
      <c r="Q15" s="321"/>
      <c r="T15" s="321"/>
      <c r="W15" s="321"/>
      <c r="X15" s="240"/>
      <c r="AA15" s="240"/>
      <c r="AE15" s="254"/>
      <c r="AF15" s="236">
        <f t="shared" si="2"/>
        <v>0</v>
      </c>
      <c r="AG15" s="236" t="str">
        <f t="shared" ca="1" si="3"/>
        <v/>
      </c>
      <c r="AH15" s="236" t="str">
        <f t="shared" ca="1" si="19"/>
        <v/>
      </c>
      <c r="AJ15" s="236">
        <f t="shared" ca="1" si="4"/>
        <v>15</v>
      </c>
      <c r="AK15" s="236" t="str">
        <f t="shared" ca="1" si="20"/>
        <v>A-</v>
      </c>
      <c r="AL15" s="236">
        <f t="shared" ca="1" si="20"/>
        <v>20</v>
      </c>
      <c r="AM15" s="236" t="str">
        <f t="shared" ca="1" si="5"/>
        <v/>
      </c>
      <c r="AQ15" s="286" t="s">
        <v>60</v>
      </c>
      <c r="AR15" s="286" t="s">
        <v>49</v>
      </c>
      <c r="AS15" s="286">
        <v>17</v>
      </c>
      <c r="AT15" s="286" t="s">
        <v>284</v>
      </c>
      <c r="AV15" s="234">
        <f t="shared" si="21"/>
        <v>39</v>
      </c>
      <c r="AW15" s="234">
        <f>COUNTIF( AV$7:AV15, AV15 )</f>
        <v>3</v>
      </c>
      <c r="AX15" s="287">
        <f t="shared" si="22"/>
        <v>39.299999999999997</v>
      </c>
      <c r="AY15" s="234">
        <f t="shared" si="23"/>
        <v>41</v>
      </c>
      <c r="AZ15" s="236"/>
      <c r="BA15" s="236"/>
      <c r="BC15" s="234">
        <f t="shared" ca="1" si="24"/>
        <v>9</v>
      </c>
      <c r="BD15" s="288">
        <f t="shared" ca="1" si="7"/>
        <v>53</v>
      </c>
      <c r="BF15" s="240" t="str">
        <f t="shared" ca="1" si="8"/>
        <v>Xcel Energy Inc.</v>
      </c>
      <c r="BG15" s="240" t="str">
        <f t="shared" ca="1" si="9"/>
        <v>A-</v>
      </c>
      <c r="BH15" s="240">
        <f t="shared" ca="1" si="9"/>
        <v>20</v>
      </c>
      <c r="BI15" s="240" t="str">
        <f t="shared" ca="1" si="9"/>
        <v>XEL</v>
      </c>
    </row>
    <row r="16" spans="1:61" x14ac:dyDescent="0.2">
      <c r="A16" s="303" t="s">
        <v>15</v>
      </c>
      <c r="B16" s="304" t="s">
        <v>16</v>
      </c>
      <c r="C16" s="304">
        <v>19</v>
      </c>
      <c r="D16" s="304" t="s">
        <v>277</v>
      </c>
      <c r="E16" s="305" t="str">
        <f t="shared" ca="1" si="0"/>
        <v>R</v>
      </c>
      <c r="F16" s="306"/>
      <c r="G16" s="307">
        <f t="shared" ca="1" si="1"/>
        <v>7</v>
      </c>
      <c r="H16" s="250"/>
      <c r="I16" s="316"/>
      <c r="J16" s="290" t="s">
        <v>450</v>
      </c>
      <c r="K16" s="316"/>
      <c r="L16" s="463">
        <f t="array" ref="L16">SUM( IF( LEN( $C$7:$C$65 ) = 0, 0, $C$7:$C$65 ) ) / SUM( IF( LEN( $C$7:$C$65 ) = 0, 0, 1  ) )</f>
        <v>18.071428571428573</v>
      </c>
      <c r="M16" s="464"/>
      <c r="N16" s="316"/>
      <c r="O16" s="463">
        <f t="array" aca="1" ref="O16" ca="1">SUM( IF( LEN( $C$7:$C$65 ) = 0, 0, IF( $E$7:$E$65 = O3, $C$7:$C$65, 0 ) ) ) / SUM( IF( LEN( $C$7:$C$65 ) = 0, 0, IF( $E$7:$E$65 = O3, 1, 0 ) ) )</f>
        <v>18.222222222222221</v>
      </c>
      <c r="P16" s="464"/>
      <c r="Q16" s="316"/>
      <c r="R16" s="463">
        <f t="array" aca="1" ref="R16" ca="1">SUM( IF( LEN( $C$7:$C$65 ) = 0, 0, IF( $E$7:$E$65 = R3, $C$7:$C$65, 0 ) ) ) / SUM( IF( LEN( $C$7:$C$65 ) = 0, 0, IF( $E$7:$E$65 = R3, 1, 0 ) ) )</f>
        <v>18.705882352941178</v>
      </c>
      <c r="S16" s="464"/>
      <c r="T16" s="316"/>
      <c r="U16" s="463">
        <f t="array" aca="1" ref="U16" ca="1">SUM( IF( LEN( $C$7:$C$65 ) = 0, 0, IF( $E$7:$E$65 = U3, $C$7:$C$65, 0 ) ) ) / SUM( IF( LEN( $C$7:$C$65 ) = 0, 0, IF( $E$7:$E$65 = U3, 1, 0 ) ) )</f>
        <v>12.666666666666666</v>
      </c>
      <c r="V16" s="465"/>
      <c r="W16" s="316"/>
      <c r="AE16" s="254"/>
      <c r="AF16" s="236">
        <f t="shared" si="2"/>
        <v>1</v>
      </c>
      <c r="AG16" s="236" t="str">
        <f t="shared" ca="1" si="3"/>
        <v/>
      </c>
      <c r="AH16" s="236" t="str">
        <f t="shared" ca="1" si="19"/>
        <v/>
      </c>
      <c r="AJ16" s="236">
        <f t="shared" ca="1" si="4"/>
        <v>16</v>
      </c>
      <c r="AK16" s="236" t="str">
        <f t="shared" ca="1" si="20"/>
        <v>BBB+</v>
      </c>
      <c r="AL16" s="236">
        <f t="shared" ca="1" si="20"/>
        <v>19</v>
      </c>
      <c r="AM16" s="236" t="str">
        <f t="shared" ca="1" si="5"/>
        <v/>
      </c>
      <c r="AQ16" s="286" t="s">
        <v>3</v>
      </c>
      <c r="AR16" s="286" t="s">
        <v>10</v>
      </c>
      <c r="AS16" s="286">
        <v>20</v>
      </c>
      <c r="AT16" s="286" t="s">
        <v>292</v>
      </c>
      <c r="AV16" s="234">
        <f t="shared" si="21"/>
        <v>2</v>
      </c>
      <c r="AW16" s="234">
        <f>COUNTIF( AV$7:AV16, AV16 )</f>
        <v>1</v>
      </c>
      <c r="AX16" s="287">
        <f t="shared" si="22"/>
        <v>2.1</v>
      </c>
      <c r="AY16" s="234">
        <f t="shared" si="23"/>
        <v>2</v>
      </c>
      <c r="AZ16" s="236"/>
      <c r="BA16" s="236"/>
      <c r="BC16" s="234">
        <f t="shared" ca="1" si="24"/>
        <v>10</v>
      </c>
      <c r="BD16" s="288">
        <f t="shared" ca="1" si="7"/>
        <v>1</v>
      </c>
      <c r="BF16" s="240" t="str">
        <f t="shared" ca="1" si="8"/>
        <v>ALLETE, Inc.</v>
      </c>
      <c r="BG16" s="240" t="str">
        <f t="shared" ca="1" si="9"/>
        <v>BBB+</v>
      </c>
      <c r="BH16" s="240">
        <f t="shared" ca="1" si="9"/>
        <v>19</v>
      </c>
      <c r="BI16" s="240" t="str">
        <f t="shared" ca="1" si="9"/>
        <v>ALE</v>
      </c>
    </row>
    <row r="17" spans="1:61" x14ac:dyDescent="0.2">
      <c r="A17" s="303" t="s">
        <v>17</v>
      </c>
      <c r="B17" s="304" t="s">
        <v>16</v>
      </c>
      <c r="C17" s="304">
        <v>19</v>
      </c>
      <c r="D17" s="304" t="s">
        <v>307</v>
      </c>
      <c r="E17" s="305" t="str">
        <f t="shared" ca="1" si="0"/>
        <v>R</v>
      </c>
      <c r="F17" s="306"/>
      <c r="G17" s="307">
        <f t="shared" ca="1" si="1"/>
        <v>8</v>
      </c>
      <c r="H17" s="250"/>
      <c r="I17" s="321"/>
      <c r="K17" s="321"/>
      <c r="N17" s="321"/>
      <c r="O17" s="240"/>
      <c r="Q17" s="321"/>
      <c r="T17" s="321"/>
      <c r="W17" s="321"/>
      <c r="AE17" s="245"/>
      <c r="AF17" s="236">
        <f t="shared" si="2"/>
        <v>1</v>
      </c>
      <c r="AG17" s="236" t="str">
        <f t="shared" ca="1" si="3"/>
        <v/>
      </c>
      <c r="AH17" s="236" t="str">
        <f t="shared" ca="1" si="19"/>
        <v/>
      </c>
      <c r="AJ17" s="236">
        <f t="shared" ca="1" si="4"/>
        <v>17</v>
      </c>
      <c r="AK17" s="236" t="str">
        <f t="shared" ca="1" si="20"/>
        <v>BBB+</v>
      </c>
      <c r="AL17" s="236">
        <f t="shared" ca="1" si="20"/>
        <v>19</v>
      </c>
      <c r="AM17" s="236" t="str">
        <f t="shared" ca="1" si="5"/>
        <v/>
      </c>
      <c r="AQ17" s="286" t="s">
        <v>18</v>
      </c>
      <c r="AR17" s="286" t="s">
        <v>10</v>
      </c>
      <c r="AS17" s="286">
        <v>20</v>
      </c>
      <c r="AT17" s="286" t="s">
        <v>86</v>
      </c>
      <c r="AV17" s="234">
        <f t="shared" si="21"/>
        <v>2</v>
      </c>
      <c r="AW17" s="234">
        <f>COUNTIF( AV$7:AV17, AV17 )</f>
        <v>2</v>
      </c>
      <c r="AX17" s="287">
        <f t="shared" si="22"/>
        <v>2.2000000000000002</v>
      </c>
      <c r="AY17" s="234">
        <f t="shared" si="23"/>
        <v>3</v>
      </c>
      <c r="AZ17" s="236"/>
      <c r="BA17" s="236"/>
      <c r="BC17" s="234">
        <f t="shared" ca="1" si="24"/>
        <v>11</v>
      </c>
      <c r="BD17" s="288">
        <f t="shared" ca="1" si="7"/>
        <v>2</v>
      </c>
      <c r="BF17" s="240" t="str">
        <f t="shared" ca="1" si="8"/>
        <v>Alliant Energy Corporation</v>
      </c>
      <c r="BG17" s="240" t="str">
        <f t="shared" ca="1" si="9"/>
        <v>BBB+</v>
      </c>
      <c r="BH17" s="240">
        <f t="shared" ca="1" si="9"/>
        <v>19</v>
      </c>
      <c r="BI17" s="240" t="str">
        <f t="shared" ca="1" si="9"/>
        <v>LNT</v>
      </c>
    </row>
    <row r="18" spans="1:61" x14ac:dyDescent="0.2">
      <c r="A18" s="303" t="s">
        <v>29</v>
      </c>
      <c r="B18" s="304" t="s">
        <v>16</v>
      </c>
      <c r="C18" s="304">
        <v>19</v>
      </c>
      <c r="D18" s="304" t="s">
        <v>286</v>
      </c>
      <c r="E18" s="305" t="str">
        <f t="shared" ca="1" si="0"/>
        <v>MR</v>
      </c>
      <c r="F18" s="306"/>
      <c r="G18" s="307">
        <f t="shared" ca="1" si="1"/>
        <v>13</v>
      </c>
      <c r="H18" s="250"/>
      <c r="I18" s="321"/>
      <c r="K18" s="321"/>
      <c r="N18" s="321"/>
      <c r="O18" s="240"/>
      <c r="Q18" s="321"/>
      <c r="T18" s="321"/>
      <c r="W18" s="321"/>
      <c r="AE18" s="254"/>
      <c r="AF18" s="236">
        <f t="shared" si="2"/>
        <v>1</v>
      </c>
      <c r="AG18" s="236" t="str">
        <f t="shared" ca="1" si="3"/>
        <v/>
      </c>
      <c r="AH18" s="236" t="str">
        <f t="shared" ca="1" si="19"/>
        <v/>
      </c>
      <c r="AJ18" s="236">
        <f t="shared" ca="1" si="4"/>
        <v>18</v>
      </c>
      <c r="AK18" s="236" t="str">
        <f t="shared" ca="1" si="20"/>
        <v>BBB+</v>
      </c>
      <c r="AL18" s="236">
        <f t="shared" ca="1" si="20"/>
        <v>19</v>
      </c>
      <c r="AM18" s="236" t="str">
        <f t="shared" ca="1" si="5"/>
        <v/>
      </c>
      <c r="AQ18" s="286" t="s">
        <v>64</v>
      </c>
      <c r="AR18" s="286" t="s">
        <v>61</v>
      </c>
      <c r="AS18" s="286">
        <v>15</v>
      </c>
      <c r="AT18" s="286" t="s">
        <v>443</v>
      </c>
      <c r="AV18" s="234">
        <f t="shared" si="21"/>
        <v>52</v>
      </c>
      <c r="AW18" s="234">
        <f>COUNTIF( AV$7:AV18, AV18 )</f>
        <v>1</v>
      </c>
      <c r="AX18" s="287">
        <f t="shared" si="22"/>
        <v>52.1</v>
      </c>
      <c r="AY18" s="234">
        <f t="shared" si="23"/>
        <v>52</v>
      </c>
      <c r="AZ18" s="236"/>
      <c r="BA18" s="236"/>
      <c r="BC18" s="234">
        <f t="shared" ca="1" si="24"/>
        <v>12</v>
      </c>
      <c r="BD18" s="288">
        <f t="shared" ca="1" si="7"/>
        <v>7</v>
      </c>
      <c r="BF18" s="240" t="str">
        <f t="shared" ca="1" si="8"/>
        <v>CenterPoint Energy, Inc.</v>
      </c>
      <c r="BG18" s="240" t="str">
        <f t="shared" ca="1" si="9"/>
        <v>BBB+</v>
      </c>
      <c r="BH18" s="240">
        <f t="shared" ca="1" si="9"/>
        <v>19</v>
      </c>
      <c r="BI18" s="240" t="str">
        <f t="shared" ca="1" si="9"/>
        <v>CNP</v>
      </c>
    </row>
    <row r="19" spans="1:61" x14ac:dyDescent="0.2">
      <c r="A19" s="303" t="s">
        <v>31</v>
      </c>
      <c r="B19" s="304" t="s">
        <v>16</v>
      </c>
      <c r="C19" s="304">
        <v>19</v>
      </c>
      <c r="D19" s="304" t="s">
        <v>289</v>
      </c>
      <c r="E19" s="305" t="str">
        <f t="shared" ca="1" si="0"/>
        <v>R</v>
      </c>
      <c r="F19" s="306"/>
      <c r="G19" s="307">
        <f t="shared" ca="1" si="1"/>
        <v>21</v>
      </c>
      <c r="H19" s="250"/>
      <c r="I19" s="321"/>
      <c r="K19" s="321"/>
      <c r="N19" s="321"/>
      <c r="O19" s="240"/>
      <c r="Q19" s="321"/>
      <c r="T19" s="321"/>
      <c r="W19" s="321"/>
      <c r="AE19" s="254"/>
      <c r="AF19" s="236">
        <f t="shared" si="2"/>
        <v>1</v>
      </c>
      <c r="AG19" s="236" t="str">
        <f t="shared" ca="1" si="3"/>
        <v/>
      </c>
      <c r="AH19" s="236" t="str">
        <f t="shared" ca="1" si="19"/>
        <v/>
      </c>
      <c r="AJ19" s="236">
        <f t="shared" ca="1" si="4"/>
        <v>19</v>
      </c>
      <c r="AK19" s="236" t="str">
        <f t="shared" ca="1" si="20"/>
        <v>BBB+</v>
      </c>
      <c r="AL19" s="236">
        <f t="shared" ca="1" si="20"/>
        <v>19</v>
      </c>
      <c r="AM19" s="236" t="str">
        <f t="shared" ca="1" si="5"/>
        <v/>
      </c>
      <c r="AQ19" s="286" t="s">
        <v>31</v>
      </c>
      <c r="AR19" s="286" t="s">
        <v>16</v>
      </c>
      <c r="AS19" s="286">
        <v>19</v>
      </c>
      <c r="AT19" s="289" t="s">
        <v>289</v>
      </c>
      <c r="AV19" s="234">
        <f t="shared" si="21"/>
        <v>10</v>
      </c>
      <c r="AW19" s="234">
        <f>COUNTIF( AV$7:AV19, AV19 )</f>
        <v>4</v>
      </c>
      <c r="AX19" s="287">
        <f t="shared" si="22"/>
        <v>10.4</v>
      </c>
      <c r="AY19" s="234">
        <f t="shared" si="23"/>
        <v>13</v>
      </c>
      <c r="AZ19" s="236"/>
      <c r="BA19" s="236"/>
      <c r="BC19" s="234">
        <f t="shared" ca="1" si="24"/>
        <v>13</v>
      </c>
      <c r="BD19" s="288">
        <f t="shared" ca="1" si="7"/>
        <v>13</v>
      </c>
      <c r="BF19" s="240" t="str">
        <f t="shared" ca="1" si="8"/>
        <v>DTE Energy Company</v>
      </c>
      <c r="BG19" s="240" t="str">
        <f t="shared" ca="1" si="9"/>
        <v>BBB+</v>
      </c>
      <c r="BH19" s="240">
        <f t="shared" ca="1" si="9"/>
        <v>19</v>
      </c>
      <c r="BI19" s="240" t="str">
        <f t="shared" ca="1" si="9"/>
        <v>DTE</v>
      </c>
    </row>
    <row r="20" spans="1:61" x14ac:dyDescent="0.2">
      <c r="A20" s="303" t="s">
        <v>32</v>
      </c>
      <c r="B20" s="304" t="s">
        <v>16</v>
      </c>
      <c r="C20" s="304">
        <v>19</v>
      </c>
      <c r="D20" s="304" t="s">
        <v>290</v>
      </c>
      <c r="E20" s="305" t="str">
        <f t="shared" ca="1" si="0"/>
        <v>MR</v>
      </c>
      <c r="F20" s="306"/>
      <c r="G20" s="307">
        <f t="shared" ca="1" si="1"/>
        <v>22</v>
      </c>
      <c r="H20" s="250"/>
      <c r="I20" s="322"/>
      <c r="K20" s="322"/>
      <c r="N20" s="322"/>
      <c r="O20" s="240"/>
      <c r="Q20" s="322"/>
      <c r="T20" s="322"/>
      <c r="W20" s="322"/>
      <c r="AE20" s="254"/>
      <c r="AF20" s="236">
        <f t="shared" si="2"/>
        <v>1</v>
      </c>
      <c r="AG20" s="236" t="str">
        <f t="shared" ca="1" si="3"/>
        <v/>
      </c>
      <c r="AH20" s="236" t="str">
        <f t="shared" ca="1" si="19"/>
        <v/>
      </c>
      <c r="AJ20" s="236">
        <f t="shared" ca="1" si="4"/>
        <v>20</v>
      </c>
      <c r="AK20" s="236" t="str">
        <f t="shared" ca="1" si="20"/>
        <v>BBB+</v>
      </c>
      <c r="AL20" s="236">
        <f t="shared" ca="1" si="20"/>
        <v>19</v>
      </c>
      <c r="AM20" s="236" t="str">
        <f t="shared" ca="1" si="5"/>
        <v/>
      </c>
      <c r="AQ20" s="286" t="s">
        <v>32</v>
      </c>
      <c r="AR20" s="286" t="s">
        <v>16</v>
      </c>
      <c r="AS20" s="286">
        <v>19</v>
      </c>
      <c r="AT20" s="289" t="s">
        <v>290</v>
      </c>
      <c r="AV20" s="234">
        <f t="shared" si="21"/>
        <v>10</v>
      </c>
      <c r="AW20" s="234">
        <f>COUNTIF( AV$7:AV20, AV20 )</f>
        <v>5</v>
      </c>
      <c r="AX20" s="287">
        <f t="shared" si="22"/>
        <v>10.5</v>
      </c>
      <c r="AY20" s="234">
        <f t="shared" si="23"/>
        <v>14</v>
      </c>
      <c r="AZ20" s="236"/>
      <c r="BA20" s="236"/>
      <c r="BC20" s="234">
        <f t="shared" ca="1" si="24"/>
        <v>14</v>
      </c>
      <c r="BD20" s="288">
        <f t="shared" ca="1" si="7"/>
        <v>14</v>
      </c>
      <c r="BF20" s="240" t="str">
        <f t="shared" ca="1" si="8"/>
        <v>Duke Energy Corporation</v>
      </c>
      <c r="BG20" s="240" t="str">
        <f t="shared" ca="1" si="9"/>
        <v>BBB+</v>
      </c>
      <c r="BH20" s="240">
        <f t="shared" ca="1" si="9"/>
        <v>19</v>
      </c>
      <c r="BI20" s="240" t="str">
        <f t="shared" ca="1" si="9"/>
        <v>DUK</v>
      </c>
    </row>
    <row r="21" spans="1:61" x14ac:dyDescent="0.2">
      <c r="A21" s="303" t="s">
        <v>12</v>
      </c>
      <c r="B21" s="304" t="s">
        <v>16</v>
      </c>
      <c r="C21" s="304">
        <v>19</v>
      </c>
      <c r="D21" s="304" t="s">
        <v>309</v>
      </c>
      <c r="E21" s="305" t="str">
        <f t="shared" ca="1" si="0"/>
        <v>D</v>
      </c>
      <c r="F21" s="306"/>
      <c r="G21" s="307">
        <f t="shared" ca="1" si="1"/>
        <v>33</v>
      </c>
      <c r="H21" s="250"/>
      <c r="I21" s="321"/>
      <c r="K21" s="321"/>
      <c r="N21" s="321"/>
      <c r="Q21" s="321"/>
      <c r="T21" s="321"/>
      <c r="W21" s="321"/>
      <c r="AE21" s="254"/>
      <c r="AF21" s="236">
        <f t="shared" si="2"/>
        <v>1</v>
      </c>
      <c r="AG21" s="236" t="str">
        <f t="shared" ca="1" si="3"/>
        <v/>
      </c>
      <c r="AH21" s="236" t="str">
        <f t="shared" ca="1" si="19"/>
        <v/>
      </c>
      <c r="AJ21" s="236">
        <f t="shared" ca="1" si="4"/>
        <v>22</v>
      </c>
      <c r="AK21" s="236" t="str">
        <f t="shared" ca="1" si="20"/>
        <v>BBB+</v>
      </c>
      <c r="AL21" s="236">
        <f t="shared" ca="1" si="20"/>
        <v>19</v>
      </c>
      <c r="AM21" s="236" t="str">
        <f t="shared" ca="1" si="5"/>
        <v/>
      </c>
      <c r="AQ21" s="286" t="s">
        <v>57</v>
      </c>
      <c r="AR21" s="286" t="s">
        <v>49</v>
      </c>
      <c r="AS21" s="286">
        <v>17</v>
      </c>
      <c r="AT21" s="286" t="s">
        <v>296</v>
      </c>
      <c r="AV21" s="234">
        <f t="shared" si="21"/>
        <v>39</v>
      </c>
      <c r="AW21" s="234">
        <f>COUNTIF( AV$7:AV21, AV21 )</f>
        <v>4</v>
      </c>
      <c r="AX21" s="287">
        <f t="shared" si="22"/>
        <v>39.4</v>
      </c>
      <c r="AY21" s="234">
        <f t="shared" si="23"/>
        <v>42</v>
      </c>
      <c r="AZ21" s="236"/>
      <c r="BA21" s="236"/>
      <c r="BC21" s="234">
        <f t="shared" ca="1" si="24"/>
        <v>15</v>
      </c>
      <c r="BD21" s="288">
        <f t="shared" ca="1" si="7"/>
        <v>28</v>
      </c>
      <c r="BF21" s="240" t="str">
        <f t="shared" ca="1" si="8"/>
        <v>MDU Resources Group, Inc.</v>
      </c>
      <c r="BG21" s="240" t="str">
        <f t="shared" ca="1" si="9"/>
        <v>BBB+</v>
      </c>
      <c r="BH21" s="240">
        <f t="shared" ca="1" si="9"/>
        <v>19</v>
      </c>
      <c r="BI21" s="240" t="str">
        <f t="shared" ca="1" si="9"/>
        <v>MDU</v>
      </c>
    </row>
    <row r="22" spans="1:61" x14ac:dyDescent="0.2">
      <c r="A22" s="303" t="s">
        <v>52</v>
      </c>
      <c r="B22" s="304" t="s">
        <v>16</v>
      </c>
      <c r="C22" s="304">
        <v>19</v>
      </c>
      <c r="D22" s="304" t="s">
        <v>447</v>
      </c>
      <c r="E22" s="305" t="str">
        <f t="shared" ca="1" si="0"/>
        <v>MR</v>
      </c>
      <c r="F22" s="306"/>
      <c r="G22" s="307">
        <f t="shared" ca="1" si="1"/>
        <v>67</v>
      </c>
      <c r="H22" s="250"/>
      <c r="I22" s="321"/>
      <c r="K22" s="321"/>
      <c r="N22" s="321"/>
      <c r="Q22" s="321"/>
      <c r="T22" s="321"/>
      <c r="W22" s="321"/>
      <c r="AE22" s="254"/>
      <c r="AF22" s="236">
        <f t="shared" si="2"/>
        <v>1</v>
      </c>
      <c r="AG22" s="236" t="str">
        <f t="shared" ca="1" si="3"/>
        <v/>
      </c>
      <c r="AH22" s="236" t="str">
        <f t="shared" ca="1" si="19"/>
        <v/>
      </c>
      <c r="AJ22" s="236">
        <f t="shared" ca="1" si="4"/>
        <v>23</v>
      </c>
      <c r="AK22" s="236" t="str">
        <f t="shared" ca="1" si="20"/>
        <v>BBB+</v>
      </c>
      <c r="AL22" s="236">
        <f t="shared" ca="1" si="20"/>
        <v>19</v>
      </c>
      <c r="AM22" s="236" t="str">
        <f t="shared" ca="1" si="5"/>
        <v/>
      </c>
      <c r="AQ22" s="286" t="s">
        <v>34</v>
      </c>
      <c r="AR22" s="286" t="s">
        <v>28</v>
      </c>
      <c r="AS22" s="286">
        <v>18</v>
      </c>
      <c r="AT22" s="286" t="s">
        <v>294</v>
      </c>
      <c r="AV22" s="234">
        <f t="shared" si="21"/>
        <v>23</v>
      </c>
      <c r="AW22" s="234">
        <f>COUNTIF( AV$7:AV22, AV22 )</f>
        <v>4</v>
      </c>
      <c r="AX22" s="287">
        <f t="shared" si="22"/>
        <v>23.4</v>
      </c>
      <c r="AY22" s="234">
        <f t="shared" si="23"/>
        <v>26</v>
      </c>
      <c r="AZ22" s="236"/>
      <c r="BA22" s="236"/>
      <c r="BC22" s="234">
        <f t="shared" ca="1" si="24"/>
        <v>16</v>
      </c>
      <c r="BD22" s="288">
        <f t="shared" ca="1" si="7"/>
        <v>29</v>
      </c>
      <c r="BF22" s="240" t="str">
        <f t="shared" ca="1" si="8"/>
        <v>MidAmerican Energy Holdings Company</v>
      </c>
      <c r="BG22" s="240" t="str">
        <f t="shared" ca="1" si="9"/>
        <v>BBB+</v>
      </c>
      <c r="BH22" s="240">
        <f t="shared" ca="1" si="9"/>
        <v>19</v>
      </c>
      <c r="BI22" s="240" t="str">
        <f t="shared" ca="1" si="9"/>
        <v>**BRK</v>
      </c>
    </row>
    <row r="23" spans="1:61" x14ac:dyDescent="0.2">
      <c r="A23" s="303" t="s">
        <v>21</v>
      </c>
      <c r="B23" s="304" t="s">
        <v>16</v>
      </c>
      <c r="C23" s="304">
        <v>19</v>
      </c>
      <c r="D23" s="304" t="s">
        <v>316</v>
      </c>
      <c r="E23" s="305" t="str">
        <f t="shared" ca="1" si="0"/>
        <v>MR</v>
      </c>
      <c r="F23" s="306"/>
      <c r="G23" s="307">
        <f t="shared" ca="1" si="1"/>
        <v>41</v>
      </c>
      <c r="H23" s="250"/>
      <c r="I23" s="321"/>
      <c r="K23" s="321"/>
      <c r="N23" s="321"/>
      <c r="Q23" s="321"/>
      <c r="T23" s="321"/>
      <c r="W23" s="321"/>
      <c r="AE23" s="254"/>
      <c r="AF23" s="236">
        <f t="shared" si="2"/>
        <v>1</v>
      </c>
      <c r="AG23" s="236" t="str">
        <f t="shared" ca="1" si="3"/>
        <v/>
      </c>
      <c r="AH23" s="236" t="str">
        <f t="shared" ca="1" si="19"/>
        <v/>
      </c>
      <c r="AJ23" s="236">
        <f t="shared" ca="1" si="4"/>
        <v>24</v>
      </c>
      <c r="AK23" s="236" t="str">
        <f t="shared" ca="1" si="20"/>
        <v>BBB+</v>
      </c>
      <c r="AL23" s="236">
        <f t="shared" ca="1" si="20"/>
        <v>19</v>
      </c>
      <c r="AM23" s="236" t="str">
        <f t="shared" ca="1" si="5"/>
        <v/>
      </c>
      <c r="AQ23" s="286" t="s">
        <v>35</v>
      </c>
      <c r="AR23" s="286" t="s">
        <v>49</v>
      </c>
      <c r="AS23" s="286">
        <v>17</v>
      </c>
      <c r="AT23" s="286" t="s">
        <v>293</v>
      </c>
      <c r="AV23" s="234">
        <f t="shared" si="21"/>
        <v>39</v>
      </c>
      <c r="AW23" s="234">
        <f>COUNTIF( AV$7:AV23, AV23 )</f>
        <v>5</v>
      </c>
      <c r="AX23" s="287">
        <f t="shared" si="22"/>
        <v>39.5</v>
      </c>
      <c r="AY23" s="234">
        <f t="shared" si="23"/>
        <v>43</v>
      </c>
      <c r="AZ23" s="236"/>
      <c r="BA23" s="236"/>
      <c r="BC23" s="234">
        <f t="shared" ca="1" si="24"/>
        <v>17</v>
      </c>
      <c r="BD23" s="288">
        <f t="shared" ca="1" si="7"/>
        <v>35</v>
      </c>
      <c r="BF23" s="240" t="str">
        <f t="shared" ca="1" si="8"/>
        <v>OGE Energy Corp.</v>
      </c>
      <c r="BG23" s="240" t="str">
        <f t="shared" ca="1" si="9"/>
        <v>BBB+</v>
      </c>
      <c r="BH23" s="240">
        <f t="shared" ca="1" si="9"/>
        <v>19</v>
      </c>
      <c r="BI23" s="240" t="str">
        <f t="shared" ca="1" si="9"/>
        <v>OGE</v>
      </c>
    </row>
    <row r="24" spans="1:61" x14ac:dyDescent="0.2">
      <c r="A24" s="303" t="s">
        <v>23</v>
      </c>
      <c r="B24" s="304" t="s">
        <v>16</v>
      </c>
      <c r="C24" s="304">
        <v>19</v>
      </c>
      <c r="D24" s="304" t="s">
        <v>323</v>
      </c>
      <c r="E24" s="305" t="str">
        <f t="shared" ca="1" si="0"/>
        <v>MR</v>
      </c>
      <c r="F24" s="306"/>
      <c r="G24" s="307">
        <f t="shared" ca="1" si="1"/>
        <v>43</v>
      </c>
      <c r="H24" s="250"/>
      <c r="I24" s="321"/>
      <c r="J24" s="262"/>
      <c r="K24" s="321"/>
      <c r="N24" s="321"/>
      <c r="Q24" s="321"/>
      <c r="T24" s="321"/>
      <c r="W24" s="321"/>
      <c r="AE24" s="254"/>
      <c r="AF24" s="236">
        <f t="shared" si="2"/>
        <v>1</v>
      </c>
      <c r="AG24" s="236" t="str">
        <f t="shared" ca="1" si="3"/>
        <v/>
      </c>
      <c r="AH24" s="236" t="str">
        <f t="shared" ca="1" si="19"/>
        <v/>
      </c>
      <c r="AJ24" s="236">
        <f t="shared" ca="1" si="4"/>
        <v>25</v>
      </c>
      <c r="AK24" s="236" t="str">
        <f t="shared" ca="1" si="20"/>
        <v>BBB+</v>
      </c>
      <c r="AL24" s="236">
        <f t="shared" ca="1" si="20"/>
        <v>19</v>
      </c>
      <c r="AM24" s="236" t="str">
        <f t="shared" ca="1" si="5"/>
        <v/>
      </c>
      <c r="AQ24" s="286" t="s">
        <v>249</v>
      </c>
      <c r="AR24" s="286" t="s">
        <v>423</v>
      </c>
      <c r="AS24" s="286">
        <v>2</v>
      </c>
      <c r="AT24" s="286" t="s">
        <v>445</v>
      </c>
      <c r="AV24" s="234">
        <f t="shared" si="21"/>
        <v>53</v>
      </c>
      <c r="AW24" s="234">
        <f>COUNTIF( AV$7:AV24, AV24 )</f>
        <v>1</v>
      </c>
      <c r="AX24" s="287">
        <f t="shared" si="22"/>
        <v>53.1</v>
      </c>
      <c r="AY24" s="234">
        <f t="shared" si="23"/>
        <v>53</v>
      </c>
      <c r="AZ24" s="236"/>
      <c r="BA24" s="236"/>
      <c r="BC24" s="234">
        <f t="shared" ca="1" si="24"/>
        <v>18</v>
      </c>
      <c r="BD24" s="288">
        <f t="shared" ca="1" si="7"/>
        <v>37</v>
      </c>
      <c r="BF24" s="240" t="str">
        <f t="shared" ca="1" si="8"/>
        <v>Pepco Holdings, Inc.</v>
      </c>
      <c r="BG24" s="240" t="str">
        <f t="shared" ca="1" si="9"/>
        <v>BBB+</v>
      </c>
      <c r="BH24" s="240">
        <f t="shared" ca="1" si="9"/>
        <v>19</v>
      </c>
      <c r="BI24" s="240" t="str">
        <f t="shared" ca="1" si="9"/>
        <v>POM</v>
      </c>
    </row>
    <row r="25" spans="1:61" x14ac:dyDescent="0.2">
      <c r="A25" s="303" t="s">
        <v>41</v>
      </c>
      <c r="B25" s="304" t="s">
        <v>16</v>
      </c>
      <c r="C25" s="304">
        <v>19</v>
      </c>
      <c r="D25" s="304" t="s">
        <v>322</v>
      </c>
      <c r="E25" s="305" t="str">
        <f t="shared" ca="1" si="0"/>
        <v>R</v>
      </c>
      <c r="F25" s="306"/>
      <c r="G25" s="307">
        <f t="shared" ca="1" si="1"/>
        <v>45</v>
      </c>
      <c r="H25" s="250"/>
      <c r="I25" s="321"/>
      <c r="J25" s="262"/>
      <c r="K25" s="321"/>
      <c r="N25" s="321"/>
      <c r="Q25" s="321"/>
      <c r="T25" s="321"/>
      <c r="W25" s="321"/>
      <c r="AE25" s="254"/>
      <c r="AF25" s="236">
        <f t="shared" si="2"/>
        <v>1</v>
      </c>
      <c r="AG25" s="236">
        <f t="shared" ca="1" si="3"/>
        <v>1</v>
      </c>
      <c r="AH25" s="236" t="str">
        <f t="shared" ca="1" si="19"/>
        <v/>
      </c>
      <c r="AJ25" s="236">
        <f t="shared" ca="1" si="4"/>
        <v>39</v>
      </c>
      <c r="AK25" s="236" t="str">
        <f t="shared" ca="1" si="20"/>
        <v>BBB</v>
      </c>
      <c r="AL25" s="236">
        <f t="shared" ca="1" si="20"/>
        <v>18</v>
      </c>
      <c r="AM25" s="236" t="str">
        <f t="shared" ca="1" si="5"/>
        <v>Change</v>
      </c>
      <c r="AQ25" s="286" t="s">
        <v>36</v>
      </c>
      <c r="AR25" s="286" t="s">
        <v>28</v>
      </c>
      <c r="AS25" s="286">
        <v>18</v>
      </c>
      <c r="AT25" s="286" t="s">
        <v>297</v>
      </c>
      <c r="AV25" s="234">
        <f t="shared" si="21"/>
        <v>23</v>
      </c>
      <c r="AW25" s="234">
        <f>COUNTIF( AV$7:AV25, AV25 )</f>
        <v>5</v>
      </c>
      <c r="AX25" s="287">
        <f t="shared" si="22"/>
        <v>23.5</v>
      </c>
      <c r="AY25" s="234">
        <f t="shared" si="23"/>
        <v>27</v>
      </c>
      <c r="AZ25" s="236"/>
      <c r="BA25" s="236"/>
      <c r="BC25" s="234">
        <f t="shared" ca="1" si="24"/>
        <v>19</v>
      </c>
      <c r="BD25" s="288">
        <f t="shared" ca="1" si="7"/>
        <v>39</v>
      </c>
      <c r="BF25" s="240" t="str">
        <f t="shared" ca="1" si="8"/>
        <v>Pinnacle West Capital Corporation</v>
      </c>
      <c r="BG25" s="240" t="str">
        <f t="shared" ca="1" si="9"/>
        <v>BBB+</v>
      </c>
      <c r="BH25" s="240">
        <f t="shared" ca="1" si="9"/>
        <v>19</v>
      </c>
      <c r="BI25" s="240" t="str">
        <f t="shared" ca="1" si="9"/>
        <v>PNW</v>
      </c>
    </row>
    <row r="26" spans="1:61" x14ac:dyDescent="0.2">
      <c r="A26" s="303" t="s">
        <v>13</v>
      </c>
      <c r="B26" s="304" t="s">
        <v>16</v>
      </c>
      <c r="C26" s="304">
        <v>19</v>
      </c>
      <c r="D26" s="304" t="s">
        <v>327</v>
      </c>
      <c r="E26" s="305" t="str">
        <f t="shared" ca="1" si="0"/>
        <v>MR</v>
      </c>
      <c r="F26" s="306"/>
      <c r="G26" s="307">
        <f t="shared" ca="1" si="1"/>
        <v>51</v>
      </c>
      <c r="H26" s="250"/>
      <c r="I26" s="321"/>
      <c r="J26" s="262"/>
      <c r="K26" s="321"/>
      <c r="N26" s="321"/>
      <c r="Q26" s="321"/>
      <c r="T26" s="321"/>
      <c r="W26" s="321"/>
      <c r="AE26" s="254"/>
      <c r="AF26" s="236">
        <f t="shared" si="2"/>
        <v>1</v>
      </c>
      <c r="AG26" s="236" t="str">
        <f t="shared" ca="1" si="3"/>
        <v/>
      </c>
      <c r="AH26" s="236" t="str">
        <f t="shared" ca="1" si="19"/>
        <v/>
      </c>
      <c r="AJ26" s="236">
        <f t="shared" ca="1" si="4"/>
        <v>26</v>
      </c>
      <c r="AK26" s="236" t="str">
        <f t="shared" ca="1" si="20"/>
        <v>BBB+</v>
      </c>
      <c r="AL26" s="236">
        <f t="shared" ca="1" si="20"/>
        <v>19</v>
      </c>
      <c r="AM26" s="236" t="str">
        <f t="shared" ca="1" si="5"/>
        <v/>
      </c>
      <c r="AQ26" s="286" t="s">
        <v>11</v>
      </c>
      <c r="AR26" s="286" t="s">
        <v>28</v>
      </c>
      <c r="AS26" s="286">
        <v>18</v>
      </c>
      <c r="AT26" s="286" t="s">
        <v>298</v>
      </c>
      <c r="AV26" s="234">
        <f t="shared" si="21"/>
        <v>23</v>
      </c>
      <c r="AW26" s="234">
        <f>COUNTIF( AV$7:AV26, AV26 )</f>
        <v>6</v>
      </c>
      <c r="AX26" s="287">
        <f t="shared" si="22"/>
        <v>23.6</v>
      </c>
      <c r="AY26" s="234">
        <f t="shared" si="23"/>
        <v>28</v>
      </c>
      <c r="AZ26" s="236"/>
      <c r="BA26" s="236"/>
      <c r="BC26" s="234">
        <f t="shared" ca="1" si="24"/>
        <v>20</v>
      </c>
      <c r="BD26" s="288">
        <f t="shared" ca="1" si="7"/>
        <v>45</v>
      </c>
      <c r="BF26" s="240" t="str">
        <f t="shared" ca="1" si="8"/>
        <v>SCANA Corporation</v>
      </c>
      <c r="BG26" s="240" t="str">
        <f t="shared" ca="1" si="9"/>
        <v>BBB+</v>
      </c>
      <c r="BH26" s="240">
        <f t="shared" ca="1" si="9"/>
        <v>19</v>
      </c>
      <c r="BI26" s="240" t="str">
        <f t="shared" ca="1" si="9"/>
        <v>SCG</v>
      </c>
    </row>
    <row r="27" spans="1:61" x14ac:dyDescent="0.2">
      <c r="A27" s="303" t="s">
        <v>25</v>
      </c>
      <c r="B27" s="304" t="s">
        <v>16</v>
      </c>
      <c r="C27" s="304">
        <v>19</v>
      </c>
      <c r="D27" s="304" t="s">
        <v>329</v>
      </c>
      <c r="E27" s="305" t="str">
        <f t="shared" ca="1" si="0"/>
        <v>MR</v>
      </c>
      <c r="F27" s="306"/>
      <c r="G27" s="307">
        <f t="shared" ca="1" si="1"/>
        <v>52</v>
      </c>
      <c r="H27" s="250"/>
      <c r="I27" s="321"/>
      <c r="J27" s="262"/>
      <c r="K27" s="321"/>
      <c r="N27" s="321"/>
      <c r="Q27" s="321"/>
      <c r="T27" s="321"/>
      <c r="W27" s="321"/>
      <c r="AE27" s="254"/>
      <c r="AF27" s="236">
        <f t="shared" si="2"/>
        <v>1</v>
      </c>
      <c r="AG27" s="236" t="str">
        <f t="shared" ca="1" si="3"/>
        <v/>
      </c>
      <c r="AH27" s="236" t="str">
        <f t="shared" ca="1" si="19"/>
        <v/>
      </c>
      <c r="AJ27" s="236">
        <f t="shared" ca="1" si="4"/>
        <v>27</v>
      </c>
      <c r="AK27" s="236" t="str">
        <f t="shared" ca="1" si="20"/>
        <v>BBB+</v>
      </c>
      <c r="AL27" s="236">
        <f t="shared" ca="1" si="20"/>
        <v>19</v>
      </c>
      <c r="AM27" s="236" t="str">
        <f t="shared" ca="1" si="5"/>
        <v/>
      </c>
      <c r="AQ27" s="286" t="s">
        <v>51</v>
      </c>
      <c r="AR27" s="286" t="s">
        <v>49</v>
      </c>
      <c r="AS27" s="286">
        <v>17</v>
      </c>
      <c r="AT27" s="286" t="s">
        <v>299</v>
      </c>
      <c r="AV27" s="234">
        <f t="shared" si="21"/>
        <v>39</v>
      </c>
      <c r="AW27" s="234">
        <f>COUNTIF( AV$7:AV27, AV27 )</f>
        <v>6</v>
      </c>
      <c r="AX27" s="287">
        <f t="shared" si="22"/>
        <v>39.6</v>
      </c>
      <c r="AY27" s="234">
        <f t="shared" si="23"/>
        <v>44</v>
      </c>
      <c r="AZ27" s="236"/>
      <c r="BA27" s="236"/>
      <c r="BC27" s="234">
        <f t="shared" ca="1" si="24"/>
        <v>21</v>
      </c>
      <c r="BD27" s="288">
        <f t="shared" ca="1" si="7"/>
        <v>46</v>
      </c>
      <c r="BF27" s="240" t="str">
        <f t="shared" ca="1" si="8"/>
        <v>Sempra Energy</v>
      </c>
      <c r="BG27" s="240" t="str">
        <f t="shared" ca="1" si="9"/>
        <v>BBB+</v>
      </c>
      <c r="BH27" s="240">
        <f t="shared" ca="1" si="9"/>
        <v>19</v>
      </c>
      <c r="BI27" s="240" t="str">
        <f t="shared" ca="1" si="9"/>
        <v>SRE</v>
      </c>
    </row>
    <row r="28" spans="1:61" x14ac:dyDescent="0.2">
      <c r="A28" s="303" t="s">
        <v>62</v>
      </c>
      <c r="B28" s="304" t="s">
        <v>16</v>
      </c>
      <c r="C28" s="304">
        <v>19</v>
      </c>
      <c r="D28" s="304" t="s">
        <v>330</v>
      </c>
      <c r="E28" s="305" t="str">
        <f t="shared" ca="1" si="0"/>
        <v>R</v>
      </c>
      <c r="F28" s="306"/>
      <c r="G28" s="307">
        <f t="shared" ca="1" si="1"/>
        <v>54</v>
      </c>
      <c r="H28" s="250"/>
      <c r="I28" s="321"/>
      <c r="J28" s="262"/>
      <c r="K28" s="321"/>
      <c r="N28" s="321"/>
      <c r="Q28" s="321"/>
      <c r="T28" s="321"/>
      <c r="W28" s="321"/>
      <c r="AE28" s="245"/>
      <c r="AF28" s="236">
        <f t="shared" si="2"/>
        <v>1</v>
      </c>
      <c r="AG28" s="236" t="str">
        <f t="shared" ca="1" si="3"/>
        <v/>
      </c>
      <c r="AH28" s="236" t="str">
        <f t="shared" ca="1" si="19"/>
        <v/>
      </c>
      <c r="AJ28" s="236">
        <f t="shared" ca="1" si="4"/>
        <v>28</v>
      </c>
      <c r="AK28" s="236" t="str">
        <f t="shared" ca="1" si="20"/>
        <v>BBB+</v>
      </c>
      <c r="AL28" s="236">
        <f t="shared" ca="1" si="20"/>
        <v>19</v>
      </c>
      <c r="AM28" s="236" t="str">
        <f t="shared" ca="1" si="5"/>
        <v/>
      </c>
      <c r="AQ28" s="286" t="s">
        <v>261</v>
      </c>
      <c r="AR28" s="286" t="s">
        <v>28</v>
      </c>
      <c r="AS28" s="286">
        <v>18</v>
      </c>
      <c r="AT28" s="286" t="s">
        <v>301</v>
      </c>
      <c r="AV28" s="234">
        <f t="shared" si="21"/>
        <v>23</v>
      </c>
      <c r="AW28" s="234">
        <f>COUNTIF( AV$7:AV28, AV28 )</f>
        <v>7</v>
      </c>
      <c r="AX28" s="287">
        <f t="shared" si="22"/>
        <v>23.7</v>
      </c>
      <c r="AY28" s="234">
        <f t="shared" si="23"/>
        <v>29</v>
      </c>
      <c r="AZ28" s="236"/>
      <c r="BA28" s="236"/>
      <c r="BC28" s="234">
        <f t="shared" ca="1" si="24"/>
        <v>22</v>
      </c>
      <c r="BD28" s="288">
        <f t="shared" ca="1" si="7"/>
        <v>48</v>
      </c>
      <c r="BF28" s="240" t="str">
        <f t="shared" ca="1" si="8"/>
        <v>TECO Energy, Inc.</v>
      </c>
      <c r="BG28" s="240" t="str">
        <f t="shared" ca="1" si="9"/>
        <v>BBB+</v>
      </c>
      <c r="BH28" s="240">
        <f t="shared" ca="1" si="9"/>
        <v>19</v>
      </c>
      <c r="BI28" s="240" t="str">
        <f t="shared" ca="1" si="9"/>
        <v>TE</v>
      </c>
    </row>
    <row r="29" spans="1:61" x14ac:dyDescent="0.2">
      <c r="A29" s="303" t="s">
        <v>259</v>
      </c>
      <c r="B29" s="304" t="s">
        <v>28</v>
      </c>
      <c r="C29" s="304">
        <v>18</v>
      </c>
      <c r="D29" s="304" t="s">
        <v>275</v>
      </c>
      <c r="E29" s="305" t="str">
        <f t="shared" ca="1" si="0"/>
        <v>R</v>
      </c>
      <c r="F29" s="306"/>
      <c r="G29" s="307">
        <f t="shared" ca="1" si="1"/>
        <v>10</v>
      </c>
      <c r="H29" s="250"/>
      <c r="I29" s="321"/>
      <c r="J29" s="262"/>
      <c r="K29" s="321"/>
      <c r="N29" s="321"/>
      <c r="Q29" s="321"/>
      <c r="T29" s="321"/>
      <c r="W29" s="321"/>
      <c r="AF29" s="236">
        <f t="shared" si="2"/>
        <v>0</v>
      </c>
      <c r="AG29" s="236" t="str">
        <f t="shared" ca="1" si="3"/>
        <v/>
      </c>
      <c r="AH29" s="236" t="str">
        <f t="shared" ca="1" si="19"/>
        <v/>
      </c>
      <c r="AJ29" s="236">
        <f t="shared" ca="1" si="4"/>
        <v>29</v>
      </c>
      <c r="AK29" s="236" t="str">
        <f t="shared" ca="1" si="20"/>
        <v>BBB</v>
      </c>
      <c r="AL29" s="236">
        <f t="shared" ca="1" si="20"/>
        <v>18</v>
      </c>
      <c r="AM29" s="236" t="str">
        <f t="shared" ca="1" si="5"/>
        <v/>
      </c>
      <c r="AQ29" s="286" t="s">
        <v>39</v>
      </c>
      <c r="AR29" s="286" t="s">
        <v>49</v>
      </c>
      <c r="AS29" s="286">
        <v>17</v>
      </c>
      <c r="AT29" s="286" t="s">
        <v>302</v>
      </c>
      <c r="AV29" s="234">
        <f t="shared" si="21"/>
        <v>39</v>
      </c>
      <c r="AW29" s="234">
        <f>COUNTIF( AV$7:AV29, AV29 )</f>
        <v>7</v>
      </c>
      <c r="AX29" s="287">
        <f t="shared" si="22"/>
        <v>39.700000000000003</v>
      </c>
      <c r="AY29" s="234">
        <f t="shared" si="23"/>
        <v>45</v>
      </c>
      <c r="AZ29" s="236"/>
      <c r="BA29" s="236"/>
      <c r="BC29" s="234">
        <f t="shared" ca="1" si="24"/>
        <v>23</v>
      </c>
      <c r="BD29" s="288">
        <f t="shared" ca="1" si="7"/>
        <v>4</v>
      </c>
      <c r="BF29" s="240" t="str">
        <f t="shared" ca="1" si="8"/>
        <v>American Electric Power Company, Inc.</v>
      </c>
      <c r="BG29" s="240" t="str">
        <f t="shared" ca="1" si="9"/>
        <v>BBB</v>
      </c>
      <c r="BH29" s="240">
        <f t="shared" ca="1" si="9"/>
        <v>18</v>
      </c>
      <c r="BI29" s="240" t="str">
        <f t="shared" ca="1" si="9"/>
        <v>AEP</v>
      </c>
    </row>
    <row r="30" spans="1:61" x14ac:dyDescent="0.2">
      <c r="A30" s="303" t="s">
        <v>55</v>
      </c>
      <c r="B30" s="304" t="s">
        <v>28</v>
      </c>
      <c r="C30" s="304">
        <v>18</v>
      </c>
      <c r="D30" s="304" t="s">
        <v>278</v>
      </c>
      <c r="E30" s="305" t="str">
        <f t="shared" ca="1" si="0"/>
        <v>R</v>
      </c>
      <c r="F30" s="306"/>
      <c r="G30" s="307">
        <f t="shared" ca="1" si="1"/>
        <v>11</v>
      </c>
      <c r="H30" s="250"/>
      <c r="I30" s="321"/>
      <c r="J30" s="262"/>
      <c r="K30" s="321"/>
      <c r="N30" s="321"/>
      <c r="Q30" s="321"/>
      <c r="T30" s="321"/>
      <c r="W30" s="321"/>
      <c r="AF30" s="236">
        <f t="shared" si="2"/>
        <v>0</v>
      </c>
      <c r="AG30" s="236" t="str">
        <f t="shared" ca="1" si="3"/>
        <v/>
      </c>
      <c r="AH30" s="236" t="str">
        <f t="shared" ca="1" si="19"/>
        <v/>
      </c>
      <c r="AJ30" s="236">
        <f t="shared" ca="1" si="4"/>
        <v>30</v>
      </c>
      <c r="AK30" s="236" t="str">
        <f t="shared" ca="1" si="20"/>
        <v>BBB</v>
      </c>
      <c r="AL30" s="236">
        <f t="shared" ca="1" si="20"/>
        <v>18</v>
      </c>
      <c r="AM30" s="236" t="str">
        <f t="shared" ca="1" si="5"/>
        <v/>
      </c>
      <c r="AQ30" s="286" t="s">
        <v>452</v>
      </c>
      <c r="AR30" s="286" t="s">
        <v>28</v>
      </c>
      <c r="AS30" s="286">
        <v>18</v>
      </c>
      <c r="AT30" s="286" t="s">
        <v>444</v>
      </c>
      <c r="AV30" s="234">
        <f t="shared" si="21"/>
        <v>23</v>
      </c>
      <c r="AW30" s="234">
        <f>COUNTIF( AV$7:AV30, AV30 )</f>
        <v>8</v>
      </c>
      <c r="AX30" s="287">
        <f t="shared" si="22"/>
        <v>23.8</v>
      </c>
      <c r="AY30" s="234">
        <f t="shared" si="23"/>
        <v>30</v>
      </c>
      <c r="AZ30" s="236"/>
      <c r="BA30" s="236"/>
      <c r="BC30" s="234">
        <f t="shared" ca="1" si="24"/>
        <v>24</v>
      </c>
      <c r="BD30" s="288">
        <f t="shared" ca="1" si="7"/>
        <v>5</v>
      </c>
      <c r="BF30" s="240" t="str">
        <f t="shared" ca="1" si="8"/>
        <v>Avista Corporation</v>
      </c>
      <c r="BG30" s="240" t="str">
        <f t="shared" ca="1" si="9"/>
        <v>BBB</v>
      </c>
      <c r="BH30" s="240">
        <f t="shared" ca="1" si="9"/>
        <v>18</v>
      </c>
      <c r="BI30" s="240" t="str">
        <f t="shared" ca="1" si="9"/>
        <v>AVA</v>
      </c>
    </row>
    <row r="31" spans="1:61" x14ac:dyDescent="0.2">
      <c r="A31" s="303" t="s">
        <v>30</v>
      </c>
      <c r="B31" s="304" t="s">
        <v>28</v>
      </c>
      <c r="C31" s="304">
        <v>18</v>
      </c>
      <c r="D31" s="304" t="s">
        <v>285</v>
      </c>
      <c r="E31" s="305" t="str">
        <f t="shared" ca="1" si="0"/>
        <v>R</v>
      </c>
      <c r="F31" s="306"/>
      <c r="G31" s="307">
        <f t="shared" ca="1" si="1"/>
        <v>16</v>
      </c>
      <c r="H31" s="250"/>
      <c r="I31" s="321"/>
      <c r="J31" s="262"/>
      <c r="K31" s="321"/>
      <c r="N31" s="321"/>
      <c r="O31" s="253"/>
      <c r="Q31" s="321"/>
      <c r="T31" s="321"/>
      <c r="W31" s="321"/>
      <c r="AF31" s="236">
        <f t="shared" si="2"/>
        <v>0</v>
      </c>
      <c r="AG31" s="236" t="str">
        <f t="shared" ca="1" si="3"/>
        <v/>
      </c>
      <c r="AH31" s="236" t="str">
        <f t="shared" ca="1" si="19"/>
        <v/>
      </c>
      <c r="AJ31" s="236">
        <f t="shared" ca="1" si="4"/>
        <v>31</v>
      </c>
      <c r="AK31" s="236" t="str">
        <f t="shared" ca="1" si="20"/>
        <v>BBB</v>
      </c>
      <c r="AL31" s="236">
        <f t="shared" ca="1" si="20"/>
        <v>18</v>
      </c>
      <c r="AM31" s="236" t="str">
        <f t="shared" ca="1" si="5"/>
        <v/>
      </c>
      <c r="AQ31" s="286" t="s">
        <v>20</v>
      </c>
      <c r="AR31" s="286" t="s">
        <v>28</v>
      </c>
      <c r="AS31" s="286">
        <v>18</v>
      </c>
      <c r="AT31" s="286" t="s">
        <v>303</v>
      </c>
      <c r="AV31" s="234">
        <f t="shared" si="21"/>
        <v>23</v>
      </c>
      <c r="AW31" s="234">
        <f>COUNTIF( AV$7:AV31, AV31 )</f>
        <v>9</v>
      </c>
      <c r="AX31" s="287">
        <f t="shared" si="22"/>
        <v>23.9</v>
      </c>
      <c r="AY31" s="234">
        <f t="shared" si="23"/>
        <v>31</v>
      </c>
      <c r="AZ31" s="236"/>
      <c r="BA31" s="236"/>
      <c r="BC31" s="234">
        <f t="shared" ca="1" si="24"/>
        <v>25</v>
      </c>
      <c r="BD31" s="288">
        <f t="shared" ca="1" si="7"/>
        <v>8</v>
      </c>
      <c r="BF31" s="240" t="str">
        <f t="shared" ca="1" si="8"/>
        <v>Cleco Corporation</v>
      </c>
      <c r="BG31" s="240" t="str">
        <f t="shared" ca="1" si="9"/>
        <v>BBB</v>
      </c>
      <c r="BH31" s="240">
        <f t="shared" ca="1" si="9"/>
        <v>18</v>
      </c>
      <c r="BI31" s="240" t="str">
        <f t="shared" ca="1" si="9"/>
        <v>CNL</v>
      </c>
    </row>
    <row r="32" spans="1:61" x14ac:dyDescent="0.2">
      <c r="A32" s="303" t="s">
        <v>34</v>
      </c>
      <c r="B32" s="304" t="s">
        <v>28</v>
      </c>
      <c r="C32" s="304">
        <v>18</v>
      </c>
      <c r="D32" s="304" t="s">
        <v>294</v>
      </c>
      <c r="E32" s="305" t="str">
        <f t="shared" ca="1" si="0"/>
        <v>R</v>
      </c>
      <c r="F32" s="306"/>
      <c r="G32" s="307">
        <f t="shared" ca="1" si="1"/>
        <v>24</v>
      </c>
      <c r="H32" s="250"/>
      <c r="I32" s="321"/>
      <c r="J32" s="262"/>
      <c r="K32" s="321"/>
      <c r="N32" s="321"/>
      <c r="Q32" s="321"/>
      <c r="T32" s="321"/>
      <c r="W32" s="321"/>
      <c r="AF32" s="236">
        <f t="shared" si="2"/>
        <v>0</v>
      </c>
      <c r="AG32" s="236" t="str">
        <f t="shared" ca="1" si="3"/>
        <v/>
      </c>
      <c r="AH32" s="236" t="str">
        <f t="shared" ca="1" si="19"/>
        <v/>
      </c>
      <c r="AJ32" s="236">
        <f t="shared" ca="1" si="4"/>
        <v>32</v>
      </c>
      <c r="AK32" s="236" t="str">
        <f t="shared" ca="1" si="20"/>
        <v>BBB</v>
      </c>
      <c r="AL32" s="236">
        <f t="shared" ca="1" si="20"/>
        <v>18</v>
      </c>
      <c r="AM32" s="236" t="str">
        <f t="shared" ca="1" si="5"/>
        <v/>
      </c>
      <c r="AQ32" s="286" t="s">
        <v>254</v>
      </c>
      <c r="AR32" s="286" t="s">
        <v>10</v>
      </c>
      <c r="AS32" s="286">
        <v>20</v>
      </c>
      <c r="AT32" s="286" t="s">
        <v>331</v>
      </c>
      <c r="AV32" s="234">
        <f t="shared" si="21"/>
        <v>2</v>
      </c>
      <c r="AW32" s="234">
        <f>COUNTIF( AV$7:AV32, AV32 )</f>
        <v>3</v>
      </c>
      <c r="AX32" s="287">
        <f t="shared" si="22"/>
        <v>2.2999999999999998</v>
      </c>
      <c r="AY32" s="234">
        <f t="shared" si="23"/>
        <v>4</v>
      </c>
      <c r="AZ32" s="236"/>
      <c r="BA32" s="236"/>
      <c r="BC32" s="234">
        <f t="shared" ca="1" si="24"/>
        <v>26</v>
      </c>
      <c r="BD32" s="288">
        <f t="shared" ca="1" si="7"/>
        <v>16</v>
      </c>
      <c r="BF32" s="240" t="str">
        <f t="shared" ca="1" si="8"/>
        <v>El Paso Electric Company</v>
      </c>
      <c r="BG32" s="240" t="str">
        <f t="shared" ca="1" si="9"/>
        <v>BBB</v>
      </c>
      <c r="BH32" s="240">
        <f t="shared" ca="1" si="9"/>
        <v>18</v>
      </c>
      <c r="BI32" s="240" t="str">
        <f t="shared" ca="1" si="9"/>
        <v>EE</v>
      </c>
    </row>
    <row r="33" spans="1:61" x14ac:dyDescent="0.2">
      <c r="A33" s="303" t="s">
        <v>452</v>
      </c>
      <c r="B33" s="304" t="s">
        <v>28</v>
      </c>
      <c r="C33" s="304">
        <v>18</v>
      </c>
      <c r="D33" s="304" t="s">
        <v>444</v>
      </c>
      <c r="E33" s="305" t="str">
        <f t="shared" ca="1" si="0"/>
        <v>R</v>
      </c>
      <c r="F33" s="306"/>
      <c r="G33" s="307">
        <f t="shared" ca="1" si="1"/>
        <v>63</v>
      </c>
      <c r="H33" s="250"/>
      <c r="I33" s="321"/>
      <c r="J33" s="262"/>
      <c r="K33" s="321"/>
      <c r="N33" s="321"/>
      <c r="Q33" s="321"/>
      <c r="T33" s="321"/>
      <c r="W33" s="321"/>
      <c r="AF33" s="236">
        <f t="shared" si="2"/>
        <v>0</v>
      </c>
      <c r="AG33" s="236" t="str">
        <f t="shared" ca="1" si="3"/>
        <v/>
      </c>
      <c r="AH33" s="236">
        <f t="shared" ca="1" si="19"/>
        <v>1</v>
      </c>
      <c r="AJ33" s="236">
        <f t="shared" ca="1" si="4"/>
        <v>21</v>
      </c>
      <c r="AK33" s="236" t="str">
        <f t="shared" ca="1" si="20"/>
        <v>BBB+</v>
      </c>
      <c r="AL33" s="236">
        <f t="shared" ca="1" si="20"/>
        <v>19</v>
      </c>
      <c r="AM33" s="236" t="str">
        <f t="shared" ca="1" si="5"/>
        <v>Change</v>
      </c>
      <c r="AQ33" s="286" t="s">
        <v>58</v>
      </c>
      <c r="AR33" s="286" t="s">
        <v>49</v>
      </c>
      <c r="AS33" s="286">
        <v>17</v>
      </c>
      <c r="AT33" s="286" t="s">
        <v>446</v>
      </c>
      <c r="AV33" s="234">
        <f t="shared" si="21"/>
        <v>39</v>
      </c>
      <c r="AW33" s="234">
        <f>COUNTIF( AV$7:AV33, AV33 )</f>
        <v>8</v>
      </c>
      <c r="AX33" s="287">
        <f t="shared" si="22"/>
        <v>39.799999999999997</v>
      </c>
      <c r="AY33" s="234">
        <f t="shared" si="23"/>
        <v>46</v>
      </c>
      <c r="AZ33" s="236"/>
      <c r="BA33" s="236"/>
      <c r="BC33" s="234">
        <f t="shared" ca="1" si="24"/>
        <v>27</v>
      </c>
      <c r="BD33" s="288">
        <f t="shared" ca="1" si="7"/>
        <v>19</v>
      </c>
      <c r="BF33" s="240" t="str">
        <f t="shared" ca="1" si="8"/>
        <v>Entergy Corporation</v>
      </c>
      <c r="BG33" s="240" t="str">
        <f t="shared" ca="1" si="9"/>
        <v>BBB</v>
      </c>
      <c r="BH33" s="240">
        <f t="shared" ca="1" si="9"/>
        <v>18</v>
      </c>
      <c r="BI33" s="240" t="str">
        <f t="shared" ca="1" si="9"/>
        <v>ETR</v>
      </c>
    </row>
    <row r="34" spans="1:61" x14ac:dyDescent="0.2">
      <c r="A34" s="303" t="s">
        <v>36</v>
      </c>
      <c r="B34" s="304" t="s">
        <v>28</v>
      </c>
      <c r="C34" s="304">
        <v>18</v>
      </c>
      <c r="D34" s="304" t="s">
        <v>297</v>
      </c>
      <c r="E34" s="305" t="str">
        <f t="shared" ca="1" si="0"/>
        <v>R</v>
      </c>
      <c r="F34" s="306"/>
      <c r="G34" s="307">
        <f t="shared" ca="1" si="1"/>
        <v>26</v>
      </c>
      <c r="H34" s="250"/>
      <c r="I34" s="321"/>
      <c r="J34" s="262"/>
      <c r="K34" s="321"/>
      <c r="L34" s="235"/>
      <c r="M34" s="235"/>
      <c r="N34" s="321"/>
      <c r="Q34" s="321"/>
      <c r="T34" s="321"/>
      <c r="W34" s="321"/>
      <c r="AF34" s="236">
        <f t="shared" si="2"/>
        <v>0</v>
      </c>
      <c r="AG34" s="236" t="str">
        <f t="shared" ca="1" si="3"/>
        <v/>
      </c>
      <c r="AH34" s="236" t="str">
        <f t="shared" ca="1" si="19"/>
        <v/>
      </c>
      <c r="AJ34" s="236">
        <f t="shared" ca="1" si="4"/>
        <v>33</v>
      </c>
      <c r="AK34" s="236" t="str">
        <f t="shared" ca="1" si="20"/>
        <v>BBB</v>
      </c>
      <c r="AL34" s="236">
        <f t="shared" ca="1" si="20"/>
        <v>18</v>
      </c>
      <c r="AM34" s="236" t="str">
        <f t="shared" ca="1" si="5"/>
        <v/>
      </c>
      <c r="AQ34" s="286" t="s">
        <v>12</v>
      </c>
      <c r="AR34" s="286" t="s">
        <v>16</v>
      </c>
      <c r="AS34" s="286">
        <v>19</v>
      </c>
      <c r="AT34" s="286" t="s">
        <v>309</v>
      </c>
      <c r="AV34" s="234">
        <f t="shared" si="21"/>
        <v>10</v>
      </c>
      <c r="AW34" s="234">
        <f>COUNTIF( AV$7:AV34, AV34 )</f>
        <v>6</v>
      </c>
      <c r="AX34" s="287">
        <f t="shared" si="22"/>
        <v>10.6</v>
      </c>
      <c r="AY34" s="234">
        <f t="shared" si="23"/>
        <v>15</v>
      </c>
      <c r="AZ34" s="236"/>
      <c r="BA34" s="236"/>
      <c r="BC34" s="234">
        <f t="shared" ca="1" si="24"/>
        <v>28</v>
      </c>
      <c r="BD34" s="288">
        <f t="shared" ca="1" si="7"/>
        <v>20</v>
      </c>
      <c r="BF34" s="240" t="str">
        <f t="shared" ca="1" si="8"/>
        <v>Exelon Corporation</v>
      </c>
      <c r="BG34" s="240" t="str">
        <f t="shared" ca="1" si="9"/>
        <v>BBB</v>
      </c>
      <c r="BH34" s="240">
        <f t="shared" ca="1" si="9"/>
        <v>18</v>
      </c>
      <c r="BI34" s="240" t="str">
        <f t="shared" ca="1" si="9"/>
        <v>EXC</v>
      </c>
    </row>
    <row r="35" spans="1:61" x14ac:dyDescent="0.2">
      <c r="A35" s="303" t="s">
        <v>11</v>
      </c>
      <c r="B35" s="304" t="s">
        <v>28</v>
      </c>
      <c r="C35" s="304">
        <v>18</v>
      </c>
      <c r="D35" s="304" t="s">
        <v>298</v>
      </c>
      <c r="E35" s="305" t="str">
        <f t="shared" ca="1" si="0"/>
        <v>MR</v>
      </c>
      <c r="F35" s="306"/>
      <c r="G35" s="307">
        <f t="shared" ca="1" si="1"/>
        <v>27</v>
      </c>
      <c r="H35" s="250"/>
      <c r="I35" s="321"/>
      <c r="K35" s="321"/>
      <c r="L35" s="235"/>
      <c r="M35" s="235"/>
      <c r="N35" s="321"/>
      <c r="Q35" s="321"/>
      <c r="T35" s="321"/>
      <c r="W35" s="321"/>
      <c r="AF35" s="236">
        <f t="shared" si="2"/>
        <v>0</v>
      </c>
      <c r="AG35" s="236" t="str">
        <f t="shared" ca="1" si="3"/>
        <v/>
      </c>
      <c r="AH35" s="236" t="str">
        <f t="shared" ca="1" si="19"/>
        <v/>
      </c>
      <c r="AJ35" s="236">
        <f t="shared" ca="1" si="4"/>
        <v>34</v>
      </c>
      <c r="AK35" s="236" t="str">
        <f t="shared" ca="1" si="20"/>
        <v>BBB</v>
      </c>
      <c r="AL35" s="236">
        <f t="shared" ca="1" si="20"/>
        <v>18</v>
      </c>
      <c r="AM35" s="236" t="str">
        <f t="shared" ca="1" si="5"/>
        <v/>
      </c>
      <c r="AQ35" s="286" t="s">
        <v>52</v>
      </c>
      <c r="AR35" s="286" t="s">
        <v>16</v>
      </c>
      <c r="AS35" s="286">
        <v>19</v>
      </c>
      <c r="AT35" s="286" t="s">
        <v>447</v>
      </c>
      <c r="AV35" s="234">
        <f t="shared" si="21"/>
        <v>10</v>
      </c>
      <c r="AW35" s="234">
        <f>COUNTIF( AV$7:AV35, AV35 )</f>
        <v>7</v>
      </c>
      <c r="AX35" s="287">
        <f t="shared" si="22"/>
        <v>10.7</v>
      </c>
      <c r="AY35" s="234">
        <f t="shared" si="23"/>
        <v>16</v>
      </c>
      <c r="AZ35" s="236"/>
      <c r="BA35" s="236"/>
      <c r="BC35" s="234">
        <f t="shared" ca="1" si="24"/>
        <v>29</v>
      </c>
      <c r="BD35" s="288">
        <f t="shared" ca="1" si="7"/>
        <v>22</v>
      </c>
      <c r="BF35" s="240" t="str">
        <f t="shared" ca="1" si="8"/>
        <v>Great Plains Energy Inc.</v>
      </c>
      <c r="BG35" s="240" t="str">
        <f t="shared" ca="1" si="9"/>
        <v>BBB</v>
      </c>
      <c r="BH35" s="240">
        <f t="shared" ca="1" si="9"/>
        <v>18</v>
      </c>
      <c r="BI35" s="240" t="str">
        <f t="shared" ca="1" si="9"/>
        <v>GXP</v>
      </c>
    </row>
    <row r="36" spans="1:61" x14ac:dyDescent="0.2">
      <c r="A36" s="303" t="s">
        <v>261</v>
      </c>
      <c r="B36" s="304" t="s">
        <v>28</v>
      </c>
      <c r="C36" s="304">
        <v>18</v>
      </c>
      <c r="D36" s="304" t="s">
        <v>301</v>
      </c>
      <c r="E36" s="305" t="str">
        <f t="shared" ca="1" si="0"/>
        <v>R</v>
      </c>
      <c r="F36" s="306"/>
      <c r="G36" s="307">
        <f t="shared" ca="1" si="1"/>
        <v>29</v>
      </c>
      <c r="H36" s="250"/>
      <c r="I36" s="321"/>
      <c r="J36" s="262"/>
      <c r="K36" s="321"/>
      <c r="L36" s="263"/>
      <c r="M36" s="263"/>
      <c r="N36" s="321"/>
      <c r="Q36" s="321"/>
      <c r="T36" s="321"/>
      <c r="W36" s="321"/>
      <c r="AF36" s="236">
        <f t="shared" si="2"/>
        <v>0</v>
      </c>
      <c r="AG36" s="236" t="str">
        <f t="shared" ca="1" si="3"/>
        <v/>
      </c>
      <c r="AH36" s="236" t="str">
        <f t="shared" ca="1" si="19"/>
        <v/>
      </c>
      <c r="AJ36" s="236">
        <f t="shared" ca="1" si="4"/>
        <v>35</v>
      </c>
      <c r="AK36" s="236" t="str">
        <f t="shared" ca="1" si="20"/>
        <v>BBB</v>
      </c>
      <c r="AL36" s="236">
        <f t="shared" ca="1" si="20"/>
        <v>18</v>
      </c>
      <c r="AM36" s="236" t="str">
        <f t="shared" ca="1" si="5"/>
        <v/>
      </c>
      <c r="AQ36" s="286" t="s">
        <v>370</v>
      </c>
      <c r="AR36" s="286" t="s">
        <v>10</v>
      </c>
      <c r="AS36" s="286">
        <v>20</v>
      </c>
      <c r="AT36" s="286" t="s">
        <v>369</v>
      </c>
      <c r="AV36" s="234">
        <f t="shared" si="21"/>
        <v>2</v>
      </c>
      <c r="AW36" s="234">
        <f>COUNTIF( AV$7:AV36, AV36 )</f>
        <v>4</v>
      </c>
      <c r="AX36" s="287">
        <f t="shared" si="22"/>
        <v>2.4</v>
      </c>
      <c r="AY36" s="234">
        <f t="shared" si="23"/>
        <v>5</v>
      </c>
      <c r="AZ36" s="236"/>
      <c r="BA36" s="236"/>
      <c r="BC36" s="234">
        <f t="shared" ca="1" si="24"/>
        <v>30</v>
      </c>
      <c r="BD36" s="288">
        <f t="shared" ca="1" si="7"/>
        <v>24</v>
      </c>
      <c r="BF36" s="240" t="str">
        <f t="shared" ca="1" si="8"/>
        <v>Iberdrola USA</v>
      </c>
      <c r="BG36" s="240" t="str">
        <f t="shared" ca="1" si="9"/>
        <v>BBB</v>
      </c>
      <c r="BH36" s="240">
        <f t="shared" ca="1" si="9"/>
        <v>18</v>
      </c>
      <c r="BI36" s="240" t="str">
        <f t="shared" ca="1" si="9"/>
        <v>**EAST</v>
      </c>
    </row>
    <row r="37" spans="1:61" x14ac:dyDescent="0.2">
      <c r="A37" s="303" t="s">
        <v>20</v>
      </c>
      <c r="B37" s="304" t="s">
        <v>28</v>
      </c>
      <c r="C37" s="304">
        <v>18</v>
      </c>
      <c r="D37" s="304" t="s">
        <v>303</v>
      </c>
      <c r="E37" s="305" t="str">
        <f t="shared" ca="1" si="0"/>
        <v>R</v>
      </c>
      <c r="F37" s="306"/>
      <c r="G37" s="307">
        <f t="shared" ca="1" si="1"/>
        <v>31</v>
      </c>
      <c r="H37" s="250"/>
      <c r="I37" s="321"/>
      <c r="K37" s="321"/>
      <c r="L37" s="264"/>
      <c r="M37" s="235"/>
      <c r="N37" s="321"/>
      <c r="Q37" s="321"/>
      <c r="T37" s="321"/>
      <c r="W37" s="321"/>
      <c r="AF37" s="236">
        <f t="shared" si="2"/>
        <v>0</v>
      </c>
      <c r="AG37" s="236" t="str">
        <f t="shared" ca="1" si="3"/>
        <v/>
      </c>
      <c r="AH37" s="236" t="str">
        <f t="shared" ca="1" si="19"/>
        <v/>
      </c>
      <c r="AJ37" s="236">
        <f t="shared" ca="1" si="4"/>
        <v>36</v>
      </c>
      <c r="AK37" s="236" t="str">
        <f t="shared" ca="1" si="20"/>
        <v>BBB</v>
      </c>
      <c r="AL37" s="236">
        <f t="shared" ca="1" si="20"/>
        <v>18</v>
      </c>
      <c r="AM37" s="236" t="str">
        <f t="shared" ca="1" si="5"/>
        <v/>
      </c>
      <c r="AQ37" s="286" t="s">
        <v>40</v>
      </c>
      <c r="AR37" s="286" t="s">
        <v>49</v>
      </c>
      <c r="AS37" s="286">
        <v>17</v>
      </c>
      <c r="AT37" s="286" t="s">
        <v>311</v>
      </c>
      <c r="AV37" s="234">
        <f t="shared" si="21"/>
        <v>39</v>
      </c>
      <c r="AW37" s="234">
        <f>COUNTIF( AV$7:AV37, AV37 )</f>
        <v>9</v>
      </c>
      <c r="AX37" s="287">
        <f t="shared" si="22"/>
        <v>39.9</v>
      </c>
      <c r="AY37" s="234">
        <f t="shared" si="23"/>
        <v>47</v>
      </c>
      <c r="AZ37" s="236"/>
      <c r="BA37" s="236"/>
      <c r="BC37" s="234">
        <f t="shared" ca="1" si="24"/>
        <v>31</v>
      </c>
      <c r="BD37" s="288">
        <f t="shared" ca="1" si="7"/>
        <v>25</v>
      </c>
      <c r="BF37" s="240" t="str">
        <f t="shared" ca="1" si="8"/>
        <v>IDACORP, Inc.</v>
      </c>
      <c r="BG37" s="240" t="str">
        <f t="shared" ca="1" si="9"/>
        <v>BBB</v>
      </c>
      <c r="BH37" s="240">
        <f t="shared" ca="1" si="9"/>
        <v>18</v>
      </c>
      <c r="BI37" s="240" t="str">
        <f t="shared" ca="1" si="9"/>
        <v>IDA</v>
      </c>
    </row>
    <row r="38" spans="1:61" x14ac:dyDescent="0.2">
      <c r="A38" s="303" t="s">
        <v>66</v>
      </c>
      <c r="B38" s="304" t="s">
        <v>28</v>
      </c>
      <c r="C38" s="304">
        <v>18</v>
      </c>
      <c r="D38" s="304" t="s">
        <v>315</v>
      </c>
      <c r="E38" s="305" t="str">
        <f t="shared" ca="1" si="0"/>
        <v>R</v>
      </c>
      <c r="F38" s="306"/>
      <c r="G38" s="307">
        <f t="shared" ca="1" si="1"/>
        <v>38</v>
      </c>
      <c r="H38" s="250"/>
      <c r="I38" s="321"/>
      <c r="J38" s="262"/>
      <c r="K38" s="321"/>
      <c r="L38" s="264"/>
      <c r="M38" s="235"/>
      <c r="N38" s="321"/>
      <c r="Q38" s="321"/>
      <c r="T38" s="321"/>
      <c r="W38" s="321"/>
      <c r="AF38" s="236">
        <f t="shared" si="2"/>
        <v>0</v>
      </c>
      <c r="AG38" s="236" t="str">
        <f t="shared" ca="1" si="3"/>
        <v/>
      </c>
      <c r="AH38" s="236" t="str">
        <f t="shared" ca="1" si="19"/>
        <v/>
      </c>
      <c r="AJ38" s="236">
        <f t="shared" ca="1" si="4"/>
        <v>37</v>
      </c>
      <c r="AK38" s="236" t="str">
        <f t="shared" ca="1" si="20"/>
        <v>BBB</v>
      </c>
      <c r="AL38" s="236">
        <f t="shared" ca="1" si="20"/>
        <v>18</v>
      </c>
      <c r="AM38" s="236" t="str">
        <f t="shared" ca="1" si="5"/>
        <v/>
      </c>
      <c r="AQ38" s="286" t="s">
        <v>513</v>
      </c>
      <c r="AR38" s="286" t="s">
        <v>10</v>
      </c>
      <c r="AS38" s="286">
        <v>20</v>
      </c>
      <c r="AT38" s="286" t="s">
        <v>512</v>
      </c>
      <c r="AV38" s="234">
        <f t="shared" si="21"/>
        <v>2</v>
      </c>
      <c r="AW38" s="234">
        <f>COUNTIF( AV$7:AV38, AV38 )</f>
        <v>5</v>
      </c>
      <c r="AX38" s="287">
        <f t="shared" si="22"/>
        <v>2.5</v>
      </c>
      <c r="AY38" s="234">
        <f t="shared" si="23"/>
        <v>6</v>
      </c>
      <c r="AZ38" s="236"/>
      <c r="BA38" s="236"/>
      <c r="BC38" s="234">
        <f t="shared" ca="1" si="24"/>
        <v>32</v>
      </c>
      <c r="BD38" s="288">
        <f t="shared" ca="1" si="7"/>
        <v>33</v>
      </c>
      <c r="BF38" s="240" t="str">
        <f t="shared" ca="1" si="8"/>
        <v>NorthWestern Corporation</v>
      </c>
      <c r="BG38" s="240" t="str">
        <f t="shared" ca="1" si="9"/>
        <v>BBB</v>
      </c>
      <c r="BH38" s="240">
        <f t="shared" ca="1" si="9"/>
        <v>18</v>
      </c>
      <c r="BI38" s="240" t="str">
        <f t="shared" ca="1" si="9"/>
        <v>NWE</v>
      </c>
    </row>
    <row r="39" spans="1:61" x14ac:dyDescent="0.2">
      <c r="A39" s="303" t="s">
        <v>53</v>
      </c>
      <c r="B39" s="304" t="s">
        <v>28</v>
      </c>
      <c r="C39" s="304">
        <v>18</v>
      </c>
      <c r="D39" s="304" t="s">
        <v>318</v>
      </c>
      <c r="E39" s="305" t="str">
        <f t="shared" ref="E39:E59" ca="1" si="25">OFFSET( INDIRECT( E$3 &amp; E$4 ), $G39 - 1, 0 )</f>
        <v>R</v>
      </c>
      <c r="F39" s="306"/>
      <c r="G39" s="307">
        <f t="shared" ref="G39:G65" ca="1" si="26">IF( LEN( $D39 ) = 0, "", MATCH( $D39, INDIRECT( G$3 &amp; G$4 ), 0 ) )</f>
        <v>44</v>
      </c>
      <c r="H39" s="250"/>
      <c r="I39" s="321"/>
      <c r="K39" s="321"/>
      <c r="L39" s="264"/>
      <c r="M39" s="235"/>
      <c r="N39" s="321"/>
      <c r="Q39" s="321"/>
      <c r="T39" s="321"/>
      <c r="W39" s="321"/>
      <c r="AF39" s="236">
        <f t="shared" ref="AF39:AF67" si="27">IF( LEN( C39 ) = 0, 0, IF( C39 = C38, AF38, IF( AF38 = 1, 0, 1 ) ) )</f>
        <v>0</v>
      </c>
      <c r="AG39" s="236" t="str">
        <f t="shared" ca="1" si="3"/>
        <v/>
      </c>
      <c r="AH39" s="236" t="str">
        <f t="shared" ca="1" si="19"/>
        <v/>
      </c>
      <c r="AJ39" s="236">
        <f t="shared" ref="AJ39:AJ67" ca="1" si="28">MATCH( $A39, INDIRECT( AJ$2 ), 0 )</f>
        <v>38</v>
      </c>
      <c r="AK39" s="236" t="str">
        <f t="shared" ca="1" si="20"/>
        <v>BBB</v>
      </c>
      <c r="AL39" s="236">
        <f t="shared" ca="1" si="20"/>
        <v>18</v>
      </c>
      <c r="AM39" s="236" t="str">
        <f t="shared" ref="AM39:AM67" ca="1" si="29">IF( B39 = AK39, "", "Change" )</f>
        <v/>
      </c>
      <c r="AQ39" s="286" t="s">
        <v>66</v>
      </c>
      <c r="AR39" s="286" t="s">
        <v>28</v>
      </c>
      <c r="AS39" s="286">
        <v>18</v>
      </c>
      <c r="AT39" s="289" t="s">
        <v>315</v>
      </c>
      <c r="AV39" s="234">
        <f t="shared" si="21"/>
        <v>23</v>
      </c>
      <c r="AW39" s="234">
        <f>COUNTIF( AV$7:AV39, AV39 )</f>
        <v>10</v>
      </c>
      <c r="AX39" s="287">
        <f t="shared" si="22"/>
        <v>24</v>
      </c>
      <c r="AY39" s="234">
        <f t="shared" si="23"/>
        <v>32</v>
      </c>
      <c r="AZ39" s="236"/>
      <c r="BA39" s="236"/>
      <c r="BC39" s="234">
        <f t="shared" ca="1" si="24"/>
        <v>33</v>
      </c>
      <c r="BD39" s="288">
        <f t="shared" ca="1" si="7"/>
        <v>38</v>
      </c>
      <c r="BF39" s="240" t="str">
        <f t="shared" ref="BF39:BF63" ca="1" si="30">OFFSET( AQ$6, $BD39, 0 )</f>
        <v>PG&amp;E Corporation</v>
      </c>
      <c r="BG39" s="240" t="str">
        <f t="shared" ca="1" si="9"/>
        <v>BBB</v>
      </c>
      <c r="BH39" s="240">
        <f t="shared" ca="1" si="9"/>
        <v>18</v>
      </c>
      <c r="BI39" s="240" t="str">
        <f t="shared" ca="1" si="9"/>
        <v>PCG</v>
      </c>
    </row>
    <row r="40" spans="1:61" x14ac:dyDescent="0.2">
      <c r="A40" s="303" t="s">
        <v>24</v>
      </c>
      <c r="B40" s="304" t="s">
        <v>28</v>
      </c>
      <c r="C40" s="304">
        <v>18</v>
      </c>
      <c r="D40" s="304" t="s">
        <v>324</v>
      </c>
      <c r="E40" s="305" t="str">
        <f t="shared" ca="1" si="25"/>
        <v>R</v>
      </c>
      <c r="F40" s="306"/>
      <c r="G40" s="307">
        <f t="shared" ca="1" si="26"/>
        <v>47</v>
      </c>
      <c r="H40" s="250"/>
      <c r="I40" s="321"/>
      <c r="J40" s="262"/>
      <c r="K40" s="321"/>
      <c r="L40" s="264"/>
      <c r="M40" s="235"/>
      <c r="N40" s="321"/>
      <c r="Q40" s="321"/>
      <c r="T40" s="321"/>
      <c r="W40" s="321"/>
      <c r="AF40" s="236">
        <f t="shared" si="27"/>
        <v>0</v>
      </c>
      <c r="AG40" s="236" t="str">
        <f t="shared" ca="1" si="3"/>
        <v/>
      </c>
      <c r="AH40" s="236" t="str">
        <f t="shared" ca="1" si="19"/>
        <v/>
      </c>
      <c r="AJ40" s="236">
        <f t="shared" ca="1" si="28"/>
        <v>40</v>
      </c>
      <c r="AK40" s="236" t="str">
        <f t="shared" ca="1" si="20"/>
        <v>BBB</v>
      </c>
      <c r="AL40" s="236">
        <f t="shared" ca="1" si="20"/>
        <v>18</v>
      </c>
      <c r="AM40" s="236" t="str">
        <f t="shared" ca="1" si="29"/>
        <v/>
      </c>
      <c r="AQ40" s="286" t="s">
        <v>266</v>
      </c>
      <c r="AR40" s="286" t="s">
        <v>56</v>
      </c>
      <c r="AS40" s="286">
        <v>16</v>
      </c>
      <c r="AT40" s="286" t="s">
        <v>314</v>
      </c>
      <c r="AV40" s="234">
        <f t="shared" si="21"/>
        <v>50</v>
      </c>
      <c r="AW40" s="234">
        <f>COUNTIF( AV$7:AV40, AV40 )</f>
        <v>1</v>
      </c>
      <c r="AX40" s="287">
        <f t="shared" si="22"/>
        <v>50.1</v>
      </c>
      <c r="AY40" s="234">
        <f t="shared" si="23"/>
        <v>50</v>
      </c>
      <c r="AZ40" s="236"/>
      <c r="BA40" s="236"/>
      <c r="BC40" s="234">
        <f t="shared" ca="1" si="24"/>
        <v>34</v>
      </c>
      <c r="BD40" s="288">
        <f t="shared" ca="1" si="7"/>
        <v>41</v>
      </c>
      <c r="BF40" s="240" t="str">
        <f t="shared" ca="1" si="30"/>
        <v>Portland General Electric Company</v>
      </c>
      <c r="BG40" s="240" t="str">
        <f t="shared" ca="1" si="9"/>
        <v>BBB</v>
      </c>
      <c r="BH40" s="240">
        <f t="shared" ca="1" si="9"/>
        <v>18</v>
      </c>
      <c r="BI40" s="240" t="str">
        <f t="shared" ca="1" si="9"/>
        <v>POR</v>
      </c>
    </row>
    <row r="41" spans="1:61" x14ac:dyDescent="0.2">
      <c r="A41" s="303" t="s">
        <v>43</v>
      </c>
      <c r="B41" s="304" t="s">
        <v>28</v>
      </c>
      <c r="C41" s="304">
        <v>18</v>
      </c>
      <c r="D41" s="304" t="s">
        <v>325</v>
      </c>
      <c r="E41" s="305" t="str">
        <f t="shared" ca="1" si="25"/>
        <v>MR</v>
      </c>
      <c r="F41" s="306"/>
      <c r="G41" s="307">
        <f t="shared" ca="1" si="26"/>
        <v>48</v>
      </c>
      <c r="H41" s="250"/>
      <c r="I41" s="321"/>
      <c r="J41" s="262"/>
      <c r="K41" s="321"/>
      <c r="L41" s="264"/>
      <c r="M41" s="235"/>
      <c r="N41" s="321"/>
      <c r="Q41" s="321"/>
      <c r="T41" s="321"/>
      <c r="W41" s="321"/>
      <c r="AF41" s="236">
        <f t="shared" si="27"/>
        <v>0</v>
      </c>
      <c r="AG41" s="236" t="str">
        <f t="shared" ca="1" si="3"/>
        <v/>
      </c>
      <c r="AH41" s="236" t="str">
        <f t="shared" ca="1" si="19"/>
        <v/>
      </c>
      <c r="AJ41" s="236">
        <f t="shared" ca="1" si="28"/>
        <v>41</v>
      </c>
      <c r="AK41" s="236" t="str">
        <f t="shared" ca="1" si="20"/>
        <v>BBB</v>
      </c>
      <c r="AL41" s="236">
        <f t="shared" ca="1" si="20"/>
        <v>18</v>
      </c>
      <c r="AM41" s="236" t="str">
        <f t="shared" ca="1" si="29"/>
        <v/>
      </c>
      <c r="AQ41" s="286" t="s">
        <v>21</v>
      </c>
      <c r="AR41" s="286" t="s">
        <v>16</v>
      </c>
      <c r="AS41" s="286">
        <v>19</v>
      </c>
      <c r="AT41" s="286" t="s">
        <v>316</v>
      </c>
      <c r="AV41" s="234">
        <f t="shared" si="21"/>
        <v>10</v>
      </c>
      <c r="AW41" s="234">
        <f>COUNTIF( AV$7:AV41, AV41 )</f>
        <v>8</v>
      </c>
      <c r="AX41" s="287">
        <f t="shared" si="22"/>
        <v>10.8</v>
      </c>
      <c r="AY41" s="234">
        <f t="shared" si="23"/>
        <v>17</v>
      </c>
      <c r="AZ41" s="236"/>
      <c r="BA41" s="236"/>
      <c r="BC41" s="234">
        <f t="shared" ca="1" si="24"/>
        <v>35</v>
      </c>
      <c r="BD41" s="288">
        <f t="shared" ca="1" si="7"/>
        <v>42</v>
      </c>
      <c r="BF41" s="240" t="str">
        <f t="shared" ca="1" si="30"/>
        <v>PPL Corporation</v>
      </c>
      <c r="BG41" s="240" t="str">
        <f t="shared" ca="1" si="9"/>
        <v>BBB</v>
      </c>
      <c r="BH41" s="240">
        <f t="shared" ca="1" si="9"/>
        <v>18</v>
      </c>
      <c r="BI41" s="240" t="str">
        <f t="shared" ca="1" si="9"/>
        <v>PPL</v>
      </c>
    </row>
    <row r="42" spans="1:61" x14ac:dyDescent="0.2">
      <c r="A42" s="303" t="s">
        <v>45</v>
      </c>
      <c r="B42" s="304" t="s">
        <v>28</v>
      </c>
      <c r="C42" s="304">
        <v>18</v>
      </c>
      <c r="D42" s="304" t="s">
        <v>319</v>
      </c>
      <c r="E42" s="305" t="str">
        <f t="shared" ca="1" si="25"/>
        <v>MR</v>
      </c>
      <c r="F42" s="306"/>
      <c r="G42" s="307">
        <f t="shared" ca="1" si="26"/>
        <v>50</v>
      </c>
      <c r="H42" s="250"/>
      <c r="I42" s="321"/>
      <c r="J42" s="262"/>
      <c r="K42" s="321"/>
      <c r="L42" s="264"/>
      <c r="M42" s="235"/>
      <c r="N42" s="321"/>
      <c r="Q42" s="321"/>
      <c r="T42" s="321"/>
      <c r="W42" s="321"/>
      <c r="AF42" s="236">
        <f t="shared" si="27"/>
        <v>0</v>
      </c>
      <c r="AG42" s="236" t="str">
        <f t="shared" ca="1" si="3"/>
        <v/>
      </c>
      <c r="AH42" s="236" t="str">
        <f t="shared" ca="1" si="19"/>
        <v/>
      </c>
      <c r="AJ42" s="236">
        <f t="shared" ca="1" si="28"/>
        <v>42</v>
      </c>
      <c r="AK42" s="236" t="str">
        <f t="shared" ca="1" si="20"/>
        <v>BBB</v>
      </c>
      <c r="AL42" s="236">
        <f t="shared" ca="1" si="20"/>
        <v>18</v>
      </c>
      <c r="AM42" s="236" t="str">
        <f t="shared" ca="1" si="29"/>
        <v/>
      </c>
      <c r="AQ42" s="286" t="s">
        <v>22</v>
      </c>
      <c r="AR42" s="286" t="s">
        <v>49</v>
      </c>
      <c r="AS42" s="286">
        <v>17</v>
      </c>
      <c r="AT42" s="286" t="s">
        <v>317</v>
      </c>
      <c r="AV42" s="234">
        <f t="shared" si="21"/>
        <v>39</v>
      </c>
      <c r="AW42" s="234">
        <f>COUNTIF( AV$7:AV42, AV42 )</f>
        <v>10</v>
      </c>
      <c r="AX42" s="287">
        <f t="shared" si="22"/>
        <v>40</v>
      </c>
      <c r="AY42" s="234">
        <f t="shared" si="23"/>
        <v>48</v>
      </c>
      <c r="AZ42" s="236"/>
      <c r="BA42" s="236"/>
      <c r="BC42" s="234">
        <f t="shared" ca="1" si="24"/>
        <v>36</v>
      </c>
      <c r="BD42" s="288">
        <f t="shared" ca="1" si="7"/>
        <v>43</v>
      </c>
      <c r="BF42" s="240" t="str">
        <f t="shared" ca="1" si="30"/>
        <v>Public Service Enterprise Group Incorporated</v>
      </c>
      <c r="BG42" s="240" t="str">
        <f t="shared" ca="1" si="9"/>
        <v>BBB</v>
      </c>
      <c r="BH42" s="240">
        <f t="shared" ca="1" si="9"/>
        <v>18</v>
      </c>
      <c r="BI42" s="240" t="str">
        <f t="shared" ca="1" si="9"/>
        <v>PEG</v>
      </c>
    </row>
    <row r="43" spans="1:61" x14ac:dyDescent="0.2">
      <c r="A43" s="303" t="s">
        <v>75</v>
      </c>
      <c r="B43" s="304" t="s">
        <v>28</v>
      </c>
      <c r="C43" s="304">
        <v>18</v>
      </c>
      <c r="D43" s="304" t="s">
        <v>332</v>
      </c>
      <c r="E43" s="305" t="str">
        <f t="shared" ca="1" si="25"/>
        <v>R</v>
      </c>
      <c r="F43" s="306"/>
      <c r="G43" s="307">
        <f t="shared" ca="1" si="26"/>
        <v>55</v>
      </c>
      <c r="H43" s="250"/>
      <c r="I43" s="321"/>
      <c r="J43" s="262"/>
      <c r="K43" s="321"/>
      <c r="L43" s="235"/>
      <c r="M43" s="235"/>
      <c r="N43" s="321"/>
      <c r="Q43" s="321"/>
      <c r="T43" s="321"/>
      <c r="W43" s="321"/>
      <c r="AF43" s="236">
        <f t="shared" si="27"/>
        <v>0</v>
      </c>
      <c r="AG43" s="236" t="str">
        <f t="shared" ca="1" si="3"/>
        <v/>
      </c>
      <c r="AH43" s="236" t="str">
        <f t="shared" ca="1" si="19"/>
        <v/>
      </c>
      <c r="AJ43" s="236">
        <f t="shared" ca="1" si="28"/>
        <v>43</v>
      </c>
      <c r="AK43" s="236" t="str">
        <f t="shared" ca="1" si="20"/>
        <v>BBB</v>
      </c>
      <c r="AL43" s="236">
        <f t="shared" ca="1" si="20"/>
        <v>18</v>
      </c>
      <c r="AM43" s="236" t="str">
        <f t="shared" ca="1" si="29"/>
        <v/>
      </c>
      <c r="AQ43" s="286" t="s">
        <v>23</v>
      </c>
      <c r="AR43" s="286" t="s">
        <v>16</v>
      </c>
      <c r="AS43" s="286">
        <v>19</v>
      </c>
      <c r="AT43" s="286" t="s">
        <v>323</v>
      </c>
      <c r="AV43" s="234">
        <f t="shared" si="21"/>
        <v>10</v>
      </c>
      <c r="AW43" s="234">
        <f>COUNTIF( AV$7:AV43, AV43 )</f>
        <v>9</v>
      </c>
      <c r="AX43" s="287">
        <f t="shared" si="22"/>
        <v>10.9</v>
      </c>
      <c r="AY43" s="234">
        <f t="shared" si="23"/>
        <v>18</v>
      </c>
      <c r="AZ43" s="236"/>
      <c r="BA43" s="236"/>
      <c r="BC43" s="234">
        <f t="shared" ca="1" si="24"/>
        <v>37</v>
      </c>
      <c r="BD43" s="288">
        <f t="shared" ca="1" si="7"/>
        <v>49</v>
      </c>
      <c r="BF43" s="240" t="str">
        <f t="shared" ca="1" si="30"/>
        <v>UIL Holdings Corporation</v>
      </c>
      <c r="BG43" s="240" t="str">
        <f t="shared" ca="1" si="9"/>
        <v>BBB</v>
      </c>
      <c r="BH43" s="240">
        <f t="shared" ca="1" si="9"/>
        <v>18</v>
      </c>
      <c r="BI43" s="240" t="str">
        <f t="shared" ca="1" si="9"/>
        <v>UIL</v>
      </c>
    </row>
    <row r="44" spans="1:61" x14ac:dyDescent="0.2">
      <c r="A44" s="303" t="s">
        <v>59</v>
      </c>
      <c r="B44" s="304" t="s">
        <v>28</v>
      </c>
      <c r="C44" s="304">
        <v>18</v>
      </c>
      <c r="D44" s="304" t="s">
        <v>337</v>
      </c>
      <c r="E44" s="305" t="str">
        <f t="shared" ca="1" si="25"/>
        <v>R</v>
      </c>
      <c r="F44" s="306"/>
      <c r="G44" s="307">
        <f t="shared" ca="1" si="26"/>
        <v>59</v>
      </c>
      <c r="H44" s="250"/>
      <c r="I44" s="321"/>
      <c r="J44" s="262"/>
      <c r="K44" s="321"/>
      <c r="L44" s="235"/>
      <c r="M44" s="235"/>
      <c r="N44" s="321"/>
      <c r="Q44" s="321"/>
      <c r="T44" s="321"/>
      <c r="W44" s="321"/>
      <c r="AF44" s="236">
        <f t="shared" si="27"/>
        <v>0</v>
      </c>
      <c r="AG44" s="236" t="str">
        <f t="shared" ca="1" si="3"/>
        <v/>
      </c>
      <c r="AH44" s="236" t="str">
        <f t="shared" ca="1" si="19"/>
        <v/>
      </c>
      <c r="AJ44" s="236">
        <f t="shared" ca="1" si="28"/>
        <v>44</v>
      </c>
      <c r="AK44" s="236" t="str">
        <f t="shared" ca="1" si="20"/>
        <v>BBB</v>
      </c>
      <c r="AL44" s="236">
        <f t="shared" ca="1" si="20"/>
        <v>18</v>
      </c>
      <c r="AM44" s="236" t="str">
        <f t="shared" ca="1" si="29"/>
        <v/>
      </c>
      <c r="AQ44" s="286" t="s">
        <v>53</v>
      </c>
      <c r="AR44" s="286" t="s">
        <v>28</v>
      </c>
      <c r="AS44" s="286">
        <v>18</v>
      </c>
      <c r="AT44" s="286" t="s">
        <v>318</v>
      </c>
      <c r="AV44" s="234">
        <f t="shared" si="21"/>
        <v>23</v>
      </c>
      <c r="AW44" s="234">
        <f>COUNTIF( AV$7:AV44, AV44 )</f>
        <v>11</v>
      </c>
      <c r="AX44" s="287">
        <f t="shared" si="22"/>
        <v>24.1</v>
      </c>
      <c r="AY44" s="234">
        <f t="shared" si="23"/>
        <v>33</v>
      </c>
      <c r="AZ44" s="236"/>
      <c r="BA44" s="236"/>
      <c r="BC44" s="234">
        <f t="shared" ca="1" si="24"/>
        <v>38</v>
      </c>
      <c r="BD44" s="288">
        <f t="shared" ca="1" si="7"/>
        <v>51</v>
      </c>
      <c r="BF44" s="240" t="str">
        <f t="shared" ca="1" si="30"/>
        <v>Westar Energy, Inc.</v>
      </c>
      <c r="BG44" s="240" t="str">
        <f t="shared" ca="1" si="9"/>
        <v>BBB</v>
      </c>
      <c r="BH44" s="240">
        <f t="shared" ca="1" si="9"/>
        <v>18</v>
      </c>
      <c r="BI44" s="240" t="str">
        <f t="shared" ca="1" si="9"/>
        <v>WR</v>
      </c>
    </row>
    <row r="45" spans="1:61" x14ac:dyDescent="0.2">
      <c r="A45" s="303" t="s">
        <v>9</v>
      </c>
      <c r="B45" s="304" t="s">
        <v>49</v>
      </c>
      <c r="C45" s="304">
        <v>17</v>
      </c>
      <c r="D45" s="304" t="s">
        <v>274</v>
      </c>
      <c r="E45" s="305" t="str">
        <f t="shared" ca="1" si="25"/>
        <v>R</v>
      </c>
      <c r="F45" s="306"/>
      <c r="G45" s="307">
        <f t="shared" ca="1" si="26"/>
        <v>9</v>
      </c>
      <c r="H45" s="250"/>
      <c r="I45" s="321"/>
      <c r="J45" s="262"/>
      <c r="K45" s="321"/>
      <c r="L45" s="235"/>
      <c r="M45" s="235"/>
      <c r="N45" s="321"/>
      <c r="Q45" s="321"/>
      <c r="T45" s="321"/>
      <c r="W45" s="321"/>
      <c r="AF45" s="236">
        <f t="shared" si="27"/>
        <v>1</v>
      </c>
      <c r="AG45" s="236" t="str">
        <f t="shared" ca="1" si="3"/>
        <v/>
      </c>
      <c r="AH45" s="236" t="str">
        <f t="shared" ca="1" si="19"/>
        <v/>
      </c>
      <c r="AJ45" s="236">
        <f t="shared" ca="1" si="28"/>
        <v>45</v>
      </c>
      <c r="AK45" s="236" t="str">
        <f t="shared" ca="1" si="20"/>
        <v>BBB-</v>
      </c>
      <c r="AL45" s="236">
        <f t="shared" ca="1" si="20"/>
        <v>17</v>
      </c>
      <c r="AM45" s="236" t="str">
        <f t="shared" ca="1" si="29"/>
        <v/>
      </c>
      <c r="AQ45" s="286" t="s">
        <v>41</v>
      </c>
      <c r="AR45" s="286" t="s">
        <v>16</v>
      </c>
      <c r="AS45" s="286">
        <v>19</v>
      </c>
      <c r="AT45" s="286" t="s">
        <v>322</v>
      </c>
      <c r="AV45" s="234">
        <f t="shared" si="21"/>
        <v>10</v>
      </c>
      <c r="AW45" s="234">
        <f>COUNTIF( AV$7:AV45, AV45 )</f>
        <v>10</v>
      </c>
      <c r="AX45" s="287">
        <f t="shared" si="22"/>
        <v>11</v>
      </c>
      <c r="AY45" s="234">
        <f t="shared" si="23"/>
        <v>19</v>
      </c>
      <c r="AZ45" s="236"/>
      <c r="BA45" s="236"/>
      <c r="BC45" s="234">
        <f t="shared" ca="1" si="24"/>
        <v>39</v>
      </c>
      <c r="BD45" s="288">
        <f t="shared" ca="1" si="7"/>
        <v>3</v>
      </c>
      <c r="BF45" s="240" t="str">
        <f t="shared" ca="1" si="30"/>
        <v>Ameren Corporation</v>
      </c>
      <c r="BG45" s="240" t="str">
        <f t="shared" ca="1" si="9"/>
        <v>BBB-</v>
      </c>
      <c r="BH45" s="240">
        <f t="shared" ca="1" si="9"/>
        <v>17</v>
      </c>
      <c r="BI45" s="240" t="str">
        <f t="shared" ca="1" si="9"/>
        <v>AEE</v>
      </c>
    </row>
    <row r="46" spans="1:61" x14ac:dyDescent="0.2">
      <c r="A46" s="303" t="s">
        <v>48</v>
      </c>
      <c r="B46" s="304" t="s">
        <v>49</v>
      </c>
      <c r="C46" s="304">
        <v>17</v>
      </c>
      <c r="D46" s="304" t="s">
        <v>280</v>
      </c>
      <c r="E46" s="305" t="str">
        <f t="shared" ca="1" si="25"/>
        <v>MR</v>
      </c>
      <c r="F46" s="306"/>
      <c r="G46" s="307">
        <f t="shared" ca="1" si="26"/>
        <v>12</v>
      </c>
      <c r="H46" s="250"/>
      <c r="I46" s="262"/>
      <c r="K46" s="262"/>
      <c r="N46" s="257"/>
      <c r="W46" s="262"/>
      <c r="AF46" s="236">
        <f t="shared" si="27"/>
        <v>1</v>
      </c>
      <c r="AG46" s="236" t="str">
        <f t="shared" ca="1" si="3"/>
        <v/>
      </c>
      <c r="AH46" s="236" t="str">
        <f t="shared" ca="1" si="19"/>
        <v/>
      </c>
      <c r="AJ46" s="236">
        <f t="shared" ca="1" si="28"/>
        <v>46</v>
      </c>
      <c r="AK46" s="236" t="str">
        <f t="shared" ca="1" si="20"/>
        <v>BBB-</v>
      </c>
      <c r="AL46" s="236">
        <f t="shared" ca="1" si="20"/>
        <v>17</v>
      </c>
      <c r="AM46" s="236" t="str">
        <f t="shared" ca="1" si="29"/>
        <v/>
      </c>
      <c r="AQ46" s="286" t="s">
        <v>42</v>
      </c>
      <c r="AR46" s="286" t="s">
        <v>49</v>
      </c>
      <c r="AS46" s="286">
        <v>17</v>
      </c>
      <c r="AT46" s="286" t="s">
        <v>321</v>
      </c>
      <c r="AV46" s="234">
        <f t="shared" si="21"/>
        <v>39</v>
      </c>
      <c r="AW46" s="234">
        <f>COUNTIF( AV$7:AV46, AV46 )</f>
        <v>11</v>
      </c>
      <c r="AX46" s="287">
        <f t="shared" si="22"/>
        <v>40.1</v>
      </c>
      <c r="AY46" s="234">
        <f t="shared" si="23"/>
        <v>49</v>
      </c>
      <c r="AZ46" s="236"/>
      <c r="BA46" s="236"/>
      <c r="BC46" s="234">
        <f t="shared" ca="1" si="24"/>
        <v>40</v>
      </c>
      <c r="BD46" s="288">
        <f t="shared" ca="1" si="7"/>
        <v>6</v>
      </c>
      <c r="BF46" s="240" t="str">
        <f t="shared" ca="1" si="30"/>
        <v>Black Hills Corporation</v>
      </c>
      <c r="BG46" s="240" t="str">
        <f t="shared" ca="1" si="9"/>
        <v>BBB-</v>
      </c>
      <c r="BH46" s="240">
        <f t="shared" ca="1" si="9"/>
        <v>17</v>
      </c>
      <c r="BI46" s="240" t="str">
        <f t="shared" ca="1" si="9"/>
        <v>BKH</v>
      </c>
    </row>
    <row r="47" spans="1:61" x14ac:dyDescent="0.2">
      <c r="A47" s="303" t="s">
        <v>60</v>
      </c>
      <c r="B47" s="304" t="s">
        <v>49</v>
      </c>
      <c r="C47" s="304">
        <v>17</v>
      </c>
      <c r="D47" s="304" t="s">
        <v>284</v>
      </c>
      <c r="E47" s="305" t="str">
        <f t="shared" ca="1" si="25"/>
        <v>R</v>
      </c>
      <c r="F47" s="306"/>
      <c r="G47" s="307">
        <f t="shared" ca="1" si="26"/>
        <v>17</v>
      </c>
      <c r="H47" s="250"/>
      <c r="I47" s="250"/>
      <c r="J47" s="258" t="s">
        <v>268</v>
      </c>
      <c r="K47" s="262"/>
      <c r="M47" s="253"/>
      <c r="N47" s="253"/>
      <c r="AF47" s="236">
        <f t="shared" si="27"/>
        <v>1</v>
      </c>
      <c r="AG47" s="236" t="str">
        <f t="shared" ca="1" si="3"/>
        <v/>
      </c>
      <c r="AH47" s="236" t="str">
        <f t="shared" ca="1" si="19"/>
        <v/>
      </c>
      <c r="AJ47" s="236">
        <f t="shared" ca="1" si="28"/>
        <v>47</v>
      </c>
      <c r="AK47" s="236" t="str">
        <f t="shared" ca="1" si="20"/>
        <v>BBB-</v>
      </c>
      <c r="AL47" s="236">
        <f t="shared" ca="1" si="20"/>
        <v>17</v>
      </c>
      <c r="AM47" s="236" t="str">
        <f t="shared" ca="1" si="29"/>
        <v/>
      </c>
      <c r="AQ47" s="286" t="s">
        <v>24</v>
      </c>
      <c r="AR47" s="286" t="s">
        <v>28</v>
      </c>
      <c r="AS47" s="286">
        <v>18</v>
      </c>
      <c r="AT47" s="286" t="s">
        <v>324</v>
      </c>
      <c r="AV47" s="234">
        <f t="shared" si="21"/>
        <v>23</v>
      </c>
      <c r="AW47" s="234">
        <f>COUNTIF( AV$7:AV47, AV47 )</f>
        <v>12</v>
      </c>
      <c r="AX47" s="287">
        <f t="shared" si="22"/>
        <v>24.2</v>
      </c>
      <c r="AY47" s="234">
        <f t="shared" si="23"/>
        <v>34</v>
      </c>
      <c r="AZ47" s="236"/>
      <c r="BA47" s="236"/>
      <c r="BC47" s="234">
        <f t="shared" ca="1" si="24"/>
        <v>41</v>
      </c>
      <c r="BD47" s="288">
        <f t="shared" ca="1" si="7"/>
        <v>9</v>
      </c>
      <c r="BF47" s="240" t="str">
        <f t="shared" ca="1" si="30"/>
        <v>CMS Energy Corporation</v>
      </c>
      <c r="BG47" s="240" t="str">
        <f t="shared" ca="1" si="9"/>
        <v>BBB-</v>
      </c>
      <c r="BH47" s="240">
        <f t="shared" ca="1" si="9"/>
        <v>17</v>
      </c>
      <c r="BI47" s="240" t="str">
        <f t="shared" ca="1" si="9"/>
        <v>CMS</v>
      </c>
    </row>
    <row r="48" spans="1:61" x14ac:dyDescent="0.2">
      <c r="A48" s="303" t="s">
        <v>57</v>
      </c>
      <c r="B48" s="304" t="s">
        <v>49</v>
      </c>
      <c r="C48" s="304">
        <v>17</v>
      </c>
      <c r="D48" s="304" t="s">
        <v>296</v>
      </c>
      <c r="E48" s="305" t="str">
        <f t="shared" ca="1" si="25"/>
        <v>R</v>
      </c>
      <c r="F48" s="306"/>
      <c r="G48" s="307">
        <f t="shared" ca="1" si="26"/>
        <v>23</v>
      </c>
      <c r="H48" s="250"/>
      <c r="I48" s="250"/>
      <c r="K48" s="262"/>
      <c r="M48" s="253"/>
      <c r="N48" s="253"/>
      <c r="AF48" s="236">
        <f t="shared" si="27"/>
        <v>1</v>
      </c>
      <c r="AG48" s="236" t="str">
        <f t="shared" ca="1" si="3"/>
        <v/>
      </c>
      <c r="AH48" s="236" t="str">
        <f t="shared" ca="1" si="19"/>
        <v/>
      </c>
      <c r="AJ48" s="236">
        <f t="shared" ca="1" si="28"/>
        <v>49</v>
      </c>
      <c r="AK48" s="236" t="str">
        <f t="shared" ca="1" si="20"/>
        <v>BBB-</v>
      </c>
      <c r="AL48" s="236">
        <f t="shared" ca="1" si="20"/>
        <v>17</v>
      </c>
      <c r="AM48" s="236" t="str">
        <f t="shared" ca="1" si="29"/>
        <v/>
      </c>
      <c r="AQ48" s="286" t="s">
        <v>43</v>
      </c>
      <c r="AR48" s="286" t="s">
        <v>28</v>
      </c>
      <c r="AS48" s="286">
        <v>18</v>
      </c>
      <c r="AT48" s="286" t="s">
        <v>325</v>
      </c>
      <c r="AV48" s="234">
        <f t="shared" si="21"/>
        <v>23</v>
      </c>
      <c r="AW48" s="234">
        <f>COUNTIF( AV$7:AV48, AV48 )</f>
        <v>13</v>
      </c>
      <c r="AX48" s="287">
        <f t="shared" si="22"/>
        <v>24.3</v>
      </c>
      <c r="AY48" s="234">
        <f t="shared" si="23"/>
        <v>35</v>
      </c>
      <c r="AZ48" s="236"/>
      <c r="BA48" s="236"/>
      <c r="BC48" s="234">
        <f t="shared" ca="1" si="24"/>
        <v>42</v>
      </c>
      <c r="BD48" s="288">
        <f t="shared" ca="1" si="7"/>
        <v>15</v>
      </c>
      <c r="BF48" s="240" t="str">
        <f t="shared" ca="1" si="30"/>
        <v>Edison International</v>
      </c>
      <c r="BG48" s="240" t="str">
        <f t="shared" ca="1" si="9"/>
        <v>BBB-</v>
      </c>
      <c r="BH48" s="240">
        <f t="shared" ca="1" si="9"/>
        <v>17</v>
      </c>
      <c r="BI48" s="240" t="str">
        <f t="shared" ca="1" si="9"/>
        <v>EIX</v>
      </c>
    </row>
    <row r="49" spans="1:61" x14ac:dyDescent="0.2">
      <c r="A49" s="303" t="s">
        <v>35</v>
      </c>
      <c r="B49" s="304" t="s">
        <v>49</v>
      </c>
      <c r="C49" s="304">
        <v>17</v>
      </c>
      <c r="D49" s="304" t="s">
        <v>293</v>
      </c>
      <c r="E49" s="305" t="str">
        <f t="shared" ca="1" si="25"/>
        <v>R</v>
      </c>
      <c r="F49" s="306"/>
      <c r="G49" s="307">
        <f t="shared" ca="1" si="26"/>
        <v>25</v>
      </c>
      <c r="H49" s="250"/>
      <c r="I49" s="250"/>
      <c r="J49" s="262"/>
      <c r="K49" s="262"/>
      <c r="M49" s="253"/>
      <c r="N49" s="253"/>
      <c r="AF49" s="236">
        <f t="shared" si="27"/>
        <v>1</v>
      </c>
      <c r="AG49" s="236" t="str">
        <f t="shared" ca="1" si="3"/>
        <v/>
      </c>
      <c r="AH49" s="236" t="str">
        <f t="shared" ca="1" si="19"/>
        <v/>
      </c>
      <c r="AJ49" s="236">
        <f t="shared" ca="1" si="28"/>
        <v>50</v>
      </c>
      <c r="AK49" s="236" t="str">
        <f t="shared" ca="1" si="20"/>
        <v>BBB-</v>
      </c>
      <c r="AL49" s="236">
        <f t="shared" ca="1" si="20"/>
        <v>17</v>
      </c>
      <c r="AM49" s="236" t="str">
        <f t="shared" ca="1" si="29"/>
        <v/>
      </c>
      <c r="AQ49" s="286" t="s">
        <v>45</v>
      </c>
      <c r="AR49" s="286" t="s">
        <v>28</v>
      </c>
      <c r="AS49" s="286">
        <v>18</v>
      </c>
      <c r="AT49" s="286" t="s">
        <v>319</v>
      </c>
      <c r="AV49" s="234">
        <f t="shared" si="21"/>
        <v>23</v>
      </c>
      <c r="AW49" s="234">
        <f>COUNTIF( AV$7:AV49, AV49 )</f>
        <v>14</v>
      </c>
      <c r="AX49" s="287">
        <f t="shared" si="22"/>
        <v>24.4</v>
      </c>
      <c r="AY49" s="234">
        <f t="shared" si="23"/>
        <v>36</v>
      </c>
      <c r="AZ49" s="236"/>
      <c r="BA49" s="236"/>
      <c r="BC49" s="234">
        <f t="shared" ca="1" si="24"/>
        <v>43</v>
      </c>
      <c r="BD49" s="288">
        <f t="shared" ca="1" si="7"/>
        <v>17</v>
      </c>
      <c r="BF49" s="240" t="str">
        <f t="shared" ca="1" si="30"/>
        <v>Empire District Electric Company</v>
      </c>
      <c r="BG49" s="240" t="str">
        <f t="shared" ca="1" si="9"/>
        <v>BBB-</v>
      </c>
      <c r="BH49" s="240">
        <f t="shared" ca="1" si="9"/>
        <v>17</v>
      </c>
      <c r="BI49" s="240" t="str">
        <f t="shared" ca="1" si="9"/>
        <v>EDE</v>
      </c>
    </row>
    <row r="50" spans="1:61" x14ac:dyDescent="0.2">
      <c r="A50" s="303" t="s">
        <v>51</v>
      </c>
      <c r="B50" s="304" t="s">
        <v>49</v>
      </c>
      <c r="C50" s="304">
        <v>17</v>
      </c>
      <c r="D50" s="304" t="s">
        <v>299</v>
      </c>
      <c r="E50" s="305" t="str">
        <f t="shared" ca="1" si="25"/>
        <v>MR</v>
      </c>
      <c r="F50" s="306"/>
      <c r="G50" s="307">
        <f t="shared" ca="1" si="26"/>
        <v>28</v>
      </c>
      <c r="H50" s="250"/>
      <c r="I50" s="250"/>
      <c r="J50" s="262"/>
      <c r="K50" s="262"/>
      <c r="L50" s="235"/>
      <c r="M50" s="257"/>
      <c r="N50" s="257"/>
      <c r="AF50" s="236">
        <f t="shared" si="27"/>
        <v>1</v>
      </c>
      <c r="AG50" s="236" t="str">
        <f t="shared" ca="1" si="3"/>
        <v/>
      </c>
      <c r="AH50" s="236" t="str">
        <f t="shared" ca="1" si="19"/>
        <v/>
      </c>
      <c r="AJ50" s="236">
        <f t="shared" ca="1" si="28"/>
        <v>51</v>
      </c>
      <c r="AK50" s="236" t="str">
        <f t="shared" ca="1" si="20"/>
        <v>BBB-</v>
      </c>
      <c r="AL50" s="236">
        <f t="shared" ca="1" si="20"/>
        <v>17</v>
      </c>
      <c r="AM50" s="236" t="str">
        <f t="shared" ca="1" si="29"/>
        <v/>
      </c>
      <c r="AQ50" s="286" t="s">
        <v>54</v>
      </c>
      <c r="AR50" s="286" t="s">
        <v>56</v>
      </c>
      <c r="AS50" s="286">
        <v>16</v>
      </c>
      <c r="AT50" s="286" t="s">
        <v>449</v>
      </c>
      <c r="AV50" s="234">
        <f t="shared" si="21"/>
        <v>50</v>
      </c>
      <c r="AW50" s="234">
        <f>COUNTIF( AV$7:AV50, AV50 )</f>
        <v>2</v>
      </c>
      <c r="AX50" s="287">
        <f t="shared" si="22"/>
        <v>50.2</v>
      </c>
      <c r="AY50" s="234">
        <f t="shared" si="23"/>
        <v>51</v>
      </c>
      <c r="AZ50" s="236"/>
      <c r="BA50" s="236"/>
      <c r="BC50" s="234">
        <f t="shared" ca="1" si="24"/>
        <v>44</v>
      </c>
      <c r="BD50" s="288">
        <f t="shared" ca="1" si="7"/>
        <v>21</v>
      </c>
      <c r="BF50" s="240" t="str">
        <f t="shared" ca="1" si="30"/>
        <v>FirstEnergy Corp.</v>
      </c>
      <c r="BG50" s="240" t="str">
        <f t="shared" ca="1" si="9"/>
        <v>BBB-</v>
      </c>
      <c r="BH50" s="240">
        <f t="shared" ca="1" si="9"/>
        <v>17</v>
      </c>
      <c r="BI50" s="240" t="str">
        <f t="shared" ca="1" si="9"/>
        <v>FE</v>
      </c>
    </row>
    <row r="51" spans="1:61" x14ac:dyDescent="0.2">
      <c r="A51" s="303" t="s">
        <v>39</v>
      </c>
      <c r="B51" s="304" t="s">
        <v>49</v>
      </c>
      <c r="C51" s="304">
        <v>17</v>
      </c>
      <c r="D51" s="304" t="s">
        <v>302</v>
      </c>
      <c r="E51" s="305" t="str">
        <f t="shared" ca="1" si="25"/>
        <v>D</v>
      </c>
      <c r="F51" s="306"/>
      <c r="G51" s="307">
        <f t="shared" ca="1" si="26"/>
        <v>30</v>
      </c>
      <c r="H51" s="250"/>
      <c r="I51" s="250"/>
      <c r="J51" s="262"/>
      <c r="K51" s="262"/>
      <c r="L51" s="235"/>
      <c r="M51" s="257"/>
      <c r="N51" s="257"/>
      <c r="AF51" s="236">
        <f t="shared" si="27"/>
        <v>1</v>
      </c>
      <c r="AG51" s="236" t="str">
        <f t="shared" ca="1" si="3"/>
        <v/>
      </c>
      <c r="AH51" s="236" t="str">
        <f t="shared" ca="1" si="19"/>
        <v/>
      </c>
      <c r="AJ51" s="236">
        <f t="shared" ca="1" si="28"/>
        <v>52</v>
      </c>
      <c r="AK51" s="236" t="str">
        <f t="shared" ca="1" si="20"/>
        <v>BBB-</v>
      </c>
      <c r="AL51" s="236">
        <f t="shared" ca="1" si="20"/>
        <v>17</v>
      </c>
      <c r="AM51" s="236" t="str">
        <f t="shared" ca="1" si="29"/>
        <v/>
      </c>
      <c r="AQ51" s="286" t="s">
        <v>13</v>
      </c>
      <c r="AR51" s="286" t="s">
        <v>16</v>
      </c>
      <c r="AS51" s="286">
        <v>19</v>
      </c>
      <c r="AT51" s="286" t="s">
        <v>327</v>
      </c>
      <c r="AV51" s="234">
        <f t="shared" si="21"/>
        <v>10</v>
      </c>
      <c r="AW51" s="234">
        <f>COUNTIF( AV$7:AV51, AV51 )</f>
        <v>11</v>
      </c>
      <c r="AX51" s="287">
        <f t="shared" si="22"/>
        <v>11.1</v>
      </c>
      <c r="AY51" s="234">
        <f t="shared" si="23"/>
        <v>20</v>
      </c>
      <c r="AZ51" s="236"/>
      <c r="BA51" s="236"/>
      <c r="BC51" s="234">
        <f t="shared" ca="1" si="24"/>
        <v>45</v>
      </c>
      <c r="BD51" s="288">
        <f t="shared" ca="1" si="7"/>
        <v>23</v>
      </c>
      <c r="BF51" s="240" t="str">
        <f t="shared" ca="1" si="30"/>
        <v>Hawaiian Electric Industries, Inc.</v>
      </c>
      <c r="BG51" s="240" t="str">
        <f t="shared" ca="1" si="9"/>
        <v>BBB-</v>
      </c>
      <c r="BH51" s="240">
        <f t="shared" ca="1" si="9"/>
        <v>17</v>
      </c>
      <c r="BI51" s="240" t="str">
        <f t="shared" ca="1" si="9"/>
        <v>HE</v>
      </c>
    </row>
    <row r="52" spans="1:61" x14ac:dyDescent="0.2">
      <c r="A52" s="303" t="s">
        <v>58</v>
      </c>
      <c r="B52" s="304" t="s">
        <v>49</v>
      </c>
      <c r="C52" s="304">
        <v>17</v>
      </c>
      <c r="D52" s="304" t="s">
        <v>446</v>
      </c>
      <c r="E52" s="305" t="str">
        <f t="shared" ca="1" si="25"/>
        <v>R</v>
      </c>
      <c r="F52" s="306"/>
      <c r="G52" s="307">
        <f t="shared" ca="1" si="26"/>
        <v>66</v>
      </c>
      <c r="H52" s="250"/>
      <c r="I52" s="250"/>
      <c r="J52" s="262"/>
      <c r="K52" s="262"/>
      <c r="AF52" s="236">
        <f t="shared" si="27"/>
        <v>1</v>
      </c>
      <c r="AG52" s="236" t="str">
        <f t="shared" ca="1" si="3"/>
        <v/>
      </c>
      <c r="AH52" s="236" t="str">
        <f t="shared" ca="1" si="19"/>
        <v/>
      </c>
      <c r="AJ52" s="236">
        <f t="shared" ca="1" si="28"/>
        <v>53</v>
      </c>
      <c r="AK52" s="236" t="str">
        <f t="shared" ca="1" si="20"/>
        <v>BBB-</v>
      </c>
      <c r="AL52" s="236">
        <f t="shared" ca="1" si="20"/>
        <v>17</v>
      </c>
      <c r="AM52" s="236" t="str">
        <f t="shared" ca="1" si="29"/>
        <v/>
      </c>
      <c r="AQ52" s="286" t="s">
        <v>25</v>
      </c>
      <c r="AR52" s="286" t="s">
        <v>16</v>
      </c>
      <c r="AS52" s="286">
        <v>19</v>
      </c>
      <c r="AT52" s="286" t="s">
        <v>329</v>
      </c>
      <c r="AV52" s="234">
        <f t="shared" si="21"/>
        <v>10</v>
      </c>
      <c r="AW52" s="234">
        <f>COUNTIF( AV$7:AV52, AV52 )</f>
        <v>12</v>
      </c>
      <c r="AX52" s="287">
        <f t="shared" si="22"/>
        <v>11.2</v>
      </c>
      <c r="AY52" s="234">
        <f t="shared" si="23"/>
        <v>21</v>
      </c>
      <c r="AZ52" s="236"/>
      <c r="BA52" s="236"/>
      <c r="BC52" s="234">
        <f t="shared" ca="1" si="24"/>
        <v>46</v>
      </c>
      <c r="BD52" s="288">
        <f t="shared" ca="1" si="7"/>
        <v>27</v>
      </c>
      <c r="BF52" s="240" t="str">
        <f t="shared" ca="1" si="30"/>
        <v>IPALCO Enterprises, Inc.</v>
      </c>
      <c r="BG52" s="240" t="str">
        <f t="shared" ca="1" si="9"/>
        <v>BBB-</v>
      </c>
      <c r="BH52" s="240">
        <f t="shared" ca="1" si="9"/>
        <v>17</v>
      </c>
      <c r="BI52" s="240" t="str">
        <f t="shared" ca="1" si="9"/>
        <v>**IPALCO</v>
      </c>
    </row>
    <row r="53" spans="1:61" x14ac:dyDescent="0.2">
      <c r="A53" s="303" t="s">
        <v>40</v>
      </c>
      <c r="B53" s="304" t="s">
        <v>49</v>
      </c>
      <c r="C53" s="304">
        <v>17</v>
      </c>
      <c r="D53" s="304" t="s">
        <v>311</v>
      </c>
      <c r="E53" s="305" t="str">
        <f t="shared" ca="1" si="25"/>
        <v>MR</v>
      </c>
      <c r="F53" s="306"/>
      <c r="G53" s="307">
        <f t="shared" ca="1" si="26"/>
        <v>36</v>
      </c>
      <c r="H53" s="250"/>
      <c r="I53" s="250"/>
      <c r="J53" s="262"/>
      <c r="K53" s="262"/>
      <c r="AF53" s="236">
        <f t="shared" si="27"/>
        <v>1</v>
      </c>
      <c r="AG53" s="236" t="str">
        <f t="shared" ca="1" si="3"/>
        <v/>
      </c>
      <c r="AH53" s="236" t="str">
        <f t="shared" ca="1" si="19"/>
        <v/>
      </c>
      <c r="AJ53" s="236">
        <f t="shared" ca="1" si="28"/>
        <v>54</v>
      </c>
      <c r="AK53" s="236" t="str">
        <f t="shared" ca="1" si="20"/>
        <v>BBB-</v>
      </c>
      <c r="AL53" s="236">
        <f t="shared" ca="1" si="20"/>
        <v>17</v>
      </c>
      <c r="AM53" s="236" t="str">
        <f t="shared" ca="1" si="29"/>
        <v/>
      </c>
      <c r="AQ53" s="286" t="s">
        <v>7</v>
      </c>
      <c r="AR53" s="286" t="s">
        <v>2</v>
      </c>
      <c r="AS53" s="286">
        <v>21</v>
      </c>
      <c r="AT53" s="286" t="s">
        <v>328</v>
      </c>
      <c r="AV53" s="234">
        <f t="shared" si="21"/>
        <v>1</v>
      </c>
      <c r="AW53" s="234">
        <f>COUNTIF( AV$7:AV53, AV53 )</f>
        <v>1</v>
      </c>
      <c r="AX53" s="287">
        <f t="shared" si="22"/>
        <v>1.1000000000000001</v>
      </c>
      <c r="AY53" s="234">
        <f t="shared" si="23"/>
        <v>1</v>
      </c>
      <c r="AZ53" s="236"/>
      <c r="BA53" s="236"/>
      <c r="BC53" s="234">
        <f t="shared" ca="1" si="24"/>
        <v>47</v>
      </c>
      <c r="BD53" s="288">
        <f t="shared" ca="1" si="7"/>
        <v>31</v>
      </c>
      <c r="BF53" s="240" t="str">
        <f t="shared" ca="1" si="30"/>
        <v>NiSource Inc.</v>
      </c>
      <c r="BG53" s="240" t="str">
        <f t="shared" ca="1" si="9"/>
        <v>BBB-</v>
      </c>
      <c r="BH53" s="240">
        <f t="shared" ca="1" si="9"/>
        <v>17</v>
      </c>
      <c r="BI53" s="240" t="str">
        <f t="shared" ca="1" si="9"/>
        <v>NI</v>
      </c>
    </row>
    <row r="54" spans="1:61" x14ac:dyDescent="0.2">
      <c r="A54" s="303" t="s">
        <v>22</v>
      </c>
      <c r="B54" s="304" t="s">
        <v>49</v>
      </c>
      <c r="C54" s="304">
        <v>17</v>
      </c>
      <c r="D54" s="304" t="s">
        <v>317</v>
      </c>
      <c r="E54" s="305" t="str">
        <f t="shared" ca="1" si="25"/>
        <v>MR</v>
      </c>
      <c r="F54" s="306"/>
      <c r="G54" s="307">
        <f t="shared" ca="1" si="26"/>
        <v>42</v>
      </c>
      <c r="H54" s="250"/>
      <c r="I54" s="250"/>
      <c r="J54" s="262"/>
      <c r="K54" s="262"/>
      <c r="AF54" s="236">
        <f t="shared" si="27"/>
        <v>1</v>
      </c>
      <c r="AG54" s="236" t="str">
        <f t="shared" ca="1" si="3"/>
        <v/>
      </c>
      <c r="AH54" s="236" t="str">
        <f t="shared" ca="1" si="19"/>
        <v/>
      </c>
      <c r="AJ54" s="236">
        <f t="shared" ca="1" si="28"/>
        <v>55</v>
      </c>
      <c r="AK54" s="236" t="str">
        <f t="shared" ca="1" si="20"/>
        <v>BBB-</v>
      </c>
      <c r="AL54" s="236">
        <f t="shared" ca="1" si="20"/>
        <v>17</v>
      </c>
      <c r="AM54" s="236" t="str">
        <f t="shared" ca="1" si="29"/>
        <v/>
      </c>
      <c r="AQ54" s="286" t="s">
        <v>62</v>
      </c>
      <c r="AR54" s="286" t="s">
        <v>16</v>
      </c>
      <c r="AS54" s="286">
        <v>19</v>
      </c>
      <c r="AT54" s="289" t="s">
        <v>330</v>
      </c>
      <c r="AV54" s="234">
        <f t="shared" si="21"/>
        <v>10</v>
      </c>
      <c r="AW54" s="234">
        <f>COUNTIF( AV$7:AV54, AV54 )</f>
        <v>13</v>
      </c>
      <c r="AX54" s="287">
        <f t="shared" si="22"/>
        <v>11.3</v>
      </c>
      <c r="AY54" s="234">
        <f t="shared" si="23"/>
        <v>22</v>
      </c>
      <c r="AZ54" s="236"/>
      <c r="BA54" s="236"/>
      <c r="BC54" s="234">
        <f t="shared" ca="1" si="24"/>
        <v>48</v>
      </c>
      <c r="BD54" s="288">
        <f t="shared" ca="1" si="7"/>
        <v>36</v>
      </c>
      <c r="BF54" s="240" t="str">
        <f t="shared" ca="1" si="30"/>
        <v>Otter Tail Corporation</v>
      </c>
      <c r="BG54" s="240" t="str">
        <f t="shared" ca="1" si="9"/>
        <v>BBB-</v>
      </c>
      <c r="BH54" s="240">
        <f t="shared" ca="1" si="9"/>
        <v>17</v>
      </c>
      <c r="BI54" s="240" t="str">
        <f t="shared" ca="1" si="9"/>
        <v>OTTR</v>
      </c>
    </row>
    <row r="55" spans="1:61" x14ac:dyDescent="0.2">
      <c r="A55" s="303" t="s">
        <v>42</v>
      </c>
      <c r="B55" s="304" t="s">
        <v>49</v>
      </c>
      <c r="C55" s="304">
        <v>17</v>
      </c>
      <c r="D55" s="304" t="s">
        <v>321</v>
      </c>
      <c r="E55" s="305" t="str">
        <f t="shared" ca="1" si="25"/>
        <v>R</v>
      </c>
      <c r="F55" s="306"/>
      <c r="G55" s="307">
        <f t="shared" ca="1" si="26"/>
        <v>46</v>
      </c>
      <c r="H55" s="250"/>
      <c r="I55" s="250"/>
      <c r="J55" s="262"/>
      <c r="K55" s="262"/>
      <c r="AF55" s="236">
        <f t="shared" si="27"/>
        <v>1</v>
      </c>
      <c r="AG55" s="236" t="str">
        <f t="shared" ca="1" si="3"/>
        <v/>
      </c>
      <c r="AH55" s="236" t="str">
        <f t="shared" ca="1" si="19"/>
        <v/>
      </c>
      <c r="AJ55" s="236">
        <f t="shared" ca="1" si="28"/>
        <v>56</v>
      </c>
      <c r="AK55" s="236" t="str">
        <f t="shared" ca="1" si="20"/>
        <v>BBB-</v>
      </c>
      <c r="AL55" s="236">
        <f t="shared" ca="1" si="20"/>
        <v>17</v>
      </c>
      <c r="AM55" s="236" t="str">
        <f t="shared" ca="1" si="29"/>
        <v/>
      </c>
      <c r="AQ55" s="286" t="s">
        <v>75</v>
      </c>
      <c r="AR55" s="286" t="s">
        <v>28</v>
      </c>
      <c r="AS55" s="286">
        <v>18</v>
      </c>
      <c r="AT55" s="286" t="s">
        <v>332</v>
      </c>
      <c r="AV55" s="234">
        <f t="shared" si="21"/>
        <v>23</v>
      </c>
      <c r="AW55" s="234">
        <f>COUNTIF( AV$7:AV55, AV55 )</f>
        <v>15</v>
      </c>
      <c r="AX55" s="287">
        <f t="shared" si="22"/>
        <v>24.5</v>
      </c>
      <c r="AY55" s="234">
        <f t="shared" si="23"/>
        <v>37</v>
      </c>
      <c r="AZ55" s="236"/>
      <c r="BA55" s="236"/>
      <c r="BC55" s="234">
        <f t="shared" ca="1" si="24"/>
        <v>49</v>
      </c>
      <c r="BD55" s="288">
        <f t="shared" ca="1" si="7"/>
        <v>40</v>
      </c>
      <c r="BF55" s="240" t="str">
        <f t="shared" ca="1" si="30"/>
        <v>PNM Resources, Inc.</v>
      </c>
      <c r="BG55" s="240" t="str">
        <f t="shared" ca="1" si="9"/>
        <v>BBB-</v>
      </c>
      <c r="BH55" s="240">
        <f t="shared" ca="1" si="9"/>
        <v>17</v>
      </c>
      <c r="BI55" s="240" t="str">
        <f t="shared" ca="1" si="9"/>
        <v>PNM</v>
      </c>
    </row>
    <row r="56" spans="1:61" x14ac:dyDescent="0.2">
      <c r="A56" s="303" t="s">
        <v>266</v>
      </c>
      <c r="B56" s="304" t="s">
        <v>56</v>
      </c>
      <c r="C56" s="304">
        <v>16</v>
      </c>
      <c r="D56" s="304" t="s">
        <v>314</v>
      </c>
      <c r="E56" s="305" t="str">
        <f t="shared" ca="1" si="25"/>
        <v>R</v>
      </c>
      <c r="F56" s="306"/>
      <c r="G56" s="307">
        <f t="shared" ca="1" si="26"/>
        <v>40</v>
      </c>
      <c r="H56" s="250"/>
      <c r="I56" s="250"/>
      <c r="J56" s="262"/>
      <c r="K56" s="262"/>
      <c r="AF56" s="236">
        <f t="shared" si="27"/>
        <v>0</v>
      </c>
      <c r="AG56" s="236" t="str">
        <f t="shared" ca="1" si="3"/>
        <v/>
      </c>
      <c r="AH56" s="236" t="str">
        <f t="shared" ca="1" si="19"/>
        <v/>
      </c>
      <c r="AJ56" s="236">
        <f t="shared" ca="1" si="28"/>
        <v>57</v>
      </c>
      <c r="AK56" s="236" t="str">
        <f t="shared" ca="1" si="20"/>
        <v>BB+</v>
      </c>
      <c r="AL56" s="236">
        <f t="shared" ca="1" si="20"/>
        <v>16</v>
      </c>
      <c r="AM56" s="236" t="str">
        <f t="shared" ca="1" si="29"/>
        <v/>
      </c>
      <c r="AQ56" s="286" t="s">
        <v>14</v>
      </c>
      <c r="AR56" s="286" t="s">
        <v>10</v>
      </c>
      <c r="AS56" s="286">
        <v>20</v>
      </c>
      <c r="AT56" s="286" t="s">
        <v>335</v>
      </c>
      <c r="AV56" s="234">
        <f t="shared" si="21"/>
        <v>2</v>
      </c>
      <c r="AW56" s="234">
        <f>COUNTIF( AV$7:AV56, AV56 )</f>
        <v>6</v>
      </c>
      <c r="AX56" s="287">
        <f t="shared" si="22"/>
        <v>2.6</v>
      </c>
      <c r="AY56" s="234">
        <f t="shared" si="23"/>
        <v>7</v>
      </c>
      <c r="AZ56" s="236"/>
      <c r="BA56" s="236"/>
      <c r="BC56" s="234">
        <f t="shared" ca="1" si="24"/>
        <v>50</v>
      </c>
      <c r="BD56" s="288">
        <f t="shared" ca="1" si="7"/>
        <v>34</v>
      </c>
      <c r="BF56" s="240" t="str">
        <f t="shared" ca="1" si="30"/>
        <v>NV Energy, Inc.</v>
      </c>
      <c r="BG56" s="240" t="str">
        <f t="shared" ca="1" si="9"/>
        <v>BB+</v>
      </c>
      <c r="BH56" s="240">
        <f t="shared" ca="1" si="9"/>
        <v>16</v>
      </c>
      <c r="BI56" s="240" t="str">
        <f t="shared" ca="1" si="9"/>
        <v>NVE</v>
      </c>
    </row>
    <row r="57" spans="1:61" x14ac:dyDescent="0.2">
      <c r="A57" s="303" t="s">
        <v>54</v>
      </c>
      <c r="B57" s="304" t="s">
        <v>56</v>
      </c>
      <c r="C57" s="304">
        <v>16</v>
      </c>
      <c r="D57" s="304" t="s">
        <v>449</v>
      </c>
      <c r="E57" s="305" t="str">
        <f t="shared" ca="1" si="25"/>
        <v>R</v>
      </c>
      <c r="F57" s="306"/>
      <c r="G57" s="307">
        <f t="shared" ca="1" si="26"/>
        <v>68</v>
      </c>
      <c r="H57" s="250"/>
      <c r="I57" s="250"/>
      <c r="J57" s="262"/>
      <c r="K57" s="262"/>
      <c r="AF57" s="236">
        <f t="shared" si="27"/>
        <v>0</v>
      </c>
      <c r="AG57" s="236" t="str">
        <f t="shared" ca="1" si="3"/>
        <v/>
      </c>
      <c r="AH57" s="236" t="str">
        <f t="shared" ca="1" si="19"/>
        <v/>
      </c>
      <c r="AJ57" s="236">
        <f t="shared" ca="1" si="28"/>
        <v>58</v>
      </c>
      <c r="AK57" s="236" t="str">
        <f t="shared" ca="1" si="20"/>
        <v>BB+</v>
      </c>
      <c r="AL57" s="236">
        <f t="shared" ca="1" si="20"/>
        <v>16</v>
      </c>
      <c r="AM57" s="236" t="str">
        <f t="shared" ca="1" si="29"/>
        <v/>
      </c>
      <c r="AQ57" s="286" t="s">
        <v>59</v>
      </c>
      <c r="AR57" s="286" t="s">
        <v>28</v>
      </c>
      <c r="AS57" s="286">
        <v>18</v>
      </c>
      <c r="AT57" s="286" t="s">
        <v>337</v>
      </c>
      <c r="AV57" s="234">
        <f t="shared" si="21"/>
        <v>23</v>
      </c>
      <c r="AW57" s="234">
        <f>COUNTIF( AV$7:AV57, AV57 )</f>
        <v>16</v>
      </c>
      <c r="AX57" s="287">
        <f t="shared" si="22"/>
        <v>24.6</v>
      </c>
      <c r="AY57" s="234">
        <f t="shared" si="23"/>
        <v>38</v>
      </c>
      <c r="AZ57" s="236"/>
      <c r="BA57" s="236"/>
      <c r="BC57" s="234">
        <f t="shared" ca="1" si="24"/>
        <v>51</v>
      </c>
      <c r="BD57" s="288">
        <f t="shared" ca="1" si="7"/>
        <v>44</v>
      </c>
      <c r="BF57" s="240" t="str">
        <f t="shared" ca="1" si="30"/>
        <v>Puget Energy, Inc.</v>
      </c>
      <c r="BG57" s="240" t="str">
        <f t="shared" ca="1" si="9"/>
        <v>BB+</v>
      </c>
      <c r="BH57" s="240">
        <f t="shared" ca="1" si="9"/>
        <v>16</v>
      </c>
      <c r="BI57" s="240" t="str">
        <f t="shared" ca="1" si="9"/>
        <v>**PSD</v>
      </c>
    </row>
    <row r="58" spans="1:61" x14ac:dyDescent="0.2">
      <c r="A58" s="303" t="s">
        <v>64</v>
      </c>
      <c r="B58" s="304" t="s">
        <v>61</v>
      </c>
      <c r="C58" s="304">
        <v>15</v>
      </c>
      <c r="D58" s="304" t="s">
        <v>443</v>
      </c>
      <c r="E58" s="305" t="str">
        <f t="shared" ca="1" si="25"/>
        <v>R</v>
      </c>
      <c r="F58" s="306"/>
      <c r="G58" s="307">
        <f t="shared" ca="1" si="26"/>
        <v>64</v>
      </c>
      <c r="H58" s="250"/>
      <c r="I58" s="250"/>
      <c r="J58" s="262"/>
      <c r="K58" s="262"/>
      <c r="AF58" s="236">
        <f t="shared" si="27"/>
        <v>1</v>
      </c>
      <c r="AG58" s="236" t="str">
        <f t="shared" ca="1" si="3"/>
        <v/>
      </c>
      <c r="AH58" s="236">
        <f t="shared" ca="1" si="19"/>
        <v>1</v>
      </c>
      <c r="AJ58" s="236">
        <f t="shared" ca="1" si="28"/>
        <v>48</v>
      </c>
      <c r="AK58" s="236" t="str">
        <f t="shared" ca="1" si="20"/>
        <v>BBB-</v>
      </c>
      <c r="AL58" s="236">
        <f t="shared" ca="1" si="20"/>
        <v>17</v>
      </c>
      <c r="AM58" s="236" t="str">
        <f t="shared" ca="1" si="29"/>
        <v>Change</v>
      </c>
      <c r="AQ58" s="286" t="s">
        <v>26</v>
      </c>
      <c r="AR58" s="286" t="s">
        <v>10</v>
      </c>
      <c r="AS58" s="286">
        <v>20</v>
      </c>
      <c r="AT58" s="286" t="s">
        <v>336</v>
      </c>
      <c r="AV58" s="234">
        <f t="shared" si="21"/>
        <v>2</v>
      </c>
      <c r="AW58" s="234">
        <f>COUNTIF( AV$7:AV58, AV58 )</f>
        <v>7</v>
      </c>
      <c r="AX58" s="287">
        <f t="shared" si="22"/>
        <v>2.7</v>
      </c>
      <c r="AY58" s="234">
        <f t="shared" si="23"/>
        <v>8</v>
      </c>
      <c r="AZ58" s="236"/>
      <c r="BA58" s="236"/>
      <c r="BC58" s="234">
        <f t="shared" ca="1" si="24"/>
        <v>52</v>
      </c>
      <c r="BD58" s="288">
        <f t="shared" ca="1" si="7"/>
        <v>12</v>
      </c>
      <c r="BF58" s="240" t="str">
        <f t="shared" ca="1" si="30"/>
        <v>DPL Inc.</v>
      </c>
      <c r="BG58" s="240" t="str">
        <f t="shared" ca="1" si="9"/>
        <v>BB</v>
      </c>
      <c r="BH58" s="240">
        <f t="shared" ca="1" si="9"/>
        <v>15</v>
      </c>
      <c r="BI58" s="240" t="str">
        <f t="shared" ca="1" si="9"/>
        <v>**DPL</v>
      </c>
    </row>
    <row r="59" spans="1:61" x14ac:dyDescent="0.2">
      <c r="A59" s="303" t="s">
        <v>249</v>
      </c>
      <c r="B59" s="304" t="s">
        <v>423</v>
      </c>
      <c r="C59" s="304">
        <v>2</v>
      </c>
      <c r="D59" s="304" t="s">
        <v>445</v>
      </c>
      <c r="E59" s="305" t="str">
        <f t="shared" ca="1" si="25"/>
        <v>D</v>
      </c>
      <c r="F59" s="306"/>
      <c r="G59" s="307">
        <f t="shared" ca="1" si="26"/>
        <v>65</v>
      </c>
      <c r="H59" s="250"/>
      <c r="I59" s="250"/>
      <c r="J59" s="262"/>
      <c r="K59" s="262"/>
      <c r="AF59" s="236">
        <f t="shared" si="27"/>
        <v>0</v>
      </c>
      <c r="AG59" s="236" t="str">
        <f t="shared" ca="1" si="3"/>
        <v/>
      </c>
      <c r="AH59" s="236">
        <f t="shared" ca="1" si="19"/>
        <v>1</v>
      </c>
      <c r="AJ59" s="236">
        <f t="shared" ca="1" si="28"/>
        <v>59</v>
      </c>
      <c r="AK59" s="236" t="str">
        <f t="shared" ca="1" si="20"/>
        <v>CCC</v>
      </c>
      <c r="AL59" s="236">
        <f t="shared" ca="1" si="20"/>
        <v>9</v>
      </c>
      <c r="AM59" s="236" t="str">
        <f t="shared" ca="1" si="29"/>
        <v>Change</v>
      </c>
      <c r="AQ59" s="286" t="s">
        <v>258</v>
      </c>
      <c r="AR59" s="286" t="s">
        <v>10</v>
      </c>
      <c r="AS59" s="286">
        <v>20</v>
      </c>
      <c r="AT59" s="286" t="s">
        <v>338</v>
      </c>
      <c r="AV59" s="234">
        <f t="shared" si="21"/>
        <v>2</v>
      </c>
      <c r="AW59" s="234">
        <f>COUNTIF( AV$7:AV59, AV59 )</f>
        <v>8</v>
      </c>
      <c r="AX59" s="287">
        <f t="shared" si="22"/>
        <v>2.8</v>
      </c>
      <c r="AY59" s="234">
        <f t="shared" si="23"/>
        <v>9</v>
      </c>
      <c r="AZ59" s="236"/>
      <c r="BA59" s="236"/>
      <c r="BC59" s="234">
        <f t="shared" ca="1" si="24"/>
        <v>53</v>
      </c>
      <c r="BD59" s="288">
        <f t="shared" ca="1" si="7"/>
        <v>18</v>
      </c>
      <c r="BF59" s="240" t="str">
        <f t="shared" ca="1" si="30"/>
        <v>Energy Future Holdings Corp.</v>
      </c>
      <c r="BG59" s="240" t="str">
        <f t="shared" ca="1" si="9"/>
        <v>SD</v>
      </c>
      <c r="BH59" s="240">
        <f t="shared" ca="1" si="9"/>
        <v>2</v>
      </c>
      <c r="BI59" s="240" t="str">
        <f t="shared" ca="1" si="9"/>
        <v>**EFH</v>
      </c>
    </row>
    <row r="60" spans="1:61" x14ac:dyDescent="0.2">
      <c r="A60" s="247"/>
      <c r="B60" s="248"/>
      <c r="C60" s="248"/>
      <c r="D60" s="248"/>
      <c r="E60" s="249"/>
      <c r="F60" s="250"/>
      <c r="G60" s="251" t="str">
        <f t="shared" ca="1" si="26"/>
        <v/>
      </c>
      <c r="H60" s="250"/>
      <c r="I60" s="250"/>
      <c r="AF60" s="236">
        <f t="shared" si="27"/>
        <v>0</v>
      </c>
      <c r="AG60" s="236" t="str">
        <f t="shared" si="3"/>
        <v/>
      </c>
      <c r="AH60" s="236" t="str">
        <f t="shared" si="19"/>
        <v/>
      </c>
      <c r="AJ60" s="236" t="e">
        <f t="shared" ca="1" si="28"/>
        <v>#N/A</v>
      </c>
      <c r="AK60" s="236" t="str">
        <f t="shared" ca="1" si="20"/>
        <v/>
      </c>
      <c r="AL60" s="236" t="str">
        <f t="shared" ca="1" si="20"/>
        <v/>
      </c>
      <c r="AM60" s="236" t="str">
        <f t="shared" ca="1" si="29"/>
        <v/>
      </c>
      <c r="AQ60" s="286"/>
      <c r="AR60" s="286"/>
      <c r="AS60" s="286"/>
      <c r="AT60" s="286"/>
      <c r="AV60" s="234">
        <f t="shared" si="21"/>
        <v>99</v>
      </c>
      <c r="AW60" s="234">
        <f>COUNTIF( AV$7:AV60, AV60 )</f>
        <v>1</v>
      </c>
      <c r="AX60" s="287">
        <f t="shared" si="22"/>
        <v>99.1</v>
      </c>
      <c r="AY60" s="234">
        <f t="shared" si="23"/>
        <v>54</v>
      </c>
      <c r="AZ60" s="236"/>
      <c r="BA60" s="236"/>
      <c r="BC60" s="234">
        <f t="shared" ca="1" si="24"/>
        <v>54</v>
      </c>
      <c r="BD60" s="288">
        <f t="shared" ca="1" si="7"/>
        <v>54</v>
      </c>
      <c r="BF60" s="240">
        <f t="shared" ca="1" si="30"/>
        <v>0</v>
      </c>
      <c r="BG60" s="240">
        <f t="shared" ca="1" si="9"/>
        <v>0</v>
      </c>
      <c r="BH60" s="240">
        <f t="shared" ca="1" si="9"/>
        <v>0</v>
      </c>
      <c r="BI60" s="240">
        <f t="shared" ca="1" si="9"/>
        <v>0</v>
      </c>
    </row>
    <row r="61" spans="1:61" ht="13.5" thickBot="1" x14ac:dyDescent="0.25">
      <c r="A61" s="265"/>
      <c r="B61" s="266"/>
      <c r="C61" s="266"/>
      <c r="D61" s="266"/>
      <c r="E61" s="267"/>
      <c r="F61" s="250"/>
      <c r="G61" s="251" t="str">
        <f t="shared" ca="1" si="26"/>
        <v/>
      </c>
      <c r="H61" s="250"/>
      <c r="I61" s="250"/>
      <c r="AF61" s="236">
        <f t="shared" si="27"/>
        <v>0</v>
      </c>
      <c r="AG61" s="236" t="str">
        <f t="shared" si="3"/>
        <v/>
      </c>
      <c r="AH61" s="236" t="str">
        <f t="shared" si="19"/>
        <v/>
      </c>
      <c r="AJ61" s="236" t="e">
        <f t="shared" ca="1" si="28"/>
        <v>#N/A</v>
      </c>
      <c r="AK61" s="236" t="str">
        <f t="shared" ca="1" si="20"/>
        <v/>
      </c>
      <c r="AL61" s="236" t="str">
        <f t="shared" ca="1" si="20"/>
        <v/>
      </c>
      <c r="AM61" s="236" t="str">
        <f t="shared" ca="1" si="29"/>
        <v/>
      </c>
      <c r="AQ61" s="286"/>
      <c r="AR61" s="286"/>
      <c r="AS61" s="286"/>
      <c r="AT61" s="286"/>
      <c r="AV61" s="234">
        <f t="shared" si="21"/>
        <v>99</v>
      </c>
      <c r="AW61" s="234">
        <f>COUNTIF( AV$7:AV61, AV61 )</f>
        <v>2</v>
      </c>
      <c r="AX61" s="287">
        <f t="shared" si="22"/>
        <v>99.2</v>
      </c>
      <c r="AY61" s="234">
        <f t="shared" si="23"/>
        <v>55</v>
      </c>
      <c r="AZ61" s="236"/>
      <c r="BA61" s="236"/>
      <c r="BC61" s="234">
        <f t="shared" ca="1" si="24"/>
        <v>55</v>
      </c>
      <c r="BD61" s="288">
        <f t="shared" ca="1" si="7"/>
        <v>55</v>
      </c>
      <c r="BF61" s="240">
        <f t="shared" ca="1" si="30"/>
        <v>0</v>
      </c>
      <c r="BG61" s="240">
        <f t="shared" ca="1" si="9"/>
        <v>0</v>
      </c>
      <c r="BH61" s="240">
        <f t="shared" ca="1" si="9"/>
        <v>0</v>
      </c>
      <c r="BI61" s="240">
        <f t="shared" ca="1" si="9"/>
        <v>0</v>
      </c>
    </row>
    <row r="62" spans="1:61" x14ac:dyDescent="0.2">
      <c r="A62" s="308" t="s">
        <v>474</v>
      </c>
      <c r="B62" s="309" t="s">
        <v>108</v>
      </c>
      <c r="C62" s="309">
        <v>23</v>
      </c>
      <c r="D62" s="309" t="s">
        <v>440</v>
      </c>
      <c r="E62" s="310" t="str">
        <f ca="1">OFFSET( INDIRECT( E$3 &amp; E$4 ), $G62 - 1, 0 )</f>
        <v>MR</v>
      </c>
      <c r="F62" s="311"/>
      <c r="G62" s="312">
        <f t="shared" ca="1" si="26"/>
        <v>34</v>
      </c>
      <c r="H62" s="250"/>
      <c r="I62" s="250"/>
      <c r="AF62" s="236">
        <f t="shared" si="27"/>
        <v>1</v>
      </c>
      <c r="AG62" s="236" t="str">
        <f t="shared" ca="1" si="3"/>
        <v/>
      </c>
      <c r="AH62" s="236" t="str">
        <f t="shared" ca="1" si="19"/>
        <v/>
      </c>
      <c r="AJ62" s="236">
        <f t="shared" ca="1" si="28"/>
        <v>62</v>
      </c>
      <c r="AK62" s="236" t="str">
        <f t="shared" ca="1" si="20"/>
        <v>AA-</v>
      </c>
      <c r="AL62" s="236">
        <f t="shared" ca="1" si="20"/>
        <v>23</v>
      </c>
      <c r="AM62" s="236" t="str">
        <f t="shared" ca="1" si="29"/>
        <v/>
      </c>
      <c r="AQ62" s="286"/>
      <c r="AR62" s="286"/>
      <c r="AS62" s="286"/>
      <c r="AT62" s="286"/>
      <c r="AV62" s="234">
        <f t="shared" si="21"/>
        <v>99</v>
      </c>
      <c r="AW62" s="234">
        <f>COUNTIF( AV$7:AV62, AV62 )</f>
        <v>3</v>
      </c>
      <c r="AX62" s="287">
        <f t="shared" si="22"/>
        <v>99.3</v>
      </c>
      <c r="AY62" s="234">
        <f t="shared" si="23"/>
        <v>56</v>
      </c>
      <c r="AZ62" s="236"/>
      <c r="BA62" s="236"/>
      <c r="BC62" s="234">
        <f t="shared" ca="1" si="24"/>
        <v>56</v>
      </c>
      <c r="BD62" s="288">
        <f t="shared" ca="1" si="7"/>
        <v>56</v>
      </c>
      <c r="BF62" s="240">
        <f t="shared" ca="1" si="30"/>
        <v>0</v>
      </c>
      <c r="BG62" s="240">
        <f t="shared" ca="1" si="9"/>
        <v>0</v>
      </c>
      <c r="BH62" s="240">
        <f t="shared" ca="1" si="9"/>
        <v>0</v>
      </c>
      <c r="BI62" s="240">
        <f t="shared" ca="1" si="9"/>
        <v>0</v>
      </c>
    </row>
    <row r="63" spans="1:61" x14ac:dyDescent="0.2">
      <c r="A63" s="303" t="s">
        <v>475</v>
      </c>
      <c r="B63" s="304" t="s">
        <v>2</v>
      </c>
      <c r="C63" s="304">
        <v>21</v>
      </c>
      <c r="D63" s="304" t="s">
        <v>441</v>
      </c>
      <c r="E63" s="305" t="str">
        <f ca="1">OFFSET( INDIRECT( E$3 &amp; E$4 ), $G63 - 1, 0 )</f>
        <v>R</v>
      </c>
      <c r="F63" s="306"/>
      <c r="G63" s="307">
        <f t="shared" ca="1" si="26"/>
        <v>15</v>
      </c>
      <c r="H63" s="250"/>
      <c r="I63" s="250"/>
      <c r="AF63" s="236">
        <f t="shared" si="27"/>
        <v>0</v>
      </c>
      <c r="AG63" s="236" t="str">
        <f t="shared" ca="1" si="3"/>
        <v/>
      </c>
      <c r="AH63" s="236" t="str">
        <f t="shared" ca="1" si="19"/>
        <v/>
      </c>
      <c r="AJ63" s="236">
        <f t="shared" ca="1" si="28"/>
        <v>63</v>
      </c>
      <c r="AK63" s="236" t="str">
        <f t="shared" ca="1" si="20"/>
        <v>A</v>
      </c>
      <c r="AL63" s="236">
        <f t="shared" ca="1" si="20"/>
        <v>21</v>
      </c>
      <c r="AM63" s="236" t="str">
        <f t="shared" ca="1" si="29"/>
        <v/>
      </c>
      <c r="AQ63" s="286"/>
      <c r="AR63" s="286"/>
      <c r="AS63" s="286"/>
      <c r="AT63" s="286"/>
      <c r="AU63" s="286"/>
      <c r="AV63" s="234">
        <f t="shared" si="21"/>
        <v>99</v>
      </c>
      <c r="AW63" s="234">
        <f>COUNTIF( AV$7:AV63, AV63 )</f>
        <v>4</v>
      </c>
      <c r="AX63" s="287">
        <f t="shared" si="22"/>
        <v>99.4</v>
      </c>
      <c r="AY63" s="234">
        <f t="shared" si="23"/>
        <v>57</v>
      </c>
      <c r="AZ63" s="236"/>
      <c r="BA63" s="236"/>
      <c r="BC63" s="234">
        <f t="shared" ca="1" si="24"/>
        <v>57</v>
      </c>
      <c r="BD63" s="288">
        <f ca="1">MATCH( BC63, $AY$7:$AY$63, 0 )</f>
        <v>57</v>
      </c>
      <c r="BF63" s="240">
        <f t="shared" ca="1" si="30"/>
        <v>0</v>
      </c>
      <c r="BG63" s="240">
        <f t="shared" ref="BG63:BI63" ca="1" si="31">OFFSET( AR$6, $BD63, 0 )</f>
        <v>0</v>
      </c>
      <c r="BH63" s="240">
        <f t="shared" ca="1" si="31"/>
        <v>0</v>
      </c>
      <c r="BI63" s="240">
        <f t="shared" ca="1" si="31"/>
        <v>0</v>
      </c>
    </row>
    <row r="64" spans="1:61" x14ac:dyDescent="0.2">
      <c r="A64" s="303" t="s">
        <v>476</v>
      </c>
      <c r="B64" s="304" t="s">
        <v>56</v>
      </c>
      <c r="C64" s="304">
        <v>16</v>
      </c>
      <c r="D64" s="304" t="s">
        <v>442</v>
      </c>
      <c r="E64" s="305" t="str">
        <f ca="1">OFFSET( INDIRECT( E$3 &amp; E$4 ), $G64 - 1, 0 )</f>
        <v>R</v>
      </c>
      <c r="F64" s="306"/>
      <c r="G64" s="307">
        <f t="shared" ca="1" si="26"/>
        <v>57</v>
      </c>
      <c r="H64" s="250"/>
      <c r="I64" s="250"/>
      <c r="AF64" s="236">
        <f t="shared" si="27"/>
        <v>1</v>
      </c>
      <c r="AG64" s="236" t="str">
        <f t="shared" ca="1" si="3"/>
        <v/>
      </c>
      <c r="AH64" s="236" t="str">
        <f t="shared" ca="1" si="19"/>
        <v/>
      </c>
      <c r="AJ64" s="236">
        <f t="shared" ca="1" si="28"/>
        <v>64</v>
      </c>
      <c r="AK64" s="236" t="str">
        <f t="shared" ca="1" si="20"/>
        <v>BB+</v>
      </c>
      <c r="AL64" s="236">
        <f t="shared" ca="1" si="20"/>
        <v>16</v>
      </c>
      <c r="AM64" s="236" t="str">
        <f t="shared" ca="1" si="29"/>
        <v/>
      </c>
      <c r="AQ64" s="286" t="s">
        <v>475</v>
      </c>
      <c r="AR64" s="286" t="s">
        <v>2</v>
      </c>
      <c r="AS64" s="286">
        <v>21</v>
      </c>
      <c r="AT64" s="286" t="s">
        <v>441</v>
      </c>
      <c r="AU64" s="286"/>
      <c r="AZ64" s="236"/>
      <c r="BA64" s="236"/>
      <c r="BF64" s="236"/>
    </row>
    <row r="65" spans="1:58" x14ac:dyDescent="0.2">
      <c r="A65" s="303" t="s">
        <v>477</v>
      </c>
      <c r="B65" s="313"/>
      <c r="C65" s="304"/>
      <c r="D65" s="304" t="s">
        <v>448</v>
      </c>
      <c r="E65" s="305" t="str">
        <f ca="1">OFFSET( INDIRECT( E$3 &amp; E$4 ), $G65 - 1, 0 )</f>
        <v>R</v>
      </c>
      <c r="F65" s="306"/>
      <c r="G65" s="307">
        <f t="shared" ca="1" si="26"/>
        <v>56</v>
      </c>
      <c r="H65" s="250"/>
      <c r="I65" s="250"/>
      <c r="N65" s="234" t="s">
        <v>73</v>
      </c>
      <c r="AF65" s="236">
        <f t="shared" si="27"/>
        <v>0</v>
      </c>
      <c r="AG65" s="236" t="str">
        <f>IF( LEN( $C65 ) = 0, "", IF( $C65 &gt; $AL65, 1, "" ) )</f>
        <v/>
      </c>
      <c r="AH65" s="236" t="str">
        <f t="shared" si="19"/>
        <v/>
      </c>
      <c r="AJ65" s="236">
        <f t="shared" ca="1" si="28"/>
        <v>65</v>
      </c>
      <c r="AK65" s="236">
        <f t="shared" ca="1" si="20"/>
        <v>0</v>
      </c>
      <c r="AL65" s="236">
        <f t="shared" ca="1" si="20"/>
        <v>0</v>
      </c>
      <c r="AM65" s="236" t="str">
        <f t="shared" ca="1" si="29"/>
        <v/>
      </c>
      <c r="AQ65" s="286" t="s">
        <v>474</v>
      </c>
      <c r="AR65" s="286" t="s">
        <v>108</v>
      </c>
      <c r="AS65" s="286">
        <v>23</v>
      </c>
      <c r="AT65" s="286" t="s">
        <v>440</v>
      </c>
      <c r="AU65" s="286"/>
      <c r="AZ65" s="236"/>
      <c r="BA65" s="236"/>
      <c r="BF65" s="236"/>
    </row>
    <row r="66" spans="1:58" x14ac:dyDescent="0.2">
      <c r="A66" s="268"/>
      <c r="B66" s="269"/>
      <c r="C66" s="270"/>
      <c r="D66" s="270"/>
      <c r="E66" s="249"/>
      <c r="F66" s="250"/>
      <c r="H66" s="250"/>
      <c r="I66" s="250"/>
      <c r="AF66" s="236">
        <f t="shared" si="27"/>
        <v>0</v>
      </c>
      <c r="AG66" s="236" t="str">
        <f t="shared" ref="AG66:AG67" si="32">IF( LEN( $C66 ) = 0, "", IF( $C66 &gt; $AL66, 1, "" ) )</f>
        <v/>
      </c>
      <c r="AH66" s="236" t="str">
        <f t="shared" si="19"/>
        <v/>
      </c>
      <c r="AJ66" s="236" t="e">
        <f t="shared" ca="1" si="28"/>
        <v>#N/A</v>
      </c>
      <c r="AK66" s="236" t="str">
        <f t="shared" ca="1" si="20"/>
        <v/>
      </c>
      <c r="AL66" s="236" t="str">
        <f t="shared" ca="1" si="20"/>
        <v/>
      </c>
      <c r="AM66" s="236" t="str">
        <f t="shared" ca="1" si="29"/>
        <v/>
      </c>
      <c r="AQ66" s="286" t="s">
        <v>477</v>
      </c>
      <c r="AR66" s="286"/>
      <c r="AS66" s="286"/>
      <c r="AT66" s="286" t="s">
        <v>448</v>
      </c>
      <c r="AU66" s="286"/>
      <c r="AX66" s="287"/>
      <c r="AZ66" s="236"/>
      <c r="BA66" s="236"/>
      <c r="BD66" s="288"/>
      <c r="BF66" s="236"/>
    </row>
    <row r="67" spans="1:58" ht="13.5" thickBot="1" x14ac:dyDescent="0.25">
      <c r="A67" s="271"/>
      <c r="B67" s="272"/>
      <c r="C67" s="337"/>
      <c r="D67" s="272"/>
      <c r="E67" s="273"/>
      <c r="F67" s="250"/>
      <c r="H67" s="250"/>
      <c r="I67" s="250"/>
      <c r="AF67" s="236">
        <f t="shared" si="27"/>
        <v>0</v>
      </c>
      <c r="AG67" s="236" t="str">
        <f t="shared" si="32"/>
        <v/>
      </c>
      <c r="AH67" s="236" t="str">
        <f t="shared" si="19"/>
        <v/>
      </c>
      <c r="AJ67" s="236" t="e">
        <f t="shared" ca="1" si="28"/>
        <v>#N/A</v>
      </c>
      <c r="AK67" s="236" t="str">
        <f t="shared" ca="1" si="20"/>
        <v/>
      </c>
      <c r="AL67" s="236" t="str">
        <f t="shared" ca="1" si="20"/>
        <v/>
      </c>
      <c r="AM67" s="236" t="str">
        <f t="shared" ca="1" si="29"/>
        <v/>
      </c>
      <c r="AQ67" s="286" t="s">
        <v>476</v>
      </c>
      <c r="AR67" s="286" t="s">
        <v>56</v>
      </c>
      <c r="AS67" s="286">
        <v>16</v>
      </c>
      <c r="AT67" s="286" t="s">
        <v>442</v>
      </c>
      <c r="AX67" s="287"/>
      <c r="AZ67" s="236"/>
      <c r="BA67" s="236"/>
      <c r="BD67" s="288"/>
      <c r="BF67" s="236"/>
    </row>
    <row r="68" spans="1:58" x14ac:dyDescent="0.2">
      <c r="A68" s="274" t="s">
        <v>135</v>
      </c>
      <c r="B68" s="275" t="s">
        <v>28</v>
      </c>
      <c r="C68" s="276">
        <f>AVERAGE(C7:C65)</f>
        <v>18.071428571428573</v>
      </c>
      <c r="D68" s="276"/>
      <c r="E68" s="276"/>
      <c r="F68" s="250"/>
      <c r="H68" s="250"/>
      <c r="I68" s="250"/>
      <c r="J68" s="253"/>
      <c r="K68" s="253"/>
      <c r="AQ68" s="286"/>
      <c r="AR68" s="286"/>
      <c r="AS68" s="286"/>
      <c r="AT68" s="286"/>
      <c r="AX68" s="287"/>
      <c r="AZ68" s="236"/>
      <c r="BA68" s="236"/>
      <c r="BD68" s="288"/>
      <c r="BF68" s="236"/>
    </row>
    <row r="69" spans="1:58" x14ac:dyDescent="0.2">
      <c r="A69" s="277"/>
      <c r="B69" s="278"/>
      <c r="F69" s="250"/>
      <c r="H69" s="250"/>
      <c r="I69" s="250"/>
      <c r="AQ69" s="286"/>
      <c r="AR69" s="286"/>
      <c r="AS69" s="286"/>
      <c r="AT69" s="286"/>
      <c r="AX69" s="287"/>
      <c r="AZ69" s="236"/>
      <c r="BA69" s="236"/>
      <c r="BD69" s="288"/>
      <c r="BF69" s="236"/>
    </row>
    <row r="70" spans="1:58" x14ac:dyDescent="0.2">
      <c r="A70" s="277"/>
      <c r="B70" s="278"/>
      <c r="F70" s="240"/>
      <c r="H70" s="240"/>
      <c r="I70" s="240"/>
      <c r="J70" s="253"/>
      <c r="K70" s="253"/>
      <c r="AQ70" s="286"/>
      <c r="AR70" s="286"/>
      <c r="AS70" s="286"/>
      <c r="AT70" s="286"/>
    </row>
    <row r="71" spans="1:58" x14ac:dyDescent="0.2">
      <c r="A71" s="279" t="s">
        <v>267</v>
      </c>
      <c r="F71" s="240"/>
      <c r="H71" s="240"/>
      <c r="I71" s="240"/>
    </row>
    <row r="72" spans="1:58" x14ac:dyDescent="0.2">
      <c r="A72" s="279" t="s">
        <v>366</v>
      </c>
      <c r="B72" s="240"/>
      <c r="D72" s="264"/>
      <c r="E72" s="264"/>
      <c r="F72" s="280"/>
      <c r="H72" s="280"/>
      <c r="I72" s="280"/>
    </row>
    <row r="73" spans="1:58" x14ac:dyDescent="0.2">
      <c r="A73" s="281" t="s">
        <v>356</v>
      </c>
      <c r="B73" s="240"/>
      <c r="D73" s="264"/>
      <c r="E73" s="264"/>
      <c r="F73" s="280"/>
      <c r="H73" s="280"/>
      <c r="I73" s="280"/>
    </row>
    <row r="74" spans="1:58" x14ac:dyDescent="0.2">
      <c r="A74" s="281" t="s">
        <v>357</v>
      </c>
      <c r="B74" s="240"/>
      <c r="D74" s="264"/>
      <c r="E74" s="264"/>
      <c r="F74" s="280"/>
      <c r="H74" s="280"/>
      <c r="I74" s="280"/>
    </row>
    <row r="75" spans="1:58" x14ac:dyDescent="0.2">
      <c r="A75" s="281" t="s">
        <v>470</v>
      </c>
      <c r="D75" s="280"/>
      <c r="E75" s="234"/>
      <c r="F75" s="282"/>
      <c r="H75" s="282"/>
      <c r="I75" s="282"/>
    </row>
    <row r="76" spans="1:58" x14ac:dyDescent="0.2">
      <c r="A76" s="279" t="s">
        <v>359</v>
      </c>
      <c r="D76" s="280"/>
      <c r="E76" s="234"/>
      <c r="F76" s="282"/>
      <c r="H76" s="282"/>
      <c r="I76" s="282"/>
      <c r="AQ76" s="286"/>
      <c r="AR76" s="286"/>
      <c r="AS76" s="286"/>
    </row>
    <row r="77" spans="1:58" x14ac:dyDescent="0.2">
      <c r="A77" s="279"/>
      <c r="D77" s="280"/>
      <c r="E77" s="234"/>
      <c r="F77" s="282"/>
      <c r="H77" s="282"/>
      <c r="I77" s="282"/>
      <c r="AQ77" s="286"/>
      <c r="AR77" s="286"/>
      <c r="AS77" s="286"/>
    </row>
    <row r="78" spans="1:58" x14ac:dyDescent="0.2">
      <c r="A78" s="279"/>
      <c r="AQ78" s="286"/>
      <c r="AR78" s="286"/>
      <c r="AS78" s="286"/>
    </row>
    <row r="79" spans="1:58" x14ac:dyDescent="0.2">
      <c r="C79" s="339">
        <f>SUMPRODUCT( L8:L13, Y8:Y13 ) / L14</f>
        <v>18.303571428571427</v>
      </c>
      <c r="E79" s="283"/>
      <c r="G79" s="251"/>
      <c r="J79" s="240"/>
      <c r="K79" s="240"/>
      <c r="AQ79" s="286"/>
      <c r="AR79" s="286"/>
      <c r="AS79" s="286"/>
    </row>
    <row r="80" spans="1:58" s="240" customFormat="1" x14ac:dyDescent="0.2">
      <c r="A80" s="284"/>
      <c r="B80" s="285"/>
      <c r="C80" s="285"/>
      <c r="D80" s="285"/>
      <c r="E80" s="249"/>
      <c r="F80" s="234"/>
      <c r="G80" s="236"/>
      <c r="H80" s="234"/>
      <c r="I80" s="234"/>
      <c r="Q80" s="234"/>
      <c r="T80" s="236"/>
      <c r="U80" s="236"/>
      <c r="V80" s="236"/>
      <c r="AF80" s="236"/>
      <c r="AG80" s="236"/>
      <c r="AH80" s="236"/>
      <c r="AJ80" s="236"/>
      <c r="AK80" s="236"/>
      <c r="AL80" s="236"/>
      <c r="AM80" s="236"/>
      <c r="AN80" s="236"/>
      <c r="AQ80" s="286"/>
      <c r="AR80" s="286"/>
      <c r="AS80" s="286"/>
    </row>
    <row r="81" spans="43:45" x14ac:dyDescent="0.2">
      <c r="AQ81" s="286"/>
      <c r="AR81" s="286"/>
      <c r="AS81" s="286"/>
    </row>
    <row r="82" spans="43:45" x14ac:dyDescent="0.2">
      <c r="AQ82" s="286"/>
      <c r="AR82" s="286"/>
      <c r="AS82" s="286"/>
    </row>
  </sheetData>
  <sortState ref="AQ7:AT65">
    <sortCondition ref="AQ7"/>
  </sortState>
  <mergeCells count="9">
    <mergeCell ref="J5:J6"/>
    <mergeCell ref="R5:S6"/>
    <mergeCell ref="U5:V6"/>
    <mergeCell ref="L16:M16"/>
    <mergeCell ref="O16:P16"/>
    <mergeCell ref="R16:S16"/>
    <mergeCell ref="U16:V16"/>
    <mergeCell ref="L5:M6"/>
    <mergeCell ref="O5:P6"/>
  </mergeCells>
  <conditionalFormatting sqref="A60:B61">
    <cfRule type="expression" dxfId="263" priority="68" stopIfTrue="1">
      <formula>IF( $AH60 = 1, TRUE, FALSE )</formula>
    </cfRule>
    <cfRule type="expression" dxfId="262" priority="69" stopIfTrue="1">
      <formula>IF( $AG60 = 1, TRUE, FALSE )</formula>
    </cfRule>
    <cfRule type="expression" dxfId="261" priority="70" stopIfTrue="1">
      <formula>IF( $AF60 = 1, TRUE, FALSE )</formula>
    </cfRule>
  </conditionalFormatting>
  <conditionalFormatting sqref="A67:B67">
    <cfRule type="expression" dxfId="260" priority="71" stopIfTrue="1">
      <formula>IF( $AH67 = 1, TRUE, FALSE )</formula>
    </cfRule>
    <cfRule type="expression" dxfId="259" priority="72" stopIfTrue="1">
      <formula>IF( $AG67 = 1, TRUE, FALSE )</formula>
    </cfRule>
    <cfRule type="expression" dxfId="258" priority="73" stopIfTrue="1">
      <formula>IF( $AF67 = 1, TRUE, FALSE )</formula>
    </cfRule>
  </conditionalFormatting>
  <conditionalFormatting sqref="A66:B66">
    <cfRule type="expression" dxfId="257" priority="65" stopIfTrue="1">
      <formula>IF( $AH66 = 1, TRUE, FALSE )</formula>
    </cfRule>
    <cfRule type="expression" dxfId="256" priority="66" stopIfTrue="1">
      <formula>IF( $AG66 = 1, TRUE, FALSE )</formula>
    </cfRule>
    <cfRule type="expression" dxfId="255" priority="67" stopIfTrue="1">
      <formula>IF( $AF66 = 1, TRUE, FALSE )</formula>
    </cfRule>
  </conditionalFormatting>
  <conditionalFormatting sqref="A7:B58">
    <cfRule type="expression" dxfId="254" priority="62" stopIfTrue="1">
      <formula>IF( $AH7 = 1, TRUE, FALSE )</formula>
    </cfRule>
    <cfRule type="expression" dxfId="253" priority="63" stopIfTrue="1">
      <formula>IF( $AG7 = 1, TRUE, FALSE )</formula>
    </cfRule>
    <cfRule type="expression" dxfId="252" priority="64" stopIfTrue="1">
      <formula>IF( $AF7 = 1, TRUE, FALSE )</formula>
    </cfRule>
  </conditionalFormatting>
  <conditionalFormatting sqref="A59:B59">
    <cfRule type="expression" dxfId="251" priority="59" stopIfTrue="1">
      <formula>IF( $AH59 = 1, TRUE, FALSE )</formula>
    </cfRule>
    <cfRule type="expression" dxfId="250" priority="60" stopIfTrue="1">
      <formula>IF( $AG59 = 1, TRUE, FALSE )</formula>
    </cfRule>
    <cfRule type="expression" dxfId="249" priority="61" stopIfTrue="1">
      <formula>IF( $AF59 = 1, TRUE, FALSE )</formula>
    </cfRule>
  </conditionalFormatting>
  <conditionalFormatting sqref="A62:B65">
    <cfRule type="expression" dxfId="248" priority="56" stopIfTrue="1">
      <formula>IF( $AH62 = 1, TRUE, FALSE )</formula>
    </cfRule>
    <cfRule type="expression" dxfId="247" priority="57" stopIfTrue="1">
      <formula>IF( $AG62 = 1, TRUE, FALSE )</formula>
    </cfRule>
    <cfRule type="expression" dxfId="246" priority="58" stopIfTrue="1">
      <formula>IF( $AF62 = 1, TRUE, FALSE )</formula>
    </cfRule>
  </conditionalFormatting>
  <conditionalFormatting sqref="U8:U12">
    <cfRule type="cellIs" dxfId="245" priority="55" operator="equal">
      <formula>0</formula>
    </cfRule>
  </conditionalFormatting>
  <conditionalFormatting sqref="O8:O12 Q8:Q12">
    <cfRule type="cellIs" dxfId="244" priority="52" operator="equal">
      <formula>0</formula>
    </cfRule>
  </conditionalFormatting>
  <conditionalFormatting sqref="V8:V12">
    <cfRule type="cellIs" dxfId="243" priority="49" operator="equal">
      <formula>0</formula>
    </cfRule>
  </conditionalFormatting>
  <conditionalFormatting sqref="S8:S12">
    <cfRule type="cellIs" dxfId="242" priority="45" operator="equal">
      <formula>0</formula>
    </cfRule>
  </conditionalFormatting>
  <conditionalFormatting sqref="R8:R12">
    <cfRule type="cellIs" dxfId="241" priority="46" operator="equal">
      <formula>0</formula>
    </cfRule>
  </conditionalFormatting>
  <conditionalFormatting sqref="P8:P12">
    <cfRule type="cellIs" dxfId="240" priority="44" operator="equal">
      <formula>0</formula>
    </cfRule>
  </conditionalFormatting>
  <conditionalFormatting sqref="M8:M12">
    <cfRule type="cellIs" dxfId="239" priority="43" operator="equal">
      <formula>0</formula>
    </cfRule>
  </conditionalFormatting>
  <conditionalFormatting sqref="T8:T12">
    <cfRule type="cellIs" dxfId="238" priority="42" operator="equal">
      <formula>0</formula>
    </cfRule>
  </conditionalFormatting>
  <conditionalFormatting sqref="N8:N12">
    <cfRule type="cellIs" dxfId="237" priority="41" operator="equal">
      <formula>0</formula>
    </cfRule>
  </conditionalFormatting>
  <conditionalFormatting sqref="K8:K12">
    <cfRule type="cellIs" dxfId="236" priority="40" operator="equal">
      <formula>0</formula>
    </cfRule>
  </conditionalFormatting>
  <conditionalFormatting sqref="W8:W12">
    <cfRule type="cellIs" dxfId="235" priority="38" operator="equal">
      <formula>0</formula>
    </cfRule>
  </conditionalFormatting>
  <conditionalFormatting sqref="C60:C61">
    <cfRule type="expression" dxfId="234" priority="32" stopIfTrue="1">
      <formula>IF( $AH60 = 1, TRUE, FALSE )</formula>
    </cfRule>
    <cfRule type="expression" dxfId="233" priority="33" stopIfTrue="1">
      <formula>IF( $AG60 = 1, TRUE, FALSE )</formula>
    </cfRule>
    <cfRule type="expression" dxfId="232" priority="34" stopIfTrue="1">
      <formula>IF( $AF60 = 1, TRUE, FALSE )</formula>
    </cfRule>
  </conditionalFormatting>
  <conditionalFormatting sqref="C67">
    <cfRule type="expression" dxfId="231" priority="35" stopIfTrue="1">
      <formula>IF( $AH67 = 1, TRUE, FALSE )</formula>
    </cfRule>
    <cfRule type="expression" dxfId="230" priority="36" stopIfTrue="1">
      <formula>IF( $AG67 = 1, TRUE, FALSE )</formula>
    </cfRule>
    <cfRule type="expression" dxfId="229" priority="37" stopIfTrue="1">
      <formula>IF( $AF67 = 1, TRUE, FALSE )</formula>
    </cfRule>
  </conditionalFormatting>
  <conditionalFormatting sqref="C66">
    <cfRule type="expression" dxfId="228" priority="29" stopIfTrue="1">
      <formula>IF( $AH66 = 1, TRUE, FALSE )</formula>
    </cfRule>
    <cfRule type="expression" dxfId="227" priority="30" stopIfTrue="1">
      <formula>IF( $AG66 = 1, TRUE, FALSE )</formula>
    </cfRule>
    <cfRule type="expression" dxfId="226" priority="31" stopIfTrue="1">
      <formula>IF( $AF66 = 1, TRUE, FALSE )</formula>
    </cfRule>
  </conditionalFormatting>
  <conditionalFormatting sqref="C7:C58">
    <cfRule type="expression" dxfId="225" priority="26" stopIfTrue="1">
      <formula>IF( $AH7 = 1, TRUE, FALSE )</formula>
    </cfRule>
    <cfRule type="expression" dxfId="224" priority="27" stopIfTrue="1">
      <formula>IF( $AG7 = 1, TRUE, FALSE )</formula>
    </cfRule>
    <cfRule type="expression" dxfId="223" priority="28" stopIfTrue="1">
      <formula>IF( $AF7 = 1, TRUE, FALSE )</formula>
    </cfRule>
  </conditionalFormatting>
  <conditionalFormatting sqref="C59">
    <cfRule type="expression" dxfId="222" priority="23" stopIfTrue="1">
      <formula>IF( $AH59 = 1, TRUE, FALSE )</formula>
    </cfRule>
    <cfRule type="expression" dxfId="221" priority="24" stopIfTrue="1">
      <formula>IF( $AG59 = 1, TRUE, FALSE )</formula>
    </cfRule>
    <cfRule type="expression" dxfId="220" priority="25" stopIfTrue="1">
      <formula>IF( $AF59 = 1, TRUE, FALSE )</formula>
    </cfRule>
  </conditionalFormatting>
  <conditionalFormatting sqref="C62:C65">
    <cfRule type="expression" dxfId="219" priority="20" stopIfTrue="1">
      <formula>IF( $AH62 = 1, TRUE, FALSE )</formula>
    </cfRule>
    <cfRule type="expression" dxfId="218" priority="21" stopIfTrue="1">
      <formula>IF( $AG62 = 1, TRUE, FALSE )</formula>
    </cfRule>
    <cfRule type="expression" dxfId="217" priority="22" stopIfTrue="1">
      <formula>IF( $AF62 = 1, TRUE, FALSE )</formula>
    </cfRule>
  </conditionalFormatting>
  <conditionalFormatting sqref="D60:E61 E7:E59 E62:E65">
    <cfRule type="expression" dxfId="216" priority="14" stopIfTrue="1">
      <formula>IF( $AH7 = 1, TRUE, FALSE )</formula>
    </cfRule>
    <cfRule type="expression" dxfId="215" priority="15" stopIfTrue="1">
      <formula>IF( $AG7 = 1, TRUE, FALSE )</formula>
    </cfRule>
    <cfRule type="expression" dxfId="214" priority="16" stopIfTrue="1">
      <formula>IF( $AF7 = 1, TRUE, FALSE )</formula>
    </cfRule>
  </conditionalFormatting>
  <conditionalFormatting sqref="D67:E67">
    <cfRule type="expression" dxfId="213" priority="17" stopIfTrue="1">
      <formula>IF( $AH67 = 1, TRUE, FALSE )</formula>
    </cfRule>
    <cfRule type="expression" dxfId="212" priority="18" stopIfTrue="1">
      <formula>IF( $AG67 = 1, TRUE, FALSE )</formula>
    </cfRule>
    <cfRule type="expression" dxfId="211" priority="19" stopIfTrue="1">
      <formula>IF( $AF67 = 1, TRUE, FALSE )</formula>
    </cfRule>
  </conditionalFormatting>
  <conditionalFormatting sqref="D66:E66">
    <cfRule type="expression" dxfId="210" priority="11" stopIfTrue="1">
      <formula>IF( $AH66 = 1, TRUE, FALSE )</formula>
    </cfRule>
    <cfRule type="expression" dxfId="209" priority="12" stopIfTrue="1">
      <formula>IF( $AG66 = 1, TRUE, FALSE )</formula>
    </cfRule>
    <cfRule type="expression" dxfId="208" priority="13" stopIfTrue="1">
      <formula>IF( $AF66 = 1, TRUE, FALSE )</formula>
    </cfRule>
  </conditionalFormatting>
  <conditionalFormatting sqref="D7:D58">
    <cfRule type="expression" dxfId="207" priority="8" stopIfTrue="1">
      <formula>IF( $AH7 = 1, TRUE, FALSE )</formula>
    </cfRule>
    <cfRule type="expression" dxfId="206" priority="9" stopIfTrue="1">
      <formula>IF( $AG7 = 1, TRUE, FALSE )</formula>
    </cfRule>
    <cfRule type="expression" dxfId="205" priority="10" stopIfTrue="1">
      <formula>IF( $AF7 = 1, TRUE, FALSE )</formula>
    </cfRule>
  </conditionalFormatting>
  <conditionalFormatting sqref="D59">
    <cfRule type="expression" dxfId="204" priority="5" stopIfTrue="1">
      <formula>IF( $AH59 = 1, TRUE, FALSE )</formula>
    </cfRule>
    <cfRule type="expression" dxfId="203" priority="6" stopIfTrue="1">
      <formula>IF( $AG59 = 1, TRUE, FALSE )</formula>
    </cfRule>
    <cfRule type="expression" dxfId="202" priority="7" stopIfTrue="1">
      <formula>IF( $AF59 = 1, TRUE, FALSE )</formula>
    </cfRule>
  </conditionalFormatting>
  <conditionalFormatting sqref="D62:D65">
    <cfRule type="expression" dxfId="201" priority="2" stopIfTrue="1">
      <formula>IF( $AH62 = 1, TRUE, FALSE )</formula>
    </cfRule>
    <cfRule type="expression" dxfId="200" priority="3" stopIfTrue="1">
      <formula>IF( $AG62 = 1, TRUE, FALSE )</formula>
    </cfRule>
    <cfRule type="expression" dxfId="199" priority="4" stopIfTrue="1">
      <formula>IF( $AF62 = 1, TRUE, FALSE )</formula>
    </cfRule>
  </conditionalFormatting>
  <conditionalFormatting sqref="I8:I12">
    <cfRule type="cellIs" dxfId="198" priority="1" operator="equal">
      <formula>0</formula>
    </cfRule>
  </conditionalFormatting>
  <pageMargins left="0.17" right="0.18" top="0.28000000000000003" bottom="0.17" header="0.3" footer="0.3"/>
  <pageSetup scale="19" orientation="portrait" horizontalDpi="1200" verticalDpi="120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J82"/>
  <sheetViews>
    <sheetView showGridLines="0" zoomScale="70" zoomScaleNormal="70" workbookViewId="0">
      <pane ySplit="6" topLeftCell="A7" activePane="bottomLeft" state="frozen"/>
      <selection pane="bottomLeft" activeCell="A7" sqref="A7"/>
    </sheetView>
  </sheetViews>
  <sheetFormatPr defaultColWidth="9.140625" defaultRowHeight="12.75" outlineLevelRow="1" outlineLevelCol="2" x14ac:dyDescent="0.2"/>
  <cols>
    <col min="1" max="1" width="35.140625" style="234" customWidth="1"/>
    <col min="2" max="2" width="9.140625" style="234"/>
    <col min="3" max="3" width="9.42578125" style="263" customWidth="1"/>
    <col min="4" max="4" width="9.140625" style="235" customWidth="1" outlineLevel="1"/>
    <col min="5" max="5" width="12.5703125" style="235" customWidth="1" outlineLevel="1"/>
    <col min="6" max="6" width="3.42578125" style="234" customWidth="1" outlineLevel="1"/>
    <col min="7" max="7" width="17.7109375" style="236" hidden="1" customWidth="1" outlineLevel="2"/>
    <col min="8" max="8" width="3.42578125" style="234" hidden="1" customWidth="1" outlineLevel="2" collapsed="1"/>
    <col min="9" max="9" width="3.28515625" style="234" customWidth="1" outlineLevel="1" collapsed="1"/>
    <col min="10" max="10" width="22" style="234" customWidth="1"/>
    <col min="11" max="11" width="2" style="234" customWidth="1"/>
    <col min="12" max="13" width="10.42578125" style="234" customWidth="1"/>
    <col min="14" max="14" width="2" style="234" customWidth="1"/>
    <col min="15" max="16" width="10.42578125" style="234" customWidth="1"/>
    <col min="17" max="17" width="2" style="234" customWidth="1"/>
    <col min="18" max="19" width="10.42578125" style="234" customWidth="1"/>
    <col min="20" max="20" width="2" style="236" customWidth="1"/>
    <col min="21" max="22" width="10.42578125" style="236" customWidth="1"/>
    <col min="23" max="23" width="2" style="234" customWidth="1"/>
    <col min="24" max="24" width="4.140625" style="234" bestFit="1" customWidth="1"/>
    <col min="25" max="25" width="5.5703125" style="234" bestFit="1" customWidth="1"/>
    <col min="26" max="26" width="2.42578125" style="234" bestFit="1" customWidth="1"/>
    <col min="27" max="27" width="4.28515625" style="234" bestFit="1" customWidth="1"/>
    <col min="28" max="30" width="2.42578125" style="234" hidden="1" customWidth="1" outlineLevel="1"/>
    <col min="31" max="31" width="4.42578125" style="234" hidden="1" customWidth="1" outlineLevel="1"/>
    <col min="32" max="32" width="6.5703125" style="236" hidden="1" customWidth="1" outlineLevel="1" collapsed="1"/>
    <col min="33" max="34" width="6.5703125" style="236" hidden="1" customWidth="1" outlineLevel="1"/>
    <col min="35" max="35" width="3.140625" style="234" hidden="1" customWidth="1" outlineLevel="1"/>
    <col min="36" max="36" width="7.85546875" style="236" hidden="1" customWidth="1" outlineLevel="1" collapsed="1"/>
    <col min="37" max="38" width="9" style="236" hidden="1" customWidth="1" outlineLevel="1"/>
    <col min="39" max="39" width="8.42578125" style="236" hidden="1" customWidth="1" outlineLevel="1"/>
    <col min="40" max="40" width="11.85546875" style="236" hidden="1" customWidth="1" outlineLevel="1"/>
    <col min="41" max="41" width="3.42578125" style="234" customWidth="1" collapsed="1"/>
    <col min="42" max="42" width="3.42578125" style="234" customWidth="1"/>
    <col min="43" max="43" width="29.7109375" style="234" hidden="1" customWidth="1" outlineLevel="1"/>
    <col min="44" max="44" width="6.42578125" style="234" hidden="1" customWidth="1" outlineLevel="1"/>
    <col min="45" max="45" width="3.42578125" style="234" hidden="1" customWidth="1" outlineLevel="1"/>
    <col min="46" max="46" width="8.7109375" style="234" hidden="1" customWidth="1" outlineLevel="1"/>
    <col min="47" max="47" width="3.140625" style="234" hidden="1" customWidth="1" outlineLevel="1"/>
    <col min="48" max="56" width="9.140625" style="234" hidden="1" customWidth="1" outlineLevel="2"/>
    <col min="57" max="57" width="5.42578125" style="234" hidden="1" customWidth="1" outlineLevel="1" collapsed="1"/>
    <col min="58" max="58" width="36.85546875" style="234" hidden="1" customWidth="1" outlineLevel="1"/>
    <col min="59" max="59" width="6.42578125" style="234" hidden="1" customWidth="1" outlineLevel="1"/>
    <col min="60" max="60" width="3.42578125" style="234" hidden="1" customWidth="1" outlineLevel="1"/>
    <col min="61" max="61" width="9.140625" style="234" hidden="1" customWidth="1" outlineLevel="1"/>
    <col min="62" max="62" width="9.140625" style="234" collapsed="1"/>
    <col min="63" max="16384" width="9.140625" style="234"/>
  </cols>
  <sheetData>
    <row r="1" spans="1:61" ht="18.75" x14ac:dyDescent="0.2">
      <c r="A1" s="323" t="str">
        <f>"I.  S&amp;P Utility Credit Ratings Distribution -- " &amp; B6</f>
        <v>I.  S&amp;P Utility Credit Ratings Distribution -- 2012 Q3</v>
      </c>
      <c r="AF1" s="237" t="s">
        <v>420</v>
      </c>
      <c r="AG1" s="237" t="s">
        <v>421</v>
      </c>
      <c r="AH1" s="237" t="s">
        <v>422</v>
      </c>
      <c r="AJ1" s="237" t="s">
        <v>424</v>
      </c>
      <c r="AK1" s="237" t="s">
        <v>426</v>
      </c>
      <c r="AL1" s="237" t="s">
        <v>426</v>
      </c>
      <c r="AM1" s="237" t="s">
        <v>424</v>
      </c>
      <c r="AN1" s="237"/>
    </row>
    <row r="2" spans="1:61" ht="18.75" hidden="1" outlineLevel="1" x14ac:dyDescent="0.2">
      <c r="A2" s="233"/>
      <c r="E2" s="238" t="str">
        <f>G2</f>
        <v>Reg_Percent_2011</v>
      </c>
      <c r="G2" s="239" t="s">
        <v>437</v>
      </c>
      <c r="AJ2" s="240" t="str">
        <f>AJ4 &amp; AJ3</f>
        <v>'Credit_2012Q2'!a:a</v>
      </c>
      <c r="AK2" s="240" t="str">
        <f>AK4 &amp; AK3</f>
        <v>'Credit_2012Q2'!b1</v>
      </c>
      <c r="AL2" s="240" t="str">
        <f>AL4 &amp; AL3</f>
        <v>'Credit_2012Q2'!c1</v>
      </c>
    </row>
    <row r="3" spans="1:61" ht="18.75" hidden="1" outlineLevel="1" x14ac:dyDescent="0.2">
      <c r="A3" s="233"/>
      <c r="E3" s="241" t="str">
        <f>"'" &amp; E2 &amp; "'!"</f>
        <v>'Reg_Percent_2011'!</v>
      </c>
      <c r="G3" s="234" t="str">
        <f>"'" &amp; G2 &amp; "'!"</f>
        <v>'Reg_Percent_2011'!</v>
      </c>
      <c r="O3" s="242" t="s">
        <v>371</v>
      </c>
      <c r="P3" s="242"/>
      <c r="Q3" s="242"/>
      <c r="R3" s="242" t="s">
        <v>372</v>
      </c>
      <c r="T3" s="234"/>
      <c r="U3" s="242" t="s">
        <v>86</v>
      </c>
      <c r="V3" s="234"/>
      <c r="X3" s="242"/>
      <c r="Y3" s="242"/>
      <c r="Z3" s="242"/>
      <c r="AA3" s="242"/>
      <c r="AJ3" s="210" t="s">
        <v>425</v>
      </c>
      <c r="AK3" s="210" t="s">
        <v>427</v>
      </c>
      <c r="AL3" s="210" t="s">
        <v>453</v>
      </c>
    </row>
    <row r="4" spans="1:61" ht="18.75" hidden="1" outlineLevel="1" x14ac:dyDescent="0.2">
      <c r="A4" s="233"/>
      <c r="E4" s="242" t="s">
        <v>439</v>
      </c>
      <c r="G4" s="242" t="s">
        <v>438</v>
      </c>
      <c r="O4" s="236"/>
      <c r="P4" s="236"/>
      <c r="Q4" s="236"/>
      <c r="T4" s="234"/>
      <c r="U4" s="234"/>
      <c r="V4" s="234"/>
      <c r="AJ4" s="232" t="s">
        <v>479</v>
      </c>
      <c r="AK4" s="236" t="str">
        <f>AJ4</f>
        <v>'Credit_2012Q2'!</v>
      </c>
      <c r="AL4" s="236" t="str">
        <f>AK4</f>
        <v>'Credit_2012Q2'!</v>
      </c>
    </row>
    <row r="5" spans="1:61" collapsed="1" x14ac:dyDescent="0.2">
      <c r="E5" s="243" t="s">
        <v>436</v>
      </c>
      <c r="G5" s="237" t="s">
        <v>424</v>
      </c>
      <c r="I5" s="314"/>
      <c r="J5" s="466" t="s">
        <v>77</v>
      </c>
      <c r="K5" s="314"/>
      <c r="L5" s="468" t="str">
        <f>"All Companies" &amp; CHAR( 10 ) &amp; "("&amp; L14 &amp; ")"</f>
        <v>All Companies
(56)</v>
      </c>
      <c r="M5" s="468"/>
      <c r="N5" s="314"/>
      <c r="O5" s="466" t="str">
        <f ca="1">"Regulated" &amp; CHAR( 10 ) &amp; "(" &amp; O14 &amp; ")"</f>
        <v>Regulated
(36)</v>
      </c>
      <c r="P5" s="470"/>
      <c r="Q5" s="314"/>
      <c r="R5" s="466" t="str">
        <f ca="1">"Mostly Regulated" &amp; CHAR( 10 ) &amp; "(" &amp; R14 &amp; ")"</f>
        <v>Mostly Regulated
(17)</v>
      </c>
      <c r="S5" s="470"/>
      <c r="T5" s="314"/>
      <c r="U5" s="466" t="str">
        <f ca="1">"Diversified" &amp; CHAR( 10 ) &amp; "(" &amp; U14 &amp; ")"</f>
        <v>Diversified
(3)</v>
      </c>
      <c r="V5" s="470"/>
      <c r="W5" s="314"/>
      <c r="AE5" s="244"/>
      <c r="AF5" s="234"/>
      <c r="AG5" s="234"/>
      <c r="AH5" s="234"/>
      <c r="AJ5" s="234"/>
      <c r="AK5" s="234"/>
      <c r="AL5" s="234"/>
      <c r="AM5" s="234"/>
      <c r="AN5" s="234"/>
    </row>
    <row r="6" spans="1:61" ht="28.5" customHeight="1" x14ac:dyDescent="0.2">
      <c r="A6" s="299" t="s">
        <v>0</v>
      </c>
      <c r="B6" s="300" t="s">
        <v>407</v>
      </c>
      <c r="C6" s="338" t="s">
        <v>471</v>
      </c>
      <c r="D6" s="301"/>
      <c r="E6" s="302">
        <v>40908</v>
      </c>
      <c r="I6" s="315"/>
      <c r="J6" s="467"/>
      <c r="K6" s="315"/>
      <c r="L6" s="469"/>
      <c r="M6" s="469"/>
      <c r="N6" s="315"/>
      <c r="O6" s="467"/>
      <c r="P6" s="467"/>
      <c r="Q6" s="315"/>
      <c r="R6" s="467" t="s">
        <v>137</v>
      </c>
      <c r="S6" s="467"/>
      <c r="T6" s="315"/>
      <c r="U6" s="467"/>
      <c r="V6" s="467"/>
      <c r="W6" s="315"/>
      <c r="AE6" s="245"/>
      <c r="AJ6" s="246"/>
    </row>
    <row r="7" spans="1:61" x14ac:dyDescent="0.2">
      <c r="A7" s="303" t="s">
        <v>7</v>
      </c>
      <c r="B7" s="304" t="s">
        <v>2</v>
      </c>
      <c r="C7" s="304">
        <v>21</v>
      </c>
      <c r="D7" s="304" t="s">
        <v>328</v>
      </c>
      <c r="E7" s="305" t="str">
        <f t="shared" ref="E7:E59" ca="1" si="0">OFFSET( INDIRECT( E$3 &amp; E$4 ), $G7 - 1, 0 )</f>
        <v>R</v>
      </c>
      <c r="F7" s="306"/>
      <c r="G7" s="307">
        <f t="shared" ref="G7:G65" ca="1" si="1">IF( LEN( $D7 ) = 0, "", MATCH( $D7, INDIRECT( G$3 &amp; G$4 ), 0 ) )</f>
        <v>53</v>
      </c>
      <c r="H7" s="250"/>
      <c r="I7" s="316"/>
      <c r="J7" s="252"/>
      <c r="K7" s="316"/>
      <c r="L7" s="252" t="s">
        <v>81</v>
      </c>
      <c r="M7" s="252" t="s">
        <v>82</v>
      </c>
      <c r="N7" s="316"/>
      <c r="O7" s="252" t="s">
        <v>81</v>
      </c>
      <c r="P7" s="252" t="s">
        <v>82</v>
      </c>
      <c r="Q7" s="316"/>
      <c r="R7" s="252" t="s">
        <v>81</v>
      </c>
      <c r="S7" s="252" t="s">
        <v>82</v>
      </c>
      <c r="T7" s="316"/>
      <c r="U7" s="252" t="s">
        <v>81</v>
      </c>
      <c r="V7" s="252" t="s">
        <v>82</v>
      </c>
      <c r="W7" s="316"/>
      <c r="AE7" s="254"/>
      <c r="AF7" s="236">
        <f t="shared" ref="AF7:AF67" si="2">IF( LEN( C7 ) = 0, 0, IF( C7 = C6, AF6, IF( AF6 = 1, 0, 1 ) ) )</f>
        <v>1</v>
      </c>
      <c r="AG7" s="236" t="str">
        <f t="shared" ref="AG7:AG64" ca="1" si="3">IF( LEN( $C7 ) = 0, "", IF( $C7 &gt; $AL7, 1, "" ) )</f>
        <v/>
      </c>
      <c r="AH7" s="236" t="str">
        <f ca="1">IF( LEN( $C7 ) = 0, "", IF( $C7 &lt; $AL7, 1, "" ) )</f>
        <v/>
      </c>
      <c r="AJ7" s="236">
        <f t="shared" ref="AJ7:AJ67" ca="1" si="4">MATCH( $A7, INDIRECT( AJ$2 ), 0 )</f>
        <v>7</v>
      </c>
      <c r="AK7" s="236" t="str">
        <f ca="1">IF( ISNA( $AJ7 ), "", OFFSET( INDIRECT( AK$2 ), $AJ7-1, 0 ) )</f>
        <v>A</v>
      </c>
      <c r="AL7" s="236">
        <f ca="1">IF( ISNA( $AJ7 ), "", OFFSET( INDIRECT( AL$2 ), $AJ7-1, 0 ) )</f>
        <v>21</v>
      </c>
      <c r="AM7" s="236" t="str">
        <f t="shared" ref="AM7:AM67" ca="1" si="5">IF( B7 = AK7, "", "Change" )</f>
        <v/>
      </c>
      <c r="AQ7" s="286" t="s">
        <v>15</v>
      </c>
      <c r="AR7" s="286" t="s">
        <v>16</v>
      </c>
      <c r="AS7" s="286">
        <v>19</v>
      </c>
      <c r="AT7" s="286" t="s">
        <v>277</v>
      </c>
      <c r="AV7" s="234">
        <f>IF( LEN( AS7 ) = 0, 99, RANK( AS7, $AS$7:$AS$63 ) )</f>
        <v>10</v>
      </c>
      <c r="AW7" s="234">
        <f>COUNTIF( AV7:AV$7, AV7 )</f>
        <v>1</v>
      </c>
      <c r="AX7" s="287">
        <f>AV7 + AW7 / 10</f>
        <v>10.1</v>
      </c>
      <c r="AY7" s="234">
        <f>RANK( AX7, $AX$7:$AX$63, 1 )</f>
        <v>10</v>
      </c>
      <c r="AZ7" s="236"/>
      <c r="BA7" s="236"/>
      <c r="BC7" s="234">
        <f t="shared" ref="BC7" ca="1" si="6">OFFSET( BC7, -1, 0 ) + 1</f>
        <v>1</v>
      </c>
      <c r="BD7" s="288">
        <f t="shared" ref="BD7:BD62" ca="1" si="7">MATCH( BC7, $AY$7:$AY$63, 0 )</f>
        <v>47</v>
      </c>
      <c r="BF7" s="240" t="str">
        <f t="shared" ref="BF7:BF38" ca="1" si="8">OFFSET( AQ$6, $BD7, 0 )</f>
        <v>Southern Company</v>
      </c>
      <c r="BG7" s="240" t="str">
        <f t="shared" ref="BG7:BI62" ca="1" si="9">OFFSET( AR$6, $BD7, 0 )</f>
        <v>A</v>
      </c>
      <c r="BH7" s="240">
        <f t="shared" ca="1" si="9"/>
        <v>21</v>
      </c>
      <c r="BI7" s="240" t="str">
        <f t="shared" ca="1" si="9"/>
        <v>SO</v>
      </c>
    </row>
    <row r="8" spans="1:61" x14ac:dyDescent="0.2">
      <c r="A8" s="303" t="s">
        <v>3</v>
      </c>
      <c r="B8" s="304" t="s">
        <v>10</v>
      </c>
      <c r="C8" s="304">
        <v>20</v>
      </c>
      <c r="D8" s="304" t="s">
        <v>292</v>
      </c>
      <c r="E8" s="305" t="str">
        <f t="shared" ca="1" si="0"/>
        <v>R</v>
      </c>
      <c r="F8" s="306"/>
      <c r="G8" s="307">
        <f t="shared" ca="1" si="1"/>
        <v>18</v>
      </c>
      <c r="H8" s="250"/>
      <c r="I8" s="317"/>
      <c r="J8" s="293" t="s">
        <v>138</v>
      </c>
      <c r="K8" s="317"/>
      <c r="L8" s="293">
        <f t="shared" ref="L8:L13" si="10">COUNTIF($C$7:$C$67,$X8)</f>
        <v>3</v>
      </c>
      <c r="M8" s="294">
        <f t="shared" ref="M8:M13" si="11">IF( L8 = 0, "", L8/L$14 )</f>
        <v>5.3571428571428568E-2</v>
      </c>
      <c r="N8" s="317"/>
      <c r="O8" s="293">
        <f t="shared" ref="O8:O13" ca="1" si="12">COUNTIFS( $E$7:$E$66, O$3, $C$7:$C$66, $X8 )</f>
        <v>2</v>
      </c>
      <c r="P8" s="294">
        <f t="shared" ref="P8:P13" ca="1" si="13">IF( O8 = 0, "", O8/O$14 )</f>
        <v>5.5555555555555552E-2</v>
      </c>
      <c r="Q8" s="317"/>
      <c r="R8" s="293">
        <f t="shared" ref="R8:R13" ca="1" si="14">COUNTIFS( $E$7:$E$66, R$3, $C$7:$C$66, $X8 )</f>
        <v>1</v>
      </c>
      <c r="S8" s="294">
        <f t="shared" ref="S8:S13" ca="1" si="15">IF( R8 = 0, "", R8/R$14 )</f>
        <v>5.8823529411764705E-2</v>
      </c>
      <c r="T8" s="317"/>
      <c r="U8" s="293">
        <f t="shared" ref="U8:U13" ca="1" si="16">COUNTIFS( $E$7:$E$66, U$3, $C$7:$C$66, $X8 )</f>
        <v>0</v>
      </c>
      <c r="V8" s="294" t="str">
        <f t="shared" ref="V8:V13" ca="1" si="17">IF( U8 = 0, "", U8/U$14 )</f>
        <v/>
      </c>
      <c r="W8" s="317"/>
      <c r="X8" s="256" t="s">
        <v>464</v>
      </c>
      <c r="Y8" s="256">
        <v>21</v>
      </c>
      <c r="Z8" s="256">
        <v>1</v>
      </c>
      <c r="AA8" s="255">
        <f t="shared" ref="AA8:AA13" ca="1" si="18">SUM(O8, R8, U8)</f>
        <v>3</v>
      </c>
      <c r="AC8" s="257"/>
      <c r="AE8" s="254"/>
      <c r="AF8" s="236">
        <f t="shared" si="2"/>
        <v>0</v>
      </c>
      <c r="AG8" s="236" t="str">
        <f t="shared" ca="1" si="3"/>
        <v/>
      </c>
      <c r="AH8" s="236" t="str">
        <f t="shared" ref="AH8:AH67" ca="1" si="19">IF( LEN( $C8 ) = 0, "", IF( $C8 &lt; $AL8, 1, "" ) )</f>
        <v/>
      </c>
      <c r="AJ8" s="236">
        <f t="shared" ca="1" si="4"/>
        <v>8</v>
      </c>
      <c r="AK8" s="236" t="str">
        <f t="shared" ref="AK8:AL67" ca="1" si="20">IF( ISNA( $AJ8 ), "", OFFSET( INDIRECT( AK$2 ), $AJ8-1, 0 ) )</f>
        <v>A-</v>
      </c>
      <c r="AL8" s="236">
        <f t="shared" ca="1" si="20"/>
        <v>20</v>
      </c>
      <c r="AM8" s="236" t="str">
        <f t="shared" ca="1" si="5"/>
        <v/>
      </c>
      <c r="AQ8" s="286" t="s">
        <v>17</v>
      </c>
      <c r="AR8" s="286" t="s">
        <v>16</v>
      </c>
      <c r="AS8" s="286">
        <v>19</v>
      </c>
      <c r="AT8" s="289" t="s">
        <v>307</v>
      </c>
      <c r="AV8" s="234">
        <f t="shared" ref="AV8:AV63" si="21">IF( LEN( AS8 ) = 0, 99, RANK( AS8, $AS$7:$AS$63 ) )</f>
        <v>10</v>
      </c>
      <c r="AW8" s="234">
        <f>COUNTIF( AV$7:AV8, AV8 )</f>
        <v>2</v>
      </c>
      <c r="AX8" s="287">
        <f t="shared" ref="AX8:AX63" si="22">AV8 + AW8 / 10</f>
        <v>10.199999999999999</v>
      </c>
      <c r="AY8" s="234">
        <f t="shared" ref="AY8:AY63" si="23">RANK( AX8, $AX$7:$AX$63, 1 )</f>
        <v>11</v>
      </c>
      <c r="AZ8" s="236"/>
      <c r="BA8" s="236"/>
      <c r="BC8" s="234">
        <f ca="1">OFFSET( BC8, -1, 0 ) + 1</f>
        <v>2</v>
      </c>
      <c r="BD8" s="288">
        <f t="shared" ca="1" si="7"/>
        <v>10</v>
      </c>
      <c r="BF8" s="240" t="str">
        <f t="shared" ca="1" si="8"/>
        <v>Consolidated Edison, Inc.</v>
      </c>
      <c r="BG8" s="240" t="str">
        <f t="shared" ca="1" si="9"/>
        <v>A-</v>
      </c>
      <c r="BH8" s="240">
        <f t="shared" ca="1" si="9"/>
        <v>20</v>
      </c>
      <c r="BI8" s="240" t="str">
        <f t="shared" ca="1" si="9"/>
        <v>ED</v>
      </c>
    </row>
    <row r="9" spans="1:61" x14ac:dyDescent="0.2">
      <c r="A9" s="303" t="s">
        <v>18</v>
      </c>
      <c r="B9" s="304" t="s">
        <v>10</v>
      </c>
      <c r="C9" s="304">
        <v>20</v>
      </c>
      <c r="D9" s="304" t="s">
        <v>86</v>
      </c>
      <c r="E9" s="305" t="str">
        <f t="shared" ca="1" si="0"/>
        <v>MR</v>
      </c>
      <c r="F9" s="306"/>
      <c r="G9" s="307">
        <f t="shared" ca="1" si="1"/>
        <v>20</v>
      </c>
      <c r="H9" s="250"/>
      <c r="I9" s="318"/>
      <c r="J9" s="295" t="s">
        <v>10</v>
      </c>
      <c r="K9" s="318"/>
      <c r="L9" s="295">
        <f t="shared" si="10"/>
        <v>8</v>
      </c>
      <c r="M9" s="296">
        <f t="shared" si="11"/>
        <v>0.14285714285714285</v>
      </c>
      <c r="N9" s="318"/>
      <c r="O9" s="295">
        <f t="shared" ca="1" si="12"/>
        <v>6</v>
      </c>
      <c r="P9" s="296">
        <f t="shared" ca="1" si="13"/>
        <v>0.16666666666666666</v>
      </c>
      <c r="Q9" s="318"/>
      <c r="R9" s="295">
        <f t="shared" ca="1" si="14"/>
        <v>2</v>
      </c>
      <c r="S9" s="296">
        <f t="shared" ca="1" si="15"/>
        <v>0.11764705882352941</v>
      </c>
      <c r="T9" s="318"/>
      <c r="U9" s="295">
        <f t="shared" ca="1" si="16"/>
        <v>0</v>
      </c>
      <c r="V9" s="296" t="str">
        <f t="shared" ca="1" si="17"/>
        <v/>
      </c>
      <c r="W9" s="318"/>
      <c r="X9" s="256" t="s">
        <v>465</v>
      </c>
      <c r="Y9" s="256">
        <v>20</v>
      </c>
      <c r="Z9" s="256">
        <v>1</v>
      </c>
      <c r="AA9" s="255">
        <f t="shared" ca="1" si="18"/>
        <v>8</v>
      </c>
      <c r="AC9" s="253"/>
      <c r="AE9" s="254"/>
      <c r="AF9" s="236">
        <f t="shared" si="2"/>
        <v>0</v>
      </c>
      <c r="AG9" s="236" t="str">
        <f t="shared" ca="1" si="3"/>
        <v/>
      </c>
      <c r="AH9" s="236" t="str">
        <f t="shared" ca="1" si="19"/>
        <v/>
      </c>
      <c r="AJ9" s="236">
        <f t="shared" ca="1" si="4"/>
        <v>9</v>
      </c>
      <c r="AK9" s="236" t="str">
        <f t="shared" ca="1" si="20"/>
        <v>A-</v>
      </c>
      <c r="AL9" s="236">
        <f t="shared" ca="1" si="20"/>
        <v>20</v>
      </c>
      <c r="AM9" s="236" t="str">
        <f t="shared" ca="1" si="5"/>
        <v/>
      </c>
      <c r="AQ9" s="286" t="s">
        <v>9</v>
      </c>
      <c r="AR9" s="286" t="s">
        <v>49</v>
      </c>
      <c r="AS9" s="286">
        <v>17</v>
      </c>
      <c r="AT9" s="286" t="s">
        <v>274</v>
      </c>
      <c r="AV9" s="234">
        <f t="shared" si="21"/>
        <v>39</v>
      </c>
      <c r="AW9" s="234">
        <f>COUNTIF( AV$7:AV9, AV9 )</f>
        <v>1</v>
      </c>
      <c r="AX9" s="287">
        <f t="shared" si="22"/>
        <v>39.1</v>
      </c>
      <c r="AY9" s="234">
        <f t="shared" si="23"/>
        <v>39</v>
      </c>
      <c r="AZ9" s="236"/>
      <c r="BA9" s="236"/>
      <c r="BC9" s="234">
        <f t="shared" ref="BC9:BC63" ca="1" si="24">OFFSET( BC9, -1, 0 ) + 1</f>
        <v>3</v>
      </c>
      <c r="BD9" s="288">
        <f t="shared" ca="1" si="7"/>
        <v>11</v>
      </c>
      <c r="BF9" s="240" t="str">
        <f t="shared" ca="1" si="8"/>
        <v>Dominion Resources, Inc.</v>
      </c>
      <c r="BG9" s="240" t="str">
        <f t="shared" ca="1" si="9"/>
        <v>A-</v>
      </c>
      <c r="BH9" s="240">
        <f t="shared" ca="1" si="9"/>
        <v>20</v>
      </c>
      <c r="BI9" s="240" t="str">
        <f t="shared" ca="1" si="9"/>
        <v>D</v>
      </c>
    </row>
    <row r="10" spans="1:61" x14ac:dyDescent="0.2">
      <c r="A10" s="303" t="s">
        <v>254</v>
      </c>
      <c r="B10" s="304" t="s">
        <v>10</v>
      </c>
      <c r="C10" s="304">
        <v>20</v>
      </c>
      <c r="D10" s="304" t="s">
        <v>331</v>
      </c>
      <c r="E10" s="305" t="str">
        <f t="shared" ca="1" si="0"/>
        <v>R</v>
      </c>
      <c r="F10" s="306"/>
      <c r="G10" s="307">
        <f t="shared" ca="1" si="1"/>
        <v>32</v>
      </c>
      <c r="H10" s="250"/>
      <c r="I10" s="318"/>
      <c r="J10" s="295" t="s">
        <v>16</v>
      </c>
      <c r="K10" s="318"/>
      <c r="L10" s="295">
        <f t="shared" si="10"/>
        <v>13</v>
      </c>
      <c r="M10" s="296">
        <f t="shared" si="11"/>
        <v>0.23214285714285715</v>
      </c>
      <c r="N10" s="318"/>
      <c r="O10" s="295">
        <f t="shared" ca="1" si="12"/>
        <v>5</v>
      </c>
      <c r="P10" s="296">
        <f t="shared" ca="1" si="13"/>
        <v>0.1388888888888889</v>
      </c>
      <c r="Q10" s="318"/>
      <c r="R10" s="295">
        <f t="shared" ca="1" si="14"/>
        <v>7</v>
      </c>
      <c r="S10" s="296">
        <f t="shared" ca="1" si="15"/>
        <v>0.41176470588235292</v>
      </c>
      <c r="T10" s="318"/>
      <c r="U10" s="295">
        <f t="shared" ca="1" si="16"/>
        <v>1</v>
      </c>
      <c r="V10" s="296">
        <f t="shared" ca="1" si="17"/>
        <v>0.33333333333333331</v>
      </c>
      <c r="W10" s="318"/>
      <c r="X10" s="256" t="s">
        <v>466</v>
      </c>
      <c r="Y10" s="256">
        <v>19</v>
      </c>
      <c r="Z10" s="256">
        <v>1</v>
      </c>
      <c r="AA10" s="255">
        <f t="shared" ca="1" si="18"/>
        <v>13</v>
      </c>
      <c r="AE10" s="254"/>
      <c r="AF10" s="236">
        <f t="shared" si="2"/>
        <v>0</v>
      </c>
      <c r="AG10" s="236" t="str">
        <f t="shared" ca="1" si="3"/>
        <v/>
      </c>
      <c r="AH10" s="236" t="str">
        <f t="shared" ca="1" si="19"/>
        <v/>
      </c>
      <c r="AJ10" s="236">
        <f t="shared" ca="1" si="4"/>
        <v>11</v>
      </c>
      <c r="AK10" s="236" t="str">
        <f t="shared" ca="1" si="20"/>
        <v>A-</v>
      </c>
      <c r="AL10" s="236">
        <f t="shared" ca="1" si="20"/>
        <v>20</v>
      </c>
      <c r="AM10" s="236" t="str">
        <f t="shared" ca="1" si="5"/>
        <v/>
      </c>
      <c r="AQ10" s="286" t="s">
        <v>259</v>
      </c>
      <c r="AR10" s="286" t="s">
        <v>28</v>
      </c>
      <c r="AS10" s="286">
        <v>18</v>
      </c>
      <c r="AT10" s="286" t="s">
        <v>275</v>
      </c>
      <c r="AV10" s="234">
        <f t="shared" si="21"/>
        <v>23</v>
      </c>
      <c r="AW10" s="234">
        <f>COUNTIF( AV$7:AV10, AV10 )</f>
        <v>1</v>
      </c>
      <c r="AX10" s="287">
        <f t="shared" si="22"/>
        <v>23.1</v>
      </c>
      <c r="AY10" s="234">
        <f t="shared" si="23"/>
        <v>23</v>
      </c>
      <c r="AZ10" s="236"/>
      <c r="BA10" s="236"/>
      <c r="BC10" s="234">
        <f t="shared" ca="1" si="24"/>
        <v>4</v>
      </c>
      <c r="BD10" s="288">
        <f t="shared" ca="1" si="7"/>
        <v>26</v>
      </c>
      <c r="BF10" s="240" t="str">
        <f t="shared" ca="1" si="8"/>
        <v>Integrys Energy Group, Inc.</v>
      </c>
      <c r="BG10" s="240" t="str">
        <f t="shared" ca="1" si="9"/>
        <v>A-</v>
      </c>
      <c r="BH10" s="240">
        <f t="shared" ca="1" si="9"/>
        <v>20</v>
      </c>
      <c r="BI10" s="240" t="str">
        <f t="shared" ca="1" si="9"/>
        <v>TEG</v>
      </c>
    </row>
    <row r="11" spans="1:61" x14ac:dyDescent="0.2">
      <c r="A11" s="303" t="s">
        <v>370</v>
      </c>
      <c r="B11" s="304" t="s">
        <v>10</v>
      </c>
      <c r="C11" s="304">
        <v>20</v>
      </c>
      <c r="D11" s="304" t="s">
        <v>369</v>
      </c>
      <c r="E11" s="305" t="str">
        <f t="shared" ca="1" si="0"/>
        <v>MR</v>
      </c>
      <c r="F11" s="306"/>
      <c r="G11" s="307">
        <f t="shared" ca="1" si="1"/>
        <v>35</v>
      </c>
      <c r="H11" s="250"/>
      <c r="I11" s="318"/>
      <c r="J11" s="295" t="s">
        <v>28</v>
      </c>
      <c r="K11" s="318"/>
      <c r="L11" s="295">
        <f t="shared" si="10"/>
        <v>16</v>
      </c>
      <c r="M11" s="296">
        <f t="shared" si="11"/>
        <v>0.2857142857142857</v>
      </c>
      <c r="N11" s="318"/>
      <c r="O11" s="295">
        <f t="shared" ca="1" si="12"/>
        <v>13</v>
      </c>
      <c r="P11" s="296">
        <f t="shared" ca="1" si="13"/>
        <v>0.3611111111111111</v>
      </c>
      <c r="Q11" s="318"/>
      <c r="R11" s="295">
        <f t="shared" ca="1" si="14"/>
        <v>3</v>
      </c>
      <c r="S11" s="296">
        <f t="shared" ca="1" si="15"/>
        <v>0.17647058823529413</v>
      </c>
      <c r="T11" s="318"/>
      <c r="U11" s="295">
        <f t="shared" ca="1" si="16"/>
        <v>0</v>
      </c>
      <c r="V11" s="296" t="str">
        <f t="shared" ca="1" si="17"/>
        <v/>
      </c>
      <c r="W11" s="318"/>
      <c r="X11" s="256" t="s">
        <v>467</v>
      </c>
      <c r="Y11" s="256">
        <v>18</v>
      </c>
      <c r="Z11" s="256">
        <v>1</v>
      </c>
      <c r="AA11" s="255">
        <f t="shared" ca="1" si="18"/>
        <v>16</v>
      </c>
      <c r="AE11" s="254"/>
      <c r="AF11" s="236">
        <f t="shared" si="2"/>
        <v>0</v>
      </c>
      <c r="AG11" s="236" t="str">
        <f t="shared" ca="1" si="3"/>
        <v/>
      </c>
      <c r="AH11" s="236" t="str">
        <f t="shared" ca="1" si="19"/>
        <v/>
      </c>
      <c r="AJ11" s="236">
        <f t="shared" ca="1" si="4"/>
        <v>12</v>
      </c>
      <c r="AK11" s="236" t="str">
        <f t="shared" ca="1" si="20"/>
        <v>A-</v>
      </c>
      <c r="AL11" s="236">
        <f t="shared" ca="1" si="20"/>
        <v>20</v>
      </c>
      <c r="AM11" s="236" t="str">
        <f t="shared" ca="1" si="5"/>
        <v/>
      </c>
      <c r="AQ11" s="286" t="s">
        <v>55</v>
      </c>
      <c r="AR11" s="286" t="s">
        <v>28</v>
      </c>
      <c r="AS11" s="286">
        <v>18</v>
      </c>
      <c r="AT11" s="286" t="s">
        <v>278</v>
      </c>
      <c r="AV11" s="234">
        <f t="shared" si="21"/>
        <v>23</v>
      </c>
      <c r="AW11" s="234">
        <f>COUNTIF( AV$7:AV11, AV11 )</f>
        <v>2</v>
      </c>
      <c r="AX11" s="287">
        <f t="shared" si="22"/>
        <v>23.2</v>
      </c>
      <c r="AY11" s="234">
        <f t="shared" si="23"/>
        <v>24</v>
      </c>
      <c r="AZ11" s="236"/>
      <c r="BA11" s="236"/>
      <c r="BC11" s="234">
        <f t="shared" ca="1" si="24"/>
        <v>5</v>
      </c>
      <c r="BD11" s="288">
        <f t="shared" ca="1" si="7"/>
        <v>30</v>
      </c>
      <c r="BF11" s="240" t="str">
        <f t="shared" ca="1" si="8"/>
        <v>NextEra Energy, Inc.</v>
      </c>
      <c r="BG11" s="240" t="str">
        <f t="shared" ca="1" si="9"/>
        <v>A-</v>
      </c>
      <c r="BH11" s="240">
        <f t="shared" ca="1" si="9"/>
        <v>20</v>
      </c>
      <c r="BI11" s="240" t="str">
        <f t="shared" ca="1" si="9"/>
        <v>NEE</v>
      </c>
    </row>
    <row r="12" spans="1:61" x14ac:dyDescent="0.2">
      <c r="A12" s="303" t="s">
        <v>513</v>
      </c>
      <c r="B12" s="304" t="s">
        <v>10</v>
      </c>
      <c r="C12" s="304">
        <v>20</v>
      </c>
      <c r="D12" s="304" t="s">
        <v>512</v>
      </c>
      <c r="E12" s="305" t="str">
        <f t="shared" ca="1" si="0"/>
        <v>R</v>
      </c>
      <c r="F12" s="306"/>
      <c r="G12" s="307">
        <f t="shared" ca="1" si="1"/>
        <v>37</v>
      </c>
      <c r="H12" s="250"/>
      <c r="I12" s="318"/>
      <c r="J12" s="295" t="s">
        <v>49</v>
      </c>
      <c r="K12" s="318"/>
      <c r="L12" s="295">
        <f t="shared" si="10"/>
        <v>12</v>
      </c>
      <c r="M12" s="296">
        <f t="shared" si="11"/>
        <v>0.21428571428571427</v>
      </c>
      <c r="N12" s="318"/>
      <c r="O12" s="295">
        <f t="shared" ca="1" si="12"/>
        <v>7</v>
      </c>
      <c r="P12" s="296">
        <f t="shared" ca="1" si="13"/>
        <v>0.19444444444444445</v>
      </c>
      <c r="Q12" s="318"/>
      <c r="R12" s="295">
        <f t="shared" ca="1" si="14"/>
        <v>4</v>
      </c>
      <c r="S12" s="296">
        <f t="shared" ca="1" si="15"/>
        <v>0.23529411764705882</v>
      </c>
      <c r="T12" s="318"/>
      <c r="U12" s="295">
        <f t="shared" ca="1" si="16"/>
        <v>1</v>
      </c>
      <c r="V12" s="296">
        <f t="shared" ca="1" si="17"/>
        <v>0.33333333333333331</v>
      </c>
      <c r="W12" s="318"/>
      <c r="X12" s="256" t="s">
        <v>468</v>
      </c>
      <c r="Y12" s="256">
        <v>17</v>
      </c>
      <c r="Z12" s="256">
        <v>1</v>
      </c>
      <c r="AA12" s="255">
        <f t="shared" ca="1" si="18"/>
        <v>12</v>
      </c>
      <c r="AE12" s="254"/>
      <c r="AF12" s="236">
        <f t="shared" si="2"/>
        <v>0</v>
      </c>
      <c r="AG12" s="236" t="str">
        <f t="shared" ca="1" si="3"/>
        <v/>
      </c>
      <c r="AH12" s="236" t="str">
        <f t="shared" ca="1" si="19"/>
        <v/>
      </c>
      <c r="AJ12" s="236">
        <f t="shared" ca="1" si="4"/>
        <v>13</v>
      </c>
      <c r="AK12" s="236" t="str">
        <f t="shared" ca="1" si="20"/>
        <v>A-</v>
      </c>
      <c r="AL12" s="236">
        <f t="shared" ca="1" si="20"/>
        <v>20</v>
      </c>
      <c r="AM12" s="236" t="str">
        <f t="shared" ca="1" si="5"/>
        <v/>
      </c>
      <c r="AQ12" s="286" t="s">
        <v>48</v>
      </c>
      <c r="AR12" s="286" t="s">
        <v>49</v>
      </c>
      <c r="AS12" s="286">
        <v>17</v>
      </c>
      <c r="AT12" s="286" t="s">
        <v>280</v>
      </c>
      <c r="AV12" s="234">
        <f t="shared" si="21"/>
        <v>39</v>
      </c>
      <c r="AW12" s="234">
        <f>COUNTIF( AV$7:AV12, AV12 )</f>
        <v>2</v>
      </c>
      <c r="AX12" s="287">
        <f t="shared" si="22"/>
        <v>39.200000000000003</v>
      </c>
      <c r="AY12" s="234">
        <f t="shared" si="23"/>
        <v>40</v>
      </c>
      <c r="AZ12" s="236"/>
      <c r="BA12" s="236"/>
      <c r="BC12" s="234">
        <f t="shared" ca="1" si="24"/>
        <v>6</v>
      </c>
      <c r="BD12" s="288">
        <f t="shared" ca="1" si="7"/>
        <v>32</v>
      </c>
      <c r="BF12" s="240" t="str">
        <f t="shared" ca="1" si="8"/>
        <v>Eversource</v>
      </c>
      <c r="BG12" s="240" t="str">
        <f t="shared" ca="1" si="9"/>
        <v>A-</v>
      </c>
      <c r="BH12" s="240">
        <f t="shared" ca="1" si="9"/>
        <v>20</v>
      </c>
      <c r="BI12" s="240" t="str">
        <f t="shared" ca="1" si="9"/>
        <v>ES</v>
      </c>
    </row>
    <row r="13" spans="1:61" x14ac:dyDescent="0.2">
      <c r="A13" s="303" t="s">
        <v>14</v>
      </c>
      <c r="B13" s="304" t="s">
        <v>10</v>
      </c>
      <c r="C13" s="304">
        <v>20</v>
      </c>
      <c r="D13" s="304" t="s">
        <v>335</v>
      </c>
      <c r="E13" s="305" t="str">
        <f t="shared" ca="1" si="0"/>
        <v>R</v>
      </c>
      <c r="F13" s="306"/>
      <c r="G13" s="307">
        <f t="shared" ca="1" si="1"/>
        <v>58</v>
      </c>
      <c r="H13" s="250"/>
      <c r="I13" s="319"/>
      <c r="J13" s="297" t="s">
        <v>79</v>
      </c>
      <c r="K13" s="319"/>
      <c r="L13" s="297">
        <f t="shared" si="10"/>
        <v>4</v>
      </c>
      <c r="M13" s="298">
        <f t="shared" si="11"/>
        <v>7.1428571428571425E-2</v>
      </c>
      <c r="N13" s="319"/>
      <c r="O13" s="297">
        <f t="shared" ca="1" si="12"/>
        <v>3</v>
      </c>
      <c r="P13" s="298">
        <f t="shared" ca="1" si="13"/>
        <v>8.3333333333333329E-2</v>
      </c>
      <c r="Q13" s="319"/>
      <c r="R13" s="297">
        <f t="shared" ca="1" si="14"/>
        <v>0</v>
      </c>
      <c r="S13" s="298" t="str">
        <f t="shared" ca="1" si="15"/>
        <v/>
      </c>
      <c r="T13" s="319"/>
      <c r="U13" s="297">
        <f t="shared" ca="1" si="16"/>
        <v>1</v>
      </c>
      <c r="V13" s="298">
        <f t="shared" ca="1" si="17"/>
        <v>0.33333333333333331</v>
      </c>
      <c r="W13" s="319"/>
      <c r="X13" s="256" t="s">
        <v>469</v>
      </c>
      <c r="Y13" s="256">
        <v>16</v>
      </c>
      <c r="Z13" s="256">
        <v>1</v>
      </c>
      <c r="AA13" s="259">
        <f t="shared" ca="1" si="18"/>
        <v>4</v>
      </c>
      <c r="AE13" s="254"/>
      <c r="AF13" s="236">
        <f t="shared" si="2"/>
        <v>0</v>
      </c>
      <c r="AG13" s="236" t="str">
        <f t="shared" ca="1" si="3"/>
        <v/>
      </c>
      <c r="AH13" s="236" t="str">
        <f t="shared" ca="1" si="19"/>
        <v/>
      </c>
      <c r="AJ13" s="236">
        <f t="shared" ca="1" si="4"/>
        <v>14</v>
      </c>
      <c r="AK13" s="236" t="str">
        <f t="shared" ca="1" si="20"/>
        <v>A-</v>
      </c>
      <c r="AL13" s="236">
        <f t="shared" ca="1" si="20"/>
        <v>20</v>
      </c>
      <c r="AM13" s="236" t="str">
        <f t="shared" ca="1" si="5"/>
        <v/>
      </c>
      <c r="AQ13" s="286" t="s">
        <v>29</v>
      </c>
      <c r="AR13" s="286" t="s">
        <v>16</v>
      </c>
      <c r="AS13" s="286">
        <v>19</v>
      </c>
      <c r="AT13" s="286" t="s">
        <v>286</v>
      </c>
      <c r="AV13" s="234">
        <f t="shared" si="21"/>
        <v>10</v>
      </c>
      <c r="AW13" s="234">
        <f>COUNTIF( AV$7:AV13, AV13 )</f>
        <v>3</v>
      </c>
      <c r="AX13" s="287">
        <f t="shared" si="22"/>
        <v>10.3</v>
      </c>
      <c r="AY13" s="234">
        <f t="shared" si="23"/>
        <v>12</v>
      </c>
      <c r="AZ13" s="236"/>
      <c r="BA13" s="236"/>
      <c r="BC13" s="234">
        <f t="shared" ca="1" si="24"/>
        <v>7</v>
      </c>
      <c r="BD13" s="288">
        <f t="shared" ca="1" si="7"/>
        <v>50</v>
      </c>
      <c r="BF13" s="240" t="str">
        <f t="shared" ca="1" si="8"/>
        <v>Vectren Corporation</v>
      </c>
      <c r="BG13" s="240" t="str">
        <f t="shared" ca="1" si="9"/>
        <v>A-</v>
      </c>
      <c r="BH13" s="240">
        <f t="shared" ca="1" si="9"/>
        <v>20</v>
      </c>
      <c r="BI13" s="240" t="str">
        <f t="shared" ca="1" si="9"/>
        <v>VVC</v>
      </c>
    </row>
    <row r="14" spans="1:61" x14ac:dyDescent="0.2">
      <c r="A14" s="303" t="s">
        <v>26</v>
      </c>
      <c r="B14" s="304" t="s">
        <v>10</v>
      </c>
      <c r="C14" s="304">
        <v>20</v>
      </c>
      <c r="D14" s="304" t="s">
        <v>336</v>
      </c>
      <c r="E14" s="305" t="str">
        <f t="shared" ca="1" si="0"/>
        <v>R</v>
      </c>
      <c r="F14" s="306"/>
      <c r="G14" s="307">
        <f t="shared" ca="1" si="1"/>
        <v>60</v>
      </c>
      <c r="H14" s="250"/>
      <c r="I14" s="320"/>
      <c r="J14" s="291" t="s">
        <v>80</v>
      </c>
      <c r="K14" s="320"/>
      <c r="L14" s="291">
        <f>SUM(L8:L13)</f>
        <v>56</v>
      </c>
      <c r="M14" s="292">
        <f>L14/L$14</f>
        <v>1</v>
      </c>
      <c r="N14" s="320"/>
      <c r="O14" s="291">
        <f ca="1">SUM(O8:O13)</f>
        <v>36</v>
      </c>
      <c r="P14" s="292">
        <f ca="1">O14/O$14</f>
        <v>1</v>
      </c>
      <c r="Q14" s="320"/>
      <c r="R14" s="291">
        <f ca="1">SUM(R8:R13)</f>
        <v>17</v>
      </c>
      <c r="S14" s="292">
        <f ca="1">R14/R$14</f>
        <v>1</v>
      </c>
      <c r="T14" s="320"/>
      <c r="U14" s="291">
        <f ca="1">SUM(U8:U13)</f>
        <v>3</v>
      </c>
      <c r="V14" s="292">
        <f ca="1">U14/U$14</f>
        <v>1</v>
      </c>
      <c r="W14" s="320"/>
      <c r="Y14" s="261">
        <f>SUMPRODUCT( L8:L13, Y8:Y13 ) / L14</f>
        <v>18.321428571428573</v>
      </c>
      <c r="Z14" s="261"/>
      <c r="AA14" s="260">
        <f ca="1">SUM(AA8:AA13)</f>
        <v>56</v>
      </c>
      <c r="AE14" s="254"/>
      <c r="AF14" s="236">
        <f t="shared" si="2"/>
        <v>0</v>
      </c>
      <c r="AG14" s="236" t="str">
        <f t="shared" ca="1" si="3"/>
        <v/>
      </c>
      <c r="AH14" s="236" t="str">
        <f t="shared" ca="1" si="19"/>
        <v/>
      </c>
      <c r="AJ14" s="236">
        <f t="shared" ca="1" si="4"/>
        <v>15</v>
      </c>
      <c r="AK14" s="236" t="str">
        <f t="shared" ca="1" si="20"/>
        <v>A-</v>
      </c>
      <c r="AL14" s="236">
        <f t="shared" ca="1" si="20"/>
        <v>20</v>
      </c>
      <c r="AM14" s="236" t="str">
        <f t="shared" ca="1" si="5"/>
        <v/>
      </c>
      <c r="AQ14" s="286" t="s">
        <v>30</v>
      </c>
      <c r="AR14" s="286" t="s">
        <v>28</v>
      </c>
      <c r="AS14" s="286">
        <v>18</v>
      </c>
      <c r="AT14" s="286" t="s">
        <v>285</v>
      </c>
      <c r="AV14" s="234">
        <f>IF( LEN( AS14 ) = 0, 99, RANK( AS14, $AS$7:$AS$63 ) )</f>
        <v>23</v>
      </c>
      <c r="AW14" s="234">
        <f>COUNTIF( AV$7:AV14, AV14 )</f>
        <v>3</v>
      </c>
      <c r="AX14" s="287">
        <f t="shared" si="22"/>
        <v>23.3</v>
      </c>
      <c r="AY14" s="234">
        <f t="shared" si="23"/>
        <v>25</v>
      </c>
      <c r="AZ14" s="236"/>
      <c r="BA14" s="236"/>
      <c r="BC14" s="234">
        <f t="shared" ca="1" si="24"/>
        <v>8</v>
      </c>
      <c r="BD14" s="288">
        <f t="shared" ca="1" si="7"/>
        <v>52</v>
      </c>
      <c r="BF14" s="240" t="str">
        <f t="shared" ca="1" si="8"/>
        <v>Wisconsin Energy Corporation</v>
      </c>
      <c r="BG14" s="240" t="str">
        <f t="shared" ca="1" si="9"/>
        <v>A-</v>
      </c>
      <c r="BH14" s="240">
        <f t="shared" ca="1" si="9"/>
        <v>20</v>
      </c>
      <c r="BI14" s="240" t="str">
        <f t="shared" ca="1" si="9"/>
        <v>WEC</v>
      </c>
    </row>
    <row r="15" spans="1:61" x14ac:dyDescent="0.2">
      <c r="A15" s="303" t="s">
        <v>258</v>
      </c>
      <c r="B15" s="304" t="s">
        <v>10</v>
      </c>
      <c r="C15" s="304">
        <v>20</v>
      </c>
      <c r="D15" s="304" t="s">
        <v>338</v>
      </c>
      <c r="E15" s="305" t="str">
        <f t="shared" ca="1" si="0"/>
        <v>R</v>
      </c>
      <c r="F15" s="306"/>
      <c r="G15" s="307">
        <f t="shared" ca="1" si="1"/>
        <v>61</v>
      </c>
      <c r="H15" s="250"/>
      <c r="I15" s="321"/>
      <c r="K15" s="321"/>
      <c r="N15" s="321"/>
      <c r="Q15" s="321"/>
      <c r="T15" s="321"/>
      <c r="W15" s="321"/>
      <c r="X15" s="240"/>
      <c r="AA15" s="240"/>
      <c r="AE15" s="254"/>
      <c r="AF15" s="236">
        <f t="shared" si="2"/>
        <v>0</v>
      </c>
      <c r="AG15" s="236" t="str">
        <f t="shared" ca="1" si="3"/>
        <v/>
      </c>
      <c r="AH15" s="236" t="str">
        <f t="shared" ca="1" si="19"/>
        <v/>
      </c>
      <c r="AJ15" s="236">
        <f t="shared" ca="1" si="4"/>
        <v>16</v>
      </c>
      <c r="AK15" s="236" t="str">
        <f t="shared" ca="1" si="20"/>
        <v>A-</v>
      </c>
      <c r="AL15" s="236">
        <f t="shared" ca="1" si="20"/>
        <v>20</v>
      </c>
      <c r="AM15" s="236" t="str">
        <f t="shared" ca="1" si="5"/>
        <v/>
      </c>
      <c r="AQ15" s="286" t="s">
        <v>60</v>
      </c>
      <c r="AR15" s="286" t="s">
        <v>49</v>
      </c>
      <c r="AS15" s="286">
        <v>17</v>
      </c>
      <c r="AT15" s="286" t="s">
        <v>284</v>
      </c>
      <c r="AV15" s="234">
        <f t="shared" si="21"/>
        <v>39</v>
      </c>
      <c r="AW15" s="234">
        <f>COUNTIF( AV$7:AV15, AV15 )</f>
        <v>3</v>
      </c>
      <c r="AX15" s="287">
        <f t="shared" si="22"/>
        <v>39.299999999999997</v>
      </c>
      <c r="AY15" s="234">
        <f t="shared" si="23"/>
        <v>41</v>
      </c>
      <c r="AZ15" s="236"/>
      <c r="BA15" s="236"/>
      <c r="BC15" s="234">
        <f t="shared" ca="1" si="24"/>
        <v>9</v>
      </c>
      <c r="BD15" s="288">
        <f t="shared" ca="1" si="7"/>
        <v>53</v>
      </c>
      <c r="BF15" s="240" t="str">
        <f t="shared" ca="1" si="8"/>
        <v>Xcel Energy Inc.</v>
      </c>
      <c r="BG15" s="240" t="str">
        <f t="shared" ca="1" si="9"/>
        <v>A-</v>
      </c>
      <c r="BH15" s="240">
        <f t="shared" ca="1" si="9"/>
        <v>20</v>
      </c>
      <c r="BI15" s="240" t="str">
        <f t="shared" ca="1" si="9"/>
        <v>XEL</v>
      </c>
    </row>
    <row r="16" spans="1:61" x14ac:dyDescent="0.2">
      <c r="A16" s="303" t="s">
        <v>15</v>
      </c>
      <c r="B16" s="304" t="s">
        <v>16</v>
      </c>
      <c r="C16" s="304">
        <v>19</v>
      </c>
      <c r="D16" s="304" t="s">
        <v>277</v>
      </c>
      <c r="E16" s="305" t="str">
        <f t="shared" ca="1" si="0"/>
        <v>R</v>
      </c>
      <c r="F16" s="306"/>
      <c r="G16" s="307">
        <f t="shared" ca="1" si="1"/>
        <v>7</v>
      </c>
      <c r="H16" s="250"/>
      <c r="I16" s="316"/>
      <c r="J16" s="290" t="s">
        <v>450</v>
      </c>
      <c r="K16" s="316"/>
      <c r="L16" s="463">
        <f t="array" ref="L16">SUM( IF( LEN( $C$7:$C$65 ) = 0, 0, $C$7:$C$65 ) ) / SUM( IF( LEN( $C$7:$C$65 ) = 0, 0, 1  ) )</f>
        <v>18.232142857142858</v>
      </c>
      <c r="M16" s="464"/>
      <c r="N16" s="316"/>
      <c r="O16" s="463">
        <f t="array" aca="1" ref="O16" ca="1">SUM( IF( LEN( $C$7:$C$65 ) = 0, 0, IF( $E$7:$E$65 = O3, $C$7:$C$65, 0 ) ) ) / SUM( IF( LEN( $C$7:$C$65 ) = 0, 0, IF( $E$7:$E$65 = O3, 1, 0 ) ) )</f>
        <v>18.277777777777779</v>
      </c>
      <c r="P16" s="464"/>
      <c r="Q16" s="316"/>
      <c r="R16" s="463">
        <f t="array" aca="1" ref="R16" ca="1">SUM( IF( LEN( $C$7:$C$65 ) = 0, 0, IF( $E$7:$E$65 = R3, $C$7:$C$65, 0 ) ) ) / SUM( IF( LEN( $C$7:$C$65 ) = 0, 0, IF( $E$7:$E$65 = R3, 1, 0 ) ) )</f>
        <v>18.705882352941178</v>
      </c>
      <c r="S16" s="464"/>
      <c r="T16" s="316"/>
      <c r="U16" s="463">
        <f t="array" aca="1" ref="U16" ca="1">SUM( IF( LEN( $C$7:$C$65 ) = 0, 0, IF( $E$7:$E$65 = U3, $C$7:$C$65, 0 ) ) ) / SUM( IF( LEN( $C$7:$C$65 ) = 0, 0, IF( $E$7:$E$65 = U3, 1, 0 ) ) )</f>
        <v>15</v>
      </c>
      <c r="V16" s="465"/>
      <c r="W16" s="316"/>
      <c r="AE16" s="254"/>
      <c r="AF16" s="236">
        <f t="shared" si="2"/>
        <v>1</v>
      </c>
      <c r="AG16" s="236" t="str">
        <f t="shared" ca="1" si="3"/>
        <v/>
      </c>
      <c r="AH16" s="236" t="str">
        <f t="shared" ca="1" si="19"/>
        <v/>
      </c>
      <c r="AJ16" s="236">
        <f t="shared" ca="1" si="4"/>
        <v>17</v>
      </c>
      <c r="AK16" s="236" t="str">
        <f t="shared" ca="1" si="20"/>
        <v>BBB+</v>
      </c>
      <c r="AL16" s="236">
        <f t="shared" ca="1" si="20"/>
        <v>19</v>
      </c>
      <c r="AM16" s="236" t="str">
        <f t="shared" ca="1" si="5"/>
        <v/>
      </c>
      <c r="AQ16" s="286" t="s">
        <v>3</v>
      </c>
      <c r="AR16" s="286" t="s">
        <v>10</v>
      </c>
      <c r="AS16" s="286">
        <v>20</v>
      </c>
      <c r="AT16" s="286" t="s">
        <v>292</v>
      </c>
      <c r="AV16" s="234">
        <f t="shared" si="21"/>
        <v>2</v>
      </c>
      <c r="AW16" s="234">
        <f>COUNTIF( AV$7:AV16, AV16 )</f>
        <v>1</v>
      </c>
      <c r="AX16" s="287">
        <f t="shared" si="22"/>
        <v>2.1</v>
      </c>
      <c r="AY16" s="234">
        <f t="shared" si="23"/>
        <v>2</v>
      </c>
      <c r="AZ16" s="236"/>
      <c r="BA16" s="236"/>
      <c r="BC16" s="234">
        <f t="shared" ca="1" si="24"/>
        <v>10</v>
      </c>
      <c r="BD16" s="288">
        <f t="shared" ca="1" si="7"/>
        <v>1</v>
      </c>
      <c r="BF16" s="240" t="str">
        <f t="shared" ca="1" si="8"/>
        <v>ALLETE, Inc.</v>
      </c>
      <c r="BG16" s="240" t="str">
        <f t="shared" ca="1" si="9"/>
        <v>BBB+</v>
      </c>
      <c r="BH16" s="240">
        <f t="shared" ca="1" si="9"/>
        <v>19</v>
      </c>
      <c r="BI16" s="240" t="str">
        <f t="shared" ca="1" si="9"/>
        <v>ALE</v>
      </c>
    </row>
    <row r="17" spans="1:61" x14ac:dyDescent="0.2">
      <c r="A17" s="303" t="s">
        <v>17</v>
      </c>
      <c r="B17" s="304" t="s">
        <v>16</v>
      </c>
      <c r="C17" s="304">
        <v>19</v>
      </c>
      <c r="D17" s="304" t="s">
        <v>307</v>
      </c>
      <c r="E17" s="305" t="str">
        <f t="shared" ca="1" si="0"/>
        <v>R</v>
      </c>
      <c r="F17" s="306"/>
      <c r="G17" s="307">
        <f t="shared" ca="1" si="1"/>
        <v>8</v>
      </c>
      <c r="H17" s="250"/>
      <c r="I17" s="321"/>
      <c r="K17" s="321"/>
      <c r="N17" s="321"/>
      <c r="O17" s="240"/>
      <c r="Q17" s="321"/>
      <c r="T17" s="321"/>
      <c r="W17" s="321"/>
      <c r="AE17" s="245"/>
      <c r="AF17" s="236">
        <f t="shared" si="2"/>
        <v>1</v>
      </c>
      <c r="AG17" s="236" t="str">
        <f t="shared" ca="1" si="3"/>
        <v/>
      </c>
      <c r="AH17" s="236" t="str">
        <f t="shared" ca="1" si="19"/>
        <v/>
      </c>
      <c r="AJ17" s="236">
        <f t="shared" ca="1" si="4"/>
        <v>18</v>
      </c>
      <c r="AK17" s="236" t="str">
        <f t="shared" ca="1" si="20"/>
        <v>BBB+</v>
      </c>
      <c r="AL17" s="236">
        <f t="shared" ca="1" si="20"/>
        <v>19</v>
      </c>
      <c r="AM17" s="236" t="str">
        <f t="shared" ca="1" si="5"/>
        <v/>
      </c>
      <c r="AQ17" s="286" t="s">
        <v>18</v>
      </c>
      <c r="AR17" s="286" t="s">
        <v>10</v>
      </c>
      <c r="AS17" s="286">
        <v>20</v>
      </c>
      <c r="AT17" s="286" t="s">
        <v>86</v>
      </c>
      <c r="AV17" s="234">
        <f t="shared" si="21"/>
        <v>2</v>
      </c>
      <c r="AW17" s="234">
        <f>COUNTIF( AV$7:AV17, AV17 )</f>
        <v>2</v>
      </c>
      <c r="AX17" s="287">
        <f t="shared" si="22"/>
        <v>2.2000000000000002</v>
      </c>
      <c r="AY17" s="234">
        <f t="shared" si="23"/>
        <v>3</v>
      </c>
      <c r="AZ17" s="236"/>
      <c r="BA17" s="236"/>
      <c r="BC17" s="234">
        <f t="shared" ca="1" si="24"/>
        <v>11</v>
      </c>
      <c r="BD17" s="288">
        <f t="shared" ca="1" si="7"/>
        <v>2</v>
      </c>
      <c r="BF17" s="240" t="str">
        <f t="shared" ca="1" si="8"/>
        <v>Alliant Energy Corporation</v>
      </c>
      <c r="BG17" s="240" t="str">
        <f t="shared" ca="1" si="9"/>
        <v>BBB+</v>
      </c>
      <c r="BH17" s="240">
        <f t="shared" ca="1" si="9"/>
        <v>19</v>
      </c>
      <c r="BI17" s="240" t="str">
        <f t="shared" ca="1" si="9"/>
        <v>LNT</v>
      </c>
    </row>
    <row r="18" spans="1:61" x14ac:dyDescent="0.2">
      <c r="A18" s="303" t="s">
        <v>29</v>
      </c>
      <c r="B18" s="304" t="s">
        <v>16</v>
      </c>
      <c r="C18" s="304">
        <v>19</v>
      </c>
      <c r="D18" s="304" t="s">
        <v>286</v>
      </c>
      <c r="E18" s="305" t="str">
        <f t="shared" ca="1" si="0"/>
        <v>MR</v>
      </c>
      <c r="F18" s="306"/>
      <c r="G18" s="307">
        <f t="shared" ca="1" si="1"/>
        <v>13</v>
      </c>
      <c r="H18" s="250"/>
      <c r="I18" s="321"/>
      <c r="K18" s="321"/>
      <c r="N18" s="321"/>
      <c r="O18" s="240"/>
      <c r="Q18" s="321"/>
      <c r="T18" s="321"/>
      <c r="W18" s="321"/>
      <c r="AE18" s="254"/>
      <c r="AF18" s="236">
        <f t="shared" si="2"/>
        <v>1</v>
      </c>
      <c r="AG18" s="236" t="str">
        <f t="shared" ca="1" si="3"/>
        <v/>
      </c>
      <c r="AH18" s="236" t="str">
        <f t="shared" ca="1" si="19"/>
        <v/>
      </c>
      <c r="AJ18" s="236">
        <f t="shared" ca="1" si="4"/>
        <v>19</v>
      </c>
      <c r="AK18" s="236" t="str">
        <f t="shared" ca="1" si="20"/>
        <v>BBB+</v>
      </c>
      <c r="AL18" s="236">
        <f t="shared" ca="1" si="20"/>
        <v>19</v>
      </c>
      <c r="AM18" s="236" t="str">
        <f t="shared" ca="1" si="5"/>
        <v/>
      </c>
      <c r="AQ18" s="286" t="s">
        <v>64</v>
      </c>
      <c r="AR18" s="286" t="s">
        <v>49</v>
      </c>
      <c r="AS18" s="286">
        <v>17</v>
      </c>
      <c r="AT18" s="286" t="s">
        <v>443</v>
      </c>
      <c r="AV18" s="234">
        <f t="shared" si="21"/>
        <v>39</v>
      </c>
      <c r="AW18" s="234">
        <f>COUNTIF( AV$7:AV18, AV18 )</f>
        <v>4</v>
      </c>
      <c r="AX18" s="287">
        <f t="shared" si="22"/>
        <v>39.4</v>
      </c>
      <c r="AY18" s="234">
        <f t="shared" si="23"/>
        <v>42</v>
      </c>
      <c r="AZ18" s="236"/>
      <c r="BA18" s="236"/>
      <c r="BC18" s="234">
        <f t="shared" ca="1" si="24"/>
        <v>12</v>
      </c>
      <c r="BD18" s="288">
        <f t="shared" ca="1" si="7"/>
        <v>7</v>
      </c>
      <c r="BF18" s="240" t="str">
        <f t="shared" ca="1" si="8"/>
        <v>CenterPoint Energy, Inc.</v>
      </c>
      <c r="BG18" s="240" t="str">
        <f t="shared" ca="1" si="9"/>
        <v>BBB+</v>
      </c>
      <c r="BH18" s="240">
        <f t="shared" ca="1" si="9"/>
        <v>19</v>
      </c>
      <c r="BI18" s="240" t="str">
        <f t="shared" ca="1" si="9"/>
        <v>CNP</v>
      </c>
    </row>
    <row r="19" spans="1:61" x14ac:dyDescent="0.2">
      <c r="A19" s="303" t="s">
        <v>31</v>
      </c>
      <c r="B19" s="304" t="s">
        <v>16</v>
      </c>
      <c r="C19" s="304">
        <v>19</v>
      </c>
      <c r="D19" s="304" t="s">
        <v>289</v>
      </c>
      <c r="E19" s="305" t="str">
        <f t="shared" ca="1" si="0"/>
        <v>R</v>
      </c>
      <c r="F19" s="306"/>
      <c r="G19" s="307">
        <f t="shared" ca="1" si="1"/>
        <v>21</v>
      </c>
      <c r="H19" s="250"/>
      <c r="I19" s="321"/>
      <c r="K19" s="321"/>
      <c r="N19" s="321"/>
      <c r="O19" s="240"/>
      <c r="Q19" s="321"/>
      <c r="T19" s="321"/>
      <c r="W19" s="321"/>
      <c r="AE19" s="254"/>
      <c r="AF19" s="236">
        <f t="shared" si="2"/>
        <v>1</v>
      </c>
      <c r="AG19" s="236" t="str">
        <f t="shared" ca="1" si="3"/>
        <v/>
      </c>
      <c r="AH19" s="236" t="str">
        <f t="shared" ca="1" si="19"/>
        <v/>
      </c>
      <c r="AJ19" s="236">
        <f t="shared" ca="1" si="4"/>
        <v>20</v>
      </c>
      <c r="AK19" s="236" t="str">
        <f t="shared" ca="1" si="20"/>
        <v>BBB+</v>
      </c>
      <c r="AL19" s="236">
        <f t="shared" ca="1" si="20"/>
        <v>19</v>
      </c>
      <c r="AM19" s="236" t="str">
        <f t="shared" ca="1" si="5"/>
        <v/>
      </c>
      <c r="AQ19" s="286" t="s">
        <v>31</v>
      </c>
      <c r="AR19" s="286" t="s">
        <v>16</v>
      </c>
      <c r="AS19" s="286">
        <v>19</v>
      </c>
      <c r="AT19" s="289" t="s">
        <v>289</v>
      </c>
      <c r="AV19" s="234">
        <f t="shared" si="21"/>
        <v>10</v>
      </c>
      <c r="AW19" s="234">
        <f>COUNTIF( AV$7:AV19, AV19 )</f>
        <v>4</v>
      </c>
      <c r="AX19" s="287">
        <f t="shared" si="22"/>
        <v>10.4</v>
      </c>
      <c r="AY19" s="234">
        <f t="shared" si="23"/>
        <v>13</v>
      </c>
      <c r="AZ19" s="236"/>
      <c r="BA19" s="236"/>
      <c r="BC19" s="234">
        <f t="shared" ca="1" si="24"/>
        <v>13</v>
      </c>
      <c r="BD19" s="288">
        <f t="shared" ca="1" si="7"/>
        <v>13</v>
      </c>
      <c r="BF19" s="240" t="str">
        <f t="shared" ca="1" si="8"/>
        <v>DTE Energy Company</v>
      </c>
      <c r="BG19" s="240" t="str">
        <f t="shared" ca="1" si="9"/>
        <v>BBB+</v>
      </c>
      <c r="BH19" s="240">
        <f t="shared" ca="1" si="9"/>
        <v>19</v>
      </c>
      <c r="BI19" s="240" t="str">
        <f t="shared" ca="1" si="9"/>
        <v>DTE</v>
      </c>
    </row>
    <row r="20" spans="1:61" x14ac:dyDescent="0.2">
      <c r="A20" s="303" t="s">
        <v>32</v>
      </c>
      <c r="B20" s="304" t="s">
        <v>16</v>
      </c>
      <c r="C20" s="304">
        <v>19</v>
      </c>
      <c r="D20" s="304" t="s">
        <v>290</v>
      </c>
      <c r="E20" s="305" t="str">
        <f t="shared" ca="1" si="0"/>
        <v>MR</v>
      </c>
      <c r="F20" s="306"/>
      <c r="G20" s="307">
        <f t="shared" ca="1" si="1"/>
        <v>22</v>
      </c>
      <c r="H20" s="250"/>
      <c r="I20" s="322"/>
      <c r="K20" s="322"/>
      <c r="N20" s="322"/>
      <c r="O20" s="240"/>
      <c r="Q20" s="322"/>
      <c r="T20" s="322"/>
      <c r="W20" s="322"/>
      <c r="AE20" s="254"/>
      <c r="AF20" s="236">
        <f t="shared" si="2"/>
        <v>1</v>
      </c>
      <c r="AG20" s="236" t="str">
        <f t="shared" ca="1" si="3"/>
        <v/>
      </c>
      <c r="AH20" s="236">
        <f t="shared" ca="1" si="19"/>
        <v>1</v>
      </c>
      <c r="AJ20" s="236">
        <f t="shared" ca="1" si="4"/>
        <v>10</v>
      </c>
      <c r="AK20" s="236" t="str">
        <f t="shared" ca="1" si="20"/>
        <v>A-</v>
      </c>
      <c r="AL20" s="236">
        <f t="shared" ca="1" si="20"/>
        <v>20</v>
      </c>
      <c r="AM20" s="236" t="str">
        <f t="shared" ca="1" si="5"/>
        <v>Change</v>
      </c>
      <c r="AQ20" s="286" t="s">
        <v>32</v>
      </c>
      <c r="AR20" s="286" t="s">
        <v>16</v>
      </c>
      <c r="AS20" s="286">
        <v>19</v>
      </c>
      <c r="AT20" s="289" t="s">
        <v>290</v>
      </c>
      <c r="AV20" s="234">
        <f t="shared" si="21"/>
        <v>10</v>
      </c>
      <c r="AW20" s="234">
        <f>COUNTIF( AV$7:AV20, AV20 )</f>
        <v>5</v>
      </c>
      <c r="AX20" s="287">
        <f t="shared" si="22"/>
        <v>10.5</v>
      </c>
      <c r="AY20" s="234">
        <f t="shared" si="23"/>
        <v>14</v>
      </c>
      <c r="AZ20" s="236"/>
      <c r="BA20" s="236"/>
      <c r="BC20" s="234">
        <f t="shared" ca="1" si="24"/>
        <v>14</v>
      </c>
      <c r="BD20" s="288">
        <f t="shared" ca="1" si="7"/>
        <v>14</v>
      </c>
      <c r="BF20" s="240" t="str">
        <f t="shared" ca="1" si="8"/>
        <v>Duke Energy Corporation</v>
      </c>
      <c r="BG20" s="240" t="str">
        <f t="shared" ca="1" si="9"/>
        <v>BBB+</v>
      </c>
      <c r="BH20" s="240">
        <f t="shared" ca="1" si="9"/>
        <v>19</v>
      </c>
      <c r="BI20" s="240" t="str">
        <f t="shared" ca="1" si="9"/>
        <v>DUK</v>
      </c>
    </row>
    <row r="21" spans="1:61" x14ac:dyDescent="0.2">
      <c r="A21" s="303" t="s">
        <v>452</v>
      </c>
      <c r="B21" s="304" t="s">
        <v>16</v>
      </c>
      <c r="C21" s="304">
        <v>19</v>
      </c>
      <c r="D21" s="304" t="s">
        <v>444</v>
      </c>
      <c r="E21" s="305" t="str">
        <f t="shared" ca="1" si="0"/>
        <v>R</v>
      </c>
      <c r="F21" s="306"/>
      <c r="G21" s="307">
        <f t="shared" ca="1" si="1"/>
        <v>63</v>
      </c>
      <c r="H21" s="250"/>
      <c r="I21" s="321"/>
      <c r="K21" s="321"/>
      <c r="N21" s="321"/>
      <c r="Q21" s="321"/>
      <c r="T21" s="321"/>
      <c r="W21" s="321"/>
      <c r="AE21" s="254"/>
      <c r="AF21" s="236">
        <f t="shared" si="2"/>
        <v>1</v>
      </c>
      <c r="AG21" s="236" t="str">
        <f t="shared" ca="1" si="3"/>
        <v/>
      </c>
      <c r="AH21" s="236" t="str">
        <f t="shared" ca="1" si="19"/>
        <v/>
      </c>
      <c r="AJ21" s="236">
        <f t="shared" ca="1" si="4"/>
        <v>21</v>
      </c>
      <c r="AK21" s="236" t="str">
        <f t="shared" ca="1" si="20"/>
        <v>BBB+</v>
      </c>
      <c r="AL21" s="236">
        <f t="shared" ca="1" si="20"/>
        <v>19</v>
      </c>
      <c r="AM21" s="236" t="str">
        <f t="shared" ca="1" si="5"/>
        <v/>
      </c>
      <c r="AQ21" s="286" t="s">
        <v>57</v>
      </c>
      <c r="AR21" s="286" t="s">
        <v>49</v>
      </c>
      <c r="AS21" s="286">
        <v>17</v>
      </c>
      <c r="AT21" s="286" t="s">
        <v>296</v>
      </c>
      <c r="AV21" s="234">
        <f t="shared" si="21"/>
        <v>39</v>
      </c>
      <c r="AW21" s="234">
        <f>COUNTIF( AV$7:AV21, AV21 )</f>
        <v>5</v>
      </c>
      <c r="AX21" s="287">
        <f t="shared" si="22"/>
        <v>39.5</v>
      </c>
      <c r="AY21" s="234">
        <f t="shared" si="23"/>
        <v>43</v>
      </c>
      <c r="AZ21" s="236"/>
      <c r="BA21" s="236"/>
      <c r="BC21" s="234">
        <f t="shared" ca="1" si="24"/>
        <v>15</v>
      </c>
      <c r="BD21" s="288">
        <f t="shared" ca="1" si="7"/>
        <v>24</v>
      </c>
      <c r="BF21" s="240" t="str">
        <f t="shared" ca="1" si="8"/>
        <v>Iberdrola USA</v>
      </c>
      <c r="BG21" s="240" t="str">
        <f t="shared" ca="1" si="9"/>
        <v>BBB+</v>
      </c>
      <c r="BH21" s="240">
        <f t="shared" ca="1" si="9"/>
        <v>19</v>
      </c>
      <c r="BI21" s="240" t="str">
        <f t="shared" ca="1" si="9"/>
        <v>**EAST</v>
      </c>
    </row>
    <row r="22" spans="1:61" x14ac:dyDescent="0.2">
      <c r="A22" s="303" t="s">
        <v>12</v>
      </c>
      <c r="B22" s="304" t="s">
        <v>16</v>
      </c>
      <c r="C22" s="304">
        <v>19</v>
      </c>
      <c r="D22" s="304" t="s">
        <v>309</v>
      </c>
      <c r="E22" s="305" t="str">
        <f t="shared" ca="1" si="0"/>
        <v>D</v>
      </c>
      <c r="F22" s="306"/>
      <c r="G22" s="307">
        <f t="shared" ca="1" si="1"/>
        <v>33</v>
      </c>
      <c r="H22" s="250"/>
      <c r="I22" s="321"/>
      <c r="K22" s="321"/>
      <c r="N22" s="321"/>
      <c r="Q22" s="321"/>
      <c r="T22" s="321"/>
      <c r="W22" s="321"/>
      <c r="AE22" s="254"/>
      <c r="AF22" s="236">
        <f t="shared" si="2"/>
        <v>1</v>
      </c>
      <c r="AG22" s="236" t="str">
        <f t="shared" ca="1" si="3"/>
        <v/>
      </c>
      <c r="AH22" s="236" t="str">
        <f t="shared" ca="1" si="19"/>
        <v/>
      </c>
      <c r="AJ22" s="236">
        <f t="shared" ca="1" si="4"/>
        <v>22</v>
      </c>
      <c r="AK22" s="236" t="str">
        <f t="shared" ca="1" si="20"/>
        <v>BBB+</v>
      </c>
      <c r="AL22" s="236">
        <f t="shared" ca="1" si="20"/>
        <v>19</v>
      </c>
      <c r="AM22" s="236" t="str">
        <f t="shared" ca="1" si="5"/>
        <v/>
      </c>
      <c r="AQ22" s="286" t="s">
        <v>34</v>
      </c>
      <c r="AR22" s="286" t="s">
        <v>28</v>
      </c>
      <c r="AS22" s="286">
        <v>18</v>
      </c>
      <c r="AT22" s="286" t="s">
        <v>294</v>
      </c>
      <c r="AV22" s="234">
        <f t="shared" si="21"/>
        <v>23</v>
      </c>
      <c r="AW22" s="234">
        <f>COUNTIF( AV$7:AV22, AV22 )</f>
        <v>4</v>
      </c>
      <c r="AX22" s="287">
        <f t="shared" si="22"/>
        <v>23.4</v>
      </c>
      <c r="AY22" s="234">
        <f t="shared" si="23"/>
        <v>26</v>
      </c>
      <c r="AZ22" s="236"/>
      <c r="BA22" s="236"/>
      <c r="BC22" s="234">
        <f t="shared" ca="1" si="24"/>
        <v>16</v>
      </c>
      <c r="BD22" s="288">
        <f t="shared" ca="1" si="7"/>
        <v>28</v>
      </c>
      <c r="BF22" s="240" t="str">
        <f t="shared" ca="1" si="8"/>
        <v>MDU Resources Group, Inc.</v>
      </c>
      <c r="BG22" s="240" t="str">
        <f t="shared" ca="1" si="9"/>
        <v>BBB+</v>
      </c>
      <c r="BH22" s="240">
        <f t="shared" ca="1" si="9"/>
        <v>19</v>
      </c>
      <c r="BI22" s="240" t="str">
        <f t="shared" ca="1" si="9"/>
        <v>MDU</v>
      </c>
    </row>
    <row r="23" spans="1:61" x14ac:dyDescent="0.2">
      <c r="A23" s="303" t="s">
        <v>52</v>
      </c>
      <c r="B23" s="304" t="s">
        <v>16</v>
      </c>
      <c r="C23" s="304">
        <v>19</v>
      </c>
      <c r="D23" s="304" t="s">
        <v>447</v>
      </c>
      <c r="E23" s="305" t="str">
        <f t="shared" ca="1" si="0"/>
        <v>MR</v>
      </c>
      <c r="F23" s="306"/>
      <c r="G23" s="307">
        <f t="shared" ca="1" si="1"/>
        <v>67</v>
      </c>
      <c r="H23" s="250"/>
      <c r="I23" s="321"/>
      <c r="K23" s="321"/>
      <c r="N23" s="321"/>
      <c r="Q23" s="321"/>
      <c r="T23" s="321"/>
      <c r="W23" s="321"/>
      <c r="AE23" s="254"/>
      <c r="AF23" s="236">
        <f t="shared" si="2"/>
        <v>1</v>
      </c>
      <c r="AG23" s="236" t="str">
        <f t="shared" ca="1" si="3"/>
        <v/>
      </c>
      <c r="AH23" s="236" t="str">
        <f t="shared" ca="1" si="19"/>
        <v/>
      </c>
      <c r="AJ23" s="236">
        <f t="shared" ca="1" si="4"/>
        <v>23</v>
      </c>
      <c r="AK23" s="236" t="str">
        <f t="shared" ca="1" si="20"/>
        <v>BBB+</v>
      </c>
      <c r="AL23" s="236">
        <f t="shared" ca="1" si="20"/>
        <v>19</v>
      </c>
      <c r="AM23" s="236" t="str">
        <f t="shared" ca="1" si="5"/>
        <v/>
      </c>
      <c r="AQ23" s="286" t="s">
        <v>35</v>
      </c>
      <c r="AR23" s="286" t="s">
        <v>49</v>
      </c>
      <c r="AS23" s="286">
        <v>17</v>
      </c>
      <c r="AT23" s="286" t="s">
        <v>293</v>
      </c>
      <c r="AV23" s="234">
        <f t="shared" si="21"/>
        <v>39</v>
      </c>
      <c r="AW23" s="234">
        <f>COUNTIF( AV$7:AV23, AV23 )</f>
        <v>6</v>
      </c>
      <c r="AX23" s="287">
        <f t="shared" si="22"/>
        <v>39.6</v>
      </c>
      <c r="AY23" s="234">
        <f t="shared" si="23"/>
        <v>44</v>
      </c>
      <c r="AZ23" s="236"/>
      <c r="BA23" s="236"/>
      <c r="BC23" s="234">
        <f t="shared" ca="1" si="24"/>
        <v>17</v>
      </c>
      <c r="BD23" s="288">
        <f t="shared" ca="1" si="7"/>
        <v>29</v>
      </c>
      <c r="BF23" s="240" t="str">
        <f t="shared" ca="1" si="8"/>
        <v>MidAmerican Energy Holdings Company</v>
      </c>
      <c r="BG23" s="240" t="str">
        <f t="shared" ca="1" si="9"/>
        <v>BBB+</v>
      </c>
      <c r="BH23" s="240">
        <f t="shared" ca="1" si="9"/>
        <v>19</v>
      </c>
      <c r="BI23" s="240" t="str">
        <f t="shared" ca="1" si="9"/>
        <v>**BRK</v>
      </c>
    </row>
    <row r="24" spans="1:61" x14ac:dyDescent="0.2">
      <c r="A24" s="303" t="s">
        <v>21</v>
      </c>
      <c r="B24" s="304" t="s">
        <v>16</v>
      </c>
      <c r="C24" s="304">
        <v>19</v>
      </c>
      <c r="D24" s="304" t="s">
        <v>316</v>
      </c>
      <c r="E24" s="305" t="str">
        <f t="shared" ca="1" si="0"/>
        <v>MR</v>
      </c>
      <c r="F24" s="306"/>
      <c r="G24" s="307">
        <f t="shared" ca="1" si="1"/>
        <v>41</v>
      </c>
      <c r="H24" s="250"/>
      <c r="I24" s="321"/>
      <c r="J24" s="262"/>
      <c r="K24" s="321"/>
      <c r="N24" s="321"/>
      <c r="Q24" s="321"/>
      <c r="T24" s="321"/>
      <c r="W24" s="321"/>
      <c r="AE24" s="254"/>
      <c r="AF24" s="236">
        <f t="shared" si="2"/>
        <v>1</v>
      </c>
      <c r="AG24" s="236" t="str">
        <f t="shared" ca="1" si="3"/>
        <v/>
      </c>
      <c r="AH24" s="236" t="str">
        <f t="shared" ca="1" si="19"/>
        <v/>
      </c>
      <c r="AJ24" s="236">
        <f t="shared" ca="1" si="4"/>
        <v>24</v>
      </c>
      <c r="AK24" s="236" t="str">
        <f t="shared" ca="1" si="20"/>
        <v>BBB+</v>
      </c>
      <c r="AL24" s="236">
        <f t="shared" ca="1" si="20"/>
        <v>19</v>
      </c>
      <c r="AM24" s="236" t="str">
        <f t="shared" ca="1" si="5"/>
        <v/>
      </c>
      <c r="AQ24" s="286" t="s">
        <v>249</v>
      </c>
      <c r="AR24" s="286" t="s">
        <v>125</v>
      </c>
      <c r="AS24" s="286">
        <v>9</v>
      </c>
      <c r="AT24" s="286" t="s">
        <v>445</v>
      </c>
      <c r="AV24" s="234">
        <f t="shared" si="21"/>
        <v>53</v>
      </c>
      <c r="AW24" s="234">
        <f>COUNTIF( AV$7:AV24, AV24 )</f>
        <v>1</v>
      </c>
      <c r="AX24" s="287">
        <f t="shared" si="22"/>
        <v>53.1</v>
      </c>
      <c r="AY24" s="234">
        <f t="shared" si="23"/>
        <v>53</v>
      </c>
      <c r="AZ24" s="236"/>
      <c r="BA24" s="236"/>
      <c r="BC24" s="234">
        <f t="shared" ca="1" si="24"/>
        <v>18</v>
      </c>
      <c r="BD24" s="288">
        <f t="shared" ca="1" si="7"/>
        <v>35</v>
      </c>
      <c r="BF24" s="240" t="str">
        <f t="shared" ca="1" si="8"/>
        <v>OGE Energy Corp.</v>
      </c>
      <c r="BG24" s="240" t="str">
        <f t="shared" ca="1" si="9"/>
        <v>BBB+</v>
      </c>
      <c r="BH24" s="240">
        <f t="shared" ca="1" si="9"/>
        <v>19</v>
      </c>
      <c r="BI24" s="240" t="str">
        <f t="shared" ca="1" si="9"/>
        <v>OGE</v>
      </c>
    </row>
    <row r="25" spans="1:61" x14ac:dyDescent="0.2">
      <c r="A25" s="303" t="s">
        <v>23</v>
      </c>
      <c r="B25" s="304" t="s">
        <v>16</v>
      </c>
      <c r="C25" s="304">
        <v>19</v>
      </c>
      <c r="D25" s="304" t="s">
        <v>323</v>
      </c>
      <c r="E25" s="305" t="str">
        <f t="shared" ca="1" si="0"/>
        <v>MR</v>
      </c>
      <c r="F25" s="306"/>
      <c r="G25" s="307">
        <f t="shared" ca="1" si="1"/>
        <v>43</v>
      </c>
      <c r="H25" s="250"/>
      <c r="I25" s="321"/>
      <c r="J25" s="262"/>
      <c r="K25" s="321"/>
      <c r="N25" s="321"/>
      <c r="Q25" s="321"/>
      <c r="T25" s="321"/>
      <c r="W25" s="321"/>
      <c r="AE25" s="254"/>
      <c r="AF25" s="236">
        <f t="shared" si="2"/>
        <v>1</v>
      </c>
      <c r="AG25" s="236" t="str">
        <f t="shared" ca="1" si="3"/>
        <v/>
      </c>
      <c r="AH25" s="236" t="str">
        <f t="shared" ca="1" si="19"/>
        <v/>
      </c>
      <c r="AJ25" s="236">
        <f t="shared" ca="1" si="4"/>
        <v>25</v>
      </c>
      <c r="AK25" s="236" t="str">
        <f t="shared" ca="1" si="20"/>
        <v>BBB+</v>
      </c>
      <c r="AL25" s="236">
        <f t="shared" ca="1" si="20"/>
        <v>19</v>
      </c>
      <c r="AM25" s="236" t="str">
        <f t="shared" ca="1" si="5"/>
        <v/>
      </c>
      <c r="AQ25" s="286" t="s">
        <v>36</v>
      </c>
      <c r="AR25" s="286" t="s">
        <v>28</v>
      </c>
      <c r="AS25" s="286">
        <v>18</v>
      </c>
      <c r="AT25" s="286" t="s">
        <v>297</v>
      </c>
      <c r="AV25" s="234">
        <f t="shared" si="21"/>
        <v>23</v>
      </c>
      <c r="AW25" s="234">
        <f>COUNTIF( AV$7:AV25, AV25 )</f>
        <v>5</v>
      </c>
      <c r="AX25" s="287">
        <f t="shared" si="22"/>
        <v>23.5</v>
      </c>
      <c r="AY25" s="234">
        <f t="shared" si="23"/>
        <v>27</v>
      </c>
      <c r="AZ25" s="236"/>
      <c r="BA25" s="236"/>
      <c r="BC25" s="234">
        <f t="shared" ca="1" si="24"/>
        <v>19</v>
      </c>
      <c r="BD25" s="288">
        <f t="shared" ca="1" si="7"/>
        <v>37</v>
      </c>
      <c r="BF25" s="240" t="str">
        <f t="shared" ca="1" si="8"/>
        <v>Pepco Holdings, Inc.</v>
      </c>
      <c r="BG25" s="240" t="str">
        <f t="shared" ca="1" si="9"/>
        <v>BBB+</v>
      </c>
      <c r="BH25" s="240">
        <f t="shared" ca="1" si="9"/>
        <v>19</v>
      </c>
      <c r="BI25" s="240" t="str">
        <f t="shared" ca="1" si="9"/>
        <v>POM</v>
      </c>
    </row>
    <row r="26" spans="1:61" x14ac:dyDescent="0.2">
      <c r="A26" s="303" t="s">
        <v>13</v>
      </c>
      <c r="B26" s="304" t="s">
        <v>16</v>
      </c>
      <c r="C26" s="304">
        <v>19</v>
      </c>
      <c r="D26" s="304" t="s">
        <v>327</v>
      </c>
      <c r="E26" s="305" t="str">
        <f t="shared" ca="1" si="0"/>
        <v>MR</v>
      </c>
      <c r="F26" s="306"/>
      <c r="G26" s="307">
        <f t="shared" ca="1" si="1"/>
        <v>51</v>
      </c>
      <c r="H26" s="250"/>
      <c r="I26" s="321"/>
      <c r="J26" s="262"/>
      <c r="K26" s="321"/>
      <c r="N26" s="321"/>
      <c r="Q26" s="321"/>
      <c r="T26" s="321"/>
      <c r="W26" s="321"/>
      <c r="AE26" s="254"/>
      <c r="AF26" s="236">
        <f t="shared" si="2"/>
        <v>1</v>
      </c>
      <c r="AG26" s="236" t="str">
        <f t="shared" ca="1" si="3"/>
        <v/>
      </c>
      <c r="AH26" s="236" t="str">
        <f t="shared" ca="1" si="19"/>
        <v/>
      </c>
      <c r="AJ26" s="236">
        <f t="shared" ca="1" si="4"/>
        <v>27</v>
      </c>
      <c r="AK26" s="236" t="str">
        <f t="shared" ca="1" si="20"/>
        <v>BBB+</v>
      </c>
      <c r="AL26" s="236">
        <f t="shared" ca="1" si="20"/>
        <v>19</v>
      </c>
      <c r="AM26" s="236" t="str">
        <f t="shared" ca="1" si="5"/>
        <v/>
      </c>
      <c r="AQ26" s="286" t="s">
        <v>11</v>
      </c>
      <c r="AR26" s="286" t="s">
        <v>28</v>
      </c>
      <c r="AS26" s="286">
        <v>18</v>
      </c>
      <c r="AT26" s="286" t="s">
        <v>298</v>
      </c>
      <c r="AV26" s="234">
        <f t="shared" si="21"/>
        <v>23</v>
      </c>
      <c r="AW26" s="234">
        <f>COUNTIF( AV$7:AV26, AV26 )</f>
        <v>6</v>
      </c>
      <c r="AX26" s="287">
        <f t="shared" si="22"/>
        <v>23.6</v>
      </c>
      <c r="AY26" s="234">
        <f t="shared" si="23"/>
        <v>28</v>
      </c>
      <c r="AZ26" s="236"/>
      <c r="BA26" s="236"/>
      <c r="BC26" s="234">
        <f t="shared" ca="1" si="24"/>
        <v>20</v>
      </c>
      <c r="BD26" s="288">
        <f t="shared" ca="1" si="7"/>
        <v>45</v>
      </c>
      <c r="BF26" s="240" t="str">
        <f t="shared" ca="1" si="8"/>
        <v>SCANA Corporation</v>
      </c>
      <c r="BG26" s="240" t="str">
        <f t="shared" ca="1" si="9"/>
        <v>BBB+</v>
      </c>
      <c r="BH26" s="240">
        <f t="shared" ca="1" si="9"/>
        <v>19</v>
      </c>
      <c r="BI26" s="240" t="str">
        <f t="shared" ca="1" si="9"/>
        <v>SCG</v>
      </c>
    </row>
    <row r="27" spans="1:61" x14ac:dyDescent="0.2">
      <c r="A27" s="303" t="s">
        <v>25</v>
      </c>
      <c r="B27" s="304" t="s">
        <v>16</v>
      </c>
      <c r="C27" s="304">
        <v>19</v>
      </c>
      <c r="D27" s="304" t="s">
        <v>329</v>
      </c>
      <c r="E27" s="305" t="str">
        <f t="shared" ca="1" si="0"/>
        <v>MR</v>
      </c>
      <c r="F27" s="306"/>
      <c r="G27" s="307">
        <f t="shared" ca="1" si="1"/>
        <v>52</v>
      </c>
      <c r="H27" s="250"/>
      <c r="I27" s="321"/>
      <c r="J27" s="262"/>
      <c r="K27" s="321"/>
      <c r="N27" s="321"/>
      <c r="Q27" s="321"/>
      <c r="T27" s="321"/>
      <c r="W27" s="321"/>
      <c r="AE27" s="254"/>
      <c r="AF27" s="236">
        <f t="shared" si="2"/>
        <v>1</v>
      </c>
      <c r="AG27" s="236" t="str">
        <f t="shared" ca="1" si="3"/>
        <v/>
      </c>
      <c r="AH27" s="236" t="str">
        <f t="shared" ca="1" si="19"/>
        <v/>
      </c>
      <c r="AJ27" s="236">
        <f t="shared" ca="1" si="4"/>
        <v>28</v>
      </c>
      <c r="AK27" s="236" t="str">
        <f t="shared" ca="1" si="20"/>
        <v>BBB+</v>
      </c>
      <c r="AL27" s="236">
        <f t="shared" ca="1" si="20"/>
        <v>19</v>
      </c>
      <c r="AM27" s="236" t="str">
        <f t="shared" ca="1" si="5"/>
        <v/>
      </c>
      <c r="AQ27" s="286" t="s">
        <v>51</v>
      </c>
      <c r="AR27" s="286" t="s">
        <v>49</v>
      </c>
      <c r="AS27" s="286">
        <v>17</v>
      </c>
      <c r="AT27" s="286" t="s">
        <v>299</v>
      </c>
      <c r="AV27" s="234">
        <f t="shared" si="21"/>
        <v>39</v>
      </c>
      <c r="AW27" s="234">
        <f>COUNTIF( AV$7:AV27, AV27 )</f>
        <v>7</v>
      </c>
      <c r="AX27" s="287">
        <f t="shared" si="22"/>
        <v>39.700000000000003</v>
      </c>
      <c r="AY27" s="234">
        <f t="shared" si="23"/>
        <v>45</v>
      </c>
      <c r="AZ27" s="236"/>
      <c r="BA27" s="236"/>
      <c r="BC27" s="234">
        <f t="shared" ca="1" si="24"/>
        <v>21</v>
      </c>
      <c r="BD27" s="288">
        <f t="shared" ca="1" si="7"/>
        <v>46</v>
      </c>
      <c r="BF27" s="240" t="str">
        <f t="shared" ca="1" si="8"/>
        <v>Sempra Energy</v>
      </c>
      <c r="BG27" s="240" t="str">
        <f t="shared" ca="1" si="9"/>
        <v>BBB+</v>
      </c>
      <c r="BH27" s="240">
        <f t="shared" ca="1" si="9"/>
        <v>19</v>
      </c>
      <c r="BI27" s="240" t="str">
        <f t="shared" ca="1" si="9"/>
        <v>SRE</v>
      </c>
    </row>
    <row r="28" spans="1:61" x14ac:dyDescent="0.2">
      <c r="A28" s="303" t="s">
        <v>62</v>
      </c>
      <c r="B28" s="304" t="s">
        <v>16</v>
      </c>
      <c r="C28" s="304">
        <v>19</v>
      </c>
      <c r="D28" s="304" t="s">
        <v>330</v>
      </c>
      <c r="E28" s="305" t="str">
        <f t="shared" ca="1" si="0"/>
        <v>R</v>
      </c>
      <c r="F28" s="306"/>
      <c r="G28" s="307">
        <f t="shared" ca="1" si="1"/>
        <v>54</v>
      </c>
      <c r="H28" s="250"/>
      <c r="I28" s="321"/>
      <c r="J28" s="262"/>
      <c r="K28" s="321"/>
      <c r="N28" s="321"/>
      <c r="Q28" s="321"/>
      <c r="T28" s="321"/>
      <c r="W28" s="321"/>
      <c r="AE28" s="245"/>
      <c r="AF28" s="236">
        <f t="shared" si="2"/>
        <v>1</v>
      </c>
      <c r="AG28" s="236" t="str">
        <f t="shared" ca="1" si="3"/>
        <v/>
      </c>
      <c r="AH28" s="236" t="str">
        <f t="shared" ca="1" si="19"/>
        <v/>
      </c>
      <c r="AJ28" s="236">
        <f t="shared" ca="1" si="4"/>
        <v>29</v>
      </c>
      <c r="AK28" s="236" t="str">
        <f t="shared" ca="1" si="20"/>
        <v>BBB+</v>
      </c>
      <c r="AL28" s="236">
        <f t="shared" ca="1" si="20"/>
        <v>19</v>
      </c>
      <c r="AM28" s="236" t="str">
        <f t="shared" ca="1" si="5"/>
        <v/>
      </c>
      <c r="AQ28" s="286" t="s">
        <v>261</v>
      </c>
      <c r="AR28" s="286" t="s">
        <v>28</v>
      </c>
      <c r="AS28" s="286">
        <v>18</v>
      </c>
      <c r="AT28" s="286" t="s">
        <v>301</v>
      </c>
      <c r="AV28" s="234">
        <f t="shared" si="21"/>
        <v>23</v>
      </c>
      <c r="AW28" s="234">
        <f>COUNTIF( AV$7:AV28, AV28 )</f>
        <v>7</v>
      </c>
      <c r="AX28" s="287">
        <f t="shared" si="22"/>
        <v>23.7</v>
      </c>
      <c r="AY28" s="234">
        <f t="shared" si="23"/>
        <v>29</v>
      </c>
      <c r="AZ28" s="236"/>
      <c r="BA28" s="236"/>
      <c r="BC28" s="234">
        <f t="shared" ca="1" si="24"/>
        <v>22</v>
      </c>
      <c r="BD28" s="288">
        <f t="shared" ca="1" si="7"/>
        <v>48</v>
      </c>
      <c r="BF28" s="240" t="str">
        <f t="shared" ca="1" si="8"/>
        <v>TECO Energy, Inc.</v>
      </c>
      <c r="BG28" s="240" t="str">
        <f t="shared" ca="1" si="9"/>
        <v>BBB+</v>
      </c>
      <c r="BH28" s="240">
        <f t="shared" ca="1" si="9"/>
        <v>19</v>
      </c>
      <c r="BI28" s="240" t="str">
        <f t="shared" ca="1" si="9"/>
        <v>TE</v>
      </c>
    </row>
    <row r="29" spans="1:61" x14ac:dyDescent="0.2">
      <c r="A29" s="303" t="s">
        <v>259</v>
      </c>
      <c r="B29" s="304" t="s">
        <v>28</v>
      </c>
      <c r="C29" s="304">
        <v>18</v>
      </c>
      <c r="D29" s="304" t="s">
        <v>275</v>
      </c>
      <c r="E29" s="305" t="str">
        <f t="shared" ca="1" si="0"/>
        <v>R</v>
      </c>
      <c r="F29" s="306"/>
      <c r="G29" s="307">
        <f t="shared" ca="1" si="1"/>
        <v>10</v>
      </c>
      <c r="H29" s="250"/>
      <c r="I29" s="321"/>
      <c r="J29" s="262"/>
      <c r="K29" s="321"/>
      <c r="N29" s="321"/>
      <c r="Q29" s="321"/>
      <c r="T29" s="321"/>
      <c r="W29" s="321"/>
      <c r="AF29" s="236">
        <f t="shared" si="2"/>
        <v>0</v>
      </c>
      <c r="AG29" s="236" t="str">
        <f t="shared" ca="1" si="3"/>
        <v/>
      </c>
      <c r="AH29" s="236" t="str">
        <f t="shared" ca="1" si="19"/>
        <v/>
      </c>
      <c r="AJ29" s="236">
        <f t="shared" ca="1" si="4"/>
        <v>30</v>
      </c>
      <c r="AK29" s="236" t="str">
        <f t="shared" ca="1" si="20"/>
        <v>BBB</v>
      </c>
      <c r="AL29" s="236">
        <f t="shared" ca="1" si="20"/>
        <v>18</v>
      </c>
      <c r="AM29" s="236" t="str">
        <f t="shared" ca="1" si="5"/>
        <v/>
      </c>
      <c r="AQ29" s="286" t="s">
        <v>39</v>
      </c>
      <c r="AR29" s="286" t="s">
        <v>49</v>
      </c>
      <c r="AS29" s="286">
        <v>17</v>
      </c>
      <c r="AT29" s="286" t="s">
        <v>302</v>
      </c>
      <c r="AV29" s="234">
        <f t="shared" si="21"/>
        <v>39</v>
      </c>
      <c r="AW29" s="234">
        <f>COUNTIF( AV$7:AV29, AV29 )</f>
        <v>8</v>
      </c>
      <c r="AX29" s="287">
        <f t="shared" si="22"/>
        <v>39.799999999999997</v>
      </c>
      <c r="AY29" s="234">
        <f t="shared" si="23"/>
        <v>46</v>
      </c>
      <c r="AZ29" s="236"/>
      <c r="BA29" s="236"/>
      <c r="BC29" s="234">
        <f t="shared" ca="1" si="24"/>
        <v>23</v>
      </c>
      <c r="BD29" s="288">
        <f t="shared" ca="1" si="7"/>
        <v>4</v>
      </c>
      <c r="BF29" s="240" t="str">
        <f t="shared" ca="1" si="8"/>
        <v>American Electric Power Company, Inc.</v>
      </c>
      <c r="BG29" s="240" t="str">
        <f t="shared" ca="1" si="9"/>
        <v>BBB</v>
      </c>
      <c r="BH29" s="240">
        <f t="shared" ca="1" si="9"/>
        <v>18</v>
      </c>
      <c r="BI29" s="240" t="str">
        <f t="shared" ca="1" si="9"/>
        <v>AEP</v>
      </c>
    </row>
    <row r="30" spans="1:61" x14ac:dyDescent="0.2">
      <c r="A30" s="303" t="s">
        <v>55</v>
      </c>
      <c r="B30" s="304" t="s">
        <v>28</v>
      </c>
      <c r="C30" s="304">
        <v>18</v>
      </c>
      <c r="D30" s="304" t="s">
        <v>278</v>
      </c>
      <c r="E30" s="305" t="str">
        <f t="shared" ca="1" si="0"/>
        <v>R</v>
      </c>
      <c r="F30" s="306"/>
      <c r="G30" s="307">
        <f t="shared" ca="1" si="1"/>
        <v>11</v>
      </c>
      <c r="H30" s="250"/>
      <c r="I30" s="321"/>
      <c r="J30" s="262"/>
      <c r="K30" s="321"/>
      <c r="N30" s="321"/>
      <c r="Q30" s="321"/>
      <c r="T30" s="321"/>
      <c r="W30" s="321"/>
      <c r="AF30" s="236">
        <f t="shared" si="2"/>
        <v>0</v>
      </c>
      <c r="AG30" s="236" t="str">
        <f t="shared" ca="1" si="3"/>
        <v/>
      </c>
      <c r="AH30" s="236" t="str">
        <f t="shared" ca="1" si="19"/>
        <v/>
      </c>
      <c r="AJ30" s="236">
        <f t="shared" ca="1" si="4"/>
        <v>31</v>
      </c>
      <c r="AK30" s="236" t="str">
        <f t="shared" ca="1" si="20"/>
        <v>BBB</v>
      </c>
      <c r="AL30" s="236">
        <f t="shared" ca="1" si="20"/>
        <v>18</v>
      </c>
      <c r="AM30" s="236" t="str">
        <f t="shared" ca="1" si="5"/>
        <v/>
      </c>
      <c r="AQ30" s="286" t="s">
        <v>452</v>
      </c>
      <c r="AR30" s="286" t="s">
        <v>16</v>
      </c>
      <c r="AS30" s="286">
        <v>19</v>
      </c>
      <c r="AT30" s="286" t="s">
        <v>444</v>
      </c>
      <c r="AV30" s="234">
        <f t="shared" si="21"/>
        <v>10</v>
      </c>
      <c r="AW30" s="234">
        <f>COUNTIF( AV$7:AV30, AV30 )</f>
        <v>6</v>
      </c>
      <c r="AX30" s="287">
        <f t="shared" si="22"/>
        <v>10.6</v>
      </c>
      <c r="AY30" s="234">
        <f t="shared" si="23"/>
        <v>15</v>
      </c>
      <c r="AZ30" s="236"/>
      <c r="BA30" s="236"/>
      <c r="BC30" s="234">
        <f t="shared" ca="1" si="24"/>
        <v>24</v>
      </c>
      <c r="BD30" s="288">
        <f t="shared" ca="1" si="7"/>
        <v>5</v>
      </c>
      <c r="BF30" s="240" t="str">
        <f t="shared" ca="1" si="8"/>
        <v>Avista Corporation</v>
      </c>
      <c r="BG30" s="240" t="str">
        <f t="shared" ca="1" si="9"/>
        <v>BBB</v>
      </c>
      <c r="BH30" s="240">
        <f t="shared" ca="1" si="9"/>
        <v>18</v>
      </c>
      <c r="BI30" s="240" t="str">
        <f t="shared" ca="1" si="9"/>
        <v>AVA</v>
      </c>
    </row>
    <row r="31" spans="1:61" x14ac:dyDescent="0.2">
      <c r="A31" s="303" t="s">
        <v>30</v>
      </c>
      <c r="B31" s="304" t="s">
        <v>28</v>
      </c>
      <c r="C31" s="304">
        <v>18</v>
      </c>
      <c r="D31" s="304" t="s">
        <v>285</v>
      </c>
      <c r="E31" s="305" t="str">
        <f t="shared" ca="1" si="0"/>
        <v>R</v>
      </c>
      <c r="F31" s="306"/>
      <c r="G31" s="307">
        <f t="shared" ca="1" si="1"/>
        <v>16</v>
      </c>
      <c r="H31" s="250"/>
      <c r="I31" s="321"/>
      <c r="J31" s="262"/>
      <c r="K31" s="321"/>
      <c r="N31" s="321"/>
      <c r="O31" s="253"/>
      <c r="Q31" s="321"/>
      <c r="T31" s="321"/>
      <c r="W31" s="321"/>
      <c r="AF31" s="236">
        <f t="shared" si="2"/>
        <v>0</v>
      </c>
      <c r="AG31" s="236" t="str">
        <f t="shared" ca="1" si="3"/>
        <v/>
      </c>
      <c r="AH31" s="236" t="str">
        <f t="shared" ca="1" si="19"/>
        <v/>
      </c>
      <c r="AJ31" s="236">
        <f t="shared" ca="1" si="4"/>
        <v>32</v>
      </c>
      <c r="AK31" s="236" t="str">
        <f t="shared" ca="1" si="20"/>
        <v>BBB</v>
      </c>
      <c r="AL31" s="236">
        <f t="shared" ca="1" si="20"/>
        <v>18</v>
      </c>
      <c r="AM31" s="236" t="str">
        <f t="shared" ca="1" si="5"/>
        <v/>
      </c>
      <c r="AQ31" s="286" t="s">
        <v>20</v>
      </c>
      <c r="AR31" s="286" t="s">
        <v>28</v>
      </c>
      <c r="AS31" s="286">
        <v>18</v>
      </c>
      <c r="AT31" s="286" t="s">
        <v>303</v>
      </c>
      <c r="AV31" s="234">
        <f t="shared" si="21"/>
        <v>23</v>
      </c>
      <c r="AW31" s="234">
        <f>COUNTIF( AV$7:AV31, AV31 )</f>
        <v>8</v>
      </c>
      <c r="AX31" s="287">
        <f t="shared" si="22"/>
        <v>23.8</v>
      </c>
      <c r="AY31" s="234">
        <f t="shared" si="23"/>
        <v>30</v>
      </c>
      <c r="AZ31" s="236"/>
      <c r="BA31" s="236"/>
      <c r="BC31" s="234">
        <f t="shared" ca="1" si="24"/>
        <v>25</v>
      </c>
      <c r="BD31" s="288">
        <f t="shared" ca="1" si="7"/>
        <v>8</v>
      </c>
      <c r="BF31" s="240" t="str">
        <f t="shared" ca="1" si="8"/>
        <v>Cleco Corporation</v>
      </c>
      <c r="BG31" s="240" t="str">
        <f t="shared" ca="1" si="9"/>
        <v>BBB</v>
      </c>
      <c r="BH31" s="240">
        <f t="shared" ca="1" si="9"/>
        <v>18</v>
      </c>
      <c r="BI31" s="240" t="str">
        <f t="shared" ca="1" si="9"/>
        <v>CNL</v>
      </c>
    </row>
    <row r="32" spans="1:61" x14ac:dyDescent="0.2">
      <c r="A32" s="303" t="s">
        <v>34</v>
      </c>
      <c r="B32" s="304" t="s">
        <v>28</v>
      </c>
      <c r="C32" s="304">
        <v>18</v>
      </c>
      <c r="D32" s="304" t="s">
        <v>294</v>
      </c>
      <c r="E32" s="305" t="str">
        <f t="shared" ca="1" si="0"/>
        <v>R</v>
      </c>
      <c r="F32" s="306"/>
      <c r="G32" s="307">
        <f t="shared" ca="1" si="1"/>
        <v>24</v>
      </c>
      <c r="H32" s="250"/>
      <c r="I32" s="321"/>
      <c r="J32" s="262"/>
      <c r="K32" s="321"/>
      <c r="N32" s="321"/>
      <c r="Q32" s="321"/>
      <c r="T32" s="321"/>
      <c r="W32" s="321"/>
      <c r="AF32" s="236">
        <f t="shared" si="2"/>
        <v>0</v>
      </c>
      <c r="AG32" s="236" t="str">
        <f t="shared" ca="1" si="3"/>
        <v/>
      </c>
      <c r="AH32" s="236" t="str">
        <f t="shared" ca="1" si="19"/>
        <v/>
      </c>
      <c r="AJ32" s="236">
        <f t="shared" ca="1" si="4"/>
        <v>33</v>
      </c>
      <c r="AK32" s="236" t="str">
        <f t="shared" ca="1" si="20"/>
        <v>BBB</v>
      </c>
      <c r="AL32" s="236">
        <f t="shared" ca="1" si="20"/>
        <v>18</v>
      </c>
      <c r="AM32" s="236" t="str">
        <f t="shared" ca="1" si="5"/>
        <v/>
      </c>
      <c r="AQ32" s="286" t="s">
        <v>254</v>
      </c>
      <c r="AR32" s="286" t="s">
        <v>10</v>
      </c>
      <c r="AS32" s="286">
        <v>20</v>
      </c>
      <c r="AT32" s="286" t="s">
        <v>331</v>
      </c>
      <c r="AV32" s="234">
        <f t="shared" si="21"/>
        <v>2</v>
      </c>
      <c r="AW32" s="234">
        <f>COUNTIF( AV$7:AV32, AV32 )</f>
        <v>3</v>
      </c>
      <c r="AX32" s="287">
        <f t="shared" si="22"/>
        <v>2.2999999999999998</v>
      </c>
      <c r="AY32" s="234">
        <f t="shared" si="23"/>
        <v>4</v>
      </c>
      <c r="AZ32" s="236"/>
      <c r="BA32" s="236"/>
      <c r="BC32" s="234">
        <f t="shared" ca="1" si="24"/>
        <v>26</v>
      </c>
      <c r="BD32" s="288">
        <f t="shared" ca="1" si="7"/>
        <v>16</v>
      </c>
      <c r="BF32" s="240" t="str">
        <f t="shared" ca="1" si="8"/>
        <v>El Paso Electric Company</v>
      </c>
      <c r="BG32" s="240" t="str">
        <f t="shared" ca="1" si="9"/>
        <v>BBB</v>
      </c>
      <c r="BH32" s="240">
        <f t="shared" ca="1" si="9"/>
        <v>18</v>
      </c>
      <c r="BI32" s="240" t="str">
        <f t="shared" ca="1" si="9"/>
        <v>EE</v>
      </c>
    </row>
    <row r="33" spans="1:61" x14ac:dyDescent="0.2">
      <c r="A33" s="303" t="s">
        <v>36</v>
      </c>
      <c r="B33" s="304" t="s">
        <v>28</v>
      </c>
      <c r="C33" s="304">
        <v>18</v>
      </c>
      <c r="D33" s="304" t="s">
        <v>297</v>
      </c>
      <c r="E33" s="305" t="str">
        <f t="shared" ca="1" si="0"/>
        <v>R</v>
      </c>
      <c r="F33" s="306"/>
      <c r="G33" s="307">
        <f t="shared" ca="1" si="1"/>
        <v>26</v>
      </c>
      <c r="H33" s="250"/>
      <c r="I33" s="321"/>
      <c r="J33" s="262"/>
      <c r="K33" s="321"/>
      <c r="N33" s="321"/>
      <c r="Q33" s="321"/>
      <c r="T33" s="321"/>
      <c r="W33" s="321"/>
      <c r="AF33" s="236">
        <f t="shared" si="2"/>
        <v>0</v>
      </c>
      <c r="AG33" s="236" t="str">
        <f t="shared" ca="1" si="3"/>
        <v/>
      </c>
      <c r="AH33" s="236" t="str">
        <f t="shared" ca="1" si="19"/>
        <v/>
      </c>
      <c r="AJ33" s="236">
        <f t="shared" ca="1" si="4"/>
        <v>34</v>
      </c>
      <c r="AK33" s="236" t="str">
        <f t="shared" ca="1" si="20"/>
        <v>BBB</v>
      </c>
      <c r="AL33" s="236">
        <f t="shared" ca="1" si="20"/>
        <v>18</v>
      </c>
      <c r="AM33" s="236" t="str">
        <f t="shared" ca="1" si="5"/>
        <v/>
      </c>
      <c r="AQ33" s="286" t="s">
        <v>58</v>
      </c>
      <c r="AR33" s="286" t="s">
        <v>49</v>
      </c>
      <c r="AS33" s="286">
        <v>17</v>
      </c>
      <c r="AT33" s="286" t="s">
        <v>446</v>
      </c>
      <c r="AV33" s="234">
        <f t="shared" si="21"/>
        <v>39</v>
      </c>
      <c r="AW33" s="234">
        <f>COUNTIF( AV$7:AV33, AV33 )</f>
        <v>9</v>
      </c>
      <c r="AX33" s="287">
        <f t="shared" si="22"/>
        <v>39.9</v>
      </c>
      <c r="AY33" s="234">
        <f t="shared" si="23"/>
        <v>47</v>
      </c>
      <c r="AZ33" s="236"/>
      <c r="BA33" s="236"/>
      <c r="BC33" s="234">
        <f t="shared" ca="1" si="24"/>
        <v>27</v>
      </c>
      <c r="BD33" s="288">
        <f t="shared" ca="1" si="7"/>
        <v>19</v>
      </c>
      <c r="BF33" s="240" t="str">
        <f t="shared" ca="1" si="8"/>
        <v>Entergy Corporation</v>
      </c>
      <c r="BG33" s="240" t="str">
        <f t="shared" ca="1" si="9"/>
        <v>BBB</v>
      </c>
      <c r="BH33" s="240">
        <f t="shared" ca="1" si="9"/>
        <v>18</v>
      </c>
      <c r="BI33" s="240" t="str">
        <f t="shared" ca="1" si="9"/>
        <v>ETR</v>
      </c>
    </row>
    <row r="34" spans="1:61" x14ac:dyDescent="0.2">
      <c r="A34" s="303" t="s">
        <v>11</v>
      </c>
      <c r="B34" s="304" t="s">
        <v>28</v>
      </c>
      <c r="C34" s="304">
        <v>18</v>
      </c>
      <c r="D34" s="304" t="s">
        <v>298</v>
      </c>
      <c r="E34" s="305" t="str">
        <f t="shared" ca="1" si="0"/>
        <v>MR</v>
      </c>
      <c r="F34" s="306"/>
      <c r="G34" s="307">
        <f t="shared" ca="1" si="1"/>
        <v>27</v>
      </c>
      <c r="H34" s="250"/>
      <c r="I34" s="321"/>
      <c r="J34" s="262"/>
      <c r="K34" s="321"/>
      <c r="L34" s="235"/>
      <c r="M34" s="235"/>
      <c r="N34" s="321"/>
      <c r="Q34" s="321"/>
      <c r="T34" s="321"/>
      <c r="W34" s="321"/>
      <c r="AF34" s="236">
        <f t="shared" si="2"/>
        <v>0</v>
      </c>
      <c r="AG34" s="236" t="str">
        <f t="shared" ca="1" si="3"/>
        <v/>
      </c>
      <c r="AH34" s="236" t="str">
        <f t="shared" ca="1" si="19"/>
        <v/>
      </c>
      <c r="AJ34" s="236">
        <f t="shared" ca="1" si="4"/>
        <v>35</v>
      </c>
      <c r="AK34" s="236" t="str">
        <f t="shared" ca="1" si="20"/>
        <v>BBB</v>
      </c>
      <c r="AL34" s="236">
        <f t="shared" ca="1" si="20"/>
        <v>18</v>
      </c>
      <c r="AM34" s="236" t="str">
        <f t="shared" ca="1" si="5"/>
        <v/>
      </c>
      <c r="AQ34" s="286" t="s">
        <v>12</v>
      </c>
      <c r="AR34" s="286" t="s">
        <v>16</v>
      </c>
      <c r="AS34" s="286">
        <v>19</v>
      </c>
      <c r="AT34" s="286" t="s">
        <v>309</v>
      </c>
      <c r="AV34" s="234">
        <f t="shared" si="21"/>
        <v>10</v>
      </c>
      <c r="AW34" s="234">
        <f>COUNTIF( AV$7:AV34, AV34 )</f>
        <v>7</v>
      </c>
      <c r="AX34" s="287">
        <f t="shared" si="22"/>
        <v>10.7</v>
      </c>
      <c r="AY34" s="234">
        <f t="shared" si="23"/>
        <v>16</v>
      </c>
      <c r="AZ34" s="236"/>
      <c r="BA34" s="236"/>
      <c r="BC34" s="234">
        <f t="shared" ca="1" si="24"/>
        <v>28</v>
      </c>
      <c r="BD34" s="288">
        <f t="shared" ca="1" si="7"/>
        <v>20</v>
      </c>
      <c r="BF34" s="240" t="str">
        <f t="shared" ca="1" si="8"/>
        <v>Exelon Corporation</v>
      </c>
      <c r="BG34" s="240" t="str">
        <f t="shared" ca="1" si="9"/>
        <v>BBB</v>
      </c>
      <c r="BH34" s="240">
        <f t="shared" ca="1" si="9"/>
        <v>18</v>
      </c>
      <c r="BI34" s="240" t="str">
        <f t="shared" ca="1" si="9"/>
        <v>EXC</v>
      </c>
    </row>
    <row r="35" spans="1:61" x14ac:dyDescent="0.2">
      <c r="A35" s="303" t="s">
        <v>261</v>
      </c>
      <c r="B35" s="304" t="s">
        <v>28</v>
      </c>
      <c r="C35" s="304">
        <v>18</v>
      </c>
      <c r="D35" s="304" t="s">
        <v>301</v>
      </c>
      <c r="E35" s="305" t="str">
        <f t="shared" ca="1" si="0"/>
        <v>R</v>
      </c>
      <c r="F35" s="306"/>
      <c r="G35" s="307">
        <f t="shared" ca="1" si="1"/>
        <v>29</v>
      </c>
      <c r="H35" s="250"/>
      <c r="I35" s="321"/>
      <c r="K35" s="321"/>
      <c r="L35" s="235"/>
      <c r="M35" s="235"/>
      <c r="N35" s="321"/>
      <c r="Q35" s="321"/>
      <c r="T35" s="321"/>
      <c r="W35" s="321"/>
      <c r="AF35" s="236">
        <f t="shared" si="2"/>
        <v>0</v>
      </c>
      <c r="AG35" s="236" t="str">
        <f t="shared" ca="1" si="3"/>
        <v/>
      </c>
      <c r="AH35" s="236" t="str">
        <f t="shared" ca="1" si="19"/>
        <v/>
      </c>
      <c r="AJ35" s="236">
        <f t="shared" ca="1" si="4"/>
        <v>36</v>
      </c>
      <c r="AK35" s="236" t="str">
        <f t="shared" ca="1" si="20"/>
        <v>BBB</v>
      </c>
      <c r="AL35" s="236">
        <f t="shared" ca="1" si="20"/>
        <v>18</v>
      </c>
      <c r="AM35" s="236" t="str">
        <f t="shared" ca="1" si="5"/>
        <v/>
      </c>
      <c r="AQ35" s="286" t="s">
        <v>52</v>
      </c>
      <c r="AR35" s="286" t="s">
        <v>16</v>
      </c>
      <c r="AS35" s="286">
        <v>19</v>
      </c>
      <c r="AT35" s="286" t="s">
        <v>447</v>
      </c>
      <c r="AV35" s="234">
        <f t="shared" si="21"/>
        <v>10</v>
      </c>
      <c r="AW35" s="234">
        <f>COUNTIF( AV$7:AV35, AV35 )</f>
        <v>8</v>
      </c>
      <c r="AX35" s="287">
        <f t="shared" si="22"/>
        <v>10.8</v>
      </c>
      <c r="AY35" s="234">
        <f t="shared" si="23"/>
        <v>17</v>
      </c>
      <c r="AZ35" s="236"/>
      <c r="BA35" s="236"/>
      <c r="BC35" s="234">
        <f t="shared" ca="1" si="24"/>
        <v>29</v>
      </c>
      <c r="BD35" s="288">
        <f t="shared" ca="1" si="7"/>
        <v>22</v>
      </c>
      <c r="BF35" s="240" t="str">
        <f t="shared" ca="1" si="8"/>
        <v>Great Plains Energy Inc.</v>
      </c>
      <c r="BG35" s="240" t="str">
        <f t="shared" ca="1" si="9"/>
        <v>BBB</v>
      </c>
      <c r="BH35" s="240">
        <f t="shared" ca="1" si="9"/>
        <v>18</v>
      </c>
      <c r="BI35" s="240" t="str">
        <f t="shared" ca="1" si="9"/>
        <v>GXP</v>
      </c>
    </row>
    <row r="36" spans="1:61" x14ac:dyDescent="0.2">
      <c r="A36" s="303" t="s">
        <v>20</v>
      </c>
      <c r="B36" s="304" t="s">
        <v>28</v>
      </c>
      <c r="C36" s="304">
        <v>18</v>
      </c>
      <c r="D36" s="304" t="s">
        <v>303</v>
      </c>
      <c r="E36" s="305" t="str">
        <f t="shared" ca="1" si="0"/>
        <v>R</v>
      </c>
      <c r="F36" s="306"/>
      <c r="G36" s="307">
        <f t="shared" ca="1" si="1"/>
        <v>31</v>
      </c>
      <c r="H36" s="250"/>
      <c r="I36" s="321"/>
      <c r="J36" s="262"/>
      <c r="K36" s="321"/>
      <c r="L36" s="263"/>
      <c r="M36" s="263"/>
      <c r="N36" s="321"/>
      <c r="Q36" s="321"/>
      <c r="T36" s="321"/>
      <c r="W36" s="321"/>
      <c r="AF36" s="236">
        <f t="shared" si="2"/>
        <v>0</v>
      </c>
      <c r="AG36" s="236" t="str">
        <f t="shared" ca="1" si="3"/>
        <v/>
      </c>
      <c r="AH36" s="236" t="str">
        <f t="shared" ca="1" si="19"/>
        <v/>
      </c>
      <c r="AJ36" s="236">
        <f t="shared" ca="1" si="4"/>
        <v>37</v>
      </c>
      <c r="AK36" s="236" t="str">
        <f t="shared" ca="1" si="20"/>
        <v>BBB</v>
      </c>
      <c r="AL36" s="236">
        <f t="shared" ca="1" si="20"/>
        <v>18</v>
      </c>
      <c r="AM36" s="236" t="str">
        <f t="shared" ca="1" si="5"/>
        <v/>
      </c>
      <c r="AQ36" s="286" t="s">
        <v>370</v>
      </c>
      <c r="AR36" s="286" t="s">
        <v>10</v>
      </c>
      <c r="AS36" s="286">
        <v>20</v>
      </c>
      <c r="AT36" s="286" t="s">
        <v>369</v>
      </c>
      <c r="AV36" s="234">
        <f t="shared" si="21"/>
        <v>2</v>
      </c>
      <c r="AW36" s="234">
        <f>COUNTIF( AV$7:AV36, AV36 )</f>
        <v>4</v>
      </c>
      <c r="AX36" s="287">
        <f t="shared" si="22"/>
        <v>2.4</v>
      </c>
      <c r="AY36" s="234">
        <f t="shared" si="23"/>
        <v>5</v>
      </c>
      <c r="AZ36" s="236"/>
      <c r="BA36" s="236"/>
      <c r="BC36" s="234">
        <f t="shared" ca="1" si="24"/>
        <v>30</v>
      </c>
      <c r="BD36" s="288">
        <f t="shared" ca="1" si="7"/>
        <v>25</v>
      </c>
      <c r="BF36" s="240" t="str">
        <f t="shared" ca="1" si="8"/>
        <v>IDACORP, Inc.</v>
      </c>
      <c r="BG36" s="240" t="str">
        <f t="shared" ca="1" si="9"/>
        <v>BBB</v>
      </c>
      <c r="BH36" s="240">
        <f t="shared" ca="1" si="9"/>
        <v>18</v>
      </c>
      <c r="BI36" s="240" t="str">
        <f t="shared" ca="1" si="9"/>
        <v>IDA</v>
      </c>
    </row>
    <row r="37" spans="1:61" x14ac:dyDescent="0.2">
      <c r="A37" s="303" t="s">
        <v>66</v>
      </c>
      <c r="B37" s="304" t="s">
        <v>28</v>
      </c>
      <c r="C37" s="304">
        <v>18</v>
      </c>
      <c r="D37" s="304" t="s">
        <v>315</v>
      </c>
      <c r="E37" s="305" t="str">
        <f t="shared" ca="1" si="0"/>
        <v>R</v>
      </c>
      <c r="F37" s="306"/>
      <c r="G37" s="307">
        <f t="shared" ca="1" si="1"/>
        <v>38</v>
      </c>
      <c r="H37" s="250"/>
      <c r="I37" s="321"/>
      <c r="K37" s="321"/>
      <c r="L37" s="264"/>
      <c r="M37" s="235"/>
      <c r="N37" s="321"/>
      <c r="Q37" s="321"/>
      <c r="T37" s="321"/>
      <c r="W37" s="321"/>
      <c r="AF37" s="236">
        <f t="shared" si="2"/>
        <v>0</v>
      </c>
      <c r="AG37" s="236" t="str">
        <f t="shared" ca="1" si="3"/>
        <v/>
      </c>
      <c r="AH37" s="236" t="str">
        <f t="shared" ca="1" si="19"/>
        <v/>
      </c>
      <c r="AJ37" s="236">
        <f t="shared" ca="1" si="4"/>
        <v>38</v>
      </c>
      <c r="AK37" s="236" t="str">
        <f t="shared" ca="1" si="20"/>
        <v>BBB</v>
      </c>
      <c r="AL37" s="236">
        <f t="shared" ca="1" si="20"/>
        <v>18</v>
      </c>
      <c r="AM37" s="236" t="str">
        <f t="shared" ca="1" si="5"/>
        <v/>
      </c>
      <c r="AQ37" s="286" t="s">
        <v>40</v>
      </c>
      <c r="AR37" s="286" t="s">
        <v>49</v>
      </c>
      <c r="AS37" s="286">
        <v>17</v>
      </c>
      <c r="AT37" s="286" t="s">
        <v>311</v>
      </c>
      <c r="AV37" s="234">
        <f t="shared" si="21"/>
        <v>39</v>
      </c>
      <c r="AW37" s="234">
        <f>COUNTIF( AV$7:AV37, AV37 )</f>
        <v>10</v>
      </c>
      <c r="AX37" s="287">
        <f t="shared" si="22"/>
        <v>40</v>
      </c>
      <c r="AY37" s="234">
        <f t="shared" si="23"/>
        <v>48</v>
      </c>
      <c r="AZ37" s="236"/>
      <c r="BA37" s="236"/>
      <c r="BC37" s="234">
        <f t="shared" ca="1" si="24"/>
        <v>31</v>
      </c>
      <c r="BD37" s="288">
        <f t="shared" ca="1" si="7"/>
        <v>33</v>
      </c>
      <c r="BF37" s="240" t="str">
        <f t="shared" ca="1" si="8"/>
        <v>NorthWestern Corporation</v>
      </c>
      <c r="BG37" s="240" t="str">
        <f t="shared" ca="1" si="9"/>
        <v>BBB</v>
      </c>
      <c r="BH37" s="240">
        <f t="shared" ca="1" si="9"/>
        <v>18</v>
      </c>
      <c r="BI37" s="240" t="str">
        <f t="shared" ca="1" si="9"/>
        <v>NWE</v>
      </c>
    </row>
    <row r="38" spans="1:61" x14ac:dyDescent="0.2">
      <c r="A38" s="303" t="s">
        <v>53</v>
      </c>
      <c r="B38" s="304" t="s">
        <v>28</v>
      </c>
      <c r="C38" s="304">
        <v>18</v>
      </c>
      <c r="D38" s="304" t="s">
        <v>318</v>
      </c>
      <c r="E38" s="305" t="str">
        <f t="shared" ca="1" si="0"/>
        <v>R</v>
      </c>
      <c r="F38" s="306"/>
      <c r="G38" s="307">
        <f t="shared" ca="1" si="1"/>
        <v>44</v>
      </c>
      <c r="H38" s="250"/>
      <c r="I38" s="321"/>
      <c r="J38" s="262"/>
      <c r="K38" s="321"/>
      <c r="L38" s="264"/>
      <c r="M38" s="235"/>
      <c r="N38" s="321"/>
      <c r="Q38" s="321"/>
      <c r="T38" s="321"/>
      <c r="W38" s="321"/>
      <c r="AF38" s="236">
        <f t="shared" si="2"/>
        <v>0</v>
      </c>
      <c r="AG38" s="236" t="str">
        <f t="shared" ca="1" si="3"/>
        <v/>
      </c>
      <c r="AH38" s="236" t="str">
        <f t="shared" ca="1" si="19"/>
        <v/>
      </c>
      <c r="AJ38" s="236">
        <f t="shared" ca="1" si="4"/>
        <v>39</v>
      </c>
      <c r="AK38" s="236" t="str">
        <f t="shared" ca="1" si="20"/>
        <v>BBB</v>
      </c>
      <c r="AL38" s="236">
        <f t="shared" ca="1" si="20"/>
        <v>18</v>
      </c>
      <c r="AM38" s="236" t="str">
        <f t="shared" ca="1" si="5"/>
        <v/>
      </c>
      <c r="AQ38" s="286" t="s">
        <v>513</v>
      </c>
      <c r="AR38" s="286" t="s">
        <v>10</v>
      </c>
      <c r="AS38" s="286">
        <v>20</v>
      </c>
      <c r="AT38" s="286" t="s">
        <v>512</v>
      </c>
      <c r="AV38" s="234">
        <f t="shared" si="21"/>
        <v>2</v>
      </c>
      <c r="AW38" s="234">
        <f>COUNTIF( AV$7:AV38, AV38 )</f>
        <v>5</v>
      </c>
      <c r="AX38" s="287">
        <f t="shared" si="22"/>
        <v>2.5</v>
      </c>
      <c r="AY38" s="234">
        <f t="shared" si="23"/>
        <v>6</v>
      </c>
      <c r="AZ38" s="236"/>
      <c r="BA38" s="236"/>
      <c r="BC38" s="234">
        <f t="shared" ca="1" si="24"/>
        <v>32</v>
      </c>
      <c r="BD38" s="288">
        <f t="shared" ca="1" si="7"/>
        <v>38</v>
      </c>
      <c r="BF38" s="240" t="str">
        <f t="shared" ca="1" si="8"/>
        <v>PG&amp;E Corporation</v>
      </c>
      <c r="BG38" s="240" t="str">
        <f t="shared" ca="1" si="9"/>
        <v>BBB</v>
      </c>
      <c r="BH38" s="240">
        <f t="shared" ca="1" si="9"/>
        <v>18</v>
      </c>
      <c r="BI38" s="240" t="str">
        <f t="shared" ca="1" si="9"/>
        <v>PCG</v>
      </c>
    </row>
    <row r="39" spans="1:61" x14ac:dyDescent="0.2">
      <c r="A39" s="303" t="s">
        <v>41</v>
      </c>
      <c r="B39" s="304" t="s">
        <v>28</v>
      </c>
      <c r="C39" s="304">
        <v>18</v>
      </c>
      <c r="D39" s="304" t="s">
        <v>322</v>
      </c>
      <c r="E39" s="305" t="str">
        <f t="shared" ca="1" si="0"/>
        <v>R</v>
      </c>
      <c r="F39" s="306"/>
      <c r="G39" s="307">
        <f t="shared" ca="1" si="1"/>
        <v>45</v>
      </c>
      <c r="H39" s="250"/>
      <c r="I39" s="321"/>
      <c r="K39" s="321"/>
      <c r="L39" s="264"/>
      <c r="M39" s="235"/>
      <c r="N39" s="321"/>
      <c r="Q39" s="321"/>
      <c r="T39" s="321"/>
      <c r="W39" s="321"/>
      <c r="AF39" s="236">
        <f t="shared" si="2"/>
        <v>0</v>
      </c>
      <c r="AG39" s="236" t="str">
        <f t="shared" ca="1" si="3"/>
        <v/>
      </c>
      <c r="AH39" s="236" t="str">
        <f t="shared" ca="1" si="19"/>
        <v/>
      </c>
      <c r="AJ39" s="236">
        <f t="shared" ca="1" si="4"/>
        <v>40</v>
      </c>
      <c r="AK39" s="236" t="str">
        <f t="shared" ca="1" si="20"/>
        <v>BBB</v>
      </c>
      <c r="AL39" s="236">
        <f t="shared" ca="1" si="20"/>
        <v>18</v>
      </c>
      <c r="AM39" s="236" t="str">
        <f t="shared" ca="1" si="5"/>
        <v/>
      </c>
      <c r="AQ39" s="286" t="s">
        <v>66</v>
      </c>
      <c r="AR39" s="286" t="s">
        <v>28</v>
      </c>
      <c r="AS39" s="286">
        <v>18</v>
      </c>
      <c r="AT39" s="289" t="s">
        <v>315</v>
      </c>
      <c r="AV39" s="234">
        <f t="shared" si="21"/>
        <v>23</v>
      </c>
      <c r="AW39" s="234">
        <f>COUNTIF( AV$7:AV39, AV39 )</f>
        <v>9</v>
      </c>
      <c r="AX39" s="287">
        <f t="shared" si="22"/>
        <v>23.9</v>
      </c>
      <c r="AY39" s="234">
        <f t="shared" si="23"/>
        <v>31</v>
      </c>
      <c r="AZ39" s="236"/>
      <c r="BA39" s="236"/>
      <c r="BC39" s="234">
        <f t="shared" ca="1" si="24"/>
        <v>33</v>
      </c>
      <c r="BD39" s="288">
        <f t="shared" ca="1" si="7"/>
        <v>39</v>
      </c>
      <c r="BF39" s="240" t="str">
        <f t="shared" ref="BF39:BF63" ca="1" si="25">OFFSET( AQ$6, $BD39, 0 )</f>
        <v>Pinnacle West Capital Corporation</v>
      </c>
      <c r="BG39" s="240" t="str">
        <f t="shared" ca="1" si="9"/>
        <v>BBB</v>
      </c>
      <c r="BH39" s="240">
        <f t="shared" ca="1" si="9"/>
        <v>18</v>
      </c>
      <c r="BI39" s="240" t="str">
        <f t="shared" ca="1" si="9"/>
        <v>PNW</v>
      </c>
    </row>
    <row r="40" spans="1:61" x14ac:dyDescent="0.2">
      <c r="A40" s="303" t="s">
        <v>24</v>
      </c>
      <c r="B40" s="304" t="s">
        <v>28</v>
      </c>
      <c r="C40" s="304">
        <v>18</v>
      </c>
      <c r="D40" s="304" t="s">
        <v>324</v>
      </c>
      <c r="E40" s="305" t="str">
        <f t="shared" ca="1" si="0"/>
        <v>R</v>
      </c>
      <c r="F40" s="306"/>
      <c r="G40" s="307">
        <f t="shared" ca="1" si="1"/>
        <v>47</v>
      </c>
      <c r="H40" s="250"/>
      <c r="I40" s="321"/>
      <c r="J40" s="262"/>
      <c r="K40" s="321"/>
      <c r="L40" s="264"/>
      <c r="M40" s="235"/>
      <c r="N40" s="321"/>
      <c r="Q40" s="321"/>
      <c r="T40" s="321"/>
      <c r="W40" s="321"/>
      <c r="AF40" s="236">
        <f t="shared" si="2"/>
        <v>0</v>
      </c>
      <c r="AG40" s="236" t="str">
        <f t="shared" ca="1" si="3"/>
        <v/>
      </c>
      <c r="AH40" s="236" t="str">
        <f t="shared" ca="1" si="19"/>
        <v/>
      </c>
      <c r="AJ40" s="236">
        <f t="shared" ca="1" si="4"/>
        <v>41</v>
      </c>
      <c r="AK40" s="236" t="str">
        <f t="shared" ca="1" si="20"/>
        <v>BBB</v>
      </c>
      <c r="AL40" s="236">
        <f t="shared" ca="1" si="20"/>
        <v>18</v>
      </c>
      <c r="AM40" s="236" t="str">
        <f t="shared" ca="1" si="5"/>
        <v/>
      </c>
      <c r="AQ40" s="286" t="s">
        <v>266</v>
      </c>
      <c r="AR40" s="286" t="s">
        <v>56</v>
      </c>
      <c r="AS40" s="286">
        <v>16</v>
      </c>
      <c r="AT40" s="286" t="s">
        <v>314</v>
      </c>
      <c r="AV40" s="234">
        <f t="shared" si="21"/>
        <v>51</v>
      </c>
      <c r="AW40" s="234">
        <f>COUNTIF( AV$7:AV40, AV40 )</f>
        <v>1</v>
      </c>
      <c r="AX40" s="287">
        <f t="shared" si="22"/>
        <v>51.1</v>
      </c>
      <c r="AY40" s="234">
        <f t="shared" si="23"/>
        <v>51</v>
      </c>
      <c r="AZ40" s="236"/>
      <c r="BA40" s="236"/>
      <c r="BC40" s="234">
        <f t="shared" ca="1" si="24"/>
        <v>34</v>
      </c>
      <c r="BD40" s="288">
        <f t="shared" ca="1" si="7"/>
        <v>41</v>
      </c>
      <c r="BF40" s="240" t="str">
        <f t="shared" ca="1" si="25"/>
        <v>Portland General Electric Company</v>
      </c>
      <c r="BG40" s="240" t="str">
        <f t="shared" ca="1" si="9"/>
        <v>BBB</v>
      </c>
      <c r="BH40" s="240">
        <f t="shared" ca="1" si="9"/>
        <v>18</v>
      </c>
      <c r="BI40" s="240" t="str">
        <f t="shared" ca="1" si="9"/>
        <v>POR</v>
      </c>
    </row>
    <row r="41" spans="1:61" x14ac:dyDescent="0.2">
      <c r="A41" s="303" t="s">
        <v>43</v>
      </c>
      <c r="B41" s="304" t="s">
        <v>28</v>
      </c>
      <c r="C41" s="304">
        <v>18</v>
      </c>
      <c r="D41" s="304" t="s">
        <v>325</v>
      </c>
      <c r="E41" s="305" t="str">
        <f t="shared" ca="1" si="0"/>
        <v>MR</v>
      </c>
      <c r="F41" s="306"/>
      <c r="G41" s="307">
        <f t="shared" ca="1" si="1"/>
        <v>48</v>
      </c>
      <c r="H41" s="250"/>
      <c r="I41" s="321"/>
      <c r="J41" s="262"/>
      <c r="K41" s="321"/>
      <c r="L41" s="264"/>
      <c r="M41" s="235"/>
      <c r="N41" s="321"/>
      <c r="Q41" s="321"/>
      <c r="T41" s="321"/>
      <c r="W41" s="321"/>
      <c r="AF41" s="236">
        <f t="shared" si="2"/>
        <v>0</v>
      </c>
      <c r="AG41" s="236" t="str">
        <f t="shared" ca="1" si="3"/>
        <v/>
      </c>
      <c r="AH41" s="236" t="str">
        <f t="shared" ca="1" si="19"/>
        <v/>
      </c>
      <c r="AJ41" s="236">
        <f t="shared" ca="1" si="4"/>
        <v>42</v>
      </c>
      <c r="AK41" s="236" t="str">
        <f t="shared" ca="1" si="20"/>
        <v>BBB</v>
      </c>
      <c r="AL41" s="236">
        <f t="shared" ca="1" si="20"/>
        <v>18</v>
      </c>
      <c r="AM41" s="236" t="str">
        <f t="shared" ca="1" si="5"/>
        <v/>
      </c>
      <c r="AQ41" s="286" t="s">
        <v>21</v>
      </c>
      <c r="AR41" s="286" t="s">
        <v>16</v>
      </c>
      <c r="AS41" s="286">
        <v>19</v>
      </c>
      <c r="AT41" s="286" t="s">
        <v>316</v>
      </c>
      <c r="AV41" s="234">
        <f t="shared" si="21"/>
        <v>10</v>
      </c>
      <c r="AW41" s="234">
        <f>COUNTIF( AV$7:AV41, AV41 )</f>
        <v>9</v>
      </c>
      <c r="AX41" s="287">
        <f t="shared" si="22"/>
        <v>10.9</v>
      </c>
      <c r="AY41" s="234">
        <f t="shared" si="23"/>
        <v>18</v>
      </c>
      <c r="AZ41" s="236"/>
      <c r="BA41" s="236"/>
      <c r="BC41" s="234">
        <f t="shared" ca="1" si="24"/>
        <v>35</v>
      </c>
      <c r="BD41" s="288">
        <f t="shared" ca="1" si="7"/>
        <v>42</v>
      </c>
      <c r="BF41" s="240" t="str">
        <f t="shared" ca="1" si="25"/>
        <v>PPL Corporation</v>
      </c>
      <c r="BG41" s="240" t="str">
        <f t="shared" ca="1" si="9"/>
        <v>BBB</v>
      </c>
      <c r="BH41" s="240">
        <f t="shared" ca="1" si="9"/>
        <v>18</v>
      </c>
      <c r="BI41" s="240" t="str">
        <f t="shared" ca="1" si="9"/>
        <v>PPL</v>
      </c>
    </row>
    <row r="42" spans="1:61" x14ac:dyDescent="0.2">
      <c r="A42" s="303" t="s">
        <v>45</v>
      </c>
      <c r="B42" s="304" t="s">
        <v>28</v>
      </c>
      <c r="C42" s="304">
        <v>18</v>
      </c>
      <c r="D42" s="304" t="s">
        <v>319</v>
      </c>
      <c r="E42" s="305" t="str">
        <f t="shared" ca="1" si="0"/>
        <v>MR</v>
      </c>
      <c r="F42" s="306"/>
      <c r="G42" s="307">
        <f t="shared" ca="1" si="1"/>
        <v>50</v>
      </c>
      <c r="H42" s="250"/>
      <c r="I42" s="321"/>
      <c r="J42" s="262"/>
      <c r="K42" s="321"/>
      <c r="L42" s="264"/>
      <c r="M42" s="235"/>
      <c r="N42" s="321"/>
      <c r="Q42" s="321"/>
      <c r="T42" s="321"/>
      <c r="W42" s="321"/>
      <c r="AF42" s="236">
        <f t="shared" si="2"/>
        <v>0</v>
      </c>
      <c r="AG42" s="236" t="str">
        <f t="shared" ca="1" si="3"/>
        <v/>
      </c>
      <c r="AH42" s="236" t="str">
        <f t="shared" ca="1" si="19"/>
        <v/>
      </c>
      <c r="AJ42" s="236">
        <f t="shared" ca="1" si="4"/>
        <v>43</v>
      </c>
      <c r="AK42" s="236" t="str">
        <f t="shared" ca="1" si="20"/>
        <v>BBB</v>
      </c>
      <c r="AL42" s="236">
        <f t="shared" ca="1" si="20"/>
        <v>18</v>
      </c>
      <c r="AM42" s="236" t="str">
        <f t="shared" ca="1" si="5"/>
        <v/>
      </c>
      <c r="AQ42" s="286" t="s">
        <v>22</v>
      </c>
      <c r="AR42" s="286" t="s">
        <v>49</v>
      </c>
      <c r="AS42" s="286">
        <v>17</v>
      </c>
      <c r="AT42" s="286" t="s">
        <v>317</v>
      </c>
      <c r="AV42" s="234">
        <f t="shared" si="21"/>
        <v>39</v>
      </c>
      <c r="AW42" s="234">
        <f>COUNTIF( AV$7:AV42, AV42 )</f>
        <v>11</v>
      </c>
      <c r="AX42" s="287">
        <f t="shared" si="22"/>
        <v>40.1</v>
      </c>
      <c r="AY42" s="234">
        <f t="shared" si="23"/>
        <v>49</v>
      </c>
      <c r="AZ42" s="236"/>
      <c r="BA42" s="236"/>
      <c r="BC42" s="234">
        <f t="shared" ca="1" si="24"/>
        <v>36</v>
      </c>
      <c r="BD42" s="288">
        <f t="shared" ca="1" si="7"/>
        <v>43</v>
      </c>
      <c r="BF42" s="240" t="str">
        <f t="shared" ca="1" si="25"/>
        <v>Public Service Enterprise Group Incorporated</v>
      </c>
      <c r="BG42" s="240" t="str">
        <f t="shared" ca="1" si="9"/>
        <v>BBB</v>
      </c>
      <c r="BH42" s="240">
        <f t="shared" ca="1" si="9"/>
        <v>18</v>
      </c>
      <c r="BI42" s="240" t="str">
        <f t="shared" ca="1" si="9"/>
        <v>PEG</v>
      </c>
    </row>
    <row r="43" spans="1:61" x14ac:dyDescent="0.2">
      <c r="A43" s="303" t="s">
        <v>75</v>
      </c>
      <c r="B43" s="304" t="s">
        <v>28</v>
      </c>
      <c r="C43" s="304">
        <v>18</v>
      </c>
      <c r="D43" s="304" t="s">
        <v>332</v>
      </c>
      <c r="E43" s="305" t="str">
        <f t="shared" ca="1" si="0"/>
        <v>R</v>
      </c>
      <c r="F43" s="306"/>
      <c r="G43" s="307">
        <f t="shared" ca="1" si="1"/>
        <v>55</v>
      </c>
      <c r="H43" s="250"/>
      <c r="I43" s="321"/>
      <c r="J43" s="262"/>
      <c r="K43" s="321"/>
      <c r="L43" s="235"/>
      <c r="M43" s="235"/>
      <c r="N43" s="321"/>
      <c r="Q43" s="321"/>
      <c r="T43" s="321"/>
      <c r="W43" s="321"/>
      <c r="AF43" s="236">
        <f t="shared" si="2"/>
        <v>0</v>
      </c>
      <c r="AG43" s="236" t="str">
        <f t="shared" ca="1" si="3"/>
        <v/>
      </c>
      <c r="AH43" s="236" t="str">
        <f t="shared" ca="1" si="19"/>
        <v/>
      </c>
      <c r="AJ43" s="236">
        <f t="shared" ca="1" si="4"/>
        <v>44</v>
      </c>
      <c r="AK43" s="236" t="str">
        <f t="shared" ca="1" si="20"/>
        <v>BBB</v>
      </c>
      <c r="AL43" s="236">
        <f t="shared" ca="1" si="20"/>
        <v>18</v>
      </c>
      <c r="AM43" s="236" t="str">
        <f t="shared" ca="1" si="5"/>
        <v/>
      </c>
      <c r="AQ43" s="286" t="s">
        <v>23</v>
      </c>
      <c r="AR43" s="286" t="s">
        <v>16</v>
      </c>
      <c r="AS43" s="286">
        <v>19</v>
      </c>
      <c r="AT43" s="286" t="s">
        <v>323</v>
      </c>
      <c r="AV43" s="234">
        <f t="shared" si="21"/>
        <v>10</v>
      </c>
      <c r="AW43" s="234">
        <f>COUNTIF( AV$7:AV43, AV43 )</f>
        <v>10</v>
      </c>
      <c r="AX43" s="287">
        <f t="shared" si="22"/>
        <v>11</v>
      </c>
      <c r="AY43" s="234">
        <f t="shared" si="23"/>
        <v>19</v>
      </c>
      <c r="AZ43" s="236"/>
      <c r="BA43" s="236"/>
      <c r="BC43" s="234">
        <f t="shared" ca="1" si="24"/>
        <v>37</v>
      </c>
      <c r="BD43" s="288">
        <f t="shared" ca="1" si="7"/>
        <v>49</v>
      </c>
      <c r="BF43" s="240" t="str">
        <f t="shared" ca="1" si="25"/>
        <v>UIL Holdings Corporation</v>
      </c>
      <c r="BG43" s="240" t="str">
        <f t="shared" ca="1" si="9"/>
        <v>BBB</v>
      </c>
      <c r="BH43" s="240">
        <f t="shared" ca="1" si="9"/>
        <v>18</v>
      </c>
      <c r="BI43" s="240" t="str">
        <f t="shared" ca="1" si="9"/>
        <v>UIL</v>
      </c>
    </row>
    <row r="44" spans="1:61" x14ac:dyDescent="0.2">
      <c r="A44" s="303" t="s">
        <v>59</v>
      </c>
      <c r="B44" s="304" t="s">
        <v>28</v>
      </c>
      <c r="C44" s="304">
        <v>18</v>
      </c>
      <c r="D44" s="304" t="s">
        <v>337</v>
      </c>
      <c r="E44" s="305" t="str">
        <f t="shared" ca="1" si="0"/>
        <v>R</v>
      </c>
      <c r="F44" s="306"/>
      <c r="G44" s="307">
        <f t="shared" ca="1" si="1"/>
        <v>59</v>
      </c>
      <c r="H44" s="250"/>
      <c r="I44" s="321"/>
      <c r="J44" s="262"/>
      <c r="K44" s="321"/>
      <c r="L44" s="235"/>
      <c r="M44" s="235"/>
      <c r="N44" s="321"/>
      <c r="Q44" s="321"/>
      <c r="T44" s="321"/>
      <c r="W44" s="321"/>
      <c r="AF44" s="236">
        <f t="shared" si="2"/>
        <v>0</v>
      </c>
      <c r="AG44" s="236" t="str">
        <f t="shared" ca="1" si="3"/>
        <v/>
      </c>
      <c r="AH44" s="236" t="str">
        <f t="shared" ca="1" si="19"/>
        <v/>
      </c>
      <c r="AJ44" s="236">
        <f t="shared" ca="1" si="4"/>
        <v>45</v>
      </c>
      <c r="AK44" s="236" t="str">
        <f t="shared" ca="1" si="20"/>
        <v>BBB</v>
      </c>
      <c r="AL44" s="236">
        <f t="shared" ca="1" si="20"/>
        <v>18</v>
      </c>
      <c r="AM44" s="236" t="str">
        <f t="shared" ca="1" si="5"/>
        <v/>
      </c>
      <c r="AQ44" s="286" t="s">
        <v>53</v>
      </c>
      <c r="AR44" s="286" t="s">
        <v>28</v>
      </c>
      <c r="AS44" s="286">
        <v>18</v>
      </c>
      <c r="AT44" s="286" t="s">
        <v>318</v>
      </c>
      <c r="AV44" s="234">
        <f t="shared" si="21"/>
        <v>23</v>
      </c>
      <c r="AW44" s="234">
        <f>COUNTIF( AV$7:AV44, AV44 )</f>
        <v>10</v>
      </c>
      <c r="AX44" s="287">
        <f t="shared" si="22"/>
        <v>24</v>
      </c>
      <c r="AY44" s="234">
        <f t="shared" si="23"/>
        <v>32</v>
      </c>
      <c r="AZ44" s="236"/>
      <c r="BA44" s="236"/>
      <c r="BC44" s="234">
        <f t="shared" ca="1" si="24"/>
        <v>38</v>
      </c>
      <c r="BD44" s="288">
        <f t="shared" ca="1" si="7"/>
        <v>51</v>
      </c>
      <c r="BF44" s="240" t="str">
        <f t="shared" ca="1" si="25"/>
        <v>Westar Energy, Inc.</v>
      </c>
      <c r="BG44" s="240" t="str">
        <f t="shared" ca="1" si="9"/>
        <v>BBB</v>
      </c>
      <c r="BH44" s="240">
        <f t="shared" ca="1" si="9"/>
        <v>18</v>
      </c>
      <c r="BI44" s="240" t="str">
        <f t="shared" ca="1" si="9"/>
        <v>WR</v>
      </c>
    </row>
    <row r="45" spans="1:61" x14ac:dyDescent="0.2">
      <c r="A45" s="303" t="s">
        <v>9</v>
      </c>
      <c r="B45" s="304" t="s">
        <v>49</v>
      </c>
      <c r="C45" s="304">
        <v>17</v>
      </c>
      <c r="D45" s="304" t="s">
        <v>274</v>
      </c>
      <c r="E45" s="305" t="str">
        <f t="shared" ca="1" si="0"/>
        <v>R</v>
      </c>
      <c r="F45" s="306"/>
      <c r="G45" s="307">
        <f t="shared" ca="1" si="1"/>
        <v>9</v>
      </c>
      <c r="H45" s="250"/>
      <c r="I45" s="321"/>
      <c r="J45" s="262"/>
      <c r="K45" s="321"/>
      <c r="L45" s="235"/>
      <c r="M45" s="235"/>
      <c r="N45" s="321"/>
      <c r="Q45" s="321"/>
      <c r="T45" s="321"/>
      <c r="W45" s="321"/>
      <c r="AF45" s="236">
        <f t="shared" si="2"/>
        <v>1</v>
      </c>
      <c r="AG45" s="236" t="str">
        <f t="shared" ca="1" si="3"/>
        <v/>
      </c>
      <c r="AH45" s="236" t="str">
        <f t="shared" ca="1" si="19"/>
        <v/>
      </c>
      <c r="AJ45" s="236">
        <f t="shared" ca="1" si="4"/>
        <v>46</v>
      </c>
      <c r="AK45" s="236" t="str">
        <f t="shared" ca="1" si="20"/>
        <v>BBB-</v>
      </c>
      <c r="AL45" s="236">
        <f t="shared" ca="1" si="20"/>
        <v>17</v>
      </c>
      <c r="AM45" s="236" t="str">
        <f t="shared" ca="1" si="5"/>
        <v/>
      </c>
      <c r="AQ45" s="286" t="s">
        <v>41</v>
      </c>
      <c r="AR45" s="286" t="s">
        <v>28</v>
      </c>
      <c r="AS45" s="286">
        <v>18</v>
      </c>
      <c r="AT45" s="286" t="s">
        <v>322</v>
      </c>
      <c r="AV45" s="234">
        <f t="shared" si="21"/>
        <v>23</v>
      </c>
      <c r="AW45" s="234">
        <f>COUNTIF( AV$7:AV45, AV45 )</f>
        <v>11</v>
      </c>
      <c r="AX45" s="287">
        <f t="shared" si="22"/>
        <v>24.1</v>
      </c>
      <c r="AY45" s="234">
        <f t="shared" si="23"/>
        <v>33</v>
      </c>
      <c r="AZ45" s="236"/>
      <c r="BA45" s="236"/>
      <c r="BC45" s="234">
        <f t="shared" ca="1" si="24"/>
        <v>39</v>
      </c>
      <c r="BD45" s="288">
        <f t="shared" ca="1" si="7"/>
        <v>3</v>
      </c>
      <c r="BF45" s="240" t="str">
        <f t="shared" ca="1" si="25"/>
        <v>Ameren Corporation</v>
      </c>
      <c r="BG45" s="240" t="str">
        <f t="shared" ca="1" si="9"/>
        <v>BBB-</v>
      </c>
      <c r="BH45" s="240">
        <f t="shared" ca="1" si="9"/>
        <v>17</v>
      </c>
      <c r="BI45" s="240" t="str">
        <f t="shared" ca="1" si="9"/>
        <v>AEE</v>
      </c>
    </row>
    <row r="46" spans="1:61" x14ac:dyDescent="0.2">
      <c r="A46" s="303" t="s">
        <v>48</v>
      </c>
      <c r="B46" s="304" t="s">
        <v>49</v>
      </c>
      <c r="C46" s="304">
        <v>17</v>
      </c>
      <c r="D46" s="304" t="s">
        <v>280</v>
      </c>
      <c r="E46" s="305" t="str">
        <f t="shared" ca="1" si="0"/>
        <v>MR</v>
      </c>
      <c r="F46" s="306"/>
      <c r="G46" s="307">
        <f t="shared" ca="1" si="1"/>
        <v>12</v>
      </c>
      <c r="H46" s="250"/>
      <c r="I46" s="262"/>
      <c r="K46" s="262"/>
      <c r="N46" s="257"/>
      <c r="W46" s="262"/>
      <c r="AF46" s="236">
        <f t="shared" si="2"/>
        <v>1</v>
      </c>
      <c r="AG46" s="236" t="str">
        <f t="shared" ca="1" si="3"/>
        <v/>
      </c>
      <c r="AH46" s="236" t="str">
        <f t="shared" ca="1" si="19"/>
        <v/>
      </c>
      <c r="AJ46" s="236">
        <f t="shared" ca="1" si="4"/>
        <v>47</v>
      </c>
      <c r="AK46" s="236" t="str">
        <f t="shared" ca="1" si="20"/>
        <v>BBB-</v>
      </c>
      <c r="AL46" s="236">
        <f t="shared" ca="1" si="20"/>
        <v>17</v>
      </c>
      <c r="AM46" s="236" t="str">
        <f t="shared" ca="1" si="5"/>
        <v/>
      </c>
      <c r="AQ46" s="286" t="s">
        <v>42</v>
      </c>
      <c r="AR46" s="286" t="s">
        <v>49</v>
      </c>
      <c r="AS46" s="286">
        <v>17</v>
      </c>
      <c r="AT46" s="286" t="s">
        <v>321</v>
      </c>
      <c r="AV46" s="234">
        <f t="shared" si="21"/>
        <v>39</v>
      </c>
      <c r="AW46" s="234">
        <f>COUNTIF( AV$7:AV46, AV46 )</f>
        <v>12</v>
      </c>
      <c r="AX46" s="287">
        <f t="shared" si="22"/>
        <v>40.200000000000003</v>
      </c>
      <c r="AY46" s="234">
        <f t="shared" si="23"/>
        <v>50</v>
      </c>
      <c r="AZ46" s="236"/>
      <c r="BA46" s="236"/>
      <c r="BC46" s="234">
        <f t="shared" ca="1" si="24"/>
        <v>40</v>
      </c>
      <c r="BD46" s="288">
        <f t="shared" ca="1" si="7"/>
        <v>6</v>
      </c>
      <c r="BF46" s="240" t="str">
        <f t="shared" ca="1" si="25"/>
        <v>Black Hills Corporation</v>
      </c>
      <c r="BG46" s="240" t="str">
        <f t="shared" ca="1" si="9"/>
        <v>BBB-</v>
      </c>
      <c r="BH46" s="240">
        <f t="shared" ca="1" si="9"/>
        <v>17</v>
      </c>
      <c r="BI46" s="240" t="str">
        <f t="shared" ca="1" si="9"/>
        <v>BKH</v>
      </c>
    </row>
    <row r="47" spans="1:61" x14ac:dyDescent="0.2">
      <c r="A47" s="303" t="s">
        <v>60</v>
      </c>
      <c r="B47" s="304" t="s">
        <v>49</v>
      </c>
      <c r="C47" s="304">
        <v>17</v>
      </c>
      <c r="D47" s="304" t="s">
        <v>284</v>
      </c>
      <c r="E47" s="305" t="str">
        <f t="shared" ca="1" si="0"/>
        <v>R</v>
      </c>
      <c r="F47" s="306"/>
      <c r="G47" s="307">
        <f t="shared" ca="1" si="1"/>
        <v>17</v>
      </c>
      <c r="H47" s="250"/>
      <c r="I47" s="250"/>
      <c r="J47" s="258" t="s">
        <v>268</v>
      </c>
      <c r="K47" s="262"/>
      <c r="M47" s="253"/>
      <c r="N47" s="253"/>
      <c r="AF47" s="236">
        <f t="shared" si="2"/>
        <v>1</v>
      </c>
      <c r="AG47" s="236" t="str">
        <f t="shared" ca="1" si="3"/>
        <v/>
      </c>
      <c r="AH47" s="236" t="str">
        <f t="shared" ca="1" si="19"/>
        <v/>
      </c>
      <c r="AJ47" s="236">
        <f t="shared" ca="1" si="4"/>
        <v>48</v>
      </c>
      <c r="AK47" s="236" t="str">
        <f t="shared" ca="1" si="20"/>
        <v>BBB-</v>
      </c>
      <c r="AL47" s="236">
        <f t="shared" ca="1" si="20"/>
        <v>17</v>
      </c>
      <c r="AM47" s="236" t="str">
        <f t="shared" ca="1" si="5"/>
        <v/>
      </c>
      <c r="AQ47" s="286" t="s">
        <v>24</v>
      </c>
      <c r="AR47" s="286" t="s">
        <v>28</v>
      </c>
      <c r="AS47" s="286">
        <v>18</v>
      </c>
      <c r="AT47" s="286" t="s">
        <v>324</v>
      </c>
      <c r="AV47" s="234">
        <f t="shared" si="21"/>
        <v>23</v>
      </c>
      <c r="AW47" s="234">
        <f>COUNTIF( AV$7:AV47, AV47 )</f>
        <v>12</v>
      </c>
      <c r="AX47" s="287">
        <f t="shared" si="22"/>
        <v>24.2</v>
      </c>
      <c r="AY47" s="234">
        <f t="shared" si="23"/>
        <v>34</v>
      </c>
      <c r="AZ47" s="236"/>
      <c r="BA47" s="236"/>
      <c r="BC47" s="234">
        <f t="shared" ca="1" si="24"/>
        <v>41</v>
      </c>
      <c r="BD47" s="288">
        <f t="shared" ca="1" si="7"/>
        <v>9</v>
      </c>
      <c r="BF47" s="240" t="str">
        <f t="shared" ca="1" si="25"/>
        <v>CMS Energy Corporation</v>
      </c>
      <c r="BG47" s="240" t="str">
        <f t="shared" ca="1" si="9"/>
        <v>BBB-</v>
      </c>
      <c r="BH47" s="240">
        <f t="shared" ca="1" si="9"/>
        <v>17</v>
      </c>
      <c r="BI47" s="240" t="str">
        <f t="shared" ca="1" si="9"/>
        <v>CMS</v>
      </c>
    </row>
    <row r="48" spans="1:61" x14ac:dyDescent="0.2">
      <c r="A48" s="303" t="s">
        <v>64</v>
      </c>
      <c r="B48" s="304" t="s">
        <v>49</v>
      </c>
      <c r="C48" s="304">
        <v>17</v>
      </c>
      <c r="D48" s="304" t="s">
        <v>443</v>
      </c>
      <c r="E48" s="305" t="str">
        <f t="shared" ca="1" si="0"/>
        <v>R</v>
      </c>
      <c r="F48" s="306"/>
      <c r="G48" s="307">
        <f t="shared" ca="1" si="1"/>
        <v>64</v>
      </c>
      <c r="H48" s="250"/>
      <c r="I48" s="250"/>
      <c r="K48" s="262"/>
      <c r="M48" s="253"/>
      <c r="N48" s="253"/>
      <c r="AF48" s="236">
        <f t="shared" si="2"/>
        <v>1</v>
      </c>
      <c r="AG48" s="236" t="str">
        <f t="shared" ca="1" si="3"/>
        <v/>
      </c>
      <c r="AH48" s="236" t="str">
        <f t="shared" ca="1" si="19"/>
        <v/>
      </c>
      <c r="AJ48" s="236">
        <f t="shared" ca="1" si="4"/>
        <v>49</v>
      </c>
      <c r="AK48" s="236" t="str">
        <f t="shared" ca="1" si="20"/>
        <v>BBB-</v>
      </c>
      <c r="AL48" s="236">
        <f t="shared" ca="1" si="20"/>
        <v>17</v>
      </c>
      <c r="AM48" s="236" t="str">
        <f t="shared" ca="1" si="5"/>
        <v/>
      </c>
      <c r="AQ48" s="286" t="s">
        <v>43</v>
      </c>
      <c r="AR48" s="286" t="s">
        <v>28</v>
      </c>
      <c r="AS48" s="286">
        <v>18</v>
      </c>
      <c r="AT48" s="286" t="s">
        <v>325</v>
      </c>
      <c r="AV48" s="234">
        <f t="shared" si="21"/>
        <v>23</v>
      </c>
      <c r="AW48" s="234">
        <f>COUNTIF( AV$7:AV48, AV48 )</f>
        <v>13</v>
      </c>
      <c r="AX48" s="287">
        <f t="shared" si="22"/>
        <v>24.3</v>
      </c>
      <c r="AY48" s="234">
        <f t="shared" si="23"/>
        <v>35</v>
      </c>
      <c r="AZ48" s="236"/>
      <c r="BA48" s="236"/>
      <c r="BC48" s="234">
        <f t="shared" ca="1" si="24"/>
        <v>42</v>
      </c>
      <c r="BD48" s="288">
        <f t="shared" ca="1" si="7"/>
        <v>12</v>
      </c>
      <c r="BF48" s="240" t="str">
        <f t="shared" ca="1" si="25"/>
        <v>DPL Inc.</v>
      </c>
      <c r="BG48" s="240" t="str">
        <f t="shared" ca="1" si="9"/>
        <v>BBB-</v>
      </c>
      <c r="BH48" s="240">
        <f t="shared" ca="1" si="9"/>
        <v>17</v>
      </c>
      <c r="BI48" s="240" t="str">
        <f t="shared" ca="1" si="9"/>
        <v>**DPL</v>
      </c>
    </row>
    <row r="49" spans="1:61" x14ac:dyDescent="0.2">
      <c r="A49" s="303" t="s">
        <v>57</v>
      </c>
      <c r="B49" s="304" t="s">
        <v>49</v>
      </c>
      <c r="C49" s="304">
        <v>17</v>
      </c>
      <c r="D49" s="304" t="s">
        <v>296</v>
      </c>
      <c r="E49" s="305" t="str">
        <f t="shared" ca="1" si="0"/>
        <v>R</v>
      </c>
      <c r="F49" s="306"/>
      <c r="G49" s="307">
        <f t="shared" ca="1" si="1"/>
        <v>23</v>
      </c>
      <c r="H49" s="250"/>
      <c r="I49" s="250"/>
      <c r="J49" s="262"/>
      <c r="K49" s="262"/>
      <c r="M49" s="253"/>
      <c r="N49" s="253"/>
      <c r="AF49" s="236">
        <f t="shared" si="2"/>
        <v>1</v>
      </c>
      <c r="AG49" s="236" t="str">
        <f t="shared" ca="1" si="3"/>
        <v/>
      </c>
      <c r="AH49" s="236" t="str">
        <f t="shared" ca="1" si="19"/>
        <v/>
      </c>
      <c r="AJ49" s="236">
        <f t="shared" ca="1" si="4"/>
        <v>50</v>
      </c>
      <c r="AK49" s="236" t="str">
        <f t="shared" ca="1" si="20"/>
        <v>BBB-</v>
      </c>
      <c r="AL49" s="236">
        <f t="shared" ca="1" si="20"/>
        <v>17</v>
      </c>
      <c r="AM49" s="236" t="str">
        <f t="shared" ca="1" si="5"/>
        <v/>
      </c>
      <c r="AQ49" s="286" t="s">
        <v>45</v>
      </c>
      <c r="AR49" s="286" t="s">
        <v>28</v>
      </c>
      <c r="AS49" s="286">
        <v>18</v>
      </c>
      <c r="AT49" s="286" t="s">
        <v>319</v>
      </c>
      <c r="AV49" s="234">
        <f t="shared" si="21"/>
        <v>23</v>
      </c>
      <c r="AW49" s="234">
        <f>COUNTIF( AV$7:AV49, AV49 )</f>
        <v>14</v>
      </c>
      <c r="AX49" s="287">
        <f t="shared" si="22"/>
        <v>24.4</v>
      </c>
      <c r="AY49" s="234">
        <f t="shared" si="23"/>
        <v>36</v>
      </c>
      <c r="AZ49" s="236"/>
      <c r="BA49" s="236"/>
      <c r="BC49" s="234">
        <f t="shared" ca="1" si="24"/>
        <v>43</v>
      </c>
      <c r="BD49" s="288">
        <f t="shared" ca="1" si="7"/>
        <v>15</v>
      </c>
      <c r="BF49" s="240" t="str">
        <f t="shared" ca="1" si="25"/>
        <v>Edison International</v>
      </c>
      <c r="BG49" s="240" t="str">
        <f t="shared" ca="1" si="9"/>
        <v>BBB-</v>
      </c>
      <c r="BH49" s="240">
        <f t="shared" ca="1" si="9"/>
        <v>17</v>
      </c>
      <c r="BI49" s="240" t="str">
        <f t="shared" ca="1" si="9"/>
        <v>EIX</v>
      </c>
    </row>
    <row r="50" spans="1:61" x14ac:dyDescent="0.2">
      <c r="A50" s="303" t="s">
        <v>35</v>
      </c>
      <c r="B50" s="304" t="s">
        <v>49</v>
      </c>
      <c r="C50" s="304">
        <v>17</v>
      </c>
      <c r="D50" s="304" t="s">
        <v>293</v>
      </c>
      <c r="E50" s="305" t="str">
        <f t="shared" ca="1" si="0"/>
        <v>R</v>
      </c>
      <c r="F50" s="306"/>
      <c r="G50" s="307">
        <f t="shared" ca="1" si="1"/>
        <v>25</v>
      </c>
      <c r="H50" s="250"/>
      <c r="I50" s="250"/>
      <c r="J50" s="262"/>
      <c r="K50" s="262"/>
      <c r="L50" s="235"/>
      <c r="M50" s="257"/>
      <c r="N50" s="257"/>
      <c r="AF50" s="236">
        <f t="shared" si="2"/>
        <v>1</v>
      </c>
      <c r="AG50" s="236" t="str">
        <f t="shared" ca="1" si="3"/>
        <v/>
      </c>
      <c r="AH50" s="236" t="str">
        <f t="shared" ca="1" si="19"/>
        <v/>
      </c>
      <c r="AJ50" s="236">
        <f t="shared" ca="1" si="4"/>
        <v>51</v>
      </c>
      <c r="AK50" s="236" t="str">
        <f t="shared" ca="1" si="20"/>
        <v>BBB-</v>
      </c>
      <c r="AL50" s="236">
        <f t="shared" ca="1" si="20"/>
        <v>17</v>
      </c>
      <c r="AM50" s="236" t="str">
        <f t="shared" ca="1" si="5"/>
        <v/>
      </c>
      <c r="AQ50" s="286" t="s">
        <v>54</v>
      </c>
      <c r="AR50" s="286" t="s">
        <v>56</v>
      </c>
      <c r="AS50" s="286">
        <v>16</v>
      </c>
      <c r="AT50" s="286" t="s">
        <v>449</v>
      </c>
      <c r="AV50" s="234">
        <f t="shared" si="21"/>
        <v>51</v>
      </c>
      <c r="AW50" s="234">
        <f>COUNTIF( AV$7:AV50, AV50 )</f>
        <v>2</v>
      </c>
      <c r="AX50" s="287">
        <f t="shared" si="22"/>
        <v>51.2</v>
      </c>
      <c r="AY50" s="234">
        <f t="shared" si="23"/>
        <v>52</v>
      </c>
      <c r="AZ50" s="236"/>
      <c r="BA50" s="236"/>
      <c r="BC50" s="234">
        <f t="shared" ca="1" si="24"/>
        <v>44</v>
      </c>
      <c r="BD50" s="288">
        <f t="shared" ca="1" si="7"/>
        <v>17</v>
      </c>
      <c r="BF50" s="240" t="str">
        <f t="shared" ca="1" si="25"/>
        <v>Empire District Electric Company</v>
      </c>
      <c r="BG50" s="240" t="str">
        <f t="shared" ca="1" si="9"/>
        <v>BBB-</v>
      </c>
      <c r="BH50" s="240">
        <f t="shared" ca="1" si="9"/>
        <v>17</v>
      </c>
      <c r="BI50" s="240" t="str">
        <f t="shared" ca="1" si="9"/>
        <v>EDE</v>
      </c>
    </row>
    <row r="51" spans="1:61" x14ac:dyDescent="0.2">
      <c r="A51" s="303" t="s">
        <v>51</v>
      </c>
      <c r="B51" s="304" t="s">
        <v>49</v>
      </c>
      <c r="C51" s="304">
        <v>17</v>
      </c>
      <c r="D51" s="304" t="s">
        <v>299</v>
      </c>
      <c r="E51" s="305" t="str">
        <f t="shared" ca="1" si="0"/>
        <v>MR</v>
      </c>
      <c r="F51" s="306"/>
      <c r="G51" s="307">
        <f t="shared" ca="1" si="1"/>
        <v>28</v>
      </c>
      <c r="H51" s="250"/>
      <c r="I51" s="250"/>
      <c r="J51" s="262"/>
      <c r="K51" s="262"/>
      <c r="L51" s="235"/>
      <c r="M51" s="257"/>
      <c r="N51" s="257"/>
      <c r="AF51" s="236">
        <f t="shared" si="2"/>
        <v>1</v>
      </c>
      <c r="AG51" s="236" t="str">
        <f t="shared" ca="1" si="3"/>
        <v/>
      </c>
      <c r="AH51" s="236" t="str">
        <f t="shared" ca="1" si="19"/>
        <v/>
      </c>
      <c r="AJ51" s="236">
        <f t="shared" ca="1" si="4"/>
        <v>52</v>
      </c>
      <c r="AK51" s="236" t="str">
        <f t="shared" ca="1" si="20"/>
        <v>BBB-</v>
      </c>
      <c r="AL51" s="236">
        <f t="shared" ca="1" si="20"/>
        <v>17</v>
      </c>
      <c r="AM51" s="236" t="str">
        <f t="shared" ca="1" si="5"/>
        <v/>
      </c>
      <c r="AQ51" s="286" t="s">
        <v>13</v>
      </c>
      <c r="AR51" s="286" t="s">
        <v>16</v>
      </c>
      <c r="AS51" s="286">
        <v>19</v>
      </c>
      <c r="AT51" s="286" t="s">
        <v>327</v>
      </c>
      <c r="AV51" s="234">
        <f t="shared" si="21"/>
        <v>10</v>
      </c>
      <c r="AW51" s="234">
        <f>COUNTIF( AV$7:AV51, AV51 )</f>
        <v>11</v>
      </c>
      <c r="AX51" s="287">
        <f t="shared" si="22"/>
        <v>11.1</v>
      </c>
      <c r="AY51" s="234">
        <f t="shared" si="23"/>
        <v>20</v>
      </c>
      <c r="AZ51" s="236"/>
      <c r="BA51" s="236"/>
      <c r="BC51" s="234">
        <f t="shared" ca="1" si="24"/>
        <v>45</v>
      </c>
      <c r="BD51" s="288">
        <f t="shared" ca="1" si="7"/>
        <v>21</v>
      </c>
      <c r="BF51" s="240" t="str">
        <f t="shared" ca="1" si="25"/>
        <v>FirstEnergy Corp.</v>
      </c>
      <c r="BG51" s="240" t="str">
        <f t="shared" ca="1" si="9"/>
        <v>BBB-</v>
      </c>
      <c r="BH51" s="240">
        <f t="shared" ca="1" si="9"/>
        <v>17</v>
      </c>
      <c r="BI51" s="240" t="str">
        <f t="shared" ca="1" si="9"/>
        <v>FE</v>
      </c>
    </row>
    <row r="52" spans="1:61" x14ac:dyDescent="0.2">
      <c r="A52" s="303" t="s">
        <v>39</v>
      </c>
      <c r="B52" s="304" t="s">
        <v>49</v>
      </c>
      <c r="C52" s="304">
        <v>17</v>
      </c>
      <c r="D52" s="304" t="s">
        <v>302</v>
      </c>
      <c r="E52" s="305" t="str">
        <f t="shared" ca="1" si="0"/>
        <v>D</v>
      </c>
      <c r="F52" s="306"/>
      <c r="G52" s="307">
        <f t="shared" ca="1" si="1"/>
        <v>30</v>
      </c>
      <c r="H52" s="250"/>
      <c r="I52" s="250"/>
      <c r="J52" s="262"/>
      <c r="K52" s="262"/>
      <c r="AF52" s="236">
        <f t="shared" si="2"/>
        <v>1</v>
      </c>
      <c r="AG52" s="236" t="str">
        <f t="shared" ca="1" si="3"/>
        <v/>
      </c>
      <c r="AH52" s="236" t="str">
        <f t="shared" ca="1" si="19"/>
        <v/>
      </c>
      <c r="AJ52" s="236">
        <f t="shared" ca="1" si="4"/>
        <v>53</v>
      </c>
      <c r="AK52" s="236" t="str">
        <f t="shared" ca="1" si="20"/>
        <v>BBB-</v>
      </c>
      <c r="AL52" s="236">
        <f t="shared" ca="1" si="20"/>
        <v>17</v>
      </c>
      <c r="AM52" s="236" t="str">
        <f t="shared" ca="1" si="5"/>
        <v/>
      </c>
      <c r="AQ52" s="286" t="s">
        <v>25</v>
      </c>
      <c r="AR52" s="286" t="s">
        <v>16</v>
      </c>
      <c r="AS52" s="286">
        <v>19</v>
      </c>
      <c r="AT52" s="286" t="s">
        <v>329</v>
      </c>
      <c r="AV52" s="234">
        <f t="shared" si="21"/>
        <v>10</v>
      </c>
      <c r="AW52" s="234">
        <f>COUNTIF( AV$7:AV52, AV52 )</f>
        <v>12</v>
      </c>
      <c r="AX52" s="287">
        <f t="shared" si="22"/>
        <v>11.2</v>
      </c>
      <c r="AY52" s="234">
        <f t="shared" si="23"/>
        <v>21</v>
      </c>
      <c r="AZ52" s="236"/>
      <c r="BA52" s="236"/>
      <c r="BC52" s="234">
        <f t="shared" ca="1" si="24"/>
        <v>46</v>
      </c>
      <c r="BD52" s="288">
        <f t="shared" ca="1" si="7"/>
        <v>23</v>
      </c>
      <c r="BF52" s="240" t="str">
        <f t="shared" ca="1" si="25"/>
        <v>Hawaiian Electric Industries, Inc.</v>
      </c>
      <c r="BG52" s="240" t="str">
        <f t="shared" ca="1" si="9"/>
        <v>BBB-</v>
      </c>
      <c r="BH52" s="240">
        <f t="shared" ca="1" si="9"/>
        <v>17</v>
      </c>
      <c r="BI52" s="240" t="str">
        <f t="shared" ca="1" si="9"/>
        <v>HE</v>
      </c>
    </row>
    <row r="53" spans="1:61" x14ac:dyDescent="0.2">
      <c r="A53" s="303" t="s">
        <v>58</v>
      </c>
      <c r="B53" s="304" t="s">
        <v>49</v>
      </c>
      <c r="C53" s="304">
        <v>17</v>
      </c>
      <c r="D53" s="304" t="s">
        <v>446</v>
      </c>
      <c r="E53" s="305" t="str">
        <f t="shared" ca="1" si="0"/>
        <v>R</v>
      </c>
      <c r="F53" s="306"/>
      <c r="G53" s="307">
        <f t="shared" ca="1" si="1"/>
        <v>66</v>
      </c>
      <c r="H53" s="250"/>
      <c r="I53" s="250"/>
      <c r="J53" s="262"/>
      <c r="K53" s="262"/>
      <c r="AF53" s="236">
        <f t="shared" si="2"/>
        <v>1</v>
      </c>
      <c r="AG53" s="236" t="str">
        <f t="shared" ca="1" si="3"/>
        <v/>
      </c>
      <c r="AH53" s="236" t="str">
        <f t="shared" ca="1" si="19"/>
        <v/>
      </c>
      <c r="AJ53" s="236">
        <f t="shared" ca="1" si="4"/>
        <v>54</v>
      </c>
      <c r="AK53" s="236" t="str">
        <f t="shared" ca="1" si="20"/>
        <v>BBB-</v>
      </c>
      <c r="AL53" s="236">
        <f t="shared" ca="1" si="20"/>
        <v>17</v>
      </c>
      <c r="AM53" s="236" t="str">
        <f t="shared" ca="1" si="5"/>
        <v/>
      </c>
      <c r="AQ53" s="286" t="s">
        <v>7</v>
      </c>
      <c r="AR53" s="286" t="s">
        <v>2</v>
      </c>
      <c r="AS53" s="286">
        <v>21</v>
      </c>
      <c r="AT53" s="286" t="s">
        <v>328</v>
      </c>
      <c r="AV53" s="234">
        <f t="shared" si="21"/>
        <v>1</v>
      </c>
      <c r="AW53" s="234">
        <f>COUNTIF( AV$7:AV53, AV53 )</f>
        <v>1</v>
      </c>
      <c r="AX53" s="287">
        <f t="shared" si="22"/>
        <v>1.1000000000000001</v>
      </c>
      <c r="AY53" s="234">
        <f t="shared" si="23"/>
        <v>1</v>
      </c>
      <c r="AZ53" s="236"/>
      <c r="BA53" s="236"/>
      <c r="BC53" s="234">
        <f t="shared" ca="1" si="24"/>
        <v>47</v>
      </c>
      <c r="BD53" s="288">
        <f t="shared" ca="1" si="7"/>
        <v>27</v>
      </c>
      <c r="BF53" s="240" t="str">
        <f t="shared" ca="1" si="25"/>
        <v>IPALCO Enterprises, Inc.</v>
      </c>
      <c r="BG53" s="240" t="str">
        <f t="shared" ca="1" si="9"/>
        <v>BBB-</v>
      </c>
      <c r="BH53" s="240">
        <f t="shared" ca="1" si="9"/>
        <v>17</v>
      </c>
      <c r="BI53" s="240" t="str">
        <f t="shared" ca="1" si="9"/>
        <v>**IPALCO</v>
      </c>
    </row>
    <row r="54" spans="1:61" x14ac:dyDescent="0.2">
      <c r="A54" s="303" t="s">
        <v>40</v>
      </c>
      <c r="B54" s="304" t="s">
        <v>49</v>
      </c>
      <c r="C54" s="304">
        <v>17</v>
      </c>
      <c r="D54" s="304" t="s">
        <v>311</v>
      </c>
      <c r="E54" s="305" t="str">
        <f t="shared" ca="1" si="0"/>
        <v>MR</v>
      </c>
      <c r="F54" s="306"/>
      <c r="G54" s="307">
        <f t="shared" ca="1" si="1"/>
        <v>36</v>
      </c>
      <c r="H54" s="250"/>
      <c r="I54" s="250"/>
      <c r="J54" s="262"/>
      <c r="K54" s="262"/>
      <c r="AF54" s="236">
        <f t="shared" si="2"/>
        <v>1</v>
      </c>
      <c r="AG54" s="236" t="str">
        <f t="shared" ca="1" si="3"/>
        <v/>
      </c>
      <c r="AH54" s="236" t="str">
        <f t="shared" ca="1" si="19"/>
        <v/>
      </c>
      <c r="AJ54" s="236">
        <f t="shared" ca="1" si="4"/>
        <v>55</v>
      </c>
      <c r="AK54" s="236" t="str">
        <f t="shared" ca="1" si="20"/>
        <v>BBB-</v>
      </c>
      <c r="AL54" s="236">
        <f t="shared" ca="1" si="20"/>
        <v>17</v>
      </c>
      <c r="AM54" s="236" t="str">
        <f t="shared" ca="1" si="5"/>
        <v/>
      </c>
      <c r="AQ54" s="286" t="s">
        <v>62</v>
      </c>
      <c r="AR54" s="286" t="s">
        <v>16</v>
      </c>
      <c r="AS54" s="286">
        <v>19</v>
      </c>
      <c r="AT54" s="289" t="s">
        <v>330</v>
      </c>
      <c r="AV54" s="234">
        <f t="shared" si="21"/>
        <v>10</v>
      </c>
      <c r="AW54" s="234">
        <f>COUNTIF( AV$7:AV54, AV54 )</f>
        <v>13</v>
      </c>
      <c r="AX54" s="287">
        <f t="shared" si="22"/>
        <v>11.3</v>
      </c>
      <c r="AY54" s="234">
        <f t="shared" si="23"/>
        <v>22</v>
      </c>
      <c r="AZ54" s="236"/>
      <c r="BA54" s="236"/>
      <c r="BC54" s="234">
        <f t="shared" ca="1" si="24"/>
        <v>48</v>
      </c>
      <c r="BD54" s="288">
        <f t="shared" ca="1" si="7"/>
        <v>31</v>
      </c>
      <c r="BF54" s="240" t="str">
        <f t="shared" ca="1" si="25"/>
        <v>NiSource Inc.</v>
      </c>
      <c r="BG54" s="240" t="str">
        <f t="shared" ca="1" si="9"/>
        <v>BBB-</v>
      </c>
      <c r="BH54" s="240">
        <f t="shared" ca="1" si="9"/>
        <v>17</v>
      </c>
      <c r="BI54" s="240" t="str">
        <f t="shared" ca="1" si="9"/>
        <v>NI</v>
      </c>
    </row>
    <row r="55" spans="1:61" x14ac:dyDescent="0.2">
      <c r="A55" s="303" t="s">
        <v>22</v>
      </c>
      <c r="B55" s="304" t="s">
        <v>49</v>
      </c>
      <c r="C55" s="304">
        <v>17</v>
      </c>
      <c r="D55" s="304" t="s">
        <v>317</v>
      </c>
      <c r="E55" s="305" t="str">
        <f t="shared" ca="1" si="0"/>
        <v>MR</v>
      </c>
      <c r="F55" s="306"/>
      <c r="G55" s="307">
        <f t="shared" ca="1" si="1"/>
        <v>42</v>
      </c>
      <c r="H55" s="250"/>
      <c r="I55" s="250"/>
      <c r="J55" s="262"/>
      <c r="K55" s="262"/>
      <c r="AF55" s="236">
        <f t="shared" si="2"/>
        <v>1</v>
      </c>
      <c r="AG55" s="236" t="str">
        <f t="shared" ca="1" si="3"/>
        <v/>
      </c>
      <c r="AH55" s="236" t="str">
        <f t="shared" ca="1" si="19"/>
        <v/>
      </c>
      <c r="AJ55" s="236">
        <f t="shared" ca="1" si="4"/>
        <v>56</v>
      </c>
      <c r="AK55" s="236" t="str">
        <f t="shared" ca="1" si="20"/>
        <v>BBB-</v>
      </c>
      <c r="AL55" s="236">
        <f t="shared" ca="1" si="20"/>
        <v>17</v>
      </c>
      <c r="AM55" s="236" t="str">
        <f t="shared" ca="1" si="5"/>
        <v/>
      </c>
      <c r="AQ55" s="286" t="s">
        <v>75</v>
      </c>
      <c r="AR55" s="286" t="s">
        <v>28</v>
      </c>
      <c r="AS55" s="286">
        <v>18</v>
      </c>
      <c r="AT55" s="286" t="s">
        <v>332</v>
      </c>
      <c r="AV55" s="234">
        <f t="shared" si="21"/>
        <v>23</v>
      </c>
      <c r="AW55" s="234">
        <f>COUNTIF( AV$7:AV55, AV55 )</f>
        <v>15</v>
      </c>
      <c r="AX55" s="287">
        <f t="shared" si="22"/>
        <v>24.5</v>
      </c>
      <c r="AY55" s="234">
        <f t="shared" si="23"/>
        <v>37</v>
      </c>
      <c r="AZ55" s="236"/>
      <c r="BA55" s="236"/>
      <c r="BC55" s="234">
        <f t="shared" ca="1" si="24"/>
        <v>49</v>
      </c>
      <c r="BD55" s="288">
        <f t="shared" ca="1" si="7"/>
        <v>36</v>
      </c>
      <c r="BF55" s="240" t="str">
        <f t="shared" ca="1" si="25"/>
        <v>Otter Tail Corporation</v>
      </c>
      <c r="BG55" s="240" t="str">
        <f t="shared" ca="1" si="9"/>
        <v>BBB-</v>
      </c>
      <c r="BH55" s="240">
        <f t="shared" ca="1" si="9"/>
        <v>17</v>
      </c>
      <c r="BI55" s="240" t="str">
        <f t="shared" ca="1" si="9"/>
        <v>OTTR</v>
      </c>
    </row>
    <row r="56" spans="1:61" x14ac:dyDescent="0.2">
      <c r="A56" s="303" t="s">
        <v>42</v>
      </c>
      <c r="B56" s="304" t="s">
        <v>49</v>
      </c>
      <c r="C56" s="304">
        <v>17</v>
      </c>
      <c r="D56" s="304" t="s">
        <v>321</v>
      </c>
      <c r="E56" s="305" t="str">
        <f t="shared" ca="1" si="0"/>
        <v>R</v>
      </c>
      <c r="F56" s="306"/>
      <c r="G56" s="307">
        <f t="shared" ca="1" si="1"/>
        <v>46</v>
      </c>
      <c r="H56" s="250"/>
      <c r="I56" s="250"/>
      <c r="J56" s="262"/>
      <c r="K56" s="262"/>
      <c r="AF56" s="236">
        <f t="shared" si="2"/>
        <v>1</v>
      </c>
      <c r="AG56" s="236" t="str">
        <f t="shared" ca="1" si="3"/>
        <v/>
      </c>
      <c r="AH56" s="236" t="str">
        <f t="shared" ca="1" si="19"/>
        <v/>
      </c>
      <c r="AJ56" s="236">
        <f t="shared" ca="1" si="4"/>
        <v>57</v>
      </c>
      <c r="AK56" s="236" t="str">
        <f t="shared" ca="1" si="20"/>
        <v>BBB-</v>
      </c>
      <c r="AL56" s="236">
        <f t="shared" ca="1" si="20"/>
        <v>17</v>
      </c>
      <c r="AM56" s="236" t="str">
        <f t="shared" ca="1" si="5"/>
        <v/>
      </c>
      <c r="AQ56" s="286" t="s">
        <v>14</v>
      </c>
      <c r="AR56" s="286" t="s">
        <v>10</v>
      </c>
      <c r="AS56" s="286">
        <v>20</v>
      </c>
      <c r="AT56" s="286" t="s">
        <v>335</v>
      </c>
      <c r="AV56" s="234">
        <f t="shared" si="21"/>
        <v>2</v>
      </c>
      <c r="AW56" s="234">
        <f>COUNTIF( AV$7:AV56, AV56 )</f>
        <v>6</v>
      </c>
      <c r="AX56" s="287">
        <f t="shared" si="22"/>
        <v>2.6</v>
      </c>
      <c r="AY56" s="234">
        <f t="shared" si="23"/>
        <v>7</v>
      </c>
      <c r="AZ56" s="236"/>
      <c r="BA56" s="236"/>
      <c r="BC56" s="234">
        <f t="shared" ca="1" si="24"/>
        <v>50</v>
      </c>
      <c r="BD56" s="288">
        <f t="shared" ca="1" si="7"/>
        <v>40</v>
      </c>
      <c r="BF56" s="240" t="str">
        <f t="shared" ca="1" si="25"/>
        <v>PNM Resources, Inc.</v>
      </c>
      <c r="BG56" s="240" t="str">
        <f t="shared" ca="1" si="9"/>
        <v>BBB-</v>
      </c>
      <c r="BH56" s="240">
        <f t="shared" ca="1" si="9"/>
        <v>17</v>
      </c>
      <c r="BI56" s="240" t="str">
        <f t="shared" ca="1" si="9"/>
        <v>PNM</v>
      </c>
    </row>
    <row r="57" spans="1:61" x14ac:dyDescent="0.2">
      <c r="A57" s="303" t="s">
        <v>266</v>
      </c>
      <c r="B57" s="304" t="s">
        <v>56</v>
      </c>
      <c r="C57" s="304">
        <v>16</v>
      </c>
      <c r="D57" s="304" t="s">
        <v>314</v>
      </c>
      <c r="E57" s="305" t="str">
        <f t="shared" ca="1" si="0"/>
        <v>R</v>
      </c>
      <c r="F57" s="306"/>
      <c r="G57" s="307">
        <f t="shared" ca="1" si="1"/>
        <v>40</v>
      </c>
      <c r="H57" s="250"/>
      <c r="I57" s="250"/>
      <c r="J57" s="262"/>
      <c r="K57" s="262"/>
      <c r="AF57" s="236">
        <f t="shared" si="2"/>
        <v>0</v>
      </c>
      <c r="AG57" s="236" t="str">
        <f t="shared" ca="1" si="3"/>
        <v/>
      </c>
      <c r="AH57" s="236" t="str">
        <f t="shared" ca="1" si="19"/>
        <v/>
      </c>
      <c r="AJ57" s="236">
        <f t="shared" ca="1" si="4"/>
        <v>58</v>
      </c>
      <c r="AK57" s="236" t="str">
        <f t="shared" ca="1" si="20"/>
        <v>BB+</v>
      </c>
      <c r="AL57" s="236">
        <f t="shared" ca="1" si="20"/>
        <v>16</v>
      </c>
      <c r="AM57" s="236" t="str">
        <f t="shared" ca="1" si="5"/>
        <v/>
      </c>
      <c r="AQ57" s="286" t="s">
        <v>59</v>
      </c>
      <c r="AR57" s="286" t="s">
        <v>28</v>
      </c>
      <c r="AS57" s="286">
        <v>18</v>
      </c>
      <c r="AT57" s="286" t="s">
        <v>337</v>
      </c>
      <c r="AV57" s="234">
        <f t="shared" si="21"/>
        <v>23</v>
      </c>
      <c r="AW57" s="234">
        <f>COUNTIF( AV$7:AV57, AV57 )</f>
        <v>16</v>
      </c>
      <c r="AX57" s="287">
        <f t="shared" si="22"/>
        <v>24.6</v>
      </c>
      <c r="AY57" s="234">
        <f t="shared" si="23"/>
        <v>38</v>
      </c>
      <c r="AZ57" s="236"/>
      <c r="BA57" s="236"/>
      <c r="BC57" s="234">
        <f t="shared" ca="1" si="24"/>
        <v>51</v>
      </c>
      <c r="BD57" s="288">
        <f t="shared" ca="1" si="7"/>
        <v>34</v>
      </c>
      <c r="BF57" s="240" t="str">
        <f t="shared" ca="1" si="25"/>
        <v>NV Energy, Inc.</v>
      </c>
      <c r="BG57" s="240" t="str">
        <f t="shared" ca="1" si="9"/>
        <v>BB+</v>
      </c>
      <c r="BH57" s="240">
        <f t="shared" ca="1" si="9"/>
        <v>16</v>
      </c>
      <c r="BI57" s="240" t="str">
        <f t="shared" ca="1" si="9"/>
        <v>NVE</v>
      </c>
    </row>
    <row r="58" spans="1:61" x14ac:dyDescent="0.2">
      <c r="A58" s="303" t="s">
        <v>54</v>
      </c>
      <c r="B58" s="304" t="s">
        <v>56</v>
      </c>
      <c r="C58" s="304">
        <v>16</v>
      </c>
      <c r="D58" s="304" t="s">
        <v>449</v>
      </c>
      <c r="E58" s="305" t="str">
        <f t="shared" ca="1" si="0"/>
        <v>R</v>
      </c>
      <c r="F58" s="306"/>
      <c r="G58" s="307">
        <f t="shared" ca="1" si="1"/>
        <v>68</v>
      </c>
      <c r="H58" s="250"/>
      <c r="I58" s="250"/>
      <c r="J58" s="262"/>
      <c r="K58" s="262"/>
      <c r="AF58" s="236">
        <f t="shared" si="2"/>
        <v>0</v>
      </c>
      <c r="AG58" s="236" t="str">
        <f t="shared" ca="1" si="3"/>
        <v/>
      </c>
      <c r="AH58" s="236" t="str">
        <f t="shared" ca="1" si="19"/>
        <v/>
      </c>
      <c r="AJ58" s="236">
        <f t="shared" ca="1" si="4"/>
        <v>59</v>
      </c>
      <c r="AK58" s="236" t="str">
        <f t="shared" ca="1" si="20"/>
        <v>BB+</v>
      </c>
      <c r="AL58" s="236">
        <f t="shared" ca="1" si="20"/>
        <v>16</v>
      </c>
      <c r="AM58" s="236" t="str">
        <f t="shared" ca="1" si="5"/>
        <v/>
      </c>
      <c r="AQ58" s="286" t="s">
        <v>26</v>
      </c>
      <c r="AR58" s="286" t="s">
        <v>10</v>
      </c>
      <c r="AS58" s="286">
        <v>20</v>
      </c>
      <c r="AT58" s="286" t="s">
        <v>336</v>
      </c>
      <c r="AV58" s="234">
        <f t="shared" si="21"/>
        <v>2</v>
      </c>
      <c r="AW58" s="234">
        <f>COUNTIF( AV$7:AV58, AV58 )</f>
        <v>7</v>
      </c>
      <c r="AX58" s="287">
        <f t="shared" si="22"/>
        <v>2.7</v>
      </c>
      <c r="AY58" s="234">
        <f t="shared" si="23"/>
        <v>8</v>
      </c>
      <c r="AZ58" s="236"/>
      <c r="BA58" s="236"/>
      <c r="BC58" s="234">
        <f t="shared" ca="1" si="24"/>
        <v>52</v>
      </c>
      <c r="BD58" s="288">
        <f t="shared" ca="1" si="7"/>
        <v>44</v>
      </c>
      <c r="BF58" s="240" t="str">
        <f t="shared" ca="1" si="25"/>
        <v>Puget Energy, Inc.</v>
      </c>
      <c r="BG58" s="240" t="str">
        <f t="shared" ca="1" si="9"/>
        <v>BB+</v>
      </c>
      <c r="BH58" s="240">
        <f t="shared" ca="1" si="9"/>
        <v>16</v>
      </c>
      <c r="BI58" s="240" t="str">
        <f t="shared" ca="1" si="9"/>
        <v>**PSD</v>
      </c>
    </row>
    <row r="59" spans="1:61" x14ac:dyDescent="0.2">
      <c r="A59" s="303" t="s">
        <v>249</v>
      </c>
      <c r="B59" s="304" t="s">
        <v>125</v>
      </c>
      <c r="C59" s="304">
        <v>9</v>
      </c>
      <c r="D59" s="304" t="s">
        <v>445</v>
      </c>
      <c r="E59" s="305" t="str">
        <f t="shared" ca="1" si="0"/>
        <v>D</v>
      </c>
      <c r="F59" s="306"/>
      <c r="G59" s="307">
        <f t="shared" ca="1" si="1"/>
        <v>65</v>
      </c>
      <c r="H59" s="250"/>
      <c r="I59" s="250"/>
      <c r="J59" s="262"/>
      <c r="K59" s="262"/>
      <c r="AF59" s="236">
        <f t="shared" si="2"/>
        <v>1</v>
      </c>
      <c r="AG59" s="236" t="str">
        <f t="shared" ca="1" si="3"/>
        <v/>
      </c>
      <c r="AH59" s="236" t="str">
        <f t="shared" ca="1" si="19"/>
        <v/>
      </c>
      <c r="AJ59" s="236">
        <f t="shared" ca="1" si="4"/>
        <v>60</v>
      </c>
      <c r="AK59" s="236" t="str">
        <f t="shared" ca="1" si="20"/>
        <v>CCC</v>
      </c>
      <c r="AL59" s="236">
        <f t="shared" ca="1" si="20"/>
        <v>9</v>
      </c>
      <c r="AM59" s="236" t="str">
        <f t="shared" ca="1" si="5"/>
        <v/>
      </c>
      <c r="AQ59" s="286" t="s">
        <v>258</v>
      </c>
      <c r="AR59" s="286" t="s">
        <v>10</v>
      </c>
      <c r="AS59" s="286">
        <v>20</v>
      </c>
      <c r="AT59" s="286" t="s">
        <v>338</v>
      </c>
      <c r="AV59" s="234">
        <f t="shared" si="21"/>
        <v>2</v>
      </c>
      <c r="AW59" s="234">
        <f>COUNTIF( AV$7:AV59, AV59 )</f>
        <v>8</v>
      </c>
      <c r="AX59" s="287">
        <f t="shared" si="22"/>
        <v>2.8</v>
      </c>
      <c r="AY59" s="234">
        <f t="shared" si="23"/>
        <v>9</v>
      </c>
      <c r="AZ59" s="236"/>
      <c r="BA59" s="236"/>
      <c r="BC59" s="234">
        <f t="shared" ca="1" si="24"/>
        <v>53</v>
      </c>
      <c r="BD59" s="288">
        <f t="shared" ca="1" si="7"/>
        <v>18</v>
      </c>
      <c r="BF59" s="240" t="str">
        <f t="shared" ca="1" si="25"/>
        <v>Energy Future Holdings Corp.</v>
      </c>
      <c r="BG59" s="240" t="str">
        <f t="shared" ca="1" si="9"/>
        <v>CCC</v>
      </c>
      <c r="BH59" s="240">
        <f t="shared" ca="1" si="9"/>
        <v>9</v>
      </c>
      <c r="BI59" s="240" t="str">
        <f t="shared" ca="1" si="9"/>
        <v>**EFH</v>
      </c>
    </row>
    <row r="60" spans="1:61" x14ac:dyDescent="0.2">
      <c r="A60" s="247"/>
      <c r="B60" s="248"/>
      <c r="C60" s="248"/>
      <c r="D60" s="248"/>
      <c r="E60" s="249"/>
      <c r="F60" s="250"/>
      <c r="G60" s="251" t="str">
        <f t="shared" ca="1" si="1"/>
        <v/>
      </c>
      <c r="H60" s="250"/>
      <c r="I60" s="250"/>
      <c r="AF60" s="236">
        <f t="shared" si="2"/>
        <v>0</v>
      </c>
      <c r="AG60" s="236" t="str">
        <f t="shared" si="3"/>
        <v/>
      </c>
      <c r="AH60" s="236" t="str">
        <f t="shared" si="19"/>
        <v/>
      </c>
      <c r="AJ60" s="236" t="e">
        <f t="shared" ca="1" si="4"/>
        <v>#N/A</v>
      </c>
      <c r="AK60" s="236" t="str">
        <f t="shared" ca="1" si="20"/>
        <v/>
      </c>
      <c r="AL60" s="236" t="str">
        <f t="shared" ca="1" si="20"/>
        <v/>
      </c>
      <c r="AM60" s="236" t="str">
        <f t="shared" ca="1" si="5"/>
        <v/>
      </c>
      <c r="AQ60" s="286"/>
      <c r="AR60" s="286"/>
      <c r="AS60" s="286"/>
      <c r="AT60" s="286"/>
      <c r="AV60" s="234">
        <f t="shared" si="21"/>
        <v>99</v>
      </c>
      <c r="AW60" s="234">
        <f>COUNTIF( AV$7:AV60, AV60 )</f>
        <v>1</v>
      </c>
      <c r="AX60" s="287">
        <f t="shared" si="22"/>
        <v>99.1</v>
      </c>
      <c r="AY60" s="234">
        <f t="shared" si="23"/>
        <v>54</v>
      </c>
      <c r="AZ60" s="236"/>
      <c r="BA60" s="236"/>
      <c r="BC60" s="234">
        <f t="shared" ca="1" si="24"/>
        <v>54</v>
      </c>
      <c r="BD60" s="288">
        <f t="shared" ca="1" si="7"/>
        <v>54</v>
      </c>
      <c r="BF60" s="240">
        <f t="shared" ca="1" si="25"/>
        <v>0</v>
      </c>
      <c r="BG60" s="240">
        <f t="shared" ca="1" si="9"/>
        <v>0</v>
      </c>
      <c r="BH60" s="240">
        <f t="shared" ca="1" si="9"/>
        <v>0</v>
      </c>
      <c r="BI60" s="240">
        <f t="shared" ca="1" si="9"/>
        <v>0</v>
      </c>
    </row>
    <row r="61" spans="1:61" ht="13.5" thickBot="1" x14ac:dyDescent="0.25">
      <c r="A61" s="265"/>
      <c r="B61" s="266"/>
      <c r="C61" s="266"/>
      <c r="D61" s="266"/>
      <c r="E61" s="267"/>
      <c r="F61" s="250"/>
      <c r="G61" s="251" t="str">
        <f t="shared" ca="1" si="1"/>
        <v/>
      </c>
      <c r="H61" s="250"/>
      <c r="I61" s="250"/>
      <c r="AF61" s="236">
        <f t="shared" si="2"/>
        <v>0</v>
      </c>
      <c r="AG61" s="236" t="str">
        <f t="shared" si="3"/>
        <v/>
      </c>
      <c r="AH61" s="236" t="str">
        <f t="shared" si="19"/>
        <v/>
      </c>
      <c r="AJ61" s="236" t="e">
        <f t="shared" ca="1" si="4"/>
        <v>#N/A</v>
      </c>
      <c r="AK61" s="236" t="str">
        <f t="shared" ca="1" si="20"/>
        <v/>
      </c>
      <c r="AL61" s="236" t="str">
        <f t="shared" ca="1" si="20"/>
        <v/>
      </c>
      <c r="AM61" s="236" t="str">
        <f t="shared" ca="1" si="5"/>
        <v/>
      </c>
      <c r="AQ61" s="286"/>
      <c r="AR61" s="286"/>
      <c r="AS61" s="286"/>
      <c r="AT61" s="286"/>
      <c r="AV61" s="234">
        <f t="shared" si="21"/>
        <v>99</v>
      </c>
      <c r="AW61" s="234">
        <f>COUNTIF( AV$7:AV61, AV61 )</f>
        <v>2</v>
      </c>
      <c r="AX61" s="287">
        <f t="shared" si="22"/>
        <v>99.2</v>
      </c>
      <c r="AY61" s="234">
        <f t="shared" si="23"/>
        <v>55</v>
      </c>
      <c r="AZ61" s="236"/>
      <c r="BA61" s="236"/>
      <c r="BC61" s="234">
        <f t="shared" ca="1" si="24"/>
        <v>55</v>
      </c>
      <c r="BD61" s="288">
        <f t="shared" ca="1" si="7"/>
        <v>55</v>
      </c>
      <c r="BF61" s="240">
        <f t="shared" ca="1" si="25"/>
        <v>0</v>
      </c>
      <c r="BG61" s="240">
        <f t="shared" ca="1" si="9"/>
        <v>0</v>
      </c>
      <c r="BH61" s="240">
        <f t="shared" ca="1" si="9"/>
        <v>0</v>
      </c>
      <c r="BI61" s="240">
        <f t="shared" ca="1" si="9"/>
        <v>0</v>
      </c>
    </row>
    <row r="62" spans="1:61" x14ac:dyDescent="0.2">
      <c r="A62" s="308" t="s">
        <v>474</v>
      </c>
      <c r="B62" s="309" t="s">
        <v>108</v>
      </c>
      <c r="C62" s="309">
        <v>23</v>
      </c>
      <c r="D62" s="309" t="s">
        <v>440</v>
      </c>
      <c r="E62" s="310" t="str">
        <f ca="1">OFFSET( INDIRECT( E$3 &amp; E$4 ), $G62 - 1, 0 )</f>
        <v>MR</v>
      </c>
      <c r="F62" s="311"/>
      <c r="G62" s="312">
        <f t="shared" ca="1" si="1"/>
        <v>34</v>
      </c>
      <c r="H62" s="250"/>
      <c r="I62" s="250"/>
      <c r="AF62" s="236">
        <f t="shared" si="2"/>
        <v>1</v>
      </c>
      <c r="AG62" s="236" t="str">
        <f t="shared" ca="1" si="3"/>
        <v/>
      </c>
      <c r="AH62" s="236" t="str">
        <f t="shared" ca="1" si="19"/>
        <v/>
      </c>
      <c r="AJ62" s="236">
        <f t="shared" ca="1" si="4"/>
        <v>62</v>
      </c>
      <c r="AK62" s="236" t="str">
        <f t="shared" ca="1" si="20"/>
        <v>AA-</v>
      </c>
      <c r="AL62" s="236">
        <f t="shared" ca="1" si="20"/>
        <v>23</v>
      </c>
      <c r="AM62" s="236" t="str">
        <f t="shared" ca="1" si="5"/>
        <v/>
      </c>
      <c r="AQ62" s="286"/>
      <c r="AR62" s="286"/>
      <c r="AS62" s="286"/>
      <c r="AT62" s="286"/>
      <c r="AV62" s="234">
        <f t="shared" si="21"/>
        <v>99</v>
      </c>
      <c r="AW62" s="234">
        <f>COUNTIF( AV$7:AV62, AV62 )</f>
        <v>3</v>
      </c>
      <c r="AX62" s="287">
        <f t="shared" si="22"/>
        <v>99.3</v>
      </c>
      <c r="AY62" s="234">
        <f t="shared" si="23"/>
        <v>56</v>
      </c>
      <c r="AZ62" s="236"/>
      <c r="BA62" s="236"/>
      <c r="BC62" s="234">
        <f t="shared" ca="1" si="24"/>
        <v>56</v>
      </c>
      <c r="BD62" s="288">
        <f t="shared" ca="1" si="7"/>
        <v>56</v>
      </c>
      <c r="BF62" s="240">
        <f t="shared" ca="1" si="25"/>
        <v>0</v>
      </c>
      <c r="BG62" s="240">
        <f t="shared" ca="1" si="9"/>
        <v>0</v>
      </c>
      <c r="BH62" s="240">
        <f t="shared" ca="1" si="9"/>
        <v>0</v>
      </c>
      <c r="BI62" s="240">
        <f t="shared" ca="1" si="9"/>
        <v>0</v>
      </c>
    </row>
    <row r="63" spans="1:61" x14ac:dyDescent="0.2">
      <c r="A63" s="303" t="s">
        <v>475</v>
      </c>
      <c r="B63" s="304" t="s">
        <v>2</v>
      </c>
      <c r="C63" s="304">
        <v>21</v>
      </c>
      <c r="D63" s="304" t="s">
        <v>441</v>
      </c>
      <c r="E63" s="305" t="str">
        <f ca="1">OFFSET( INDIRECT( E$3 &amp; E$4 ), $G63 - 1, 0 )</f>
        <v>R</v>
      </c>
      <c r="F63" s="306"/>
      <c r="G63" s="307">
        <f t="shared" ca="1" si="1"/>
        <v>15</v>
      </c>
      <c r="H63" s="250"/>
      <c r="I63" s="250"/>
      <c r="AF63" s="236">
        <f t="shared" si="2"/>
        <v>0</v>
      </c>
      <c r="AG63" s="236" t="str">
        <f t="shared" ca="1" si="3"/>
        <v/>
      </c>
      <c r="AH63" s="236" t="str">
        <f t="shared" ca="1" si="19"/>
        <v/>
      </c>
      <c r="AJ63" s="236">
        <f t="shared" ca="1" si="4"/>
        <v>63</v>
      </c>
      <c r="AK63" s="236" t="str">
        <f t="shared" ca="1" si="20"/>
        <v>A</v>
      </c>
      <c r="AL63" s="236">
        <f t="shared" ca="1" si="20"/>
        <v>21</v>
      </c>
      <c r="AM63" s="236" t="str">
        <f t="shared" ca="1" si="5"/>
        <v/>
      </c>
      <c r="AQ63" s="286"/>
      <c r="AR63" s="286"/>
      <c r="AS63" s="286"/>
      <c r="AT63" s="286"/>
      <c r="AU63" s="286"/>
      <c r="AV63" s="234">
        <f t="shared" si="21"/>
        <v>99</v>
      </c>
      <c r="AW63" s="234">
        <f>COUNTIF( AV$7:AV63, AV63 )</f>
        <v>4</v>
      </c>
      <c r="AX63" s="287">
        <f t="shared" si="22"/>
        <v>99.4</v>
      </c>
      <c r="AY63" s="234">
        <f t="shared" si="23"/>
        <v>57</v>
      </c>
      <c r="AZ63" s="236"/>
      <c r="BA63" s="236"/>
      <c r="BC63" s="234">
        <f t="shared" ca="1" si="24"/>
        <v>57</v>
      </c>
      <c r="BD63" s="288">
        <f ca="1">MATCH( BC63, $AY$7:$AY$63, 0 )</f>
        <v>57</v>
      </c>
      <c r="BF63" s="240">
        <f t="shared" ca="1" si="25"/>
        <v>0</v>
      </c>
      <c r="BG63" s="240">
        <f t="shared" ref="BG63:BI63" ca="1" si="26">OFFSET( AR$6, $BD63, 0 )</f>
        <v>0</v>
      </c>
      <c r="BH63" s="240">
        <f t="shared" ca="1" si="26"/>
        <v>0</v>
      </c>
      <c r="BI63" s="240">
        <f t="shared" ca="1" si="26"/>
        <v>0</v>
      </c>
    </row>
    <row r="64" spans="1:61" x14ac:dyDescent="0.2">
      <c r="A64" s="303" t="s">
        <v>476</v>
      </c>
      <c r="B64" s="304" t="s">
        <v>56</v>
      </c>
      <c r="C64" s="304">
        <v>16</v>
      </c>
      <c r="D64" s="304" t="s">
        <v>442</v>
      </c>
      <c r="E64" s="305" t="str">
        <f ca="1">OFFSET( INDIRECT( E$3 &amp; E$4 ), $G64 - 1, 0 )</f>
        <v>R</v>
      </c>
      <c r="F64" s="306"/>
      <c r="G64" s="307">
        <f t="shared" ca="1" si="1"/>
        <v>57</v>
      </c>
      <c r="H64" s="250"/>
      <c r="I64" s="250"/>
      <c r="AF64" s="236">
        <f t="shared" si="2"/>
        <v>1</v>
      </c>
      <c r="AG64" s="236" t="str">
        <f t="shared" ca="1" si="3"/>
        <v/>
      </c>
      <c r="AH64" s="236" t="str">
        <f t="shared" ca="1" si="19"/>
        <v/>
      </c>
      <c r="AJ64" s="236">
        <f t="shared" ca="1" si="4"/>
        <v>64</v>
      </c>
      <c r="AK64" s="236" t="str">
        <f t="shared" ca="1" si="20"/>
        <v>BB+</v>
      </c>
      <c r="AL64" s="236">
        <f t="shared" ca="1" si="20"/>
        <v>16</v>
      </c>
      <c r="AM64" s="236" t="str">
        <f t="shared" ca="1" si="5"/>
        <v/>
      </c>
      <c r="AQ64" s="286" t="s">
        <v>474</v>
      </c>
      <c r="AR64" s="286" t="s">
        <v>108</v>
      </c>
      <c r="AS64" s="286">
        <v>23</v>
      </c>
      <c r="AT64" s="286" t="s">
        <v>440</v>
      </c>
      <c r="AU64" s="286"/>
      <c r="AZ64" s="236"/>
      <c r="BA64" s="236"/>
      <c r="BF64" s="236"/>
    </row>
    <row r="65" spans="1:58" x14ac:dyDescent="0.2">
      <c r="A65" s="303" t="s">
        <v>477</v>
      </c>
      <c r="B65" s="313"/>
      <c r="C65" s="304"/>
      <c r="D65" s="304" t="s">
        <v>448</v>
      </c>
      <c r="E65" s="305" t="str">
        <f ca="1">OFFSET( INDIRECT( E$3 &amp; E$4 ), $G65 - 1, 0 )</f>
        <v>R</v>
      </c>
      <c r="F65" s="306"/>
      <c r="G65" s="307">
        <f t="shared" ca="1" si="1"/>
        <v>56</v>
      </c>
      <c r="H65" s="250"/>
      <c r="I65" s="250"/>
      <c r="N65" s="234" t="s">
        <v>73</v>
      </c>
      <c r="AF65" s="236">
        <f t="shared" si="2"/>
        <v>0</v>
      </c>
      <c r="AG65" s="236" t="str">
        <f>IF( LEN( $C65 ) = 0, "", IF( $C65 &gt; $AL65, 1, "" ) )</f>
        <v/>
      </c>
      <c r="AH65" s="236" t="str">
        <f t="shared" si="19"/>
        <v/>
      </c>
      <c r="AJ65" s="236">
        <f t="shared" ca="1" si="4"/>
        <v>65</v>
      </c>
      <c r="AK65" s="236">
        <f t="shared" ca="1" si="20"/>
        <v>0</v>
      </c>
      <c r="AL65" s="236">
        <f t="shared" ca="1" si="20"/>
        <v>0</v>
      </c>
      <c r="AM65" s="236" t="str">
        <f t="shared" ca="1" si="5"/>
        <v/>
      </c>
      <c r="AQ65" s="286" t="s">
        <v>475</v>
      </c>
      <c r="AR65" s="286" t="s">
        <v>2</v>
      </c>
      <c r="AS65" s="286">
        <v>21</v>
      </c>
      <c r="AT65" s="286" t="s">
        <v>441</v>
      </c>
      <c r="AU65" s="286"/>
      <c r="AZ65" s="236"/>
      <c r="BA65" s="236"/>
      <c r="BF65" s="236"/>
    </row>
    <row r="66" spans="1:58" x14ac:dyDescent="0.2">
      <c r="A66" s="268"/>
      <c r="B66" s="269"/>
      <c r="C66" s="270"/>
      <c r="D66" s="270"/>
      <c r="E66" s="249"/>
      <c r="F66" s="250"/>
      <c r="H66" s="250"/>
      <c r="I66" s="250"/>
      <c r="AF66" s="236">
        <f t="shared" si="2"/>
        <v>0</v>
      </c>
      <c r="AG66" s="236" t="str">
        <f t="shared" ref="AG66:AG67" si="27">IF( LEN( $C66 ) = 0, "", IF( $C66 &gt; $AL66, 1, "" ) )</f>
        <v/>
      </c>
      <c r="AH66" s="236" t="str">
        <f t="shared" si="19"/>
        <v/>
      </c>
      <c r="AJ66" s="236" t="e">
        <f t="shared" ca="1" si="4"/>
        <v>#N/A</v>
      </c>
      <c r="AK66" s="236" t="str">
        <f t="shared" ca="1" si="20"/>
        <v/>
      </c>
      <c r="AL66" s="236" t="str">
        <f t="shared" ca="1" si="20"/>
        <v/>
      </c>
      <c r="AM66" s="236" t="str">
        <f t="shared" ca="1" si="5"/>
        <v/>
      </c>
      <c r="AQ66" s="286" t="s">
        <v>476</v>
      </c>
      <c r="AR66" s="286" t="s">
        <v>56</v>
      </c>
      <c r="AS66" s="286">
        <v>16</v>
      </c>
      <c r="AT66" s="286" t="s">
        <v>442</v>
      </c>
      <c r="AU66" s="286"/>
      <c r="AX66" s="287"/>
      <c r="AZ66" s="236"/>
      <c r="BA66" s="236"/>
      <c r="BD66" s="288"/>
      <c r="BF66" s="236"/>
    </row>
    <row r="67" spans="1:58" ht="13.5" thickBot="1" x14ac:dyDescent="0.25">
      <c r="A67" s="271"/>
      <c r="B67" s="272"/>
      <c r="C67" s="337"/>
      <c r="D67" s="272"/>
      <c r="E67" s="273"/>
      <c r="F67" s="250"/>
      <c r="H67" s="250"/>
      <c r="I67" s="250"/>
      <c r="AF67" s="236">
        <f t="shared" si="2"/>
        <v>0</v>
      </c>
      <c r="AG67" s="236" t="str">
        <f t="shared" si="27"/>
        <v/>
      </c>
      <c r="AH67" s="236" t="str">
        <f t="shared" si="19"/>
        <v/>
      </c>
      <c r="AJ67" s="236" t="e">
        <f t="shared" ca="1" si="4"/>
        <v>#N/A</v>
      </c>
      <c r="AK67" s="236" t="str">
        <f t="shared" ca="1" si="20"/>
        <v/>
      </c>
      <c r="AL67" s="236" t="str">
        <f t="shared" ca="1" si="20"/>
        <v/>
      </c>
      <c r="AM67" s="236" t="str">
        <f t="shared" ca="1" si="5"/>
        <v/>
      </c>
      <c r="AQ67" s="286" t="s">
        <v>76</v>
      </c>
      <c r="AR67" s="286" t="s">
        <v>373</v>
      </c>
      <c r="AS67" s="286"/>
      <c r="AT67" s="286" t="s">
        <v>448</v>
      </c>
      <c r="AX67" s="287"/>
      <c r="AZ67" s="236"/>
      <c r="BA67" s="236"/>
      <c r="BD67" s="288"/>
      <c r="BF67" s="236"/>
    </row>
    <row r="68" spans="1:58" x14ac:dyDescent="0.2">
      <c r="A68" s="274" t="s">
        <v>135</v>
      </c>
      <c r="B68" s="275" t="s">
        <v>28</v>
      </c>
      <c r="C68" s="276">
        <f>AVERAGE(C7:C65)</f>
        <v>18.232142857142858</v>
      </c>
      <c r="D68" s="276"/>
      <c r="E68" s="276"/>
      <c r="F68" s="250"/>
      <c r="H68" s="250"/>
      <c r="I68" s="250"/>
      <c r="J68" s="253"/>
      <c r="K68" s="253"/>
      <c r="AQ68" s="286" t="s">
        <v>50</v>
      </c>
      <c r="AR68" s="286" t="s">
        <v>373</v>
      </c>
      <c r="AS68" s="286"/>
      <c r="AT68" s="286" t="s">
        <v>287</v>
      </c>
      <c r="AX68" s="287"/>
      <c r="AZ68" s="236"/>
      <c r="BA68" s="236"/>
      <c r="BD68" s="288"/>
      <c r="BF68" s="236"/>
    </row>
    <row r="69" spans="1:58" x14ac:dyDescent="0.2">
      <c r="A69" s="277"/>
      <c r="B69" s="278"/>
      <c r="F69" s="250"/>
      <c r="H69" s="250"/>
      <c r="I69" s="250"/>
      <c r="AX69" s="287"/>
      <c r="AZ69" s="236"/>
      <c r="BA69" s="236"/>
      <c r="BD69" s="288"/>
      <c r="BF69" s="236"/>
    </row>
    <row r="70" spans="1:58" x14ac:dyDescent="0.2">
      <c r="A70" s="277"/>
      <c r="B70" s="278"/>
      <c r="F70" s="240"/>
      <c r="H70" s="240"/>
      <c r="I70" s="240"/>
      <c r="J70" s="253"/>
      <c r="K70" s="253"/>
    </row>
    <row r="71" spans="1:58" x14ac:dyDescent="0.2">
      <c r="A71" s="279" t="s">
        <v>267</v>
      </c>
      <c r="F71" s="240"/>
      <c r="H71" s="240"/>
      <c r="I71" s="240"/>
    </row>
    <row r="72" spans="1:58" x14ac:dyDescent="0.2">
      <c r="A72" s="279" t="s">
        <v>366</v>
      </c>
      <c r="B72" s="240"/>
      <c r="D72" s="264"/>
      <c r="E72" s="264"/>
      <c r="F72" s="280"/>
      <c r="H72" s="280"/>
      <c r="I72" s="280"/>
    </row>
    <row r="73" spans="1:58" x14ac:dyDescent="0.2">
      <c r="A73" s="281" t="s">
        <v>356</v>
      </c>
      <c r="B73" s="240"/>
      <c r="D73" s="264"/>
      <c r="E73" s="264"/>
      <c r="F73" s="280"/>
      <c r="H73" s="280"/>
      <c r="I73" s="280"/>
    </row>
    <row r="74" spans="1:58" x14ac:dyDescent="0.2">
      <c r="A74" s="281" t="s">
        <v>357</v>
      </c>
      <c r="B74" s="240"/>
      <c r="D74" s="264"/>
      <c r="E74" s="264"/>
      <c r="F74" s="280"/>
      <c r="H74" s="280"/>
      <c r="I74" s="280"/>
    </row>
    <row r="75" spans="1:58" x14ac:dyDescent="0.2">
      <c r="A75" s="281" t="s">
        <v>470</v>
      </c>
      <c r="D75" s="280"/>
      <c r="E75" s="234"/>
      <c r="F75" s="282"/>
      <c r="H75" s="282"/>
      <c r="I75" s="282"/>
    </row>
    <row r="76" spans="1:58" x14ac:dyDescent="0.2">
      <c r="A76" s="279" t="s">
        <v>359</v>
      </c>
      <c r="D76" s="280"/>
      <c r="E76" s="234"/>
      <c r="F76" s="282"/>
      <c r="H76" s="282"/>
      <c r="I76" s="282"/>
      <c r="AQ76" s="286"/>
      <c r="AR76" s="286"/>
      <c r="AS76" s="286"/>
    </row>
    <row r="77" spans="1:58" x14ac:dyDescent="0.2">
      <c r="A77" s="279"/>
      <c r="D77" s="280"/>
      <c r="E77" s="234"/>
      <c r="F77" s="282"/>
      <c r="H77" s="282"/>
      <c r="I77" s="282"/>
      <c r="AQ77" s="286"/>
      <c r="AR77" s="286"/>
      <c r="AS77" s="286"/>
    </row>
    <row r="78" spans="1:58" x14ac:dyDescent="0.2">
      <c r="A78" s="279"/>
      <c r="AQ78" s="286"/>
      <c r="AR78" s="286"/>
      <c r="AS78" s="286"/>
    </row>
    <row r="79" spans="1:58" x14ac:dyDescent="0.2">
      <c r="C79" s="339">
        <f>SUMPRODUCT( L8:L13, Y8:Y13 ) / L14</f>
        <v>18.321428571428573</v>
      </c>
      <c r="E79" s="283"/>
      <c r="G79" s="251"/>
      <c r="J79" s="240"/>
      <c r="K79" s="240"/>
      <c r="AQ79" s="286"/>
      <c r="AR79" s="286"/>
      <c r="AS79" s="286"/>
    </row>
    <row r="80" spans="1:58" s="240" customFormat="1" x14ac:dyDescent="0.2">
      <c r="A80" s="284"/>
      <c r="B80" s="285"/>
      <c r="C80" s="285"/>
      <c r="D80" s="285"/>
      <c r="E80" s="249"/>
      <c r="F80" s="234"/>
      <c r="G80" s="236"/>
      <c r="H80" s="234"/>
      <c r="I80" s="234"/>
      <c r="Q80" s="234"/>
      <c r="T80" s="236"/>
      <c r="U80" s="236"/>
      <c r="V80" s="236"/>
      <c r="AF80" s="236"/>
      <c r="AG80" s="236"/>
      <c r="AH80" s="236"/>
      <c r="AJ80" s="236"/>
      <c r="AK80" s="236"/>
      <c r="AL80" s="236"/>
      <c r="AM80" s="236"/>
      <c r="AN80" s="236"/>
      <c r="AQ80" s="286"/>
      <c r="AR80" s="286"/>
      <c r="AS80" s="286"/>
    </row>
    <row r="81" spans="43:45" x14ac:dyDescent="0.2">
      <c r="AQ81" s="286"/>
      <c r="AR81" s="286"/>
      <c r="AS81" s="286"/>
    </row>
    <row r="82" spans="43:45" x14ac:dyDescent="0.2">
      <c r="AQ82" s="286"/>
      <c r="AR82" s="286"/>
      <c r="AS82" s="286"/>
    </row>
  </sheetData>
  <sortState ref="AQ7:AT59">
    <sortCondition ref="AQ7"/>
  </sortState>
  <mergeCells count="9">
    <mergeCell ref="L16:M16"/>
    <mergeCell ref="O16:P16"/>
    <mergeCell ref="R16:S16"/>
    <mergeCell ref="U16:V16"/>
    <mergeCell ref="J5:J6"/>
    <mergeCell ref="L5:M6"/>
    <mergeCell ref="O5:P6"/>
    <mergeCell ref="R5:S6"/>
    <mergeCell ref="U5:V6"/>
  </mergeCells>
  <conditionalFormatting sqref="A60:B61">
    <cfRule type="expression" dxfId="197" priority="61" stopIfTrue="1">
      <formula>IF( $AH60 = 1, TRUE, FALSE )</formula>
    </cfRule>
    <cfRule type="expression" dxfId="196" priority="62" stopIfTrue="1">
      <formula>IF( $AG60 = 1, TRUE, FALSE )</formula>
    </cfRule>
    <cfRule type="expression" dxfId="195" priority="63" stopIfTrue="1">
      <formula>IF( $AF60 = 1, TRUE, FALSE )</formula>
    </cfRule>
  </conditionalFormatting>
  <conditionalFormatting sqref="A67:B67">
    <cfRule type="expression" dxfId="194" priority="64" stopIfTrue="1">
      <formula>IF( $AH67 = 1, TRUE, FALSE )</formula>
    </cfRule>
    <cfRule type="expression" dxfId="193" priority="65" stopIfTrue="1">
      <formula>IF( $AG67 = 1, TRUE, FALSE )</formula>
    </cfRule>
    <cfRule type="expression" dxfId="192" priority="66" stopIfTrue="1">
      <formula>IF( $AF67 = 1, TRUE, FALSE )</formula>
    </cfRule>
  </conditionalFormatting>
  <conditionalFormatting sqref="A66:B66">
    <cfRule type="expression" dxfId="191" priority="58" stopIfTrue="1">
      <formula>IF( $AH66 = 1, TRUE, FALSE )</formula>
    </cfRule>
    <cfRule type="expression" dxfId="190" priority="59" stopIfTrue="1">
      <formula>IF( $AG66 = 1, TRUE, FALSE )</formula>
    </cfRule>
    <cfRule type="expression" dxfId="189" priority="60" stopIfTrue="1">
      <formula>IF( $AF66 = 1, TRUE, FALSE )</formula>
    </cfRule>
  </conditionalFormatting>
  <conditionalFormatting sqref="A7:B58">
    <cfRule type="expression" dxfId="188" priority="55" stopIfTrue="1">
      <formula>IF( $AH7 = 1, TRUE, FALSE )</formula>
    </cfRule>
    <cfRule type="expression" dxfId="187" priority="56" stopIfTrue="1">
      <formula>IF( $AG7 = 1, TRUE, FALSE )</formula>
    </cfRule>
    <cfRule type="expression" dxfId="186" priority="57" stopIfTrue="1">
      <formula>IF( $AF7 = 1, TRUE, FALSE )</formula>
    </cfRule>
  </conditionalFormatting>
  <conditionalFormatting sqref="A59:B59">
    <cfRule type="expression" dxfId="185" priority="52" stopIfTrue="1">
      <formula>IF( $AH59 = 1, TRUE, FALSE )</formula>
    </cfRule>
    <cfRule type="expression" dxfId="184" priority="53" stopIfTrue="1">
      <formula>IF( $AG59 = 1, TRUE, FALSE )</formula>
    </cfRule>
    <cfRule type="expression" dxfId="183" priority="54" stopIfTrue="1">
      <formula>IF( $AF59 = 1, TRUE, FALSE )</formula>
    </cfRule>
  </conditionalFormatting>
  <conditionalFormatting sqref="A62:B65">
    <cfRule type="expression" dxfId="182" priority="49" stopIfTrue="1">
      <formula>IF( $AH62 = 1, TRUE, FALSE )</formula>
    </cfRule>
    <cfRule type="expression" dxfId="181" priority="50" stopIfTrue="1">
      <formula>IF( $AG62 = 1, TRUE, FALSE )</formula>
    </cfRule>
    <cfRule type="expression" dxfId="180" priority="51" stopIfTrue="1">
      <formula>IF( $AF62 = 1, TRUE, FALSE )</formula>
    </cfRule>
  </conditionalFormatting>
  <conditionalFormatting sqref="U8:U12">
    <cfRule type="cellIs" dxfId="179" priority="48" operator="equal">
      <formula>0</formula>
    </cfRule>
  </conditionalFormatting>
  <conditionalFormatting sqref="O8:O12 Q8:Q12">
    <cfRule type="cellIs" dxfId="178" priority="47" operator="equal">
      <formula>0</formula>
    </cfRule>
  </conditionalFormatting>
  <conditionalFormatting sqref="V8:V12">
    <cfRule type="cellIs" dxfId="177" priority="46" operator="equal">
      <formula>0</formula>
    </cfRule>
  </conditionalFormatting>
  <conditionalFormatting sqref="S8:S12">
    <cfRule type="cellIs" dxfId="176" priority="44" operator="equal">
      <formula>0</formula>
    </cfRule>
  </conditionalFormatting>
  <conditionalFormatting sqref="R8:R12">
    <cfRule type="cellIs" dxfId="175" priority="45" operator="equal">
      <formula>0</formula>
    </cfRule>
  </conditionalFormatting>
  <conditionalFormatting sqref="P8:P12">
    <cfRule type="cellIs" dxfId="174" priority="43" operator="equal">
      <formula>0</formula>
    </cfRule>
  </conditionalFormatting>
  <conditionalFormatting sqref="M8:M12">
    <cfRule type="cellIs" dxfId="173" priority="42" operator="equal">
      <formula>0</formula>
    </cfRule>
  </conditionalFormatting>
  <conditionalFormatting sqref="T8:T12">
    <cfRule type="cellIs" dxfId="172" priority="41" operator="equal">
      <formula>0</formula>
    </cfRule>
  </conditionalFormatting>
  <conditionalFormatting sqref="N8:N12">
    <cfRule type="cellIs" dxfId="171" priority="40" operator="equal">
      <formula>0</formula>
    </cfRule>
  </conditionalFormatting>
  <conditionalFormatting sqref="K8:K12">
    <cfRule type="cellIs" dxfId="170" priority="39" operator="equal">
      <formula>0</formula>
    </cfRule>
  </conditionalFormatting>
  <conditionalFormatting sqref="W8:W12">
    <cfRule type="cellIs" dxfId="169" priority="38" operator="equal">
      <formula>0</formula>
    </cfRule>
  </conditionalFormatting>
  <conditionalFormatting sqref="C60:C61">
    <cfRule type="expression" dxfId="168" priority="32" stopIfTrue="1">
      <formula>IF( $AH60 = 1, TRUE, FALSE )</formula>
    </cfRule>
    <cfRule type="expression" dxfId="167" priority="33" stopIfTrue="1">
      <formula>IF( $AG60 = 1, TRUE, FALSE )</formula>
    </cfRule>
    <cfRule type="expression" dxfId="166" priority="34" stopIfTrue="1">
      <formula>IF( $AF60 = 1, TRUE, FALSE )</formula>
    </cfRule>
  </conditionalFormatting>
  <conditionalFormatting sqref="C67">
    <cfRule type="expression" dxfId="165" priority="35" stopIfTrue="1">
      <formula>IF( $AH67 = 1, TRUE, FALSE )</formula>
    </cfRule>
    <cfRule type="expression" dxfId="164" priority="36" stopIfTrue="1">
      <formula>IF( $AG67 = 1, TRUE, FALSE )</formula>
    </cfRule>
    <cfRule type="expression" dxfId="163" priority="37" stopIfTrue="1">
      <formula>IF( $AF67 = 1, TRUE, FALSE )</formula>
    </cfRule>
  </conditionalFormatting>
  <conditionalFormatting sqref="C66">
    <cfRule type="expression" dxfId="162" priority="29" stopIfTrue="1">
      <formula>IF( $AH66 = 1, TRUE, FALSE )</formula>
    </cfRule>
    <cfRule type="expression" dxfId="161" priority="30" stopIfTrue="1">
      <formula>IF( $AG66 = 1, TRUE, FALSE )</formula>
    </cfRule>
    <cfRule type="expression" dxfId="160" priority="31" stopIfTrue="1">
      <formula>IF( $AF66 = 1, TRUE, FALSE )</formula>
    </cfRule>
  </conditionalFormatting>
  <conditionalFormatting sqref="C7:C58">
    <cfRule type="expression" dxfId="159" priority="26" stopIfTrue="1">
      <formula>IF( $AH7 = 1, TRUE, FALSE )</formula>
    </cfRule>
    <cfRule type="expression" dxfId="158" priority="27" stopIfTrue="1">
      <formula>IF( $AG7 = 1, TRUE, FALSE )</formula>
    </cfRule>
    <cfRule type="expression" dxfId="157" priority="28" stopIfTrue="1">
      <formula>IF( $AF7 = 1, TRUE, FALSE )</formula>
    </cfRule>
  </conditionalFormatting>
  <conditionalFormatting sqref="C59">
    <cfRule type="expression" dxfId="156" priority="23" stopIfTrue="1">
      <formula>IF( $AH59 = 1, TRUE, FALSE )</formula>
    </cfRule>
    <cfRule type="expression" dxfId="155" priority="24" stopIfTrue="1">
      <formula>IF( $AG59 = 1, TRUE, FALSE )</formula>
    </cfRule>
    <cfRule type="expression" dxfId="154" priority="25" stopIfTrue="1">
      <formula>IF( $AF59 = 1, TRUE, FALSE )</formula>
    </cfRule>
  </conditionalFormatting>
  <conditionalFormatting sqref="C62:C65">
    <cfRule type="expression" dxfId="153" priority="20" stopIfTrue="1">
      <formula>IF( $AH62 = 1, TRUE, FALSE )</formula>
    </cfRule>
    <cfRule type="expression" dxfId="152" priority="21" stopIfTrue="1">
      <formula>IF( $AG62 = 1, TRUE, FALSE )</formula>
    </cfRule>
    <cfRule type="expression" dxfId="151" priority="22" stopIfTrue="1">
      <formula>IF( $AF62 = 1, TRUE, FALSE )</formula>
    </cfRule>
  </conditionalFormatting>
  <conditionalFormatting sqref="D60:E61 E7:E59 E62:E65">
    <cfRule type="expression" dxfId="150" priority="14" stopIfTrue="1">
      <formula>IF( $AH7 = 1, TRUE, FALSE )</formula>
    </cfRule>
    <cfRule type="expression" dxfId="149" priority="15" stopIfTrue="1">
      <formula>IF( $AG7 = 1, TRUE, FALSE )</formula>
    </cfRule>
    <cfRule type="expression" dxfId="148" priority="16" stopIfTrue="1">
      <formula>IF( $AF7 = 1, TRUE, FALSE )</formula>
    </cfRule>
  </conditionalFormatting>
  <conditionalFormatting sqref="D67:E67">
    <cfRule type="expression" dxfId="147" priority="17" stopIfTrue="1">
      <formula>IF( $AH67 = 1, TRUE, FALSE )</formula>
    </cfRule>
    <cfRule type="expression" dxfId="146" priority="18" stopIfTrue="1">
      <formula>IF( $AG67 = 1, TRUE, FALSE )</formula>
    </cfRule>
    <cfRule type="expression" dxfId="145" priority="19" stopIfTrue="1">
      <formula>IF( $AF67 = 1, TRUE, FALSE )</formula>
    </cfRule>
  </conditionalFormatting>
  <conditionalFormatting sqref="D66:E66">
    <cfRule type="expression" dxfId="144" priority="11" stopIfTrue="1">
      <formula>IF( $AH66 = 1, TRUE, FALSE )</formula>
    </cfRule>
    <cfRule type="expression" dxfId="143" priority="12" stopIfTrue="1">
      <formula>IF( $AG66 = 1, TRUE, FALSE )</formula>
    </cfRule>
    <cfRule type="expression" dxfId="142" priority="13" stopIfTrue="1">
      <formula>IF( $AF66 = 1, TRUE, FALSE )</formula>
    </cfRule>
  </conditionalFormatting>
  <conditionalFormatting sqref="D7:D58">
    <cfRule type="expression" dxfId="141" priority="8" stopIfTrue="1">
      <formula>IF( $AH7 = 1, TRUE, FALSE )</formula>
    </cfRule>
    <cfRule type="expression" dxfId="140" priority="9" stopIfTrue="1">
      <formula>IF( $AG7 = 1, TRUE, FALSE )</formula>
    </cfRule>
    <cfRule type="expression" dxfId="139" priority="10" stopIfTrue="1">
      <formula>IF( $AF7 = 1, TRUE, FALSE )</formula>
    </cfRule>
  </conditionalFormatting>
  <conditionalFormatting sqref="D59">
    <cfRule type="expression" dxfId="138" priority="5" stopIfTrue="1">
      <formula>IF( $AH59 = 1, TRUE, FALSE )</formula>
    </cfRule>
    <cfRule type="expression" dxfId="137" priority="6" stopIfTrue="1">
      <formula>IF( $AG59 = 1, TRUE, FALSE )</formula>
    </cfRule>
    <cfRule type="expression" dxfId="136" priority="7" stopIfTrue="1">
      <formula>IF( $AF59 = 1, TRUE, FALSE )</formula>
    </cfRule>
  </conditionalFormatting>
  <conditionalFormatting sqref="D62:D65">
    <cfRule type="expression" dxfId="135" priority="2" stopIfTrue="1">
      <formula>IF( $AH62 = 1, TRUE, FALSE )</formula>
    </cfRule>
    <cfRule type="expression" dxfId="134" priority="3" stopIfTrue="1">
      <formula>IF( $AG62 = 1, TRUE, FALSE )</formula>
    </cfRule>
    <cfRule type="expression" dxfId="133" priority="4" stopIfTrue="1">
      <formula>IF( $AF62 = 1, TRUE, FALSE )</formula>
    </cfRule>
  </conditionalFormatting>
  <conditionalFormatting sqref="I8:I12">
    <cfRule type="cellIs" dxfId="132" priority="1" operator="equal">
      <formula>0</formula>
    </cfRule>
  </conditionalFormatting>
  <pageMargins left="0.17" right="0.18" top="0.28000000000000003" bottom="0.17" header="0.3" footer="0.3"/>
  <pageSetup scale="19" orientation="portrait" horizontalDpi="1200" verticalDpi="120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J82"/>
  <sheetViews>
    <sheetView showGridLines="0" zoomScale="70" zoomScaleNormal="70" workbookViewId="0">
      <pane ySplit="6" topLeftCell="A7" activePane="bottomLeft" state="frozen"/>
      <selection pane="bottomLeft" activeCell="A7" sqref="A7"/>
    </sheetView>
  </sheetViews>
  <sheetFormatPr defaultColWidth="9.140625" defaultRowHeight="12.75" outlineLevelRow="1" outlineLevelCol="2" x14ac:dyDescent="0.2"/>
  <cols>
    <col min="1" max="1" width="35.140625" style="234" customWidth="1"/>
    <col min="2" max="2" width="9.140625" style="234"/>
    <col min="3" max="3" width="9.42578125" style="263" customWidth="1"/>
    <col min="4" max="4" width="9.140625" style="235" customWidth="1" outlineLevel="1"/>
    <col min="5" max="5" width="12.5703125" style="235" customWidth="1" outlineLevel="1"/>
    <col min="6" max="6" width="3.42578125" style="234" customWidth="1" outlineLevel="1"/>
    <col min="7" max="7" width="17.7109375" style="236" hidden="1" customWidth="1" outlineLevel="2"/>
    <col min="8" max="8" width="3.42578125" style="234" hidden="1" customWidth="1" outlineLevel="2" collapsed="1"/>
    <col min="9" max="9" width="3.28515625" style="234" customWidth="1" outlineLevel="1" collapsed="1"/>
    <col min="10" max="10" width="22" style="234" customWidth="1"/>
    <col min="11" max="11" width="2" style="234" customWidth="1"/>
    <col min="12" max="13" width="10.42578125" style="234" customWidth="1"/>
    <col min="14" max="14" width="2" style="234" customWidth="1"/>
    <col min="15" max="16" width="10.42578125" style="234" customWidth="1"/>
    <col min="17" max="17" width="2" style="234" customWidth="1"/>
    <col min="18" max="19" width="10.42578125" style="234" customWidth="1"/>
    <col min="20" max="20" width="2" style="236" customWidth="1"/>
    <col min="21" max="22" width="10.42578125" style="236" customWidth="1"/>
    <col min="23" max="23" width="2" style="234" customWidth="1"/>
    <col min="24" max="24" width="4.140625" style="234" bestFit="1" customWidth="1"/>
    <col min="25" max="25" width="5.5703125" style="234" bestFit="1" customWidth="1"/>
    <col min="26" max="26" width="2.42578125" style="234" bestFit="1" customWidth="1"/>
    <col min="27" max="27" width="4.28515625" style="234" bestFit="1" customWidth="1"/>
    <col min="28" max="30" width="2.42578125" style="234" hidden="1" customWidth="1" outlineLevel="1"/>
    <col min="31" max="31" width="4.42578125" style="234" hidden="1" customWidth="1" outlineLevel="1"/>
    <col min="32" max="32" width="6.5703125" style="236" hidden="1" customWidth="1" outlineLevel="1" collapsed="1"/>
    <col min="33" max="34" width="6.5703125" style="236" hidden="1" customWidth="1" outlineLevel="1"/>
    <col min="35" max="35" width="3.140625" style="234" hidden="1" customWidth="1" outlineLevel="1"/>
    <col min="36" max="36" width="7.85546875" style="236" hidden="1" customWidth="1" outlineLevel="1" collapsed="1"/>
    <col min="37" max="38" width="9" style="236" hidden="1" customWidth="1" outlineLevel="1"/>
    <col min="39" max="39" width="8.42578125" style="236" hidden="1" customWidth="1" outlineLevel="1"/>
    <col min="40" max="40" width="11.85546875" style="236" hidden="1" customWidth="1" outlineLevel="1"/>
    <col min="41" max="41" width="3.42578125" style="234" customWidth="1" collapsed="1"/>
    <col min="42" max="42" width="3.42578125" style="234" customWidth="1"/>
    <col min="43" max="43" width="29.7109375" style="234" hidden="1" customWidth="1" outlineLevel="1"/>
    <col min="44" max="44" width="6.42578125" style="234" hidden="1" customWidth="1" outlineLevel="1"/>
    <col min="45" max="45" width="3.42578125" style="234" hidden="1" customWidth="1" outlineLevel="1"/>
    <col min="46" max="46" width="8.7109375" style="234" hidden="1" customWidth="1" outlineLevel="1"/>
    <col min="47" max="47" width="3.140625" style="234" hidden="1" customWidth="1" outlineLevel="1"/>
    <col min="48" max="56" width="9.140625" style="234" hidden="1" customWidth="1" outlineLevel="2"/>
    <col min="57" max="57" width="5.42578125" style="234" hidden="1" customWidth="1" outlineLevel="1" collapsed="1"/>
    <col min="58" max="58" width="36.85546875" style="234" hidden="1" customWidth="1" outlineLevel="1"/>
    <col min="59" max="59" width="6.42578125" style="234" hidden="1" customWidth="1" outlineLevel="1"/>
    <col min="60" max="60" width="3.42578125" style="234" hidden="1" customWidth="1" outlineLevel="1"/>
    <col min="61" max="61" width="9.140625" style="234" hidden="1" customWidth="1" outlineLevel="1"/>
    <col min="62" max="62" width="9.140625" style="234" collapsed="1"/>
    <col min="63" max="16384" width="9.140625" style="234"/>
  </cols>
  <sheetData>
    <row r="1" spans="1:61" ht="18.75" x14ac:dyDescent="0.2">
      <c r="A1" s="323" t="str">
        <f>"I.  S&amp;P Utility Credit Ratings Distribution -- " &amp; B6</f>
        <v>I.  S&amp;P Utility Credit Ratings Distribution -- 2012 Q2</v>
      </c>
      <c r="AF1" s="237" t="s">
        <v>420</v>
      </c>
      <c r="AG1" s="237" t="s">
        <v>421</v>
      </c>
      <c r="AH1" s="237" t="s">
        <v>422</v>
      </c>
      <c r="AJ1" s="237" t="s">
        <v>424</v>
      </c>
      <c r="AK1" s="237" t="s">
        <v>426</v>
      </c>
      <c r="AL1" s="237" t="s">
        <v>426</v>
      </c>
      <c r="AM1" s="237" t="s">
        <v>424</v>
      </c>
      <c r="AN1" s="237"/>
    </row>
    <row r="2" spans="1:61" ht="18.75" hidden="1" outlineLevel="1" x14ac:dyDescent="0.2">
      <c r="A2" s="233"/>
      <c r="E2" s="238" t="str">
        <f>G2</f>
        <v>Reg_Percent_2011</v>
      </c>
      <c r="G2" s="239" t="s">
        <v>437</v>
      </c>
      <c r="AJ2" s="240" t="str">
        <f>AJ4 &amp; AJ3</f>
        <v>'Credit_2012Q1'!a:a</v>
      </c>
      <c r="AK2" s="240" t="str">
        <f>AK4 &amp; AK3</f>
        <v>'Credit_2012Q1'!b1</v>
      </c>
      <c r="AL2" s="240" t="str">
        <f>AL4 &amp; AL3</f>
        <v>'Credit_2012Q1'!c1</v>
      </c>
    </row>
    <row r="3" spans="1:61" ht="18.75" hidden="1" outlineLevel="1" x14ac:dyDescent="0.2">
      <c r="A3" s="233"/>
      <c r="E3" s="241" t="str">
        <f>"'" &amp; E2 &amp; "'!"</f>
        <v>'Reg_Percent_2011'!</v>
      </c>
      <c r="G3" s="234" t="str">
        <f>"'" &amp; G2 &amp; "'!"</f>
        <v>'Reg_Percent_2011'!</v>
      </c>
      <c r="O3" s="242" t="s">
        <v>371</v>
      </c>
      <c r="P3" s="242"/>
      <c r="Q3" s="242"/>
      <c r="R3" s="242" t="s">
        <v>372</v>
      </c>
      <c r="T3" s="234"/>
      <c r="U3" s="242" t="s">
        <v>86</v>
      </c>
      <c r="V3" s="234"/>
      <c r="X3" s="242"/>
      <c r="Y3" s="242"/>
      <c r="Z3" s="242"/>
      <c r="AA3" s="242"/>
      <c r="AJ3" s="210" t="s">
        <v>425</v>
      </c>
      <c r="AK3" s="210" t="s">
        <v>427</v>
      </c>
      <c r="AL3" s="210" t="s">
        <v>453</v>
      </c>
    </row>
    <row r="4" spans="1:61" ht="18.75" hidden="1" outlineLevel="1" x14ac:dyDescent="0.2">
      <c r="A4" s="233"/>
      <c r="E4" s="242" t="s">
        <v>439</v>
      </c>
      <c r="G4" s="242" t="s">
        <v>438</v>
      </c>
      <c r="O4" s="236"/>
      <c r="P4" s="236"/>
      <c r="Q4" s="236"/>
      <c r="T4" s="234"/>
      <c r="U4" s="234"/>
      <c r="V4" s="234"/>
      <c r="AJ4" s="232" t="s">
        <v>480</v>
      </c>
      <c r="AK4" s="236" t="str">
        <f>AJ4</f>
        <v>'Credit_2012Q1'!</v>
      </c>
      <c r="AL4" s="236" t="str">
        <f>AK4</f>
        <v>'Credit_2012Q1'!</v>
      </c>
    </row>
    <row r="5" spans="1:61" collapsed="1" x14ac:dyDescent="0.2">
      <c r="E5" s="243" t="s">
        <v>436</v>
      </c>
      <c r="G5" s="237" t="s">
        <v>424</v>
      </c>
      <c r="I5" s="314"/>
      <c r="J5" s="466" t="s">
        <v>77</v>
      </c>
      <c r="K5" s="314"/>
      <c r="L5" s="468" t="str">
        <f>"All Companies" &amp; CHAR( 10 ) &amp; "("&amp; L14 &amp; ")"</f>
        <v>All Companies
(57)</v>
      </c>
      <c r="M5" s="468"/>
      <c r="N5" s="314"/>
      <c r="O5" s="466" t="str">
        <f ca="1">"Regulated" &amp; CHAR( 10 ) &amp; "(" &amp; O14 &amp; ")"</f>
        <v>Regulated
(37)</v>
      </c>
      <c r="P5" s="470"/>
      <c r="Q5" s="314"/>
      <c r="R5" s="466" t="str">
        <f ca="1">"Mostly Regulated" &amp; CHAR( 10 ) &amp; "(" &amp; R14 &amp; ")"</f>
        <v>Mostly Regulated
(17)</v>
      </c>
      <c r="S5" s="470"/>
      <c r="T5" s="314"/>
      <c r="U5" s="466" t="str">
        <f ca="1">"Diversified" &amp; CHAR( 10 ) &amp; "(" &amp; U14 &amp; ")"</f>
        <v>Diversified
(2)</v>
      </c>
      <c r="V5" s="470"/>
      <c r="W5" s="314"/>
      <c r="AE5" s="244"/>
      <c r="AF5" s="234"/>
      <c r="AG5" s="234"/>
      <c r="AH5" s="234"/>
      <c r="AJ5" s="234"/>
      <c r="AK5" s="234"/>
      <c r="AL5" s="234"/>
      <c r="AM5" s="234"/>
      <c r="AN5" s="234"/>
    </row>
    <row r="6" spans="1:61" ht="28.5" customHeight="1" x14ac:dyDescent="0.2">
      <c r="A6" s="299" t="s">
        <v>0</v>
      </c>
      <c r="B6" s="300" t="s">
        <v>406</v>
      </c>
      <c r="C6" s="338" t="s">
        <v>471</v>
      </c>
      <c r="D6" s="301"/>
      <c r="E6" s="302">
        <v>40908</v>
      </c>
      <c r="I6" s="315"/>
      <c r="J6" s="467"/>
      <c r="K6" s="315"/>
      <c r="L6" s="469"/>
      <c r="M6" s="469"/>
      <c r="N6" s="315"/>
      <c r="O6" s="467"/>
      <c r="P6" s="467"/>
      <c r="Q6" s="315"/>
      <c r="R6" s="467" t="s">
        <v>137</v>
      </c>
      <c r="S6" s="467"/>
      <c r="T6" s="315"/>
      <c r="U6" s="467"/>
      <c r="V6" s="467"/>
      <c r="W6" s="315"/>
      <c r="AE6" s="245"/>
      <c r="AJ6" s="246"/>
    </row>
    <row r="7" spans="1:61" x14ac:dyDescent="0.2">
      <c r="A7" s="303" t="s">
        <v>7</v>
      </c>
      <c r="B7" s="304" t="s">
        <v>2</v>
      </c>
      <c r="C7" s="304">
        <v>21</v>
      </c>
      <c r="D7" s="304" t="s">
        <v>328</v>
      </c>
      <c r="E7" s="305" t="str">
        <f t="shared" ref="E7:E59" ca="1" si="0">OFFSET( INDIRECT( E$3 &amp; E$4 ), $G7 - 1, 0 )</f>
        <v>R</v>
      </c>
      <c r="F7" s="306"/>
      <c r="G7" s="307">
        <f t="shared" ref="G7:G65" ca="1" si="1">IF( LEN( $D7 ) = 0, "", MATCH( $D7, INDIRECT( G$3 &amp; G$4 ), 0 ) )</f>
        <v>53</v>
      </c>
      <c r="H7" s="250"/>
      <c r="I7" s="316"/>
      <c r="J7" s="252"/>
      <c r="K7" s="316"/>
      <c r="L7" s="252" t="s">
        <v>81</v>
      </c>
      <c r="M7" s="252" t="s">
        <v>82</v>
      </c>
      <c r="N7" s="316"/>
      <c r="O7" s="252" t="s">
        <v>81</v>
      </c>
      <c r="P7" s="252" t="s">
        <v>82</v>
      </c>
      <c r="Q7" s="316"/>
      <c r="R7" s="252" t="s">
        <v>81</v>
      </c>
      <c r="S7" s="252" t="s">
        <v>82</v>
      </c>
      <c r="T7" s="316"/>
      <c r="U7" s="252" t="s">
        <v>81</v>
      </c>
      <c r="V7" s="252" t="s">
        <v>82</v>
      </c>
      <c r="W7" s="316"/>
      <c r="AE7" s="254"/>
      <c r="AF7" s="236">
        <f t="shared" ref="AF7:AF67" si="2">IF( LEN( C7 ) = 0, 0, IF( C7 = C6, AF6, IF( AF6 = 1, 0, 1 ) ) )</f>
        <v>1</v>
      </c>
      <c r="AG7" s="236" t="str">
        <f t="shared" ref="AG7:AG64" ca="1" si="3">IF( LEN( $C7 ) = 0, "", IF( $C7 &gt; $AL7, 1, "" ) )</f>
        <v/>
      </c>
      <c r="AH7" s="236" t="str">
        <f ca="1">IF( LEN( $C7 ) = 0, "", IF( $C7 &lt; $AL7, 1, "" ) )</f>
        <v/>
      </c>
      <c r="AJ7" s="236">
        <f t="shared" ref="AJ7:AJ67" ca="1" si="4">MATCH( $A7, INDIRECT( AJ$2 ), 0 )</f>
        <v>8</v>
      </c>
      <c r="AK7" s="236" t="str">
        <f ca="1">IF( ISNA( $AJ7 ), "", OFFSET( INDIRECT( AK$2 ), $AJ7-1, 0 ) )</f>
        <v>A</v>
      </c>
      <c r="AL7" s="236">
        <f ca="1">IF( ISNA( $AJ7 ), "", OFFSET( INDIRECT( AL$2 ), $AJ7-1, 0 ) )</f>
        <v>21</v>
      </c>
      <c r="AM7" s="236" t="str">
        <f t="shared" ref="AM7:AM67" ca="1" si="5">IF( B7 = AK7, "", "Change" )</f>
        <v/>
      </c>
      <c r="AQ7" s="286" t="s">
        <v>15</v>
      </c>
      <c r="AR7" s="286" t="s">
        <v>16</v>
      </c>
      <c r="AS7" s="286">
        <v>19</v>
      </c>
      <c r="AT7" s="286" t="s">
        <v>277</v>
      </c>
      <c r="AV7" s="234">
        <f>IF( LEN( AS7 ) = 0, 99, RANK( AS7, $AS$7:$AS$63 ) )</f>
        <v>11</v>
      </c>
      <c r="AW7" s="234">
        <f>COUNTIF( AV7:AV$7, AV7 )</f>
        <v>1</v>
      </c>
      <c r="AX7" s="287">
        <f>AV7 + AW7 / 10</f>
        <v>11.1</v>
      </c>
      <c r="AY7" s="234">
        <f>RANK( AX7, $AX$7:$AX$63, 1 )</f>
        <v>11</v>
      </c>
      <c r="AZ7" s="236"/>
      <c r="BA7" s="236"/>
      <c r="BC7" s="234">
        <f t="shared" ref="BC7" ca="1" si="6">OFFSET( BC7, -1, 0 ) + 1</f>
        <v>1</v>
      </c>
      <c r="BD7" s="288">
        <f t="shared" ref="BD7:BD62" ca="1" si="7">MATCH( BC7, $AY$7:$AY$63, 0 )</f>
        <v>48</v>
      </c>
      <c r="BF7" s="240" t="str">
        <f t="shared" ref="BF7:BF38" ca="1" si="8">OFFSET( AQ$6, $BD7, 0 )</f>
        <v>Southern Company</v>
      </c>
      <c r="BG7" s="240" t="str">
        <f t="shared" ref="BG7:BI62" ca="1" si="9">OFFSET( AR$6, $BD7, 0 )</f>
        <v>A</v>
      </c>
      <c r="BH7" s="240">
        <f t="shared" ca="1" si="9"/>
        <v>21</v>
      </c>
      <c r="BI7" s="240" t="str">
        <f t="shared" ca="1" si="9"/>
        <v>SO</v>
      </c>
    </row>
    <row r="8" spans="1:61" x14ac:dyDescent="0.2">
      <c r="A8" s="303" t="s">
        <v>3</v>
      </c>
      <c r="B8" s="304" t="s">
        <v>10</v>
      </c>
      <c r="C8" s="304">
        <v>20</v>
      </c>
      <c r="D8" s="304" t="s">
        <v>292</v>
      </c>
      <c r="E8" s="305" t="str">
        <f t="shared" ca="1" si="0"/>
        <v>R</v>
      </c>
      <c r="F8" s="306"/>
      <c r="G8" s="307">
        <f t="shared" ca="1" si="1"/>
        <v>18</v>
      </c>
      <c r="H8" s="250"/>
      <c r="I8" s="317"/>
      <c r="J8" s="293" t="s">
        <v>138</v>
      </c>
      <c r="K8" s="317"/>
      <c r="L8" s="293">
        <f t="shared" ref="L8:L13" si="10">COUNTIF($C$7:$C$67,$X8)</f>
        <v>3</v>
      </c>
      <c r="M8" s="294">
        <f t="shared" ref="M8:M13" si="11">IF( L8 = 0, "", L8/L$14 )</f>
        <v>5.2631578947368418E-2</v>
      </c>
      <c r="N8" s="317"/>
      <c r="O8" s="293">
        <f t="shared" ref="O8:O13" ca="1" si="12">COUNTIFS( $E$7:$E$66, O$3, $C$7:$C$66, $X8 )</f>
        <v>2</v>
      </c>
      <c r="P8" s="294">
        <f t="shared" ref="P8:P13" ca="1" si="13">IF( O8 = 0, "", O8/O$14 )</f>
        <v>5.4054054054054057E-2</v>
      </c>
      <c r="Q8" s="317"/>
      <c r="R8" s="293">
        <f t="shared" ref="R8:R13" ca="1" si="14">COUNTIFS( $E$7:$E$66, R$3, $C$7:$C$66, $X8 )</f>
        <v>1</v>
      </c>
      <c r="S8" s="294">
        <f t="shared" ref="S8:S13" ca="1" si="15">IF( R8 = 0, "", R8/R$14 )</f>
        <v>5.8823529411764705E-2</v>
      </c>
      <c r="T8" s="317"/>
      <c r="U8" s="293">
        <f t="shared" ref="U8:U13" ca="1" si="16">COUNTIFS( $E$7:$E$66, U$3, $C$7:$C$66, $X8 )</f>
        <v>0</v>
      </c>
      <c r="V8" s="294" t="str">
        <f t="shared" ref="V8:V13" ca="1" si="17">IF( U8 = 0, "", U8/U$14 )</f>
        <v/>
      </c>
      <c r="W8" s="317"/>
      <c r="X8" s="256" t="s">
        <v>464</v>
      </c>
      <c r="Y8" s="256">
        <v>21</v>
      </c>
      <c r="Z8" s="256">
        <v>1</v>
      </c>
      <c r="AA8" s="255">
        <f t="shared" ref="AA8:AA13" ca="1" si="18">SUM(O8, R8, U8)</f>
        <v>3</v>
      </c>
      <c r="AC8" s="257"/>
      <c r="AE8" s="254"/>
      <c r="AF8" s="236">
        <f t="shared" si="2"/>
        <v>0</v>
      </c>
      <c r="AG8" s="236" t="str">
        <f t="shared" ca="1" si="3"/>
        <v/>
      </c>
      <c r="AH8" s="236" t="str">
        <f t="shared" ref="AH8:AH67" ca="1" si="19">IF( LEN( $C8 ) = 0, "", IF( $C8 &lt; $AL8, 1, "" ) )</f>
        <v/>
      </c>
      <c r="AJ8" s="236">
        <f t="shared" ca="1" si="4"/>
        <v>9</v>
      </c>
      <c r="AK8" s="236" t="str">
        <f t="shared" ref="AK8:AL67" ca="1" si="20">IF( ISNA( $AJ8 ), "", OFFSET( INDIRECT( AK$2 ), $AJ8-1, 0 ) )</f>
        <v>A-</v>
      </c>
      <c r="AL8" s="236">
        <f t="shared" ca="1" si="20"/>
        <v>20</v>
      </c>
      <c r="AM8" s="236" t="str">
        <f t="shared" ca="1" si="5"/>
        <v/>
      </c>
      <c r="AQ8" s="286" t="s">
        <v>17</v>
      </c>
      <c r="AR8" s="286" t="s">
        <v>16</v>
      </c>
      <c r="AS8" s="286">
        <v>19</v>
      </c>
      <c r="AT8" s="289" t="s">
        <v>307</v>
      </c>
      <c r="AV8" s="234">
        <f t="shared" ref="AV8:AV63" si="21">IF( LEN( AS8 ) = 0, 99, RANK( AS8, $AS$7:$AS$63 ) )</f>
        <v>11</v>
      </c>
      <c r="AW8" s="234">
        <f>COUNTIF( AV$7:AV8, AV8 )</f>
        <v>2</v>
      </c>
      <c r="AX8" s="287">
        <f t="shared" ref="AX8:AX63" si="22">AV8 + AW8 / 10</f>
        <v>11.2</v>
      </c>
      <c r="AY8" s="234">
        <f t="shared" ref="AY8:AY63" si="23">RANK( AX8, $AX$7:$AX$63, 1 )</f>
        <v>12</v>
      </c>
      <c r="AZ8" s="236"/>
      <c r="BA8" s="236"/>
      <c r="BC8" s="234">
        <f ca="1">OFFSET( BC8, -1, 0 ) + 1</f>
        <v>2</v>
      </c>
      <c r="BD8" s="288">
        <f t="shared" ca="1" si="7"/>
        <v>10</v>
      </c>
      <c r="BF8" s="240" t="str">
        <f t="shared" ca="1" si="8"/>
        <v>Consolidated Edison, Inc.</v>
      </c>
      <c r="BG8" s="240" t="str">
        <f t="shared" ca="1" si="9"/>
        <v>A-</v>
      </c>
      <c r="BH8" s="240">
        <f t="shared" ca="1" si="9"/>
        <v>20</v>
      </c>
      <c r="BI8" s="240" t="str">
        <f t="shared" ca="1" si="9"/>
        <v>ED</v>
      </c>
    </row>
    <row r="9" spans="1:61" x14ac:dyDescent="0.2">
      <c r="A9" s="303" t="s">
        <v>18</v>
      </c>
      <c r="B9" s="304" t="s">
        <v>10</v>
      </c>
      <c r="C9" s="304">
        <v>20</v>
      </c>
      <c r="D9" s="304" t="s">
        <v>86</v>
      </c>
      <c r="E9" s="305" t="str">
        <f t="shared" ca="1" si="0"/>
        <v>MR</v>
      </c>
      <c r="F9" s="306"/>
      <c r="G9" s="307">
        <f t="shared" ca="1" si="1"/>
        <v>20</v>
      </c>
      <c r="H9" s="250"/>
      <c r="I9" s="318"/>
      <c r="J9" s="295" t="s">
        <v>10</v>
      </c>
      <c r="K9" s="318"/>
      <c r="L9" s="295">
        <f t="shared" si="10"/>
        <v>9</v>
      </c>
      <c r="M9" s="296">
        <f t="shared" si="11"/>
        <v>0.15789473684210525</v>
      </c>
      <c r="N9" s="318"/>
      <c r="O9" s="295">
        <f t="shared" ca="1" si="12"/>
        <v>6</v>
      </c>
      <c r="P9" s="296">
        <f t="shared" ca="1" si="13"/>
        <v>0.16216216216216217</v>
      </c>
      <c r="Q9" s="318"/>
      <c r="R9" s="295">
        <f t="shared" ca="1" si="14"/>
        <v>3</v>
      </c>
      <c r="S9" s="296">
        <f t="shared" ca="1" si="15"/>
        <v>0.17647058823529413</v>
      </c>
      <c r="T9" s="318"/>
      <c r="U9" s="295">
        <f t="shared" ca="1" si="16"/>
        <v>0</v>
      </c>
      <c r="V9" s="296" t="str">
        <f t="shared" ca="1" si="17"/>
        <v/>
      </c>
      <c r="W9" s="318"/>
      <c r="X9" s="256" t="s">
        <v>465</v>
      </c>
      <c r="Y9" s="256">
        <v>20</v>
      </c>
      <c r="Z9" s="256">
        <v>1</v>
      </c>
      <c r="AA9" s="255">
        <f t="shared" ca="1" si="18"/>
        <v>9</v>
      </c>
      <c r="AC9" s="253"/>
      <c r="AE9" s="254"/>
      <c r="AF9" s="236">
        <f t="shared" si="2"/>
        <v>0</v>
      </c>
      <c r="AG9" s="236" t="str">
        <f t="shared" ca="1" si="3"/>
        <v/>
      </c>
      <c r="AH9" s="236" t="str">
        <f t="shared" ca="1" si="19"/>
        <v/>
      </c>
      <c r="AJ9" s="236">
        <f t="shared" ca="1" si="4"/>
        <v>10</v>
      </c>
      <c r="AK9" s="236" t="str">
        <f t="shared" ca="1" si="20"/>
        <v>A-</v>
      </c>
      <c r="AL9" s="236">
        <f t="shared" ca="1" si="20"/>
        <v>20</v>
      </c>
      <c r="AM9" s="236" t="str">
        <f t="shared" ca="1" si="5"/>
        <v/>
      </c>
      <c r="AQ9" s="286" t="s">
        <v>9</v>
      </c>
      <c r="AR9" s="286" t="s">
        <v>49</v>
      </c>
      <c r="AS9" s="286">
        <v>17</v>
      </c>
      <c r="AT9" s="286" t="s">
        <v>274</v>
      </c>
      <c r="AV9" s="234">
        <f t="shared" si="21"/>
        <v>40</v>
      </c>
      <c r="AW9" s="234">
        <f>COUNTIF( AV$7:AV9, AV9 )</f>
        <v>1</v>
      </c>
      <c r="AX9" s="287">
        <f t="shared" si="22"/>
        <v>40.1</v>
      </c>
      <c r="AY9" s="234">
        <f t="shared" si="23"/>
        <v>40</v>
      </c>
      <c r="AZ9" s="236"/>
      <c r="BA9" s="236"/>
      <c r="BC9" s="234">
        <f t="shared" ref="BC9:BC63" ca="1" si="24">OFFSET( BC9, -1, 0 ) + 1</f>
        <v>3</v>
      </c>
      <c r="BD9" s="288">
        <f t="shared" ca="1" si="7"/>
        <v>11</v>
      </c>
      <c r="BF9" s="240" t="str">
        <f t="shared" ca="1" si="8"/>
        <v>Dominion Resources, Inc.</v>
      </c>
      <c r="BG9" s="240" t="str">
        <f t="shared" ca="1" si="9"/>
        <v>A-</v>
      </c>
      <c r="BH9" s="240">
        <f t="shared" ca="1" si="9"/>
        <v>20</v>
      </c>
      <c r="BI9" s="240" t="str">
        <f t="shared" ca="1" si="9"/>
        <v>D</v>
      </c>
    </row>
    <row r="10" spans="1:61" x14ac:dyDescent="0.2">
      <c r="A10" s="303" t="s">
        <v>32</v>
      </c>
      <c r="B10" s="304" t="s">
        <v>10</v>
      </c>
      <c r="C10" s="304">
        <v>20</v>
      </c>
      <c r="D10" s="304" t="s">
        <v>290</v>
      </c>
      <c r="E10" s="305" t="str">
        <f t="shared" ca="1" si="0"/>
        <v>MR</v>
      </c>
      <c r="F10" s="306"/>
      <c r="G10" s="307">
        <f t="shared" ca="1" si="1"/>
        <v>22</v>
      </c>
      <c r="H10" s="250"/>
      <c r="I10" s="318"/>
      <c r="J10" s="295" t="s">
        <v>16</v>
      </c>
      <c r="K10" s="318"/>
      <c r="L10" s="295">
        <f t="shared" si="10"/>
        <v>13</v>
      </c>
      <c r="M10" s="296">
        <f t="shared" si="11"/>
        <v>0.22807017543859648</v>
      </c>
      <c r="N10" s="318"/>
      <c r="O10" s="295">
        <f t="shared" ca="1" si="12"/>
        <v>6</v>
      </c>
      <c r="P10" s="296">
        <f t="shared" ca="1" si="13"/>
        <v>0.16216216216216217</v>
      </c>
      <c r="Q10" s="318"/>
      <c r="R10" s="295">
        <f t="shared" ca="1" si="14"/>
        <v>6</v>
      </c>
      <c r="S10" s="296">
        <f t="shared" ca="1" si="15"/>
        <v>0.35294117647058826</v>
      </c>
      <c r="T10" s="318"/>
      <c r="U10" s="295">
        <f t="shared" ca="1" si="16"/>
        <v>1</v>
      </c>
      <c r="V10" s="296">
        <f t="shared" ca="1" si="17"/>
        <v>0.5</v>
      </c>
      <c r="W10" s="318"/>
      <c r="X10" s="256" t="s">
        <v>466</v>
      </c>
      <c r="Y10" s="256">
        <v>19</v>
      </c>
      <c r="Z10" s="256">
        <v>1</v>
      </c>
      <c r="AA10" s="255">
        <f t="shared" ca="1" si="18"/>
        <v>13</v>
      </c>
      <c r="AE10" s="254"/>
      <c r="AF10" s="236">
        <f t="shared" si="2"/>
        <v>0</v>
      </c>
      <c r="AG10" s="236" t="str">
        <f t="shared" ca="1" si="3"/>
        <v/>
      </c>
      <c r="AH10" s="236" t="str">
        <f t="shared" ca="1" si="19"/>
        <v/>
      </c>
      <c r="AJ10" s="236">
        <f t="shared" ca="1" si="4"/>
        <v>11</v>
      </c>
      <c r="AK10" s="236" t="str">
        <f t="shared" ca="1" si="20"/>
        <v>A-</v>
      </c>
      <c r="AL10" s="236">
        <f t="shared" ca="1" si="20"/>
        <v>20</v>
      </c>
      <c r="AM10" s="236" t="str">
        <f t="shared" ca="1" si="5"/>
        <v/>
      </c>
      <c r="AQ10" s="286" t="s">
        <v>259</v>
      </c>
      <c r="AR10" s="286" t="s">
        <v>28</v>
      </c>
      <c r="AS10" s="286">
        <v>18</v>
      </c>
      <c r="AT10" s="286" t="s">
        <v>275</v>
      </c>
      <c r="AV10" s="234">
        <f t="shared" si="21"/>
        <v>24</v>
      </c>
      <c r="AW10" s="234">
        <f>COUNTIF( AV$7:AV10, AV10 )</f>
        <v>1</v>
      </c>
      <c r="AX10" s="287">
        <f t="shared" si="22"/>
        <v>24.1</v>
      </c>
      <c r="AY10" s="234">
        <f t="shared" si="23"/>
        <v>24</v>
      </c>
      <c r="AZ10" s="236"/>
      <c r="BA10" s="236"/>
      <c r="BC10" s="234">
        <f t="shared" ca="1" si="24"/>
        <v>4</v>
      </c>
      <c r="BD10" s="288">
        <f t="shared" ca="1" si="7"/>
        <v>14</v>
      </c>
      <c r="BF10" s="240" t="str">
        <f t="shared" ca="1" si="8"/>
        <v>Duke Energy Corporation</v>
      </c>
      <c r="BG10" s="240" t="str">
        <f t="shared" ca="1" si="9"/>
        <v>A-</v>
      </c>
      <c r="BH10" s="240">
        <f t="shared" ca="1" si="9"/>
        <v>20</v>
      </c>
      <c r="BI10" s="240" t="str">
        <f t="shared" ca="1" si="9"/>
        <v>DUK</v>
      </c>
    </row>
    <row r="11" spans="1:61" x14ac:dyDescent="0.2">
      <c r="A11" s="303" t="s">
        <v>254</v>
      </c>
      <c r="B11" s="304" t="s">
        <v>10</v>
      </c>
      <c r="C11" s="304">
        <v>20</v>
      </c>
      <c r="D11" s="304" t="s">
        <v>331</v>
      </c>
      <c r="E11" s="305" t="str">
        <f t="shared" ca="1" si="0"/>
        <v>R</v>
      </c>
      <c r="F11" s="306"/>
      <c r="G11" s="307">
        <f t="shared" ca="1" si="1"/>
        <v>32</v>
      </c>
      <c r="H11" s="250"/>
      <c r="I11" s="318"/>
      <c r="J11" s="295" t="s">
        <v>28</v>
      </c>
      <c r="K11" s="318"/>
      <c r="L11" s="295">
        <f t="shared" si="10"/>
        <v>16</v>
      </c>
      <c r="M11" s="296">
        <f t="shared" si="11"/>
        <v>0.2807017543859649</v>
      </c>
      <c r="N11" s="318"/>
      <c r="O11" s="295">
        <f t="shared" ca="1" si="12"/>
        <v>13</v>
      </c>
      <c r="P11" s="296">
        <f t="shared" ca="1" si="13"/>
        <v>0.35135135135135137</v>
      </c>
      <c r="Q11" s="318"/>
      <c r="R11" s="295">
        <f t="shared" ca="1" si="14"/>
        <v>3</v>
      </c>
      <c r="S11" s="296">
        <f t="shared" ca="1" si="15"/>
        <v>0.17647058823529413</v>
      </c>
      <c r="T11" s="318"/>
      <c r="U11" s="295">
        <f t="shared" ca="1" si="16"/>
        <v>0</v>
      </c>
      <c r="V11" s="296" t="str">
        <f t="shared" ca="1" si="17"/>
        <v/>
      </c>
      <c r="W11" s="318"/>
      <c r="X11" s="256" t="s">
        <v>467</v>
      </c>
      <c r="Y11" s="256">
        <v>18</v>
      </c>
      <c r="Z11" s="256">
        <v>1</v>
      </c>
      <c r="AA11" s="255">
        <f t="shared" ca="1" si="18"/>
        <v>16</v>
      </c>
      <c r="AE11" s="254"/>
      <c r="AF11" s="236">
        <f t="shared" si="2"/>
        <v>0</v>
      </c>
      <c r="AG11" s="236" t="str">
        <f t="shared" ca="1" si="3"/>
        <v/>
      </c>
      <c r="AH11" s="236" t="str">
        <f t="shared" ca="1" si="19"/>
        <v/>
      </c>
      <c r="AJ11" s="236">
        <f t="shared" ca="1" si="4"/>
        <v>13</v>
      </c>
      <c r="AK11" s="236" t="str">
        <f t="shared" ca="1" si="20"/>
        <v>A-</v>
      </c>
      <c r="AL11" s="236">
        <f t="shared" ca="1" si="20"/>
        <v>20</v>
      </c>
      <c r="AM11" s="236" t="str">
        <f t="shared" ca="1" si="5"/>
        <v/>
      </c>
      <c r="AQ11" s="286" t="s">
        <v>55</v>
      </c>
      <c r="AR11" s="286" t="s">
        <v>28</v>
      </c>
      <c r="AS11" s="286">
        <v>18</v>
      </c>
      <c r="AT11" s="286" t="s">
        <v>278</v>
      </c>
      <c r="AV11" s="234">
        <f t="shared" si="21"/>
        <v>24</v>
      </c>
      <c r="AW11" s="234">
        <f>COUNTIF( AV$7:AV11, AV11 )</f>
        <v>2</v>
      </c>
      <c r="AX11" s="287">
        <f t="shared" si="22"/>
        <v>24.2</v>
      </c>
      <c r="AY11" s="234">
        <f t="shared" si="23"/>
        <v>25</v>
      </c>
      <c r="AZ11" s="236"/>
      <c r="BA11" s="236"/>
      <c r="BC11" s="234">
        <f t="shared" ca="1" si="24"/>
        <v>5</v>
      </c>
      <c r="BD11" s="288">
        <f t="shared" ca="1" si="7"/>
        <v>26</v>
      </c>
      <c r="BF11" s="240" t="str">
        <f t="shared" ca="1" si="8"/>
        <v>Integrys Energy Group, Inc.</v>
      </c>
      <c r="BG11" s="240" t="str">
        <f t="shared" ca="1" si="9"/>
        <v>A-</v>
      </c>
      <c r="BH11" s="240">
        <f t="shared" ca="1" si="9"/>
        <v>20</v>
      </c>
      <c r="BI11" s="240" t="str">
        <f t="shared" ca="1" si="9"/>
        <v>TEG</v>
      </c>
    </row>
    <row r="12" spans="1:61" x14ac:dyDescent="0.2">
      <c r="A12" s="303" t="s">
        <v>370</v>
      </c>
      <c r="B12" s="304" t="s">
        <v>10</v>
      </c>
      <c r="C12" s="304">
        <v>20</v>
      </c>
      <c r="D12" s="304" t="s">
        <v>369</v>
      </c>
      <c r="E12" s="305" t="str">
        <f t="shared" ca="1" si="0"/>
        <v>MR</v>
      </c>
      <c r="F12" s="306"/>
      <c r="G12" s="307">
        <f t="shared" ca="1" si="1"/>
        <v>35</v>
      </c>
      <c r="H12" s="250"/>
      <c r="I12" s="318"/>
      <c r="J12" s="295" t="s">
        <v>49</v>
      </c>
      <c r="K12" s="318"/>
      <c r="L12" s="295">
        <f t="shared" si="10"/>
        <v>12</v>
      </c>
      <c r="M12" s="296">
        <f t="shared" si="11"/>
        <v>0.21052631578947367</v>
      </c>
      <c r="N12" s="318"/>
      <c r="O12" s="295">
        <f t="shared" ca="1" si="12"/>
        <v>7</v>
      </c>
      <c r="P12" s="296">
        <f t="shared" ca="1" si="13"/>
        <v>0.1891891891891892</v>
      </c>
      <c r="Q12" s="318"/>
      <c r="R12" s="295">
        <f t="shared" ca="1" si="14"/>
        <v>4</v>
      </c>
      <c r="S12" s="296">
        <f t="shared" ca="1" si="15"/>
        <v>0.23529411764705882</v>
      </c>
      <c r="T12" s="318"/>
      <c r="U12" s="295">
        <f t="shared" ca="1" si="16"/>
        <v>1</v>
      </c>
      <c r="V12" s="296">
        <f t="shared" ca="1" si="17"/>
        <v>0.5</v>
      </c>
      <c r="W12" s="318"/>
      <c r="X12" s="256" t="s">
        <v>468</v>
      </c>
      <c r="Y12" s="256">
        <v>17</v>
      </c>
      <c r="Z12" s="256">
        <v>1</v>
      </c>
      <c r="AA12" s="255">
        <f t="shared" ca="1" si="18"/>
        <v>12</v>
      </c>
      <c r="AE12" s="254"/>
      <c r="AF12" s="236">
        <f t="shared" si="2"/>
        <v>0</v>
      </c>
      <c r="AG12" s="236" t="str">
        <f t="shared" ca="1" si="3"/>
        <v/>
      </c>
      <c r="AH12" s="236" t="str">
        <f t="shared" ca="1" si="19"/>
        <v/>
      </c>
      <c r="AJ12" s="236">
        <f t="shared" ca="1" si="4"/>
        <v>14</v>
      </c>
      <c r="AK12" s="236" t="str">
        <f t="shared" ca="1" si="20"/>
        <v>A-</v>
      </c>
      <c r="AL12" s="236">
        <f t="shared" ca="1" si="20"/>
        <v>20</v>
      </c>
      <c r="AM12" s="236" t="str">
        <f t="shared" ca="1" si="5"/>
        <v/>
      </c>
      <c r="AQ12" s="286" t="s">
        <v>48</v>
      </c>
      <c r="AR12" s="286" t="s">
        <v>49</v>
      </c>
      <c r="AS12" s="286">
        <v>17</v>
      </c>
      <c r="AT12" s="286" t="s">
        <v>280</v>
      </c>
      <c r="AV12" s="234">
        <f t="shared" si="21"/>
        <v>40</v>
      </c>
      <c r="AW12" s="234">
        <f>COUNTIF( AV$7:AV12, AV12 )</f>
        <v>2</v>
      </c>
      <c r="AX12" s="287">
        <f t="shared" si="22"/>
        <v>40.200000000000003</v>
      </c>
      <c r="AY12" s="234">
        <f t="shared" si="23"/>
        <v>41</v>
      </c>
      <c r="AZ12" s="236"/>
      <c r="BA12" s="236"/>
      <c r="BC12" s="234">
        <f t="shared" ca="1" si="24"/>
        <v>6</v>
      </c>
      <c r="BD12" s="288">
        <f t="shared" ca="1" si="7"/>
        <v>30</v>
      </c>
      <c r="BF12" s="240" t="str">
        <f t="shared" ca="1" si="8"/>
        <v>NextEra Energy, Inc.</v>
      </c>
      <c r="BG12" s="240" t="str">
        <f t="shared" ca="1" si="9"/>
        <v>A-</v>
      </c>
      <c r="BH12" s="240">
        <f t="shared" ca="1" si="9"/>
        <v>20</v>
      </c>
      <c r="BI12" s="240" t="str">
        <f t="shared" ca="1" si="9"/>
        <v>NEE</v>
      </c>
    </row>
    <row r="13" spans="1:61" x14ac:dyDescent="0.2">
      <c r="A13" s="303" t="s">
        <v>513</v>
      </c>
      <c r="B13" s="304" t="s">
        <v>10</v>
      </c>
      <c r="C13" s="304">
        <v>20</v>
      </c>
      <c r="D13" s="304" t="s">
        <v>512</v>
      </c>
      <c r="E13" s="305" t="str">
        <f t="shared" ca="1" si="0"/>
        <v>R</v>
      </c>
      <c r="F13" s="306"/>
      <c r="G13" s="307">
        <f t="shared" ca="1" si="1"/>
        <v>37</v>
      </c>
      <c r="H13" s="250"/>
      <c r="I13" s="319"/>
      <c r="J13" s="297" t="s">
        <v>79</v>
      </c>
      <c r="K13" s="319"/>
      <c r="L13" s="297">
        <f t="shared" si="10"/>
        <v>4</v>
      </c>
      <c r="M13" s="298">
        <f t="shared" si="11"/>
        <v>7.0175438596491224E-2</v>
      </c>
      <c r="N13" s="319"/>
      <c r="O13" s="297">
        <f t="shared" ca="1" si="12"/>
        <v>3</v>
      </c>
      <c r="P13" s="298">
        <f t="shared" ca="1" si="13"/>
        <v>8.1081081081081086E-2</v>
      </c>
      <c r="Q13" s="319"/>
      <c r="R13" s="297">
        <f t="shared" ca="1" si="14"/>
        <v>0</v>
      </c>
      <c r="S13" s="298" t="str">
        <f t="shared" ca="1" si="15"/>
        <v/>
      </c>
      <c r="T13" s="319"/>
      <c r="U13" s="297">
        <f t="shared" ca="1" si="16"/>
        <v>0</v>
      </c>
      <c r="V13" s="298" t="str">
        <f t="shared" ca="1" si="17"/>
        <v/>
      </c>
      <c r="W13" s="319"/>
      <c r="X13" s="256" t="s">
        <v>469</v>
      </c>
      <c r="Y13" s="256">
        <v>16</v>
      </c>
      <c r="Z13" s="256">
        <v>1</v>
      </c>
      <c r="AA13" s="259">
        <f t="shared" ca="1" si="18"/>
        <v>3</v>
      </c>
      <c r="AE13" s="254"/>
      <c r="AF13" s="236">
        <f t="shared" si="2"/>
        <v>0</v>
      </c>
      <c r="AG13" s="236">
        <f t="shared" ca="1" si="3"/>
        <v>1</v>
      </c>
      <c r="AH13" s="236" t="str">
        <f t="shared" ca="1" si="19"/>
        <v/>
      </c>
      <c r="AJ13" s="236">
        <f t="shared" ca="1" si="4"/>
        <v>24</v>
      </c>
      <c r="AK13" s="236" t="str">
        <f t="shared" ca="1" si="20"/>
        <v>BBB+</v>
      </c>
      <c r="AL13" s="236">
        <f t="shared" ca="1" si="20"/>
        <v>19</v>
      </c>
      <c r="AM13" s="236" t="str">
        <f t="shared" ca="1" si="5"/>
        <v>Change</v>
      </c>
      <c r="AQ13" s="286" t="s">
        <v>29</v>
      </c>
      <c r="AR13" s="286" t="s">
        <v>16</v>
      </c>
      <c r="AS13" s="286">
        <v>19</v>
      </c>
      <c r="AT13" s="286" t="s">
        <v>286</v>
      </c>
      <c r="AV13" s="234">
        <f t="shared" si="21"/>
        <v>11</v>
      </c>
      <c r="AW13" s="234">
        <f>COUNTIF( AV$7:AV13, AV13 )</f>
        <v>3</v>
      </c>
      <c r="AX13" s="287">
        <f t="shared" si="22"/>
        <v>11.3</v>
      </c>
      <c r="AY13" s="234">
        <f t="shared" si="23"/>
        <v>13</v>
      </c>
      <c r="AZ13" s="236"/>
      <c r="BA13" s="236"/>
      <c r="BC13" s="234">
        <f t="shared" ca="1" si="24"/>
        <v>7</v>
      </c>
      <c r="BD13" s="288">
        <f t="shared" ca="1" si="7"/>
        <v>32</v>
      </c>
      <c r="BF13" s="240" t="str">
        <f t="shared" ca="1" si="8"/>
        <v>Eversource</v>
      </c>
      <c r="BG13" s="240" t="str">
        <f t="shared" ca="1" si="9"/>
        <v>A-</v>
      </c>
      <c r="BH13" s="240">
        <f t="shared" ca="1" si="9"/>
        <v>20</v>
      </c>
      <c r="BI13" s="240" t="str">
        <f t="shared" ca="1" si="9"/>
        <v>ES</v>
      </c>
    </row>
    <row r="14" spans="1:61" x14ac:dyDescent="0.2">
      <c r="A14" s="303" t="s">
        <v>14</v>
      </c>
      <c r="B14" s="304" t="s">
        <v>10</v>
      </c>
      <c r="C14" s="304">
        <v>20</v>
      </c>
      <c r="D14" s="304" t="s">
        <v>335</v>
      </c>
      <c r="E14" s="305" t="str">
        <f t="shared" ca="1" si="0"/>
        <v>R</v>
      </c>
      <c r="F14" s="306"/>
      <c r="G14" s="307">
        <f t="shared" ca="1" si="1"/>
        <v>58</v>
      </c>
      <c r="H14" s="250"/>
      <c r="I14" s="320"/>
      <c r="J14" s="291" t="s">
        <v>80</v>
      </c>
      <c r="K14" s="320"/>
      <c r="L14" s="291">
        <f>SUM(L8:L13)</f>
        <v>57</v>
      </c>
      <c r="M14" s="292">
        <f>L14/L$14</f>
        <v>1</v>
      </c>
      <c r="N14" s="320"/>
      <c r="O14" s="291">
        <f ca="1">SUM(O8:O13)</f>
        <v>37</v>
      </c>
      <c r="P14" s="292">
        <f ca="1">O14/O$14</f>
        <v>1</v>
      </c>
      <c r="Q14" s="320"/>
      <c r="R14" s="291">
        <f ca="1">SUM(R8:R13)</f>
        <v>17</v>
      </c>
      <c r="S14" s="292">
        <f ca="1">R14/R$14</f>
        <v>1</v>
      </c>
      <c r="T14" s="320"/>
      <c r="U14" s="291">
        <f ca="1">SUM(U8:U13)</f>
        <v>2</v>
      </c>
      <c r="V14" s="292">
        <f ca="1">U14/U$14</f>
        <v>1</v>
      </c>
      <c r="W14" s="320"/>
      <c r="Y14" s="261">
        <f>SUMPRODUCT( L8:L13, Y8:Y13 ) / L14</f>
        <v>18.350877192982455</v>
      </c>
      <c r="Z14" s="261"/>
      <c r="AA14" s="260">
        <f ca="1">SUM(AA8:AA13)</f>
        <v>56</v>
      </c>
      <c r="AE14" s="254"/>
      <c r="AF14" s="236">
        <f t="shared" si="2"/>
        <v>0</v>
      </c>
      <c r="AG14" s="236" t="str">
        <f t="shared" ca="1" si="3"/>
        <v/>
      </c>
      <c r="AH14" s="236" t="str">
        <f t="shared" ca="1" si="19"/>
        <v/>
      </c>
      <c r="AJ14" s="236">
        <f t="shared" ca="1" si="4"/>
        <v>15</v>
      </c>
      <c r="AK14" s="236" t="str">
        <f t="shared" ca="1" si="20"/>
        <v>A-</v>
      </c>
      <c r="AL14" s="236">
        <f t="shared" ca="1" si="20"/>
        <v>20</v>
      </c>
      <c r="AM14" s="236" t="str">
        <f t="shared" ca="1" si="5"/>
        <v/>
      </c>
      <c r="AQ14" s="286" t="s">
        <v>30</v>
      </c>
      <c r="AR14" s="286" t="s">
        <v>28</v>
      </c>
      <c r="AS14" s="286">
        <v>18</v>
      </c>
      <c r="AT14" s="286" t="s">
        <v>285</v>
      </c>
      <c r="AV14" s="234">
        <f>IF( LEN( AS14 ) = 0, 99, RANK( AS14, $AS$7:$AS$63 ) )</f>
        <v>24</v>
      </c>
      <c r="AW14" s="234">
        <f>COUNTIF( AV$7:AV14, AV14 )</f>
        <v>3</v>
      </c>
      <c r="AX14" s="287">
        <f t="shared" si="22"/>
        <v>24.3</v>
      </c>
      <c r="AY14" s="234">
        <f t="shared" si="23"/>
        <v>26</v>
      </c>
      <c r="AZ14" s="236"/>
      <c r="BA14" s="236"/>
      <c r="BC14" s="234">
        <f t="shared" ca="1" si="24"/>
        <v>8</v>
      </c>
      <c r="BD14" s="288">
        <f t="shared" ca="1" si="7"/>
        <v>51</v>
      </c>
      <c r="BF14" s="240" t="str">
        <f t="shared" ca="1" si="8"/>
        <v>Vectren Corporation</v>
      </c>
      <c r="BG14" s="240" t="str">
        <f t="shared" ca="1" si="9"/>
        <v>A-</v>
      </c>
      <c r="BH14" s="240">
        <f t="shared" ca="1" si="9"/>
        <v>20</v>
      </c>
      <c r="BI14" s="240" t="str">
        <f t="shared" ca="1" si="9"/>
        <v>VVC</v>
      </c>
    </row>
    <row r="15" spans="1:61" x14ac:dyDescent="0.2">
      <c r="A15" s="303" t="s">
        <v>26</v>
      </c>
      <c r="B15" s="304" t="s">
        <v>10</v>
      </c>
      <c r="C15" s="304">
        <v>20</v>
      </c>
      <c r="D15" s="304" t="s">
        <v>336</v>
      </c>
      <c r="E15" s="305" t="str">
        <f t="shared" ca="1" si="0"/>
        <v>R</v>
      </c>
      <c r="F15" s="306"/>
      <c r="G15" s="307">
        <f t="shared" ca="1" si="1"/>
        <v>60</v>
      </c>
      <c r="H15" s="250"/>
      <c r="I15" s="321"/>
      <c r="K15" s="321"/>
      <c r="N15" s="321"/>
      <c r="Q15" s="321"/>
      <c r="T15" s="321"/>
      <c r="W15" s="321"/>
      <c r="X15" s="240"/>
      <c r="AA15" s="240"/>
      <c r="AE15" s="254"/>
      <c r="AF15" s="236">
        <f t="shared" si="2"/>
        <v>0</v>
      </c>
      <c r="AG15" s="236" t="str">
        <f t="shared" ca="1" si="3"/>
        <v/>
      </c>
      <c r="AH15" s="236" t="str">
        <f t="shared" ca="1" si="19"/>
        <v/>
      </c>
      <c r="AJ15" s="236">
        <f t="shared" ca="1" si="4"/>
        <v>16</v>
      </c>
      <c r="AK15" s="236" t="str">
        <f t="shared" ca="1" si="20"/>
        <v>A-</v>
      </c>
      <c r="AL15" s="236">
        <f t="shared" ca="1" si="20"/>
        <v>20</v>
      </c>
      <c r="AM15" s="236" t="str">
        <f t="shared" ca="1" si="5"/>
        <v/>
      </c>
      <c r="AQ15" s="286" t="s">
        <v>60</v>
      </c>
      <c r="AR15" s="286" t="s">
        <v>49</v>
      </c>
      <c r="AS15" s="286">
        <v>17</v>
      </c>
      <c r="AT15" s="286" t="s">
        <v>284</v>
      </c>
      <c r="AV15" s="234">
        <f t="shared" si="21"/>
        <v>40</v>
      </c>
      <c r="AW15" s="234">
        <f>COUNTIF( AV$7:AV15, AV15 )</f>
        <v>3</v>
      </c>
      <c r="AX15" s="287">
        <f t="shared" si="22"/>
        <v>40.299999999999997</v>
      </c>
      <c r="AY15" s="234">
        <f t="shared" si="23"/>
        <v>42</v>
      </c>
      <c r="AZ15" s="236"/>
      <c r="BA15" s="236"/>
      <c r="BC15" s="234">
        <f t="shared" ca="1" si="24"/>
        <v>9</v>
      </c>
      <c r="BD15" s="288">
        <f t="shared" ca="1" si="7"/>
        <v>53</v>
      </c>
      <c r="BF15" s="240" t="str">
        <f t="shared" ca="1" si="8"/>
        <v>Wisconsin Energy Corporation</v>
      </c>
      <c r="BG15" s="240" t="str">
        <f t="shared" ca="1" si="9"/>
        <v>A-</v>
      </c>
      <c r="BH15" s="240">
        <f t="shared" ca="1" si="9"/>
        <v>20</v>
      </c>
      <c r="BI15" s="240" t="str">
        <f t="shared" ca="1" si="9"/>
        <v>WEC</v>
      </c>
    </row>
    <row r="16" spans="1:61" x14ac:dyDescent="0.2">
      <c r="A16" s="303" t="s">
        <v>258</v>
      </c>
      <c r="B16" s="304" t="s">
        <v>10</v>
      </c>
      <c r="C16" s="304">
        <v>20</v>
      </c>
      <c r="D16" s="304" t="s">
        <v>338</v>
      </c>
      <c r="E16" s="305" t="str">
        <f t="shared" ca="1" si="0"/>
        <v>R</v>
      </c>
      <c r="F16" s="306"/>
      <c r="G16" s="307">
        <f t="shared" ca="1" si="1"/>
        <v>61</v>
      </c>
      <c r="H16" s="250"/>
      <c r="I16" s="316"/>
      <c r="J16" s="290" t="s">
        <v>450</v>
      </c>
      <c r="K16" s="316"/>
      <c r="L16" s="463">
        <f t="array" ref="L16">SUM( IF( LEN( $C$7:$C$65 ) = 0, 0, $C$7:$C$65 ) ) / SUM( IF( LEN( $C$7:$C$65 ) = 0, 0, 1  ) )</f>
        <v>18.263157894736842</v>
      </c>
      <c r="M16" s="464"/>
      <c r="N16" s="316"/>
      <c r="O16" s="463">
        <f t="array" aca="1" ref="O16" ca="1">SUM( IF( LEN( $C$7:$C$65 ) = 0, 0, IF( $E$7:$E$65 = O3, $C$7:$C$65, 0 ) ) ) / SUM( IF( LEN( $C$7:$C$65 ) = 0, 0, IF( $E$7:$E$65 = O3, 1, 0 ) ) )</f>
        <v>18.297297297297298</v>
      </c>
      <c r="P16" s="464"/>
      <c r="Q16" s="316"/>
      <c r="R16" s="463">
        <f t="array" aca="1" ref="R16" ca="1">SUM( IF( LEN( $C$7:$C$65 ) = 0, 0, IF( $E$7:$E$65 = R3, $C$7:$C$65, 0 ) ) ) / SUM( IF( LEN( $C$7:$C$65 ) = 0, 0, IF( $E$7:$E$65 = R3, 1, 0 ) ) )</f>
        <v>18.764705882352942</v>
      </c>
      <c r="S16" s="464"/>
      <c r="T16" s="316"/>
      <c r="U16" s="463">
        <f t="array" aca="1" ref="U16" ca="1">SUM( IF( LEN( $C$7:$C$65 ) = 0, 0, IF( $E$7:$E$65 = U3, $C$7:$C$65, 0 ) ) ) / SUM( IF( LEN( $C$7:$C$65 ) = 0, 0, IF( $E$7:$E$65 = U3, 1, 0 ) ) )</f>
        <v>18</v>
      </c>
      <c r="V16" s="465"/>
      <c r="W16" s="316"/>
      <c r="AE16" s="254"/>
      <c r="AF16" s="236">
        <f t="shared" si="2"/>
        <v>0</v>
      </c>
      <c r="AG16" s="236" t="str">
        <f t="shared" ca="1" si="3"/>
        <v/>
      </c>
      <c r="AH16" s="236" t="str">
        <f t="shared" ca="1" si="19"/>
        <v/>
      </c>
      <c r="AJ16" s="236">
        <f t="shared" ca="1" si="4"/>
        <v>17</v>
      </c>
      <c r="AK16" s="236" t="str">
        <f t="shared" ca="1" si="20"/>
        <v>A-</v>
      </c>
      <c r="AL16" s="236">
        <f t="shared" ca="1" si="20"/>
        <v>20</v>
      </c>
      <c r="AM16" s="236" t="str">
        <f t="shared" ca="1" si="5"/>
        <v/>
      </c>
      <c r="AQ16" s="286" t="s">
        <v>3</v>
      </c>
      <c r="AR16" s="286" t="s">
        <v>10</v>
      </c>
      <c r="AS16" s="286">
        <v>20</v>
      </c>
      <c r="AT16" s="286" t="s">
        <v>292</v>
      </c>
      <c r="AV16" s="234">
        <f t="shared" si="21"/>
        <v>2</v>
      </c>
      <c r="AW16" s="234">
        <f>COUNTIF( AV$7:AV16, AV16 )</f>
        <v>1</v>
      </c>
      <c r="AX16" s="287">
        <f t="shared" si="22"/>
        <v>2.1</v>
      </c>
      <c r="AY16" s="234">
        <f t="shared" si="23"/>
        <v>2</v>
      </c>
      <c r="AZ16" s="236"/>
      <c r="BA16" s="236"/>
      <c r="BC16" s="234">
        <f t="shared" ca="1" si="24"/>
        <v>10</v>
      </c>
      <c r="BD16" s="288">
        <f t="shared" ca="1" si="7"/>
        <v>54</v>
      </c>
      <c r="BF16" s="240" t="str">
        <f t="shared" ca="1" si="8"/>
        <v>Xcel Energy Inc.</v>
      </c>
      <c r="BG16" s="240" t="str">
        <f t="shared" ca="1" si="9"/>
        <v>A-</v>
      </c>
      <c r="BH16" s="240">
        <f t="shared" ca="1" si="9"/>
        <v>20</v>
      </c>
      <c r="BI16" s="240" t="str">
        <f t="shared" ca="1" si="9"/>
        <v>XEL</v>
      </c>
    </row>
    <row r="17" spans="1:61" x14ac:dyDescent="0.2">
      <c r="A17" s="303" t="s">
        <v>15</v>
      </c>
      <c r="B17" s="304" t="s">
        <v>16</v>
      </c>
      <c r="C17" s="304">
        <v>19</v>
      </c>
      <c r="D17" s="304" t="s">
        <v>277</v>
      </c>
      <c r="E17" s="305" t="str">
        <f t="shared" ca="1" si="0"/>
        <v>R</v>
      </c>
      <c r="F17" s="306"/>
      <c r="G17" s="307">
        <f t="shared" ca="1" si="1"/>
        <v>7</v>
      </c>
      <c r="H17" s="250"/>
      <c r="I17" s="321"/>
      <c r="K17" s="321"/>
      <c r="N17" s="321"/>
      <c r="O17" s="240"/>
      <c r="Q17" s="321"/>
      <c r="T17" s="321"/>
      <c r="W17" s="321"/>
      <c r="AE17" s="245"/>
      <c r="AF17" s="236">
        <f t="shared" si="2"/>
        <v>1</v>
      </c>
      <c r="AG17" s="236" t="str">
        <f t="shared" ca="1" si="3"/>
        <v/>
      </c>
      <c r="AH17" s="236" t="str">
        <f t="shared" ca="1" si="19"/>
        <v/>
      </c>
      <c r="AJ17" s="236">
        <f t="shared" ca="1" si="4"/>
        <v>18</v>
      </c>
      <c r="AK17" s="236" t="str">
        <f t="shared" ca="1" si="20"/>
        <v>BBB+</v>
      </c>
      <c r="AL17" s="236">
        <f t="shared" ca="1" si="20"/>
        <v>19</v>
      </c>
      <c r="AM17" s="236" t="str">
        <f t="shared" ca="1" si="5"/>
        <v/>
      </c>
      <c r="AQ17" s="286" t="s">
        <v>18</v>
      </c>
      <c r="AR17" s="286" t="s">
        <v>10</v>
      </c>
      <c r="AS17" s="286">
        <v>20</v>
      </c>
      <c r="AT17" s="286" t="s">
        <v>86</v>
      </c>
      <c r="AV17" s="234">
        <f t="shared" si="21"/>
        <v>2</v>
      </c>
      <c r="AW17" s="234">
        <f>COUNTIF( AV$7:AV17, AV17 )</f>
        <v>2</v>
      </c>
      <c r="AX17" s="287">
        <f t="shared" si="22"/>
        <v>2.2000000000000002</v>
      </c>
      <c r="AY17" s="234">
        <f t="shared" si="23"/>
        <v>3</v>
      </c>
      <c r="AZ17" s="236"/>
      <c r="BA17" s="236"/>
      <c r="BC17" s="234">
        <f t="shared" ca="1" si="24"/>
        <v>11</v>
      </c>
      <c r="BD17" s="288">
        <f t="shared" ca="1" si="7"/>
        <v>1</v>
      </c>
      <c r="BF17" s="240" t="str">
        <f t="shared" ca="1" si="8"/>
        <v>ALLETE, Inc.</v>
      </c>
      <c r="BG17" s="240" t="str">
        <f t="shared" ca="1" si="9"/>
        <v>BBB+</v>
      </c>
      <c r="BH17" s="240">
        <f t="shared" ca="1" si="9"/>
        <v>19</v>
      </c>
      <c r="BI17" s="240" t="str">
        <f t="shared" ca="1" si="9"/>
        <v>ALE</v>
      </c>
    </row>
    <row r="18" spans="1:61" x14ac:dyDescent="0.2">
      <c r="A18" s="303" t="s">
        <v>17</v>
      </c>
      <c r="B18" s="304" t="s">
        <v>16</v>
      </c>
      <c r="C18" s="304">
        <v>19</v>
      </c>
      <c r="D18" s="304" t="s">
        <v>307</v>
      </c>
      <c r="E18" s="305" t="str">
        <f t="shared" ca="1" si="0"/>
        <v>R</v>
      </c>
      <c r="F18" s="306"/>
      <c r="G18" s="307">
        <f t="shared" ca="1" si="1"/>
        <v>8</v>
      </c>
      <c r="H18" s="250"/>
      <c r="I18" s="321"/>
      <c r="K18" s="321"/>
      <c r="N18" s="321"/>
      <c r="O18" s="240"/>
      <c r="Q18" s="321"/>
      <c r="T18" s="321"/>
      <c r="W18" s="321"/>
      <c r="AE18" s="254"/>
      <c r="AF18" s="236">
        <f t="shared" si="2"/>
        <v>1</v>
      </c>
      <c r="AG18" s="236" t="str">
        <f t="shared" ca="1" si="3"/>
        <v/>
      </c>
      <c r="AH18" s="236" t="str">
        <f t="shared" ca="1" si="19"/>
        <v/>
      </c>
      <c r="AJ18" s="236">
        <f t="shared" ca="1" si="4"/>
        <v>19</v>
      </c>
      <c r="AK18" s="236" t="str">
        <f t="shared" ca="1" si="20"/>
        <v>BBB+</v>
      </c>
      <c r="AL18" s="236">
        <f t="shared" ca="1" si="20"/>
        <v>19</v>
      </c>
      <c r="AM18" s="236" t="str">
        <f t="shared" ca="1" si="5"/>
        <v/>
      </c>
      <c r="AQ18" s="286" t="s">
        <v>64</v>
      </c>
      <c r="AR18" s="286" t="s">
        <v>49</v>
      </c>
      <c r="AS18" s="286">
        <v>17</v>
      </c>
      <c r="AT18" s="286" t="s">
        <v>443</v>
      </c>
      <c r="AV18" s="234">
        <f t="shared" si="21"/>
        <v>40</v>
      </c>
      <c r="AW18" s="234">
        <f>COUNTIF( AV$7:AV18, AV18 )</f>
        <v>4</v>
      </c>
      <c r="AX18" s="287">
        <f t="shared" si="22"/>
        <v>40.4</v>
      </c>
      <c r="AY18" s="234">
        <f t="shared" si="23"/>
        <v>43</v>
      </c>
      <c r="AZ18" s="236"/>
      <c r="BA18" s="236"/>
      <c r="BC18" s="234">
        <f t="shared" ca="1" si="24"/>
        <v>12</v>
      </c>
      <c r="BD18" s="288">
        <f t="shared" ca="1" si="7"/>
        <v>2</v>
      </c>
      <c r="BF18" s="240" t="str">
        <f t="shared" ca="1" si="8"/>
        <v>Alliant Energy Corporation</v>
      </c>
      <c r="BG18" s="240" t="str">
        <f t="shared" ca="1" si="9"/>
        <v>BBB+</v>
      </c>
      <c r="BH18" s="240">
        <f t="shared" ca="1" si="9"/>
        <v>19</v>
      </c>
      <c r="BI18" s="240" t="str">
        <f t="shared" ca="1" si="9"/>
        <v>LNT</v>
      </c>
    </row>
    <row r="19" spans="1:61" x14ac:dyDescent="0.2">
      <c r="A19" s="303" t="s">
        <v>29</v>
      </c>
      <c r="B19" s="304" t="s">
        <v>16</v>
      </c>
      <c r="C19" s="304">
        <v>19</v>
      </c>
      <c r="D19" s="304" t="s">
        <v>286</v>
      </c>
      <c r="E19" s="305" t="str">
        <f t="shared" ca="1" si="0"/>
        <v>MR</v>
      </c>
      <c r="F19" s="306"/>
      <c r="G19" s="307">
        <f t="shared" ca="1" si="1"/>
        <v>13</v>
      </c>
      <c r="H19" s="250"/>
      <c r="I19" s="321"/>
      <c r="K19" s="321"/>
      <c r="N19" s="321"/>
      <c r="O19" s="240"/>
      <c r="Q19" s="321"/>
      <c r="T19" s="321"/>
      <c r="W19" s="321"/>
      <c r="AE19" s="254"/>
      <c r="AF19" s="236">
        <f t="shared" si="2"/>
        <v>1</v>
      </c>
      <c r="AG19" s="236" t="str">
        <f t="shared" ca="1" si="3"/>
        <v/>
      </c>
      <c r="AH19" s="236" t="str">
        <f t="shared" ca="1" si="19"/>
        <v/>
      </c>
      <c r="AJ19" s="236">
        <f t="shared" ca="1" si="4"/>
        <v>20</v>
      </c>
      <c r="AK19" s="236" t="str">
        <f t="shared" ca="1" si="20"/>
        <v>BBB+</v>
      </c>
      <c r="AL19" s="236">
        <f t="shared" ca="1" si="20"/>
        <v>19</v>
      </c>
      <c r="AM19" s="236" t="str">
        <f t="shared" ca="1" si="5"/>
        <v/>
      </c>
      <c r="AQ19" s="286" t="s">
        <v>31</v>
      </c>
      <c r="AR19" s="286" t="s">
        <v>16</v>
      </c>
      <c r="AS19" s="286">
        <v>19</v>
      </c>
      <c r="AT19" s="289" t="s">
        <v>289</v>
      </c>
      <c r="AV19" s="234">
        <f t="shared" si="21"/>
        <v>11</v>
      </c>
      <c r="AW19" s="234">
        <f>COUNTIF( AV$7:AV19, AV19 )</f>
        <v>4</v>
      </c>
      <c r="AX19" s="287">
        <f t="shared" si="22"/>
        <v>11.4</v>
      </c>
      <c r="AY19" s="234">
        <f t="shared" si="23"/>
        <v>14</v>
      </c>
      <c r="AZ19" s="236"/>
      <c r="BA19" s="236"/>
      <c r="BC19" s="234">
        <f t="shared" ca="1" si="24"/>
        <v>13</v>
      </c>
      <c r="BD19" s="288">
        <f t="shared" ca="1" si="7"/>
        <v>7</v>
      </c>
      <c r="BF19" s="240" t="str">
        <f t="shared" ca="1" si="8"/>
        <v>CenterPoint Energy, Inc.</v>
      </c>
      <c r="BG19" s="240" t="str">
        <f t="shared" ca="1" si="9"/>
        <v>BBB+</v>
      </c>
      <c r="BH19" s="240">
        <f t="shared" ca="1" si="9"/>
        <v>19</v>
      </c>
      <c r="BI19" s="240" t="str">
        <f t="shared" ca="1" si="9"/>
        <v>CNP</v>
      </c>
    </row>
    <row r="20" spans="1:61" x14ac:dyDescent="0.2">
      <c r="A20" s="303" t="s">
        <v>31</v>
      </c>
      <c r="B20" s="304" t="s">
        <v>16</v>
      </c>
      <c r="C20" s="304">
        <v>19</v>
      </c>
      <c r="D20" s="304" t="s">
        <v>289</v>
      </c>
      <c r="E20" s="305" t="str">
        <f t="shared" ca="1" si="0"/>
        <v>R</v>
      </c>
      <c r="F20" s="306"/>
      <c r="G20" s="307">
        <f t="shared" ca="1" si="1"/>
        <v>21</v>
      </c>
      <c r="H20" s="250"/>
      <c r="I20" s="322"/>
      <c r="K20" s="322"/>
      <c r="N20" s="322"/>
      <c r="O20" s="240"/>
      <c r="Q20" s="322"/>
      <c r="T20" s="322"/>
      <c r="W20" s="322"/>
      <c r="AE20" s="254"/>
      <c r="AF20" s="236">
        <f t="shared" si="2"/>
        <v>1</v>
      </c>
      <c r="AG20" s="236" t="str">
        <f t="shared" ca="1" si="3"/>
        <v/>
      </c>
      <c r="AH20" s="236" t="str">
        <f t="shared" ca="1" si="19"/>
        <v/>
      </c>
      <c r="AJ20" s="236">
        <f t="shared" ca="1" si="4"/>
        <v>21</v>
      </c>
      <c r="AK20" s="236" t="str">
        <f t="shared" ca="1" si="20"/>
        <v>BBB+</v>
      </c>
      <c r="AL20" s="236">
        <f t="shared" ca="1" si="20"/>
        <v>19</v>
      </c>
      <c r="AM20" s="236" t="str">
        <f t="shared" ca="1" si="5"/>
        <v/>
      </c>
      <c r="AQ20" s="286" t="s">
        <v>32</v>
      </c>
      <c r="AR20" s="286" t="s">
        <v>10</v>
      </c>
      <c r="AS20" s="286">
        <v>20</v>
      </c>
      <c r="AT20" s="289" t="s">
        <v>290</v>
      </c>
      <c r="AV20" s="234">
        <f t="shared" si="21"/>
        <v>2</v>
      </c>
      <c r="AW20" s="234">
        <f>COUNTIF( AV$7:AV20, AV20 )</f>
        <v>3</v>
      </c>
      <c r="AX20" s="287">
        <f t="shared" si="22"/>
        <v>2.2999999999999998</v>
      </c>
      <c r="AY20" s="234">
        <f t="shared" si="23"/>
        <v>4</v>
      </c>
      <c r="AZ20" s="236"/>
      <c r="BA20" s="236"/>
      <c r="BC20" s="234">
        <f t="shared" ca="1" si="24"/>
        <v>14</v>
      </c>
      <c r="BD20" s="288">
        <f t="shared" ca="1" si="7"/>
        <v>13</v>
      </c>
      <c r="BF20" s="240" t="str">
        <f t="shared" ca="1" si="8"/>
        <v>DTE Energy Company</v>
      </c>
      <c r="BG20" s="240" t="str">
        <f t="shared" ca="1" si="9"/>
        <v>BBB+</v>
      </c>
      <c r="BH20" s="240">
        <f t="shared" ca="1" si="9"/>
        <v>19</v>
      </c>
      <c r="BI20" s="240" t="str">
        <f t="shared" ca="1" si="9"/>
        <v>DTE</v>
      </c>
    </row>
    <row r="21" spans="1:61" x14ac:dyDescent="0.2">
      <c r="A21" s="303" t="s">
        <v>452</v>
      </c>
      <c r="B21" s="304" t="s">
        <v>16</v>
      </c>
      <c r="C21" s="304">
        <v>19</v>
      </c>
      <c r="D21" s="304" t="s">
        <v>444</v>
      </c>
      <c r="E21" s="305" t="str">
        <f t="shared" ca="1" si="0"/>
        <v>R</v>
      </c>
      <c r="F21" s="306"/>
      <c r="G21" s="307">
        <f t="shared" ca="1" si="1"/>
        <v>63</v>
      </c>
      <c r="H21" s="250"/>
      <c r="I21" s="321"/>
      <c r="K21" s="321"/>
      <c r="N21" s="321"/>
      <c r="Q21" s="321"/>
      <c r="T21" s="321"/>
      <c r="W21" s="321"/>
      <c r="AE21" s="254"/>
      <c r="AF21" s="236">
        <f t="shared" si="2"/>
        <v>1</v>
      </c>
      <c r="AG21" s="236" t="str">
        <f t="shared" ca="1" si="3"/>
        <v/>
      </c>
      <c r="AH21" s="236">
        <f t="shared" ca="1" si="19"/>
        <v>1</v>
      </c>
      <c r="AJ21" s="236">
        <f t="shared" ca="1" si="4"/>
        <v>12</v>
      </c>
      <c r="AK21" s="236" t="str">
        <f t="shared" ca="1" si="20"/>
        <v>A-</v>
      </c>
      <c r="AL21" s="236">
        <f t="shared" ca="1" si="20"/>
        <v>20</v>
      </c>
      <c r="AM21" s="236" t="str">
        <f t="shared" ca="1" si="5"/>
        <v>Change</v>
      </c>
      <c r="AQ21" s="286" t="s">
        <v>57</v>
      </c>
      <c r="AR21" s="286" t="s">
        <v>49</v>
      </c>
      <c r="AS21" s="286">
        <v>17</v>
      </c>
      <c r="AT21" s="286" t="s">
        <v>296</v>
      </c>
      <c r="AV21" s="234">
        <f t="shared" si="21"/>
        <v>40</v>
      </c>
      <c r="AW21" s="234">
        <f>COUNTIF( AV$7:AV21, AV21 )</f>
        <v>5</v>
      </c>
      <c r="AX21" s="287">
        <f t="shared" si="22"/>
        <v>40.5</v>
      </c>
      <c r="AY21" s="234">
        <f t="shared" si="23"/>
        <v>44</v>
      </c>
      <c r="AZ21" s="236"/>
      <c r="BA21" s="236"/>
      <c r="BC21" s="234">
        <f t="shared" ca="1" si="24"/>
        <v>15</v>
      </c>
      <c r="BD21" s="288">
        <f t="shared" ca="1" si="7"/>
        <v>24</v>
      </c>
      <c r="BF21" s="240" t="str">
        <f t="shared" ca="1" si="8"/>
        <v>Iberdrola USA</v>
      </c>
      <c r="BG21" s="240" t="str">
        <f t="shared" ca="1" si="9"/>
        <v>BBB+</v>
      </c>
      <c r="BH21" s="240">
        <f t="shared" ca="1" si="9"/>
        <v>19</v>
      </c>
      <c r="BI21" s="240" t="str">
        <f t="shared" ca="1" si="9"/>
        <v>**EAST</v>
      </c>
    </row>
    <row r="22" spans="1:61" x14ac:dyDescent="0.2">
      <c r="A22" s="303" t="s">
        <v>12</v>
      </c>
      <c r="B22" s="304" t="s">
        <v>16</v>
      </c>
      <c r="C22" s="304">
        <v>19</v>
      </c>
      <c r="D22" s="304" t="s">
        <v>309</v>
      </c>
      <c r="E22" s="305" t="str">
        <f t="shared" ca="1" si="0"/>
        <v>D</v>
      </c>
      <c r="F22" s="306"/>
      <c r="G22" s="307">
        <f t="shared" ca="1" si="1"/>
        <v>33</v>
      </c>
      <c r="H22" s="250"/>
      <c r="I22" s="321"/>
      <c r="K22" s="321"/>
      <c r="N22" s="321"/>
      <c r="Q22" s="321"/>
      <c r="T22" s="321"/>
      <c r="W22" s="321"/>
      <c r="AE22" s="254"/>
      <c r="AF22" s="236">
        <f t="shared" si="2"/>
        <v>1</v>
      </c>
      <c r="AG22" s="236" t="str">
        <f t="shared" ca="1" si="3"/>
        <v/>
      </c>
      <c r="AH22" s="236" t="str">
        <f t="shared" ca="1" si="19"/>
        <v/>
      </c>
      <c r="AJ22" s="236">
        <f t="shared" ca="1" si="4"/>
        <v>22</v>
      </c>
      <c r="AK22" s="236" t="str">
        <f t="shared" ca="1" si="20"/>
        <v>BBB+</v>
      </c>
      <c r="AL22" s="236">
        <f t="shared" ca="1" si="20"/>
        <v>19</v>
      </c>
      <c r="AM22" s="236" t="str">
        <f t="shared" ca="1" si="5"/>
        <v/>
      </c>
      <c r="AQ22" s="286" t="s">
        <v>34</v>
      </c>
      <c r="AR22" s="286" t="s">
        <v>28</v>
      </c>
      <c r="AS22" s="286">
        <v>18</v>
      </c>
      <c r="AT22" s="286" t="s">
        <v>294</v>
      </c>
      <c r="AV22" s="234">
        <f t="shared" si="21"/>
        <v>24</v>
      </c>
      <c r="AW22" s="234">
        <f>COUNTIF( AV$7:AV22, AV22 )</f>
        <v>4</v>
      </c>
      <c r="AX22" s="287">
        <f t="shared" si="22"/>
        <v>24.4</v>
      </c>
      <c r="AY22" s="234">
        <f t="shared" si="23"/>
        <v>27</v>
      </c>
      <c r="AZ22" s="236"/>
      <c r="BA22" s="236"/>
      <c r="BC22" s="234">
        <f t="shared" ca="1" si="24"/>
        <v>16</v>
      </c>
      <c r="BD22" s="288">
        <f t="shared" ca="1" si="7"/>
        <v>28</v>
      </c>
      <c r="BF22" s="240" t="str">
        <f t="shared" ca="1" si="8"/>
        <v>MDU Resources Group, Inc.</v>
      </c>
      <c r="BG22" s="240" t="str">
        <f t="shared" ca="1" si="9"/>
        <v>BBB+</v>
      </c>
      <c r="BH22" s="240">
        <f t="shared" ca="1" si="9"/>
        <v>19</v>
      </c>
      <c r="BI22" s="240" t="str">
        <f t="shared" ca="1" si="9"/>
        <v>MDU</v>
      </c>
    </row>
    <row r="23" spans="1:61" x14ac:dyDescent="0.2">
      <c r="A23" s="303" t="s">
        <v>52</v>
      </c>
      <c r="B23" s="304" t="s">
        <v>16</v>
      </c>
      <c r="C23" s="304">
        <v>19</v>
      </c>
      <c r="D23" s="304" t="s">
        <v>447</v>
      </c>
      <c r="E23" s="305" t="str">
        <f t="shared" ca="1" si="0"/>
        <v>MR</v>
      </c>
      <c r="F23" s="306"/>
      <c r="G23" s="307">
        <f t="shared" ca="1" si="1"/>
        <v>67</v>
      </c>
      <c r="H23" s="250"/>
      <c r="I23" s="321"/>
      <c r="K23" s="321"/>
      <c r="N23" s="321"/>
      <c r="Q23" s="321"/>
      <c r="T23" s="321"/>
      <c r="W23" s="321"/>
      <c r="AE23" s="254"/>
      <c r="AF23" s="236">
        <f t="shared" si="2"/>
        <v>1</v>
      </c>
      <c r="AG23" s="236" t="str">
        <f t="shared" ca="1" si="3"/>
        <v/>
      </c>
      <c r="AH23" s="236" t="str">
        <f t="shared" ca="1" si="19"/>
        <v/>
      </c>
      <c r="AJ23" s="236">
        <f t="shared" ca="1" si="4"/>
        <v>23</v>
      </c>
      <c r="AK23" s="236" t="str">
        <f t="shared" ca="1" si="20"/>
        <v>BBB+</v>
      </c>
      <c r="AL23" s="236">
        <f t="shared" ca="1" si="20"/>
        <v>19</v>
      </c>
      <c r="AM23" s="236" t="str">
        <f t="shared" ca="1" si="5"/>
        <v/>
      </c>
      <c r="AQ23" s="286" t="s">
        <v>35</v>
      </c>
      <c r="AR23" s="286" t="s">
        <v>49</v>
      </c>
      <c r="AS23" s="286">
        <v>17</v>
      </c>
      <c r="AT23" s="286" t="s">
        <v>293</v>
      </c>
      <c r="AV23" s="234">
        <f t="shared" si="21"/>
        <v>40</v>
      </c>
      <c r="AW23" s="234">
        <f>COUNTIF( AV$7:AV23, AV23 )</f>
        <v>6</v>
      </c>
      <c r="AX23" s="287">
        <f t="shared" si="22"/>
        <v>40.6</v>
      </c>
      <c r="AY23" s="234">
        <f t="shared" si="23"/>
        <v>45</v>
      </c>
      <c r="AZ23" s="236"/>
      <c r="BA23" s="236"/>
      <c r="BC23" s="234">
        <f t="shared" ca="1" si="24"/>
        <v>17</v>
      </c>
      <c r="BD23" s="288">
        <f t="shared" ca="1" si="7"/>
        <v>29</v>
      </c>
      <c r="BF23" s="240" t="str">
        <f t="shared" ca="1" si="8"/>
        <v>MidAmerican Energy Holdings Company</v>
      </c>
      <c r="BG23" s="240" t="str">
        <f t="shared" ca="1" si="9"/>
        <v>BBB+</v>
      </c>
      <c r="BH23" s="240">
        <f t="shared" ca="1" si="9"/>
        <v>19</v>
      </c>
      <c r="BI23" s="240" t="str">
        <f t="shared" ca="1" si="9"/>
        <v>**BRK</v>
      </c>
    </row>
    <row r="24" spans="1:61" x14ac:dyDescent="0.2">
      <c r="A24" s="303" t="s">
        <v>21</v>
      </c>
      <c r="B24" s="304" t="s">
        <v>16</v>
      </c>
      <c r="C24" s="304">
        <v>19</v>
      </c>
      <c r="D24" s="304" t="s">
        <v>316</v>
      </c>
      <c r="E24" s="305" t="str">
        <f t="shared" ca="1" si="0"/>
        <v>MR</v>
      </c>
      <c r="F24" s="306"/>
      <c r="G24" s="307">
        <f t="shared" ca="1" si="1"/>
        <v>41</v>
      </c>
      <c r="H24" s="250"/>
      <c r="I24" s="321"/>
      <c r="J24" s="262"/>
      <c r="K24" s="321"/>
      <c r="N24" s="321"/>
      <c r="Q24" s="321"/>
      <c r="T24" s="321"/>
      <c r="W24" s="321"/>
      <c r="AE24" s="254"/>
      <c r="AF24" s="236">
        <f t="shared" si="2"/>
        <v>1</v>
      </c>
      <c r="AG24" s="236" t="str">
        <f t="shared" ca="1" si="3"/>
        <v/>
      </c>
      <c r="AH24" s="236" t="str">
        <f t="shared" ca="1" si="19"/>
        <v/>
      </c>
      <c r="AJ24" s="236">
        <f t="shared" ca="1" si="4"/>
        <v>25</v>
      </c>
      <c r="AK24" s="236" t="str">
        <f t="shared" ca="1" si="20"/>
        <v>BBB+</v>
      </c>
      <c r="AL24" s="236">
        <f t="shared" ca="1" si="20"/>
        <v>19</v>
      </c>
      <c r="AM24" s="236" t="str">
        <f t="shared" ca="1" si="5"/>
        <v/>
      </c>
      <c r="AQ24" s="286" t="s">
        <v>249</v>
      </c>
      <c r="AR24" s="286" t="s">
        <v>125</v>
      </c>
      <c r="AS24" s="286">
        <v>9</v>
      </c>
      <c r="AT24" s="286" t="s">
        <v>445</v>
      </c>
      <c r="AV24" s="234">
        <f t="shared" si="21"/>
        <v>54</v>
      </c>
      <c r="AW24" s="234">
        <f>COUNTIF( AV$7:AV24, AV24 )</f>
        <v>1</v>
      </c>
      <c r="AX24" s="287">
        <f t="shared" si="22"/>
        <v>54.1</v>
      </c>
      <c r="AY24" s="234">
        <f t="shared" si="23"/>
        <v>54</v>
      </c>
      <c r="AZ24" s="236"/>
      <c r="BA24" s="236"/>
      <c r="BC24" s="234">
        <f t="shared" ca="1" si="24"/>
        <v>18</v>
      </c>
      <c r="BD24" s="288">
        <f t="shared" ca="1" si="7"/>
        <v>35</v>
      </c>
      <c r="BF24" s="240" t="str">
        <f t="shared" ca="1" si="8"/>
        <v>OGE Energy Corp.</v>
      </c>
      <c r="BG24" s="240" t="str">
        <f t="shared" ca="1" si="9"/>
        <v>BBB+</v>
      </c>
      <c r="BH24" s="240">
        <f t="shared" ca="1" si="9"/>
        <v>19</v>
      </c>
      <c r="BI24" s="240" t="str">
        <f t="shared" ca="1" si="9"/>
        <v>OGE</v>
      </c>
    </row>
    <row r="25" spans="1:61" x14ac:dyDescent="0.2">
      <c r="A25" s="303" t="s">
        <v>23</v>
      </c>
      <c r="B25" s="304" t="s">
        <v>16</v>
      </c>
      <c r="C25" s="304">
        <v>19</v>
      </c>
      <c r="D25" s="304" t="s">
        <v>323</v>
      </c>
      <c r="E25" s="305" t="str">
        <f t="shared" ca="1" si="0"/>
        <v>MR</v>
      </c>
      <c r="F25" s="306"/>
      <c r="G25" s="307">
        <f t="shared" ca="1" si="1"/>
        <v>43</v>
      </c>
      <c r="H25" s="250"/>
      <c r="I25" s="321"/>
      <c r="J25" s="262"/>
      <c r="K25" s="321"/>
      <c r="N25" s="321"/>
      <c r="Q25" s="321"/>
      <c r="T25" s="321"/>
      <c r="W25" s="321"/>
      <c r="AE25" s="254"/>
      <c r="AF25" s="236">
        <f t="shared" si="2"/>
        <v>1</v>
      </c>
      <c r="AG25" s="236" t="str">
        <f t="shared" ca="1" si="3"/>
        <v/>
      </c>
      <c r="AH25" s="236" t="str">
        <f t="shared" ca="1" si="19"/>
        <v/>
      </c>
      <c r="AJ25" s="236">
        <f t="shared" ca="1" si="4"/>
        <v>26</v>
      </c>
      <c r="AK25" s="236" t="str">
        <f t="shared" ca="1" si="20"/>
        <v>BBB+</v>
      </c>
      <c r="AL25" s="236">
        <f t="shared" ca="1" si="20"/>
        <v>19</v>
      </c>
      <c r="AM25" s="236" t="str">
        <f t="shared" ca="1" si="5"/>
        <v/>
      </c>
      <c r="AQ25" s="286" t="s">
        <v>36</v>
      </c>
      <c r="AR25" s="286" t="s">
        <v>28</v>
      </c>
      <c r="AS25" s="286">
        <v>18</v>
      </c>
      <c r="AT25" s="286" t="s">
        <v>297</v>
      </c>
      <c r="AV25" s="234">
        <f t="shared" si="21"/>
        <v>24</v>
      </c>
      <c r="AW25" s="234">
        <f>COUNTIF( AV$7:AV25, AV25 )</f>
        <v>5</v>
      </c>
      <c r="AX25" s="287">
        <f t="shared" si="22"/>
        <v>24.5</v>
      </c>
      <c r="AY25" s="234">
        <f t="shared" si="23"/>
        <v>28</v>
      </c>
      <c r="AZ25" s="236"/>
      <c r="BA25" s="236"/>
      <c r="BC25" s="234">
        <f t="shared" ca="1" si="24"/>
        <v>19</v>
      </c>
      <c r="BD25" s="288">
        <f t="shared" ca="1" si="7"/>
        <v>37</v>
      </c>
      <c r="BF25" s="240" t="str">
        <f t="shared" ca="1" si="8"/>
        <v>Pepco Holdings, Inc.</v>
      </c>
      <c r="BG25" s="240" t="str">
        <f t="shared" ca="1" si="9"/>
        <v>BBB+</v>
      </c>
      <c r="BH25" s="240">
        <f t="shared" ca="1" si="9"/>
        <v>19</v>
      </c>
      <c r="BI25" s="240" t="str">
        <f t="shared" ca="1" si="9"/>
        <v>POM</v>
      </c>
    </row>
    <row r="26" spans="1:61" x14ac:dyDescent="0.2">
      <c r="A26" s="303" t="s">
        <v>257</v>
      </c>
      <c r="B26" s="304" t="s">
        <v>16</v>
      </c>
      <c r="C26" s="304">
        <v>19</v>
      </c>
      <c r="D26" s="304" t="s">
        <v>320</v>
      </c>
      <c r="E26" s="305" t="str">
        <f t="shared" ca="1" si="0"/>
        <v>R</v>
      </c>
      <c r="F26" s="306"/>
      <c r="G26" s="307">
        <f t="shared" ca="1" si="1"/>
        <v>49</v>
      </c>
      <c r="H26" s="250"/>
      <c r="I26" s="321"/>
      <c r="J26" s="262"/>
      <c r="K26" s="321"/>
      <c r="N26" s="321"/>
      <c r="Q26" s="321"/>
      <c r="T26" s="321"/>
      <c r="W26" s="321"/>
      <c r="AE26" s="254"/>
      <c r="AF26" s="236">
        <f t="shared" si="2"/>
        <v>1</v>
      </c>
      <c r="AG26" s="236" t="str">
        <f t="shared" ca="1" si="3"/>
        <v/>
      </c>
      <c r="AH26" s="236" t="str">
        <f t="shared" ca="1" si="19"/>
        <v/>
      </c>
      <c r="AJ26" s="236">
        <f t="shared" ca="1" si="4"/>
        <v>27</v>
      </c>
      <c r="AK26" s="236" t="str">
        <f t="shared" ca="1" si="20"/>
        <v>BBB+</v>
      </c>
      <c r="AL26" s="236">
        <f t="shared" ca="1" si="20"/>
        <v>19</v>
      </c>
      <c r="AM26" s="236" t="str">
        <f t="shared" ca="1" si="5"/>
        <v/>
      </c>
      <c r="AQ26" s="286" t="s">
        <v>11</v>
      </c>
      <c r="AR26" s="286" t="s">
        <v>28</v>
      </c>
      <c r="AS26" s="286">
        <v>18</v>
      </c>
      <c r="AT26" s="286" t="s">
        <v>298</v>
      </c>
      <c r="AV26" s="234">
        <f t="shared" si="21"/>
        <v>24</v>
      </c>
      <c r="AW26" s="234">
        <f>COUNTIF( AV$7:AV26, AV26 )</f>
        <v>6</v>
      </c>
      <c r="AX26" s="287">
        <f t="shared" si="22"/>
        <v>24.6</v>
      </c>
      <c r="AY26" s="234">
        <f t="shared" si="23"/>
        <v>29</v>
      </c>
      <c r="AZ26" s="236"/>
      <c r="BA26" s="236"/>
      <c r="BC26" s="234">
        <f t="shared" ca="1" si="24"/>
        <v>20</v>
      </c>
      <c r="BD26" s="288">
        <f t="shared" ca="1" si="7"/>
        <v>43</v>
      </c>
      <c r="BF26" s="240" t="str">
        <f t="shared" ca="1" si="8"/>
        <v>Progress Energy, Inc.</v>
      </c>
      <c r="BG26" s="240" t="str">
        <f t="shared" ca="1" si="9"/>
        <v>BBB+</v>
      </c>
      <c r="BH26" s="240">
        <f t="shared" ca="1" si="9"/>
        <v>19</v>
      </c>
      <c r="BI26" s="240" t="str">
        <f t="shared" ca="1" si="9"/>
        <v>PGN</v>
      </c>
    </row>
    <row r="27" spans="1:61" x14ac:dyDescent="0.2">
      <c r="A27" s="303" t="s">
        <v>13</v>
      </c>
      <c r="B27" s="304" t="s">
        <v>16</v>
      </c>
      <c r="C27" s="304">
        <v>19</v>
      </c>
      <c r="D27" s="304" t="s">
        <v>327</v>
      </c>
      <c r="E27" s="305" t="str">
        <f t="shared" ca="1" si="0"/>
        <v>MR</v>
      </c>
      <c r="F27" s="306"/>
      <c r="G27" s="307">
        <f t="shared" ca="1" si="1"/>
        <v>51</v>
      </c>
      <c r="H27" s="250"/>
      <c r="I27" s="321"/>
      <c r="J27" s="262"/>
      <c r="K27" s="321"/>
      <c r="N27" s="321"/>
      <c r="Q27" s="321"/>
      <c r="T27" s="321"/>
      <c r="W27" s="321"/>
      <c r="AE27" s="254"/>
      <c r="AF27" s="236">
        <f t="shared" si="2"/>
        <v>1</v>
      </c>
      <c r="AG27" s="236" t="str">
        <f t="shared" ca="1" si="3"/>
        <v/>
      </c>
      <c r="AH27" s="236" t="str">
        <f t="shared" ca="1" si="19"/>
        <v/>
      </c>
      <c r="AJ27" s="236">
        <f t="shared" ca="1" si="4"/>
        <v>28</v>
      </c>
      <c r="AK27" s="236" t="str">
        <f t="shared" ca="1" si="20"/>
        <v>BBB+</v>
      </c>
      <c r="AL27" s="236">
        <f t="shared" ca="1" si="20"/>
        <v>19</v>
      </c>
      <c r="AM27" s="236" t="str">
        <f t="shared" ca="1" si="5"/>
        <v/>
      </c>
      <c r="AQ27" s="286" t="s">
        <v>51</v>
      </c>
      <c r="AR27" s="286" t="s">
        <v>49</v>
      </c>
      <c r="AS27" s="286">
        <v>17</v>
      </c>
      <c r="AT27" s="286" t="s">
        <v>299</v>
      </c>
      <c r="AV27" s="234">
        <f t="shared" si="21"/>
        <v>40</v>
      </c>
      <c r="AW27" s="234">
        <f>COUNTIF( AV$7:AV27, AV27 )</f>
        <v>7</v>
      </c>
      <c r="AX27" s="287">
        <f t="shared" si="22"/>
        <v>40.700000000000003</v>
      </c>
      <c r="AY27" s="234">
        <f t="shared" si="23"/>
        <v>46</v>
      </c>
      <c r="AZ27" s="236"/>
      <c r="BA27" s="236"/>
      <c r="BC27" s="234">
        <f t="shared" ca="1" si="24"/>
        <v>21</v>
      </c>
      <c r="BD27" s="288">
        <f t="shared" ca="1" si="7"/>
        <v>46</v>
      </c>
      <c r="BF27" s="240" t="str">
        <f t="shared" ca="1" si="8"/>
        <v>SCANA Corporation</v>
      </c>
      <c r="BG27" s="240" t="str">
        <f t="shared" ca="1" si="9"/>
        <v>BBB+</v>
      </c>
      <c r="BH27" s="240">
        <f t="shared" ca="1" si="9"/>
        <v>19</v>
      </c>
      <c r="BI27" s="240" t="str">
        <f t="shared" ca="1" si="9"/>
        <v>SCG</v>
      </c>
    </row>
    <row r="28" spans="1:61" x14ac:dyDescent="0.2">
      <c r="A28" s="303" t="s">
        <v>25</v>
      </c>
      <c r="B28" s="304" t="s">
        <v>16</v>
      </c>
      <c r="C28" s="304">
        <v>19</v>
      </c>
      <c r="D28" s="304" t="s">
        <v>329</v>
      </c>
      <c r="E28" s="305" t="str">
        <f t="shared" ca="1" si="0"/>
        <v>MR</v>
      </c>
      <c r="F28" s="306"/>
      <c r="G28" s="307">
        <f t="shared" ca="1" si="1"/>
        <v>52</v>
      </c>
      <c r="H28" s="250"/>
      <c r="I28" s="321"/>
      <c r="J28" s="262"/>
      <c r="K28" s="321"/>
      <c r="N28" s="321"/>
      <c r="Q28" s="321"/>
      <c r="T28" s="321"/>
      <c r="W28" s="321"/>
      <c r="AE28" s="245"/>
      <c r="AF28" s="236">
        <f t="shared" si="2"/>
        <v>1</v>
      </c>
      <c r="AG28" s="236" t="str">
        <f t="shared" ca="1" si="3"/>
        <v/>
      </c>
      <c r="AH28" s="236" t="str">
        <f t="shared" ca="1" si="19"/>
        <v/>
      </c>
      <c r="AJ28" s="236">
        <f t="shared" ca="1" si="4"/>
        <v>29</v>
      </c>
      <c r="AK28" s="236" t="str">
        <f t="shared" ca="1" si="20"/>
        <v>BBB+</v>
      </c>
      <c r="AL28" s="236">
        <f t="shared" ca="1" si="20"/>
        <v>19</v>
      </c>
      <c r="AM28" s="236" t="str">
        <f t="shared" ca="1" si="5"/>
        <v/>
      </c>
      <c r="AQ28" s="286" t="s">
        <v>261</v>
      </c>
      <c r="AR28" s="286" t="s">
        <v>28</v>
      </c>
      <c r="AS28" s="286">
        <v>18</v>
      </c>
      <c r="AT28" s="286" t="s">
        <v>301</v>
      </c>
      <c r="AV28" s="234">
        <f t="shared" si="21"/>
        <v>24</v>
      </c>
      <c r="AW28" s="234">
        <f>COUNTIF( AV$7:AV28, AV28 )</f>
        <v>7</v>
      </c>
      <c r="AX28" s="287">
        <f t="shared" si="22"/>
        <v>24.7</v>
      </c>
      <c r="AY28" s="234">
        <f t="shared" si="23"/>
        <v>30</v>
      </c>
      <c r="AZ28" s="236"/>
      <c r="BA28" s="236"/>
      <c r="BC28" s="234">
        <f t="shared" ca="1" si="24"/>
        <v>22</v>
      </c>
      <c r="BD28" s="288">
        <f t="shared" ca="1" si="7"/>
        <v>47</v>
      </c>
      <c r="BF28" s="240" t="str">
        <f t="shared" ca="1" si="8"/>
        <v>Sempra Energy</v>
      </c>
      <c r="BG28" s="240" t="str">
        <f t="shared" ca="1" si="9"/>
        <v>BBB+</v>
      </c>
      <c r="BH28" s="240">
        <f t="shared" ca="1" si="9"/>
        <v>19</v>
      </c>
      <c r="BI28" s="240" t="str">
        <f t="shared" ca="1" si="9"/>
        <v>SRE</v>
      </c>
    </row>
    <row r="29" spans="1:61" x14ac:dyDescent="0.2">
      <c r="A29" s="303" t="s">
        <v>62</v>
      </c>
      <c r="B29" s="304" t="s">
        <v>16</v>
      </c>
      <c r="C29" s="304">
        <v>19</v>
      </c>
      <c r="D29" s="304" t="s">
        <v>330</v>
      </c>
      <c r="E29" s="305" t="str">
        <f t="shared" ca="1" si="0"/>
        <v>R</v>
      </c>
      <c r="F29" s="306"/>
      <c r="G29" s="307">
        <f t="shared" ca="1" si="1"/>
        <v>54</v>
      </c>
      <c r="H29" s="250"/>
      <c r="I29" s="321"/>
      <c r="J29" s="262"/>
      <c r="K29" s="321"/>
      <c r="N29" s="321"/>
      <c r="Q29" s="321"/>
      <c r="T29" s="321"/>
      <c r="W29" s="321"/>
      <c r="AF29" s="236">
        <f t="shared" si="2"/>
        <v>1</v>
      </c>
      <c r="AG29" s="236" t="str">
        <f t="shared" ca="1" si="3"/>
        <v/>
      </c>
      <c r="AH29" s="236" t="str">
        <f t="shared" ca="1" si="19"/>
        <v/>
      </c>
      <c r="AJ29" s="236">
        <f t="shared" ca="1" si="4"/>
        <v>30</v>
      </c>
      <c r="AK29" s="236" t="str">
        <f t="shared" ca="1" si="20"/>
        <v>BBB+</v>
      </c>
      <c r="AL29" s="236">
        <f t="shared" ca="1" si="20"/>
        <v>19</v>
      </c>
      <c r="AM29" s="236" t="str">
        <f t="shared" ca="1" si="5"/>
        <v/>
      </c>
      <c r="AQ29" s="286" t="s">
        <v>39</v>
      </c>
      <c r="AR29" s="286" t="s">
        <v>49</v>
      </c>
      <c r="AS29" s="286">
        <v>17</v>
      </c>
      <c r="AT29" s="286" t="s">
        <v>302</v>
      </c>
      <c r="AV29" s="234">
        <f t="shared" si="21"/>
        <v>40</v>
      </c>
      <c r="AW29" s="234">
        <f>COUNTIF( AV$7:AV29, AV29 )</f>
        <v>8</v>
      </c>
      <c r="AX29" s="287">
        <f t="shared" si="22"/>
        <v>40.799999999999997</v>
      </c>
      <c r="AY29" s="234">
        <f t="shared" si="23"/>
        <v>47</v>
      </c>
      <c r="AZ29" s="236"/>
      <c r="BA29" s="236"/>
      <c r="BC29" s="234">
        <f t="shared" ca="1" si="24"/>
        <v>23</v>
      </c>
      <c r="BD29" s="288">
        <f t="shared" ca="1" si="7"/>
        <v>49</v>
      </c>
      <c r="BF29" s="240" t="str">
        <f t="shared" ca="1" si="8"/>
        <v>TECO Energy, Inc.</v>
      </c>
      <c r="BG29" s="240" t="str">
        <f t="shared" ca="1" si="9"/>
        <v>BBB+</v>
      </c>
      <c r="BH29" s="240">
        <f t="shared" ca="1" si="9"/>
        <v>19</v>
      </c>
      <c r="BI29" s="240" t="str">
        <f t="shared" ca="1" si="9"/>
        <v>TE</v>
      </c>
    </row>
    <row r="30" spans="1:61" x14ac:dyDescent="0.2">
      <c r="A30" s="303" t="s">
        <v>259</v>
      </c>
      <c r="B30" s="304" t="s">
        <v>28</v>
      </c>
      <c r="C30" s="304">
        <v>18</v>
      </c>
      <c r="D30" s="304" t="s">
        <v>275</v>
      </c>
      <c r="E30" s="305" t="str">
        <f t="shared" ca="1" si="0"/>
        <v>R</v>
      </c>
      <c r="F30" s="306"/>
      <c r="G30" s="307">
        <f t="shared" ca="1" si="1"/>
        <v>10</v>
      </c>
      <c r="H30" s="250"/>
      <c r="I30" s="321"/>
      <c r="J30" s="262"/>
      <c r="K30" s="321"/>
      <c r="N30" s="321"/>
      <c r="Q30" s="321"/>
      <c r="T30" s="321"/>
      <c r="W30" s="321"/>
      <c r="AF30" s="236">
        <f t="shared" si="2"/>
        <v>0</v>
      </c>
      <c r="AG30" s="236" t="str">
        <f t="shared" ca="1" si="3"/>
        <v/>
      </c>
      <c r="AH30" s="236" t="str">
        <f t="shared" ca="1" si="19"/>
        <v/>
      </c>
      <c r="AJ30" s="236">
        <f t="shared" ca="1" si="4"/>
        <v>31</v>
      </c>
      <c r="AK30" s="236" t="str">
        <f t="shared" ca="1" si="20"/>
        <v>BBB</v>
      </c>
      <c r="AL30" s="236">
        <f t="shared" ca="1" si="20"/>
        <v>18</v>
      </c>
      <c r="AM30" s="236" t="str">
        <f t="shared" ca="1" si="5"/>
        <v/>
      </c>
      <c r="AQ30" s="286" t="s">
        <v>452</v>
      </c>
      <c r="AR30" s="286" t="s">
        <v>16</v>
      </c>
      <c r="AS30" s="286">
        <v>19</v>
      </c>
      <c r="AT30" s="286" t="s">
        <v>444</v>
      </c>
      <c r="AV30" s="234">
        <f t="shared" si="21"/>
        <v>11</v>
      </c>
      <c r="AW30" s="234">
        <f>COUNTIF( AV$7:AV30, AV30 )</f>
        <v>5</v>
      </c>
      <c r="AX30" s="287">
        <f t="shared" si="22"/>
        <v>11.5</v>
      </c>
      <c r="AY30" s="234">
        <f t="shared" si="23"/>
        <v>15</v>
      </c>
      <c r="AZ30" s="236"/>
      <c r="BA30" s="236"/>
      <c r="BC30" s="234">
        <f t="shared" ca="1" si="24"/>
        <v>24</v>
      </c>
      <c r="BD30" s="288">
        <f t="shared" ca="1" si="7"/>
        <v>4</v>
      </c>
      <c r="BF30" s="240" t="str">
        <f t="shared" ca="1" si="8"/>
        <v>American Electric Power Company, Inc.</v>
      </c>
      <c r="BG30" s="240" t="str">
        <f t="shared" ca="1" si="9"/>
        <v>BBB</v>
      </c>
      <c r="BH30" s="240">
        <f t="shared" ca="1" si="9"/>
        <v>18</v>
      </c>
      <c r="BI30" s="240" t="str">
        <f t="shared" ca="1" si="9"/>
        <v>AEP</v>
      </c>
    </row>
    <row r="31" spans="1:61" x14ac:dyDescent="0.2">
      <c r="A31" s="303" t="s">
        <v>55</v>
      </c>
      <c r="B31" s="304" t="s">
        <v>28</v>
      </c>
      <c r="C31" s="304">
        <v>18</v>
      </c>
      <c r="D31" s="304" t="s">
        <v>278</v>
      </c>
      <c r="E31" s="305" t="str">
        <f t="shared" ca="1" si="0"/>
        <v>R</v>
      </c>
      <c r="F31" s="306"/>
      <c r="G31" s="307">
        <f t="shared" ca="1" si="1"/>
        <v>11</v>
      </c>
      <c r="H31" s="250"/>
      <c r="I31" s="321"/>
      <c r="J31" s="262"/>
      <c r="K31" s="321"/>
      <c r="N31" s="321"/>
      <c r="O31" s="253"/>
      <c r="Q31" s="321"/>
      <c r="T31" s="321"/>
      <c r="W31" s="321"/>
      <c r="AF31" s="236">
        <f t="shared" si="2"/>
        <v>0</v>
      </c>
      <c r="AG31" s="236" t="str">
        <f t="shared" ca="1" si="3"/>
        <v/>
      </c>
      <c r="AH31" s="236" t="str">
        <f t="shared" ca="1" si="19"/>
        <v/>
      </c>
      <c r="AJ31" s="236">
        <f t="shared" ca="1" si="4"/>
        <v>32</v>
      </c>
      <c r="AK31" s="236" t="str">
        <f t="shared" ca="1" si="20"/>
        <v>BBB</v>
      </c>
      <c r="AL31" s="236">
        <f t="shared" ca="1" si="20"/>
        <v>18</v>
      </c>
      <c r="AM31" s="236" t="str">
        <f t="shared" ca="1" si="5"/>
        <v/>
      </c>
      <c r="AQ31" s="286" t="s">
        <v>20</v>
      </c>
      <c r="AR31" s="286" t="s">
        <v>28</v>
      </c>
      <c r="AS31" s="286">
        <v>18</v>
      </c>
      <c r="AT31" s="286" t="s">
        <v>303</v>
      </c>
      <c r="AV31" s="234">
        <f t="shared" si="21"/>
        <v>24</v>
      </c>
      <c r="AW31" s="234">
        <f>COUNTIF( AV$7:AV31, AV31 )</f>
        <v>8</v>
      </c>
      <c r="AX31" s="287">
        <f t="shared" si="22"/>
        <v>24.8</v>
      </c>
      <c r="AY31" s="234">
        <f t="shared" si="23"/>
        <v>31</v>
      </c>
      <c r="AZ31" s="236"/>
      <c r="BA31" s="236"/>
      <c r="BC31" s="234">
        <f t="shared" ca="1" si="24"/>
        <v>25</v>
      </c>
      <c r="BD31" s="288">
        <f t="shared" ca="1" si="7"/>
        <v>5</v>
      </c>
      <c r="BF31" s="240" t="str">
        <f t="shared" ca="1" si="8"/>
        <v>Avista Corporation</v>
      </c>
      <c r="BG31" s="240" t="str">
        <f t="shared" ca="1" si="9"/>
        <v>BBB</v>
      </c>
      <c r="BH31" s="240">
        <f t="shared" ca="1" si="9"/>
        <v>18</v>
      </c>
      <c r="BI31" s="240" t="str">
        <f t="shared" ca="1" si="9"/>
        <v>AVA</v>
      </c>
    </row>
    <row r="32" spans="1:61" x14ac:dyDescent="0.2">
      <c r="A32" s="303" t="s">
        <v>30</v>
      </c>
      <c r="B32" s="304" t="s">
        <v>28</v>
      </c>
      <c r="C32" s="304">
        <v>18</v>
      </c>
      <c r="D32" s="304" t="s">
        <v>285</v>
      </c>
      <c r="E32" s="305" t="str">
        <f t="shared" ca="1" si="0"/>
        <v>R</v>
      </c>
      <c r="F32" s="306"/>
      <c r="G32" s="307">
        <f t="shared" ca="1" si="1"/>
        <v>16</v>
      </c>
      <c r="H32" s="250"/>
      <c r="I32" s="321"/>
      <c r="J32" s="262"/>
      <c r="K32" s="321"/>
      <c r="N32" s="321"/>
      <c r="Q32" s="321"/>
      <c r="T32" s="321"/>
      <c r="W32" s="321"/>
      <c r="AF32" s="236">
        <f t="shared" si="2"/>
        <v>0</v>
      </c>
      <c r="AG32" s="236" t="str">
        <f t="shared" ca="1" si="3"/>
        <v/>
      </c>
      <c r="AH32" s="236" t="str">
        <f t="shared" ca="1" si="19"/>
        <v/>
      </c>
      <c r="AJ32" s="236">
        <f t="shared" ca="1" si="4"/>
        <v>33</v>
      </c>
      <c r="AK32" s="236" t="str">
        <f t="shared" ca="1" si="20"/>
        <v>BBB</v>
      </c>
      <c r="AL32" s="236">
        <f t="shared" ca="1" si="20"/>
        <v>18</v>
      </c>
      <c r="AM32" s="236" t="str">
        <f t="shared" ca="1" si="5"/>
        <v/>
      </c>
      <c r="AQ32" s="286" t="s">
        <v>254</v>
      </c>
      <c r="AR32" s="286" t="s">
        <v>10</v>
      </c>
      <c r="AS32" s="286">
        <v>20</v>
      </c>
      <c r="AT32" s="286" t="s">
        <v>331</v>
      </c>
      <c r="AV32" s="234">
        <f t="shared" si="21"/>
        <v>2</v>
      </c>
      <c r="AW32" s="234">
        <f>COUNTIF( AV$7:AV32, AV32 )</f>
        <v>4</v>
      </c>
      <c r="AX32" s="287">
        <f t="shared" si="22"/>
        <v>2.4</v>
      </c>
      <c r="AY32" s="234">
        <f t="shared" si="23"/>
        <v>5</v>
      </c>
      <c r="AZ32" s="236"/>
      <c r="BA32" s="236"/>
      <c r="BC32" s="234">
        <f t="shared" ca="1" si="24"/>
        <v>26</v>
      </c>
      <c r="BD32" s="288">
        <f t="shared" ca="1" si="7"/>
        <v>8</v>
      </c>
      <c r="BF32" s="240" t="str">
        <f t="shared" ca="1" si="8"/>
        <v>Cleco Corporation</v>
      </c>
      <c r="BG32" s="240" t="str">
        <f t="shared" ca="1" si="9"/>
        <v>BBB</v>
      </c>
      <c r="BH32" s="240">
        <f t="shared" ca="1" si="9"/>
        <v>18</v>
      </c>
      <c r="BI32" s="240" t="str">
        <f t="shared" ca="1" si="9"/>
        <v>CNL</v>
      </c>
    </row>
    <row r="33" spans="1:61" x14ac:dyDescent="0.2">
      <c r="A33" s="303" t="s">
        <v>34</v>
      </c>
      <c r="B33" s="304" t="s">
        <v>28</v>
      </c>
      <c r="C33" s="304">
        <v>18</v>
      </c>
      <c r="D33" s="304" t="s">
        <v>294</v>
      </c>
      <c r="E33" s="305" t="str">
        <f t="shared" ca="1" si="0"/>
        <v>R</v>
      </c>
      <c r="F33" s="306"/>
      <c r="G33" s="307">
        <f t="shared" ca="1" si="1"/>
        <v>24</v>
      </c>
      <c r="H33" s="250"/>
      <c r="I33" s="321"/>
      <c r="J33" s="262"/>
      <c r="K33" s="321"/>
      <c r="N33" s="321"/>
      <c r="Q33" s="321"/>
      <c r="T33" s="321"/>
      <c r="W33" s="321"/>
      <c r="AF33" s="236">
        <f t="shared" si="2"/>
        <v>0</v>
      </c>
      <c r="AG33" s="236" t="str">
        <f t="shared" ca="1" si="3"/>
        <v/>
      </c>
      <c r="AH33" s="236" t="str">
        <f t="shared" ca="1" si="19"/>
        <v/>
      </c>
      <c r="AJ33" s="236">
        <f t="shared" ca="1" si="4"/>
        <v>34</v>
      </c>
      <c r="AK33" s="236" t="str">
        <f t="shared" ca="1" si="20"/>
        <v>BBB</v>
      </c>
      <c r="AL33" s="236">
        <f t="shared" ca="1" si="20"/>
        <v>18</v>
      </c>
      <c r="AM33" s="236" t="str">
        <f t="shared" ca="1" si="5"/>
        <v/>
      </c>
      <c r="AQ33" s="286" t="s">
        <v>58</v>
      </c>
      <c r="AR33" s="286" t="s">
        <v>49</v>
      </c>
      <c r="AS33" s="286">
        <v>17</v>
      </c>
      <c r="AT33" s="286" t="s">
        <v>446</v>
      </c>
      <c r="AV33" s="234">
        <f t="shared" si="21"/>
        <v>40</v>
      </c>
      <c r="AW33" s="234">
        <f>COUNTIF( AV$7:AV33, AV33 )</f>
        <v>9</v>
      </c>
      <c r="AX33" s="287">
        <f t="shared" si="22"/>
        <v>40.9</v>
      </c>
      <c r="AY33" s="234">
        <f t="shared" si="23"/>
        <v>48</v>
      </c>
      <c r="AZ33" s="236"/>
      <c r="BA33" s="236"/>
      <c r="BC33" s="234">
        <f t="shared" ca="1" si="24"/>
        <v>27</v>
      </c>
      <c r="BD33" s="288">
        <f t="shared" ca="1" si="7"/>
        <v>16</v>
      </c>
      <c r="BF33" s="240" t="str">
        <f t="shared" ca="1" si="8"/>
        <v>El Paso Electric Company</v>
      </c>
      <c r="BG33" s="240" t="str">
        <f t="shared" ca="1" si="9"/>
        <v>BBB</v>
      </c>
      <c r="BH33" s="240">
        <f t="shared" ca="1" si="9"/>
        <v>18</v>
      </c>
      <c r="BI33" s="240" t="str">
        <f t="shared" ca="1" si="9"/>
        <v>EE</v>
      </c>
    </row>
    <row r="34" spans="1:61" x14ac:dyDescent="0.2">
      <c r="A34" s="303" t="s">
        <v>36</v>
      </c>
      <c r="B34" s="304" t="s">
        <v>28</v>
      </c>
      <c r="C34" s="304">
        <v>18</v>
      </c>
      <c r="D34" s="304" t="s">
        <v>297</v>
      </c>
      <c r="E34" s="305" t="str">
        <f t="shared" ca="1" si="0"/>
        <v>R</v>
      </c>
      <c r="F34" s="306"/>
      <c r="G34" s="307">
        <f t="shared" ca="1" si="1"/>
        <v>26</v>
      </c>
      <c r="H34" s="250"/>
      <c r="I34" s="321"/>
      <c r="J34" s="262"/>
      <c r="K34" s="321"/>
      <c r="L34" s="235"/>
      <c r="M34" s="235"/>
      <c r="N34" s="321"/>
      <c r="Q34" s="321"/>
      <c r="T34" s="321"/>
      <c r="W34" s="321"/>
      <c r="AF34" s="236">
        <f t="shared" si="2"/>
        <v>0</v>
      </c>
      <c r="AG34" s="236" t="str">
        <f t="shared" ca="1" si="3"/>
        <v/>
      </c>
      <c r="AH34" s="236" t="str">
        <f t="shared" ca="1" si="19"/>
        <v/>
      </c>
      <c r="AJ34" s="236">
        <f t="shared" ca="1" si="4"/>
        <v>35</v>
      </c>
      <c r="AK34" s="236" t="str">
        <f t="shared" ca="1" si="20"/>
        <v>BBB</v>
      </c>
      <c r="AL34" s="236">
        <f t="shared" ca="1" si="20"/>
        <v>18</v>
      </c>
      <c r="AM34" s="236" t="str">
        <f t="shared" ca="1" si="5"/>
        <v/>
      </c>
      <c r="AQ34" s="286" t="s">
        <v>12</v>
      </c>
      <c r="AR34" s="286" t="s">
        <v>16</v>
      </c>
      <c r="AS34" s="286">
        <v>19</v>
      </c>
      <c r="AT34" s="286" t="s">
        <v>309</v>
      </c>
      <c r="AV34" s="234">
        <f t="shared" si="21"/>
        <v>11</v>
      </c>
      <c r="AW34" s="234">
        <f>COUNTIF( AV$7:AV34, AV34 )</f>
        <v>6</v>
      </c>
      <c r="AX34" s="287">
        <f t="shared" si="22"/>
        <v>11.6</v>
      </c>
      <c r="AY34" s="234">
        <f t="shared" si="23"/>
        <v>16</v>
      </c>
      <c r="AZ34" s="236"/>
      <c r="BA34" s="236"/>
      <c r="BC34" s="234">
        <f t="shared" ca="1" si="24"/>
        <v>28</v>
      </c>
      <c r="BD34" s="288">
        <f t="shared" ca="1" si="7"/>
        <v>19</v>
      </c>
      <c r="BF34" s="240" t="str">
        <f t="shared" ca="1" si="8"/>
        <v>Entergy Corporation</v>
      </c>
      <c r="BG34" s="240" t="str">
        <f t="shared" ca="1" si="9"/>
        <v>BBB</v>
      </c>
      <c r="BH34" s="240">
        <f t="shared" ca="1" si="9"/>
        <v>18</v>
      </c>
      <c r="BI34" s="240" t="str">
        <f t="shared" ca="1" si="9"/>
        <v>ETR</v>
      </c>
    </row>
    <row r="35" spans="1:61" x14ac:dyDescent="0.2">
      <c r="A35" s="303" t="s">
        <v>11</v>
      </c>
      <c r="B35" s="304" t="s">
        <v>28</v>
      </c>
      <c r="C35" s="304">
        <v>18</v>
      </c>
      <c r="D35" s="304" t="s">
        <v>298</v>
      </c>
      <c r="E35" s="305" t="str">
        <f t="shared" ca="1" si="0"/>
        <v>MR</v>
      </c>
      <c r="F35" s="306"/>
      <c r="G35" s="307">
        <f t="shared" ca="1" si="1"/>
        <v>27</v>
      </c>
      <c r="H35" s="250"/>
      <c r="I35" s="321"/>
      <c r="K35" s="321"/>
      <c r="L35" s="235"/>
      <c r="M35" s="235"/>
      <c r="N35" s="321"/>
      <c r="Q35" s="321"/>
      <c r="T35" s="321"/>
      <c r="W35" s="321"/>
      <c r="AF35" s="236">
        <f t="shared" si="2"/>
        <v>0</v>
      </c>
      <c r="AG35" s="236" t="str">
        <f t="shared" ca="1" si="3"/>
        <v/>
      </c>
      <c r="AH35" s="236" t="str">
        <f t="shared" ca="1" si="19"/>
        <v/>
      </c>
      <c r="AJ35" s="236">
        <f t="shared" ca="1" si="4"/>
        <v>36</v>
      </c>
      <c r="AK35" s="236" t="str">
        <f t="shared" ca="1" si="20"/>
        <v>BBB</v>
      </c>
      <c r="AL35" s="236">
        <f t="shared" ca="1" si="20"/>
        <v>18</v>
      </c>
      <c r="AM35" s="236" t="str">
        <f t="shared" ca="1" si="5"/>
        <v/>
      </c>
      <c r="AQ35" s="286" t="s">
        <v>52</v>
      </c>
      <c r="AR35" s="286" t="s">
        <v>16</v>
      </c>
      <c r="AS35" s="286">
        <v>19</v>
      </c>
      <c r="AT35" s="286" t="s">
        <v>447</v>
      </c>
      <c r="AV35" s="234">
        <f t="shared" si="21"/>
        <v>11</v>
      </c>
      <c r="AW35" s="234">
        <f>COUNTIF( AV$7:AV35, AV35 )</f>
        <v>7</v>
      </c>
      <c r="AX35" s="287">
        <f t="shared" si="22"/>
        <v>11.7</v>
      </c>
      <c r="AY35" s="234">
        <f t="shared" si="23"/>
        <v>17</v>
      </c>
      <c r="AZ35" s="236"/>
      <c r="BA35" s="236"/>
      <c r="BC35" s="234">
        <f t="shared" ca="1" si="24"/>
        <v>29</v>
      </c>
      <c r="BD35" s="288">
        <f t="shared" ca="1" si="7"/>
        <v>20</v>
      </c>
      <c r="BF35" s="240" t="str">
        <f t="shared" ca="1" si="8"/>
        <v>Exelon Corporation</v>
      </c>
      <c r="BG35" s="240" t="str">
        <f t="shared" ca="1" si="9"/>
        <v>BBB</v>
      </c>
      <c r="BH35" s="240">
        <f t="shared" ca="1" si="9"/>
        <v>18</v>
      </c>
      <c r="BI35" s="240" t="str">
        <f t="shared" ca="1" si="9"/>
        <v>EXC</v>
      </c>
    </row>
    <row r="36" spans="1:61" x14ac:dyDescent="0.2">
      <c r="A36" s="303" t="s">
        <v>261</v>
      </c>
      <c r="B36" s="304" t="s">
        <v>28</v>
      </c>
      <c r="C36" s="304">
        <v>18</v>
      </c>
      <c r="D36" s="304" t="s">
        <v>301</v>
      </c>
      <c r="E36" s="305" t="str">
        <f t="shared" ca="1" si="0"/>
        <v>R</v>
      </c>
      <c r="F36" s="306"/>
      <c r="G36" s="307">
        <f t="shared" ca="1" si="1"/>
        <v>29</v>
      </c>
      <c r="H36" s="250"/>
      <c r="I36" s="321"/>
      <c r="J36" s="262"/>
      <c r="K36" s="321"/>
      <c r="L36" s="263"/>
      <c r="M36" s="263"/>
      <c r="N36" s="321"/>
      <c r="Q36" s="321"/>
      <c r="T36" s="321"/>
      <c r="W36" s="321"/>
      <c r="AF36" s="236">
        <f t="shared" si="2"/>
        <v>0</v>
      </c>
      <c r="AG36" s="236" t="str">
        <f t="shared" ca="1" si="3"/>
        <v/>
      </c>
      <c r="AH36" s="236" t="str">
        <f t="shared" ca="1" si="19"/>
        <v/>
      </c>
      <c r="AJ36" s="236">
        <f t="shared" ca="1" si="4"/>
        <v>37</v>
      </c>
      <c r="AK36" s="236" t="str">
        <f t="shared" ca="1" si="20"/>
        <v>BBB</v>
      </c>
      <c r="AL36" s="236">
        <f t="shared" ca="1" si="20"/>
        <v>18</v>
      </c>
      <c r="AM36" s="236" t="str">
        <f t="shared" ca="1" si="5"/>
        <v/>
      </c>
      <c r="AQ36" s="286" t="s">
        <v>370</v>
      </c>
      <c r="AR36" s="286" t="s">
        <v>10</v>
      </c>
      <c r="AS36" s="286">
        <v>20</v>
      </c>
      <c r="AT36" s="286" t="s">
        <v>369</v>
      </c>
      <c r="AV36" s="234">
        <f t="shared" si="21"/>
        <v>2</v>
      </c>
      <c r="AW36" s="234">
        <f>COUNTIF( AV$7:AV36, AV36 )</f>
        <v>5</v>
      </c>
      <c r="AX36" s="287">
        <f t="shared" si="22"/>
        <v>2.5</v>
      </c>
      <c r="AY36" s="234">
        <f t="shared" si="23"/>
        <v>6</v>
      </c>
      <c r="AZ36" s="236"/>
      <c r="BA36" s="236"/>
      <c r="BC36" s="234">
        <f t="shared" ca="1" si="24"/>
        <v>30</v>
      </c>
      <c r="BD36" s="288">
        <f t="shared" ca="1" si="7"/>
        <v>22</v>
      </c>
      <c r="BF36" s="240" t="str">
        <f t="shared" ca="1" si="8"/>
        <v>Great Plains Energy Inc.</v>
      </c>
      <c r="BG36" s="240" t="str">
        <f t="shared" ca="1" si="9"/>
        <v>BBB</v>
      </c>
      <c r="BH36" s="240">
        <f t="shared" ca="1" si="9"/>
        <v>18</v>
      </c>
      <c r="BI36" s="240" t="str">
        <f t="shared" ca="1" si="9"/>
        <v>GXP</v>
      </c>
    </row>
    <row r="37" spans="1:61" x14ac:dyDescent="0.2">
      <c r="A37" s="303" t="s">
        <v>20</v>
      </c>
      <c r="B37" s="304" t="s">
        <v>28</v>
      </c>
      <c r="C37" s="304">
        <v>18</v>
      </c>
      <c r="D37" s="304" t="s">
        <v>303</v>
      </c>
      <c r="E37" s="305" t="str">
        <f t="shared" ca="1" si="0"/>
        <v>R</v>
      </c>
      <c r="F37" s="306"/>
      <c r="G37" s="307">
        <f t="shared" ca="1" si="1"/>
        <v>31</v>
      </c>
      <c r="H37" s="250"/>
      <c r="I37" s="321"/>
      <c r="K37" s="321"/>
      <c r="L37" s="264"/>
      <c r="M37" s="235"/>
      <c r="N37" s="321"/>
      <c r="Q37" s="321"/>
      <c r="T37" s="321"/>
      <c r="W37" s="321"/>
      <c r="AF37" s="236">
        <f t="shared" si="2"/>
        <v>0</v>
      </c>
      <c r="AG37" s="236" t="str">
        <f t="shared" ca="1" si="3"/>
        <v/>
      </c>
      <c r="AH37" s="236" t="str">
        <f t="shared" ca="1" si="19"/>
        <v/>
      </c>
      <c r="AJ37" s="236">
        <f t="shared" ca="1" si="4"/>
        <v>38</v>
      </c>
      <c r="AK37" s="236" t="str">
        <f t="shared" ca="1" si="20"/>
        <v>BBB</v>
      </c>
      <c r="AL37" s="236">
        <f t="shared" ca="1" si="20"/>
        <v>18</v>
      </c>
      <c r="AM37" s="236" t="str">
        <f t="shared" ca="1" si="5"/>
        <v/>
      </c>
      <c r="AQ37" s="286" t="s">
        <v>40</v>
      </c>
      <c r="AR37" s="286" t="s">
        <v>49</v>
      </c>
      <c r="AS37" s="286">
        <v>17</v>
      </c>
      <c r="AT37" s="286" t="s">
        <v>311</v>
      </c>
      <c r="AV37" s="234">
        <f t="shared" si="21"/>
        <v>40</v>
      </c>
      <c r="AW37" s="234">
        <f>COUNTIF( AV$7:AV37, AV37 )</f>
        <v>10</v>
      </c>
      <c r="AX37" s="287">
        <f t="shared" si="22"/>
        <v>41</v>
      </c>
      <c r="AY37" s="234">
        <f t="shared" si="23"/>
        <v>49</v>
      </c>
      <c r="AZ37" s="236"/>
      <c r="BA37" s="236"/>
      <c r="BC37" s="234">
        <f t="shared" ca="1" si="24"/>
        <v>31</v>
      </c>
      <c r="BD37" s="288">
        <f t="shared" ca="1" si="7"/>
        <v>25</v>
      </c>
      <c r="BF37" s="240" t="str">
        <f t="shared" ca="1" si="8"/>
        <v>IDACORP, Inc.</v>
      </c>
      <c r="BG37" s="240" t="str">
        <f t="shared" ca="1" si="9"/>
        <v>BBB</v>
      </c>
      <c r="BH37" s="240">
        <f t="shared" ca="1" si="9"/>
        <v>18</v>
      </c>
      <c r="BI37" s="240" t="str">
        <f t="shared" ca="1" si="9"/>
        <v>IDA</v>
      </c>
    </row>
    <row r="38" spans="1:61" x14ac:dyDescent="0.2">
      <c r="A38" s="303" t="s">
        <v>66</v>
      </c>
      <c r="B38" s="304" t="s">
        <v>28</v>
      </c>
      <c r="C38" s="304">
        <v>18</v>
      </c>
      <c r="D38" s="304" t="s">
        <v>315</v>
      </c>
      <c r="E38" s="305" t="str">
        <f t="shared" ca="1" si="0"/>
        <v>R</v>
      </c>
      <c r="F38" s="306"/>
      <c r="G38" s="307">
        <f t="shared" ca="1" si="1"/>
        <v>38</v>
      </c>
      <c r="H38" s="250"/>
      <c r="I38" s="321"/>
      <c r="J38" s="262"/>
      <c r="K38" s="321"/>
      <c r="L38" s="264"/>
      <c r="M38" s="235"/>
      <c r="N38" s="321"/>
      <c r="Q38" s="321"/>
      <c r="T38" s="321"/>
      <c r="W38" s="321"/>
      <c r="AF38" s="236">
        <f t="shared" si="2"/>
        <v>0</v>
      </c>
      <c r="AG38" s="236" t="str">
        <f t="shared" ca="1" si="3"/>
        <v/>
      </c>
      <c r="AH38" s="236" t="str">
        <f t="shared" ca="1" si="19"/>
        <v/>
      </c>
      <c r="AJ38" s="236">
        <f t="shared" ca="1" si="4"/>
        <v>39</v>
      </c>
      <c r="AK38" s="236" t="str">
        <f t="shared" ca="1" si="20"/>
        <v>BBB</v>
      </c>
      <c r="AL38" s="236">
        <f t="shared" ca="1" si="20"/>
        <v>18</v>
      </c>
      <c r="AM38" s="236" t="str">
        <f t="shared" ca="1" si="5"/>
        <v/>
      </c>
      <c r="AQ38" s="286" t="s">
        <v>513</v>
      </c>
      <c r="AR38" s="286" t="s">
        <v>10</v>
      </c>
      <c r="AS38" s="286">
        <v>20</v>
      </c>
      <c r="AT38" s="286" t="s">
        <v>512</v>
      </c>
      <c r="AV38" s="234">
        <f t="shared" si="21"/>
        <v>2</v>
      </c>
      <c r="AW38" s="234">
        <f>COUNTIF( AV$7:AV38, AV38 )</f>
        <v>6</v>
      </c>
      <c r="AX38" s="287">
        <f t="shared" si="22"/>
        <v>2.6</v>
      </c>
      <c r="AY38" s="234">
        <f t="shared" si="23"/>
        <v>7</v>
      </c>
      <c r="AZ38" s="236"/>
      <c r="BA38" s="236"/>
      <c r="BC38" s="234">
        <f t="shared" ca="1" si="24"/>
        <v>32</v>
      </c>
      <c r="BD38" s="288">
        <f t="shared" ca="1" si="7"/>
        <v>33</v>
      </c>
      <c r="BF38" s="240" t="str">
        <f t="shared" ca="1" si="8"/>
        <v>NorthWestern Corporation</v>
      </c>
      <c r="BG38" s="240" t="str">
        <f t="shared" ca="1" si="9"/>
        <v>BBB</v>
      </c>
      <c r="BH38" s="240">
        <f t="shared" ca="1" si="9"/>
        <v>18</v>
      </c>
      <c r="BI38" s="240" t="str">
        <f t="shared" ca="1" si="9"/>
        <v>NWE</v>
      </c>
    </row>
    <row r="39" spans="1:61" x14ac:dyDescent="0.2">
      <c r="A39" s="303" t="s">
        <v>53</v>
      </c>
      <c r="B39" s="304" t="s">
        <v>28</v>
      </c>
      <c r="C39" s="304">
        <v>18</v>
      </c>
      <c r="D39" s="304" t="s">
        <v>318</v>
      </c>
      <c r="E39" s="305" t="str">
        <f t="shared" ca="1" si="0"/>
        <v>R</v>
      </c>
      <c r="F39" s="306"/>
      <c r="G39" s="307">
        <f t="shared" ca="1" si="1"/>
        <v>44</v>
      </c>
      <c r="H39" s="250"/>
      <c r="I39" s="321"/>
      <c r="K39" s="321"/>
      <c r="L39" s="264"/>
      <c r="M39" s="235"/>
      <c r="N39" s="321"/>
      <c r="Q39" s="321"/>
      <c r="T39" s="321"/>
      <c r="W39" s="321"/>
      <c r="AF39" s="236">
        <f t="shared" si="2"/>
        <v>0</v>
      </c>
      <c r="AG39" s="236" t="str">
        <f t="shared" ca="1" si="3"/>
        <v/>
      </c>
      <c r="AH39" s="236" t="str">
        <f t="shared" ca="1" si="19"/>
        <v/>
      </c>
      <c r="AJ39" s="236">
        <f t="shared" ca="1" si="4"/>
        <v>40</v>
      </c>
      <c r="AK39" s="236" t="str">
        <f t="shared" ca="1" si="20"/>
        <v>BBB</v>
      </c>
      <c r="AL39" s="236">
        <f t="shared" ca="1" si="20"/>
        <v>18</v>
      </c>
      <c r="AM39" s="236" t="str">
        <f t="shared" ca="1" si="5"/>
        <v/>
      </c>
      <c r="AQ39" s="286" t="s">
        <v>66</v>
      </c>
      <c r="AR39" s="286" t="s">
        <v>28</v>
      </c>
      <c r="AS39" s="286">
        <v>18</v>
      </c>
      <c r="AT39" s="286" t="s">
        <v>315</v>
      </c>
      <c r="AV39" s="234">
        <f t="shared" si="21"/>
        <v>24</v>
      </c>
      <c r="AW39" s="234">
        <f>COUNTIF( AV$7:AV39, AV39 )</f>
        <v>9</v>
      </c>
      <c r="AX39" s="287">
        <f t="shared" si="22"/>
        <v>24.9</v>
      </c>
      <c r="AY39" s="234">
        <f t="shared" si="23"/>
        <v>32</v>
      </c>
      <c r="AZ39" s="236"/>
      <c r="BA39" s="236"/>
      <c r="BC39" s="234">
        <f t="shared" ca="1" si="24"/>
        <v>33</v>
      </c>
      <c r="BD39" s="288">
        <f t="shared" ca="1" si="7"/>
        <v>38</v>
      </c>
      <c r="BF39" s="240" t="str">
        <f t="shared" ref="BF39:BF63" ca="1" si="25">OFFSET( AQ$6, $BD39, 0 )</f>
        <v>PG&amp;E Corporation</v>
      </c>
      <c r="BG39" s="240" t="str">
        <f t="shared" ca="1" si="9"/>
        <v>BBB</v>
      </c>
      <c r="BH39" s="240">
        <f t="shared" ca="1" si="9"/>
        <v>18</v>
      </c>
      <c r="BI39" s="240" t="str">
        <f t="shared" ca="1" si="9"/>
        <v>PCG</v>
      </c>
    </row>
    <row r="40" spans="1:61" x14ac:dyDescent="0.2">
      <c r="A40" s="303" t="s">
        <v>41</v>
      </c>
      <c r="B40" s="304" t="s">
        <v>28</v>
      </c>
      <c r="C40" s="304">
        <v>18</v>
      </c>
      <c r="D40" s="304" t="s">
        <v>322</v>
      </c>
      <c r="E40" s="305" t="str">
        <f t="shared" ca="1" si="0"/>
        <v>R</v>
      </c>
      <c r="F40" s="306"/>
      <c r="G40" s="307">
        <f t="shared" ca="1" si="1"/>
        <v>45</v>
      </c>
      <c r="H40" s="250"/>
      <c r="I40" s="321"/>
      <c r="J40" s="262"/>
      <c r="K40" s="321"/>
      <c r="L40" s="264"/>
      <c r="M40" s="235"/>
      <c r="N40" s="321"/>
      <c r="Q40" s="321"/>
      <c r="T40" s="321"/>
      <c r="W40" s="321"/>
      <c r="AF40" s="236">
        <f t="shared" si="2"/>
        <v>0</v>
      </c>
      <c r="AG40" s="236" t="str">
        <f t="shared" ca="1" si="3"/>
        <v/>
      </c>
      <c r="AH40" s="236" t="str">
        <f t="shared" ca="1" si="19"/>
        <v/>
      </c>
      <c r="AJ40" s="236">
        <f t="shared" ca="1" si="4"/>
        <v>41</v>
      </c>
      <c r="AK40" s="236" t="str">
        <f t="shared" ca="1" si="20"/>
        <v>BBB</v>
      </c>
      <c r="AL40" s="236">
        <f t="shared" ca="1" si="20"/>
        <v>18</v>
      </c>
      <c r="AM40" s="236" t="str">
        <f t="shared" ca="1" si="5"/>
        <v/>
      </c>
      <c r="AQ40" s="286" t="s">
        <v>266</v>
      </c>
      <c r="AR40" s="286" t="s">
        <v>56</v>
      </c>
      <c r="AS40" s="286">
        <v>16</v>
      </c>
      <c r="AT40" s="286" t="s">
        <v>314</v>
      </c>
      <c r="AV40" s="234">
        <f t="shared" si="21"/>
        <v>52</v>
      </c>
      <c r="AW40" s="234">
        <f>COUNTIF( AV$7:AV40, AV40 )</f>
        <v>1</v>
      </c>
      <c r="AX40" s="287">
        <f t="shared" si="22"/>
        <v>52.1</v>
      </c>
      <c r="AY40" s="234">
        <f t="shared" si="23"/>
        <v>52</v>
      </c>
      <c r="AZ40" s="236"/>
      <c r="BA40" s="236"/>
      <c r="BC40" s="234">
        <f t="shared" ca="1" si="24"/>
        <v>34</v>
      </c>
      <c r="BD40" s="288">
        <f t="shared" ca="1" si="7"/>
        <v>39</v>
      </c>
      <c r="BF40" s="240" t="str">
        <f t="shared" ca="1" si="25"/>
        <v>Pinnacle West Capital Corporation</v>
      </c>
      <c r="BG40" s="240" t="str">
        <f t="shared" ca="1" si="9"/>
        <v>BBB</v>
      </c>
      <c r="BH40" s="240">
        <f t="shared" ca="1" si="9"/>
        <v>18</v>
      </c>
      <c r="BI40" s="240" t="str">
        <f t="shared" ca="1" si="9"/>
        <v>PNW</v>
      </c>
    </row>
    <row r="41" spans="1:61" x14ac:dyDescent="0.2">
      <c r="A41" s="303" t="s">
        <v>24</v>
      </c>
      <c r="B41" s="304" t="s">
        <v>28</v>
      </c>
      <c r="C41" s="304">
        <v>18</v>
      </c>
      <c r="D41" s="304" t="s">
        <v>324</v>
      </c>
      <c r="E41" s="305" t="str">
        <f t="shared" ca="1" si="0"/>
        <v>R</v>
      </c>
      <c r="F41" s="306"/>
      <c r="G41" s="307">
        <f t="shared" ca="1" si="1"/>
        <v>47</v>
      </c>
      <c r="H41" s="250"/>
      <c r="I41" s="321"/>
      <c r="J41" s="262"/>
      <c r="K41" s="321"/>
      <c r="L41" s="264"/>
      <c r="M41" s="235"/>
      <c r="N41" s="321"/>
      <c r="Q41" s="321"/>
      <c r="T41" s="321"/>
      <c r="W41" s="321"/>
      <c r="AF41" s="236">
        <f t="shared" si="2"/>
        <v>0</v>
      </c>
      <c r="AG41" s="236" t="str">
        <f t="shared" ca="1" si="3"/>
        <v/>
      </c>
      <c r="AH41" s="236" t="str">
        <f t="shared" ca="1" si="19"/>
        <v/>
      </c>
      <c r="AJ41" s="236">
        <f t="shared" ca="1" si="4"/>
        <v>42</v>
      </c>
      <c r="AK41" s="236" t="str">
        <f t="shared" ca="1" si="20"/>
        <v>BBB</v>
      </c>
      <c r="AL41" s="236">
        <f t="shared" ca="1" si="20"/>
        <v>18</v>
      </c>
      <c r="AM41" s="236" t="str">
        <f t="shared" ca="1" si="5"/>
        <v/>
      </c>
      <c r="AQ41" s="286" t="s">
        <v>21</v>
      </c>
      <c r="AR41" s="286" t="s">
        <v>16</v>
      </c>
      <c r="AS41" s="286">
        <v>19</v>
      </c>
      <c r="AT41" s="286" t="s">
        <v>316</v>
      </c>
      <c r="AV41" s="234">
        <f t="shared" si="21"/>
        <v>11</v>
      </c>
      <c r="AW41" s="234">
        <f>COUNTIF( AV$7:AV41, AV41 )</f>
        <v>8</v>
      </c>
      <c r="AX41" s="287">
        <f t="shared" si="22"/>
        <v>11.8</v>
      </c>
      <c r="AY41" s="234">
        <f t="shared" si="23"/>
        <v>18</v>
      </c>
      <c r="AZ41" s="236"/>
      <c r="BA41" s="236"/>
      <c r="BC41" s="234">
        <f t="shared" ca="1" si="24"/>
        <v>35</v>
      </c>
      <c r="BD41" s="288">
        <f t="shared" ca="1" si="7"/>
        <v>41</v>
      </c>
      <c r="BF41" s="240" t="str">
        <f t="shared" ca="1" si="25"/>
        <v>Portland General Electric Company</v>
      </c>
      <c r="BG41" s="240" t="str">
        <f t="shared" ca="1" si="9"/>
        <v>BBB</v>
      </c>
      <c r="BH41" s="240">
        <f t="shared" ca="1" si="9"/>
        <v>18</v>
      </c>
      <c r="BI41" s="240" t="str">
        <f t="shared" ca="1" si="9"/>
        <v>POR</v>
      </c>
    </row>
    <row r="42" spans="1:61" x14ac:dyDescent="0.2">
      <c r="A42" s="303" t="s">
        <v>43</v>
      </c>
      <c r="B42" s="304" t="s">
        <v>28</v>
      </c>
      <c r="C42" s="304">
        <v>18</v>
      </c>
      <c r="D42" s="304" t="s">
        <v>325</v>
      </c>
      <c r="E42" s="305" t="str">
        <f t="shared" ca="1" si="0"/>
        <v>MR</v>
      </c>
      <c r="F42" s="306"/>
      <c r="G42" s="307">
        <f t="shared" ca="1" si="1"/>
        <v>48</v>
      </c>
      <c r="H42" s="250"/>
      <c r="I42" s="321"/>
      <c r="J42" s="262"/>
      <c r="K42" s="321"/>
      <c r="L42" s="264"/>
      <c r="M42" s="235"/>
      <c r="N42" s="321"/>
      <c r="Q42" s="321"/>
      <c r="T42" s="321"/>
      <c r="W42" s="321"/>
      <c r="AF42" s="236">
        <f t="shared" si="2"/>
        <v>0</v>
      </c>
      <c r="AG42" s="236" t="str">
        <f t="shared" ca="1" si="3"/>
        <v/>
      </c>
      <c r="AH42" s="236" t="str">
        <f t="shared" ca="1" si="19"/>
        <v/>
      </c>
      <c r="AJ42" s="236">
        <f t="shared" ca="1" si="4"/>
        <v>43</v>
      </c>
      <c r="AK42" s="236" t="str">
        <f t="shared" ca="1" si="20"/>
        <v>BBB</v>
      </c>
      <c r="AL42" s="236">
        <f t="shared" ca="1" si="20"/>
        <v>18</v>
      </c>
      <c r="AM42" s="236" t="str">
        <f t="shared" ca="1" si="5"/>
        <v/>
      </c>
      <c r="AQ42" s="286" t="s">
        <v>22</v>
      </c>
      <c r="AR42" s="286" t="s">
        <v>49</v>
      </c>
      <c r="AS42" s="286">
        <v>17</v>
      </c>
      <c r="AT42" s="286" t="s">
        <v>317</v>
      </c>
      <c r="AV42" s="234">
        <f t="shared" si="21"/>
        <v>40</v>
      </c>
      <c r="AW42" s="234">
        <f>COUNTIF( AV$7:AV42, AV42 )</f>
        <v>11</v>
      </c>
      <c r="AX42" s="287">
        <f t="shared" si="22"/>
        <v>41.1</v>
      </c>
      <c r="AY42" s="234">
        <f t="shared" si="23"/>
        <v>50</v>
      </c>
      <c r="AZ42" s="236"/>
      <c r="BA42" s="236"/>
      <c r="BC42" s="234">
        <f t="shared" ca="1" si="24"/>
        <v>36</v>
      </c>
      <c r="BD42" s="288">
        <f t="shared" ca="1" si="7"/>
        <v>42</v>
      </c>
      <c r="BF42" s="240" t="str">
        <f t="shared" ca="1" si="25"/>
        <v>PPL Corporation</v>
      </c>
      <c r="BG42" s="240" t="str">
        <f t="shared" ca="1" si="9"/>
        <v>BBB</v>
      </c>
      <c r="BH42" s="240">
        <f t="shared" ca="1" si="9"/>
        <v>18</v>
      </c>
      <c r="BI42" s="240" t="str">
        <f t="shared" ca="1" si="9"/>
        <v>PPL</v>
      </c>
    </row>
    <row r="43" spans="1:61" x14ac:dyDescent="0.2">
      <c r="A43" s="303" t="s">
        <v>45</v>
      </c>
      <c r="B43" s="304" t="s">
        <v>28</v>
      </c>
      <c r="C43" s="304">
        <v>18</v>
      </c>
      <c r="D43" s="304" t="s">
        <v>319</v>
      </c>
      <c r="E43" s="305" t="str">
        <f t="shared" ca="1" si="0"/>
        <v>MR</v>
      </c>
      <c r="F43" s="306"/>
      <c r="G43" s="307">
        <f t="shared" ca="1" si="1"/>
        <v>50</v>
      </c>
      <c r="H43" s="250"/>
      <c r="I43" s="321"/>
      <c r="J43" s="262"/>
      <c r="K43" s="321"/>
      <c r="L43" s="235"/>
      <c r="M43" s="235"/>
      <c r="N43" s="321"/>
      <c r="Q43" s="321"/>
      <c r="T43" s="321"/>
      <c r="W43" s="321"/>
      <c r="AF43" s="236">
        <f t="shared" si="2"/>
        <v>0</v>
      </c>
      <c r="AG43" s="236" t="str">
        <f t="shared" ca="1" si="3"/>
        <v/>
      </c>
      <c r="AH43" s="236" t="str">
        <f t="shared" ca="1" si="19"/>
        <v/>
      </c>
      <c r="AJ43" s="236">
        <f t="shared" ca="1" si="4"/>
        <v>44</v>
      </c>
      <c r="AK43" s="236" t="str">
        <f t="shared" ca="1" si="20"/>
        <v>BBB</v>
      </c>
      <c r="AL43" s="236">
        <f t="shared" ca="1" si="20"/>
        <v>18</v>
      </c>
      <c r="AM43" s="236" t="str">
        <f t="shared" ca="1" si="5"/>
        <v/>
      </c>
      <c r="AQ43" s="286" t="s">
        <v>23</v>
      </c>
      <c r="AR43" s="286" t="s">
        <v>16</v>
      </c>
      <c r="AS43" s="286">
        <v>19</v>
      </c>
      <c r="AT43" s="286" t="s">
        <v>323</v>
      </c>
      <c r="AV43" s="234">
        <f t="shared" si="21"/>
        <v>11</v>
      </c>
      <c r="AW43" s="234">
        <f>COUNTIF( AV$7:AV43, AV43 )</f>
        <v>9</v>
      </c>
      <c r="AX43" s="287">
        <f t="shared" si="22"/>
        <v>11.9</v>
      </c>
      <c r="AY43" s="234">
        <f t="shared" si="23"/>
        <v>19</v>
      </c>
      <c r="AZ43" s="236"/>
      <c r="BA43" s="236"/>
      <c r="BC43" s="234">
        <f t="shared" ca="1" si="24"/>
        <v>37</v>
      </c>
      <c r="BD43" s="288">
        <f t="shared" ca="1" si="7"/>
        <v>44</v>
      </c>
      <c r="BF43" s="240" t="str">
        <f t="shared" ca="1" si="25"/>
        <v>Public Service Enterprise Group Incorporated</v>
      </c>
      <c r="BG43" s="240" t="str">
        <f t="shared" ca="1" si="9"/>
        <v>BBB</v>
      </c>
      <c r="BH43" s="240">
        <f t="shared" ca="1" si="9"/>
        <v>18</v>
      </c>
      <c r="BI43" s="240" t="str">
        <f t="shared" ca="1" si="9"/>
        <v>PEG</v>
      </c>
    </row>
    <row r="44" spans="1:61" x14ac:dyDescent="0.2">
      <c r="A44" s="303" t="s">
        <v>75</v>
      </c>
      <c r="B44" s="304" t="s">
        <v>28</v>
      </c>
      <c r="C44" s="304">
        <v>18</v>
      </c>
      <c r="D44" s="304" t="s">
        <v>332</v>
      </c>
      <c r="E44" s="305" t="str">
        <f t="shared" ca="1" si="0"/>
        <v>R</v>
      </c>
      <c r="F44" s="306"/>
      <c r="G44" s="307">
        <f t="shared" ca="1" si="1"/>
        <v>55</v>
      </c>
      <c r="H44" s="250"/>
      <c r="I44" s="321"/>
      <c r="J44" s="262"/>
      <c r="K44" s="321"/>
      <c r="L44" s="235"/>
      <c r="M44" s="235"/>
      <c r="N44" s="321"/>
      <c r="Q44" s="321"/>
      <c r="T44" s="321"/>
      <c r="W44" s="321"/>
      <c r="AF44" s="236">
        <f t="shared" si="2"/>
        <v>0</v>
      </c>
      <c r="AG44" s="236" t="str">
        <f t="shared" ca="1" si="3"/>
        <v/>
      </c>
      <c r="AH44" s="236" t="str">
        <f t="shared" ca="1" si="19"/>
        <v/>
      </c>
      <c r="AJ44" s="236">
        <f t="shared" ca="1" si="4"/>
        <v>45</v>
      </c>
      <c r="AK44" s="236" t="str">
        <f t="shared" ca="1" si="20"/>
        <v>BBB</v>
      </c>
      <c r="AL44" s="236">
        <f t="shared" ca="1" si="20"/>
        <v>18</v>
      </c>
      <c r="AM44" s="236" t="str">
        <f t="shared" ca="1" si="5"/>
        <v/>
      </c>
      <c r="AQ44" s="286" t="s">
        <v>53</v>
      </c>
      <c r="AR44" s="286" t="s">
        <v>28</v>
      </c>
      <c r="AS44" s="286">
        <v>18</v>
      </c>
      <c r="AT44" s="289" t="s">
        <v>318</v>
      </c>
      <c r="AV44" s="234">
        <f t="shared" si="21"/>
        <v>24</v>
      </c>
      <c r="AW44" s="234">
        <f>COUNTIF( AV$7:AV44, AV44 )</f>
        <v>10</v>
      </c>
      <c r="AX44" s="287">
        <f t="shared" si="22"/>
        <v>25</v>
      </c>
      <c r="AY44" s="234">
        <f t="shared" si="23"/>
        <v>33</v>
      </c>
      <c r="AZ44" s="236"/>
      <c r="BA44" s="236"/>
      <c r="BC44" s="234">
        <f t="shared" ca="1" si="24"/>
        <v>38</v>
      </c>
      <c r="BD44" s="288">
        <f t="shared" ca="1" si="7"/>
        <v>50</v>
      </c>
      <c r="BF44" s="240" t="str">
        <f t="shared" ca="1" si="25"/>
        <v>UIL Holdings Corporation</v>
      </c>
      <c r="BG44" s="240" t="str">
        <f t="shared" ca="1" si="9"/>
        <v>BBB</v>
      </c>
      <c r="BH44" s="240">
        <f t="shared" ca="1" si="9"/>
        <v>18</v>
      </c>
      <c r="BI44" s="240" t="str">
        <f t="shared" ca="1" si="9"/>
        <v>UIL</v>
      </c>
    </row>
    <row r="45" spans="1:61" x14ac:dyDescent="0.2">
      <c r="A45" s="303" t="s">
        <v>59</v>
      </c>
      <c r="B45" s="304" t="s">
        <v>28</v>
      </c>
      <c r="C45" s="304">
        <v>18</v>
      </c>
      <c r="D45" s="304" t="s">
        <v>337</v>
      </c>
      <c r="E45" s="305" t="str">
        <f t="shared" ca="1" si="0"/>
        <v>R</v>
      </c>
      <c r="F45" s="306"/>
      <c r="G45" s="307">
        <f t="shared" ca="1" si="1"/>
        <v>59</v>
      </c>
      <c r="H45" s="250"/>
      <c r="I45" s="321"/>
      <c r="J45" s="262"/>
      <c r="K45" s="321"/>
      <c r="L45" s="235"/>
      <c r="M45" s="235"/>
      <c r="N45" s="321"/>
      <c r="Q45" s="321"/>
      <c r="T45" s="321"/>
      <c r="W45" s="321"/>
      <c r="AF45" s="236">
        <f t="shared" si="2"/>
        <v>0</v>
      </c>
      <c r="AG45" s="236" t="str">
        <f t="shared" ca="1" si="3"/>
        <v/>
      </c>
      <c r="AH45" s="236" t="str">
        <f t="shared" ca="1" si="19"/>
        <v/>
      </c>
      <c r="AJ45" s="236">
        <f t="shared" ca="1" si="4"/>
        <v>46</v>
      </c>
      <c r="AK45" s="236" t="str">
        <f t="shared" ca="1" si="20"/>
        <v>BBB</v>
      </c>
      <c r="AL45" s="236">
        <f t="shared" ca="1" si="20"/>
        <v>18</v>
      </c>
      <c r="AM45" s="236" t="str">
        <f t="shared" ca="1" si="5"/>
        <v/>
      </c>
      <c r="AQ45" s="286" t="s">
        <v>41</v>
      </c>
      <c r="AR45" s="286" t="s">
        <v>28</v>
      </c>
      <c r="AS45" s="286">
        <v>18</v>
      </c>
      <c r="AT45" s="286" t="s">
        <v>322</v>
      </c>
      <c r="AV45" s="234">
        <f t="shared" si="21"/>
        <v>24</v>
      </c>
      <c r="AW45" s="234">
        <f>COUNTIF( AV$7:AV45, AV45 )</f>
        <v>11</v>
      </c>
      <c r="AX45" s="287">
        <f t="shared" si="22"/>
        <v>25.1</v>
      </c>
      <c r="AY45" s="234">
        <f t="shared" si="23"/>
        <v>34</v>
      </c>
      <c r="AZ45" s="236"/>
      <c r="BA45" s="236"/>
      <c r="BC45" s="234">
        <f t="shared" ca="1" si="24"/>
        <v>39</v>
      </c>
      <c r="BD45" s="288">
        <f t="shared" ca="1" si="7"/>
        <v>52</v>
      </c>
      <c r="BF45" s="240" t="str">
        <f t="shared" ca="1" si="25"/>
        <v>Westar Energy, Inc.</v>
      </c>
      <c r="BG45" s="240" t="str">
        <f t="shared" ca="1" si="9"/>
        <v>BBB</v>
      </c>
      <c r="BH45" s="240">
        <f t="shared" ca="1" si="9"/>
        <v>18</v>
      </c>
      <c r="BI45" s="240" t="str">
        <f t="shared" ca="1" si="9"/>
        <v>WR</v>
      </c>
    </row>
    <row r="46" spans="1:61" x14ac:dyDescent="0.2">
      <c r="A46" s="303" t="s">
        <v>9</v>
      </c>
      <c r="B46" s="304" t="s">
        <v>49</v>
      </c>
      <c r="C46" s="304">
        <v>17</v>
      </c>
      <c r="D46" s="304" t="s">
        <v>274</v>
      </c>
      <c r="E46" s="305" t="str">
        <f t="shared" ca="1" si="0"/>
        <v>R</v>
      </c>
      <c r="F46" s="306"/>
      <c r="G46" s="307">
        <f t="shared" ca="1" si="1"/>
        <v>9</v>
      </c>
      <c r="H46" s="250"/>
      <c r="I46" s="262"/>
      <c r="K46" s="262"/>
      <c r="N46" s="257"/>
      <c r="W46" s="262"/>
      <c r="AF46" s="236">
        <f t="shared" si="2"/>
        <v>1</v>
      </c>
      <c r="AG46" s="236" t="str">
        <f t="shared" ca="1" si="3"/>
        <v/>
      </c>
      <c r="AH46" s="236" t="str">
        <f t="shared" ca="1" si="19"/>
        <v/>
      </c>
      <c r="AJ46" s="236">
        <f t="shared" ca="1" si="4"/>
        <v>47</v>
      </c>
      <c r="AK46" s="236" t="str">
        <f t="shared" ca="1" si="20"/>
        <v>BBB-</v>
      </c>
      <c r="AL46" s="236">
        <f t="shared" ca="1" si="20"/>
        <v>17</v>
      </c>
      <c r="AM46" s="236" t="str">
        <f t="shared" ca="1" si="5"/>
        <v/>
      </c>
      <c r="AQ46" s="286" t="s">
        <v>42</v>
      </c>
      <c r="AR46" s="286" t="s">
        <v>49</v>
      </c>
      <c r="AS46" s="286">
        <v>17</v>
      </c>
      <c r="AT46" s="286" t="s">
        <v>321</v>
      </c>
      <c r="AV46" s="234">
        <f t="shared" si="21"/>
        <v>40</v>
      </c>
      <c r="AW46" s="234">
        <f>COUNTIF( AV$7:AV46, AV46 )</f>
        <v>12</v>
      </c>
      <c r="AX46" s="287">
        <f t="shared" si="22"/>
        <v>41.2</v>
      </c>
      <c r="AY46" s="234">
        <f t="shared" si="23"/>
        <v>51</v>
      </c>
      <c r="AZ46" s="236"/>
      <c r="BA46" s="236"/>
      <c r="BC46" s="234">
        <f t="shared" ca="1" si="24"/>
        <v>40</v>
      </c>
      <c r="BD46" s="288">
        <f t="shared" ca="1" si="7"/>
        <v>3</v>
      </c>
      <c r="BF46" s="240" t="str">
        <f t="shared" ca="1" si="25"/>
        <v>Ameren Corporation</v>
      </c>
      <c r="BG46" s="240" t="str">
        <f t="shared" ca="1" si="9"/>
        <v>BBB-</v>
      </c>
      <c r="BH46" s="240">
        <f t="shared" ca="1" si="9"/>
        <v>17</v>
      </c>
      <c r="BI46" s="240" t="str">
        <f t="shared" ca="1" si="9"/>
        <v>AEE</v>
      </c>
    </row>
    <row r="47" spans="1:61" x14ac:dyDescent="0.2">
      <c r="A47" s="303" t="s">
        <v>48</v>
      </c>
      <c r="B47" s="304" t="s">
        <v>49</v>
      </c>
      <c r="C47" s="304">
        <v>17</v>
      </c>
      <c r="D47" s="304" t="s">
        <v>280</v>
      </c>
      <c r="E47" s="305" t="str">
        <f t="shared" ca="1" si="0"/>
        <v>MR</v>
      </c>
      <c r="F47" s="306"/>
      <c r="G47" s="307">
        <f t="shared" ca="1" si="1"/>
        <v>12</v>
      </c>
      <c r="H47" s="250"/>
      <c r="I47" s="250"/>
      <c r="J47" s="258" t="s">
        <v>268</v>
      </c>
      <c r="K47" s="262"/>
      <c r="M47" s="253"/>
      <c r="N47" s="253"/>
      <c r="AF47" s="236">
        <f t="shared" si="2"/>
        <v>1</v>
      </c>
      <c r="AG47" s="236" t="str">
        <f t="shared" ca="1" si="3"/>
        <v/>
      </c>
      <c r="AH47" s="236" t="str">
        <f t="shared" ca="1" si="19"/>
        <v/>
      </c>
      <c r="AJ47" s="236">
        <f t="shared" ca="1" si="4"/>
        <v>48</v>
      </c>
      <c r="AK47" s="236" t="str">
        <f t="shared" ca="1" si="20"/>
        <v>BBB-</v>
      </c>
      <c r="AL47" s="236">
        <f t="shared" ca="1" si="20"/>
        <v>17</v>
      </c>
      <c r="AM47" s="236" t="str">
        <f t="shared" ca="1" si="5"/>
        <v/>
      </c>
      <c r="AQ47" s="286" t="s">
        <v>24</v>
      </c>
      <c r="AR47" s="286" t="s">
        <v>28</v>
      </c>
      <c r="AS47" s="286">
        <v>18</v>
      </c>
      <c r="AT47" s="286" t="s">
        <v>324</v>
      </c>
      <c r="AV47" s="234">
        <f t="shared" si="21"/>
        <v>24</v>
      </c>
      <c r="AW47" s="234">
        <f>COUNTIF( AV$7:AV47, AV47 )</f>
        <v>12</v>
      </c>
      <c r="AX47" s="287">
        <f t="shared" si="22"/>
        <v>25.2</v>
      </c>
      <c r="AY47" s="234">
        <f t="shared" si="23"/>
        <v>35</v>
      </c>
      <c r="AZ47" s="236"/>
      <c r="BA47" s="236"/>
      <c r="BC47" s="234">
        <f t="shared" ca="1" si="24"/>
        <v>41</v>
      </c>
      <c r="BD47" s="288">
        <f t="shared" ca="1" si="7"/>
        <v>6</v>
      </c>
      <c r="BF47" s="240" t="str">
        <f t="shared" ca="1" si="25"/>
        <v>Black Hills Corporation</v>
      </c>
      <c r="BG47" s="240" t="str">
        <f t="shared" ca="1" si="9"/>
        <v>BBB-</v>
      </c>
      <c r="BH47" s="240">
        <f t="shared" ca="1" si="9"/>
        <v>17</v>
      </c>
      <c r="BI47" s="240" t="str">
        <f t="shared" ca="1" si="9"/>
        <v>BKH</v>
      </c>
    </row>
    <row r="48" spans="1:61" x14ac:dyDescent="0.2">
      <c r="A48" s="303" t="s">
        <v>60</v>
      </c>
      <c r="B48" s="304" t="s">
        <v>49</v>
      </c>
      <c r="C48" s="304">
        <v>17</v>
      </c>
      <c r="D48" s="304" t="s">
        <v>284</v>
      </c>
      <c r="E48" s="305" t="str">
        <f t="shared" ca="1" si="0"/>
        <v>R</v>
      </c>
      <c r="F48" s="306"/>
      <c r="G48" s="307">
        <f t="shared" ca="1" si="1"/>
        <v>17</v>
      </c>
      <c r="H48" s="250"/>
      <c r="I48" s="250"/>
      <c r="K48" s="262"/>
      <c r="M48" s="253"/>
      <c r="N48" s="253"/>
      <c r="AF48" s="236">
        <f t="shared" si="2"/>
        <v>1</v>
      </c>
      <c r="AG48" s="236" t="str">
        <f t="shared" ca="1" si="3"/>
        <v/>
      </c>
      <c r="AH48" s="236" t="str">
        <f t="shared" ca="1" si="19"/>
        <v/>
      </c>
      <c r="AJ48" s="236">
        <f t="shared" ca="1" si="4"/>
        <v>49</v>
      </c>
      <c r="AK48" s="236" t="str">
        <f t="shared" ca="1" si="20"/>
        <v>BBB-</v>
      </c>
      <c r="AL48" s="236">
        <f t="shared" ca="1" si="20"/>
        <v>17</v>
      </c>
      <c r="AM48" s="236" t="str">
        <f t="shared" ca="1" si="5"/>
        <v/>
      </c>
      <c r="AQ48" s="286" t="s">
        <v>43</v>
      </c>
      <c r="AR48" s="286" t="s">
        <v>28</v>
      </c>
      <c r="AS48" s="286">
        <v>18</v>
      </c>
      <c r="AT48" s="286" t="s">
        <v>325</v>
      </c>
      <c r="AV48" s="234">
        <f t="shared" si="21"/>
        <v>24</v>
      </c>
      <c r="AW48" s="234">
        <f>COUNTIF( AV$7:AV48, AV48 )</f>
        <v>13</v>
      </c>
      <c r="AX48" s="287">
        <f t="shared" si="22"/>
        <v>25.3</v>
      </c>
      <c r="AY48" s="234">
        <f t="shared" si="23"/>
        <v>36</v>
      </c>
      <c r="AZ48" s="236"/>
      <c r="BA48" s="236"/>
      <c r="BC48" s="234">
        <f t="shared" ca="1" si="24"/>
        <v>42</v>
      </c>
      <c r="BD48" s="288">
        <f t="shared" ca="1" si="7"/>
        <v>9</v>
      </c>
      <c r="BF48" s="240" t="str">
        <f t="shared" ca="1" si="25"/>
        <v>CMS Energy Corporation</v>
      </c>
      <c r="BG48" s="240" t="str">
        <f t="shared" ca="1" si="9"/>
        <v>BBB-</v>
      </c>
      <c r="BH48" s="240">
        <f t="shared" ca="1" si="9"/>
        <v>17</v>
      </c>
      <c r="BI48" s="240" t="str">
        <f t="shared" ca="1" si="9"/>
        <v>CMS</v>
      </c>
    </row>
    <row r="49" spans="1:61" x14ac:dyDescent="0.2">
      <c r="A49" s="303" t="s">
        <v>64</v>
      </c>
      <c r="B49" s="304" t="s">
        <v>49</v>
      </c>
      <c r="C49" s="304">
        <v>17</v>
      </c>
      <c r="D49" s="304" t="s">
        <v>443</v>
      </c>
      <c r="E49" s="305" t="str">
        <f t="shared" ca="1" si="0"/>
        <v>R</v>
      </c>
      <c r="F49" s="306"/>
      <c r="G49" s="307">
        <f t="shared" ca="1" si="1"/>
        <v>64</v>
      </c>
      <c r="H49" s="250"/>
      <c r="I49" s="250"/>
      <c r="J49" s="262"/>
      <c r="K49" s="262"/>
      <c r="M49" s="253"/>
      <c r="N49" s="253"/>
      <c r="AF49" s="236">
        <f t="shared" si="2"/>
        <v>1</v>
      </c>
      <c r="AG49" s="236" t="str">
        <f t="shared" ca="1" si="3"/>
        <v/>
      </c>
      <c r="AH49" s="236" t="str">
        <f t="shared" ca="1" si="19"/>
        <v/>
      </c>
      <c r="AJ49" s="236">
        <f t="shared" ca="1" si="4"/>
        <v>50</v>
      </c>
      <c r="AK49" s="236" t="str">
        <f t="shared" ca="1" si="20"/>
        <v>BBB-</v>
      </c>
      <c r="AL49" s="236">
        <f t="shared" ca="1" si="20"/>
        <v>17</v>
      </c>
      <c r="AM49" s="236" t="str">
        <f t="shared" ca="1" si="5"/>
        <v/>
      </c>
      <c r="AQ49" s="286" t="s">
        <v>257</v>
      </c>
      <c r="AR49" s="286" t="s">
        <v>16</v>
      </c>
      <c r="AS49" s="286">
        <v>19</v>
      </c>
      <c r="AT49" s="286" t="s">
        <v>320</v>
      </c>
      <c r="AV49" s="234">
        <f t="shared" si="21"/>
        <v>11</v>
      </c>
      <c r="AW49" s="234">
        <f>COUNTIF( AV$7:AV49, AV49 )</f>
        <v>10</v>
      </c>
      <c r="AX49" s="287">
        <f t="shared" si="22"/>
        <v>12</v>
      </c>
      <c r="AY49" s="234">
        <f t="shared" si="23"/>
        <v>20</v>
      </c>
      <c r="AZ49" s="236"/>
      <c r="BA49" s="236"/>
      <c r="BC49" s="234">
        <f t="shared" ca="1" si="24"/>
        <v>43</v>
      </c>
      <c r="BD49" s="288">
        <f t="shared" ca="1" si="7"/>
        <v>12</v>
      </c>
      <c r="BF49" s="240" t="str">
        <f t="shared" ca="1" si="25"/>
        <v>DPL Inc.</v>
      </c>
      <c r="BG49" s="240" t="str">
        <f t="shared" ca="1" si="9"/>
        <v>BBB-</v>
      </c>
      <c r="BH49" s="240">
        <f t="shared" ca="1" si="9"/>
        <v>17</v>
      </c>
      <c r="BI49" s="240" t="str">
        <f t="shared" ca="1" si="9"/>
        <v>**DPL</v>
      </c>
    </row>
    <row r="50" spans="1:61" x14ac:dyDescent="0.2">
      <c r="A50" s="303" t="s">
        <v>57</v>
      </c>
      <c r="B50" s="304" t="s">
        <v>49</v>
      </c>
      <c r="C50" s="304">
        <v>17</v>
      </c>
      <c r="D50" s="304" t="s">
        <v>296</v>
      </c>
      <c r="E50" s="305" t="str">
        <f t="shared" ca="1" si="0"/>
        <v>R</v>
      </c>
      <c r="F50" s="306"/>
      <c r="G50" s="307">
        <f t="shared" ca="1" si="1"/>
        <v>23</v>
      </c>
      <c r="H50" s="250"/>
      <c r="I50" s="250"/>
      <c r="J50" s="262"/>
      <c r="K50" s="262"/>
      <c r="L50" s="235"/>
      <c r="M50" s="257"/>
      <c r="N50" s="257"/>
      <c r="AF50" s="236">
        <f t="shared" si="2"/>
        <v>1</v>
      </c>
      <c r="AG50" s="236" t="str">
        <f t="shared" ca="1" si="3"/>
        <v/>
      </c>
      <c r="AH50" s="236" t="str">
        <f t="shared" ca="1" si="19"/>
        <v/>
      </c>
      <c r="AJ50" s="236">
        <f t="shared" ca="1" si="4"/>
        <v>51</v>
      </c>
      <c r="AK50" s="236" t="str">
        <f t="shared" ca="1" si="20"/>
        <v>BBB-</v>
      </c>
      <c r="AL50" s="236">
        <f t="shared" ca="1" si="20"/>
        <v>17</v>
      </c>
      <c r="AM50" s="236" t="str">
        <f t="shared" ca="1" si="5"/>
        <v/>
      </c>
      <c r="AQ50" s="286" t="s">
        <v>45</v>
      </c>
      <c r="AR50" s="286" t="s">
        <v>28</v>
      </c>
      <c r="AS50" s="286">
        <v>18</v>
      </c>
      <c r="AT50" s="286" t="s">
        <v>319</v>
      </c>
      <c r="AV50" s="234">
        <f t="shared" si="21"/>
        <v>24</v>
      </c>
      <c r="AW50" s="234">
        <f>COUNTIF( AV$7:AV50, AV50 )</f>
        <v>14</v>
      </c>
      <c r="AX50" s="287">
        <f t="shared" si="22"/>
        <v>25.4</v>
      </c>
      <c r="AY50" s="234">
        <f t="shared" si="23"/>
        <v>37</v>
      </c>
      <c r="AZ50" s="236"/>
      <c r="BA50" s="236"/>
      <c r="BC50" s="234">
        <f t="shared" ca="1" si="24"/>
        <v>44</v>
      </c>
      <c r="BD50" s="288">
        <f t="shared" ca="1" si="7"/>
        <v>15</v>
      </c>
      <c r="BF50" s="240" t="str">
        <f t="shared" ca="1" si="25"/>
        <v>Edison International</v>
      </c>
      <c r="BG50" s="240" t="str">
        <f t="shared" ca="1" si="9"/>
        <v>BBB-</v>
      </c>
      <c r="BH50" s="240">
        <f t="shared" ca="1" si="9"/>
        <v>17</v>
      </c>
      <c r="BI50" s="240" t="str">
        <f t="shared" ca="1" si="9"/>
        <v>EIX</v>
      </c>
    </row>
    <row r="51" spans="1:61" x14ac:dyDescent="0.2">
      <c r="A51" s="303" t="s">
        <v>35</v>
      </c>
      <c r="B51" s="304" t="s">
        <v>49</v>
      </c>
      <c r="C51" s="304">
        <v>17</v>
      </c>
      <c r="D51" s="304" t="s">
        <v>293</v>
      </c>
      <c r="E51" s="305" t="str">
        <f t="shared" ca="1" si="0"/>
        <v>R</v>
      </c>
      <c r="F51" s="306"/>
      <c r="G51" s="307">
        <f t="shared" ca="1" si="1"/>
        <v>25</v>
      </c>
      <c r="H51" s="250"/>
      <c r="I51" s="250"/>
      <c r="J51" s="262"/>
      <c r="K51" s="262"/>
      <c r="L51" s="235"/>
      <c r="M51" s="257"/>
      <c r="N51" s="257"/>
      <c r="AF51" s="236">
        <f t="shared" si="2"/>
        <v>1</v>
      </c>
      <c r="AG51" s="236" t="str">
        <f t="shared" ca="1" si="3"/>
        <v/>
      </c>
      <c r="AH51" s="236" t="str">
        <f t="shared" ca="1" si="19"/>
        <v/>
      </c>
      <c r="AJ51" s="236">
        <f t="shared" ca="1" si="4"/>
        <v>52</v>
      </c>
      <c r="AK51" s="236" t="str">
        <f t="shared" ca="1" si="20"/>
        <v>BBB-</v>
      </c>
      <c r="AL51" s="236">
        <f t="shared" ca="1" si="20"/>
        <v>17</v>
      </c>
      <c r="AM51" s="236" t="str">
        <f t="shared" ca="1" si="5"/>
        <v/>
      </c>
      <c r="AQ51" s="286" t="s">
        <v>54</v>
      </c>
      <c r="AR51" s="286" t="s">
        <v>56</v>
      </c>
      <c r="AS51" s="286">
        <v>16</v>
      </c>
      <c r="AT51" s="286" t="s">
        <v>449</v>
      </c>
      <c r="AV51" s="234">
        <f t="shared" si="21"/>
        <v>52</v>
      </c>
      <c r="AW51" s="234">
        <f>COUNTIF( AV$7:AV51, AV51 )</f>
        <v>2</v>
      </c>
      <c r="AX51" s="287">
        <f t="shared" si="22"/>
        <v>52.2</v>
      </c>
      <c r="AY51" s="234">
        <f t="shared" si="23"/>
        <v>53</v>
      </c>
      <c r="AZ51" s="236"/>
      <c r="BA51" s="236"/>
      <c r="BC51" s="234">
        <f t="shared" ca="1" si="24"/>
        <v>45</v>
      </c>
      <c r="BD51" s="288">
        <f t="shared" ca="1" si="7"/>
        <v>17</v>
      </c>
      <c r="BF51" s="240" t="str">
        <f t="shared" ca="1" si="25"/>
        <v>Empire District Electric Company</v>
      </c>
      <c r="BG51" s="240" t="str">
        <f t="shared" ca="1" si="9"/>
        <v>BBB-</v>
      </c>
      <c r="BH51" s="240">
        <f t="shared" ca="1" si="9"/>
        <v>17</v>
      </c>
      <c r="BI51" s="240" t="str">
        <f t="shared" ca="1" si="9"/>
        <v>EDE</v>
      </c>
    </row>
    <row r="52" spans="1:61" x14ac:dyDescent="0.2">
      <c r="A52" s="303" t="s">
        <v>51</v>
      </c>
      <c r="B52" s="304" t="s">
        <v>49</v>
      </c>
      <c r="C52" s="304">
        <v>17</v>
      </c>
      <c r="D52" s="304" t="s">
        <v>299</v>
      </c>
      <c r="E52" s="305" t="str">
        <f t="shared" ca="1" si="0"/>
        <v>MR</v>
      </c>
      <c r="F52" s="306"/>
      <c r="G52" s="307">
        <f t="shared" ca="1" si="1"/>
        <v>28</v>
      </c>
      <c r="H52" s="250"/>
      <c r="I52" s="250"/>
      <c r="J52" s="262"/>
      <c r="K52" s="262"/>
      <c r="AF52" s="236">
        <f t="shared" si="2"/>
        <v>1</v>
      </c>
      <c r="AG52" s="236" t="str">
        <f t="shared" ca="1" si="3"/>
        <v/>
      </c>
      <c r="AH52" s="236" t="str">
        <f t="shared" ca="1" si="19"/>
        <v/>
      </c>
      <c r="AJ52" s="236">
        <f t="shared" ca="1" si="4"/>
        <v>53</v>
      </c>
      <c r="AK52" s="236" t="str">
        <f t="shared" ca="1" si="20"/>
        <v>BBB-</v>
      </c>
      <c r="AL52" s="236">
        <f t="shared" ca="1" si="20"/>
        <v>17</v>
      </c>
      <c r="AM52" s="236" t="str">
        <f t="shared" ca="1" si="5"/>
        <v/>
      </c>
      <c r="AQ52" s="286" t="s">
        <v>13</v>
      </c>
      <c r="AR52" s="286" t="s">
        <v>16</v>
      </c>
      <c r="AS52" s="286">
        <v>19</v>
      </c>
      <c r="AT52" s="286" t="s">
        <v>327</v>
      </c>
      <c r="AV52" s="234">
        <f t="shared" si="21"/>
        <v>11</v>
      </c>
      <c r="AW52" s="234">
        <f>COUNTIF( AV$7:AV52, AV52 )</f>
        <v>11</v>
      </c>
      <c r="AX52" s="287">
        <f t="shared" si="22"/>
        <v>12.1</v>
      </c>
      <c r="AY52" s="234">
        <f t="shared" si="23"/>
        <v>21</v>
      </c>
      <c r="AZ52" s="236"/>
      <c r="BA52" s="236"/>
      <c r="BC52" s="234">
        <f t="shared" ca="1" si="24"/>
        <v>46</v>
      </c>
      <c r="BD52" s="288">
        <f t="shared" ca="1" si="7"/>
        <v>21</v>
      </c>
      <c r="BF52" s="240" t="str">
        <f t="shared" ca="1" si="25"/>
        <v>FirstEnergy Corp.</v>
      </c>
      <c r="BG52" s="240" t="str">
        <f t="shared" ca="1" si="9"/>
        <v>BBB-</v>
      </c>
      <c r="BH52" s="240">
        <f t="shared" ca="1" si="9"/>
        <v>17</v>
      </c>
      <c r="BI52" s="240" t="str">
        <f t="shared" ca="1" si="9"/>
        <v>FE</v>
      </c>
    </row>
    <row r="53" spans="1:61" x14ac:dyDescent="0.2">
      <c r="A53" s="303" t="s">
        <v>39</v>
      </c>
      <c r="B53" s="304" t="s">
        <v>49</v>
      </c>
      <c r="C53" s="304">
        <v>17</v>
      </c>
      <c r="D53" s="304" t="s">
        <v>302</v>
      </c>
      <c r="E53" s="305" t="str">
        <f t="shared" ca="1" si="0"/>
        <v>D</v>
      </c>
      <c r="F53" s="306"/>
      <c r="G53" s="307">
        <f t="shared" ca="1" si="1"/>
        <v>30</v>
      </c>
      <c r="H53" s="250"/>
      <c r="I53" s="250"/>
      <c r="J53" s="262"/>
      <c r="K53" s="262"/>
      <c r="AF53" s="236">
        <f t="shared" si="2"/>
        <v>1</v>
      </c>
      <c r="AG53" s="236" t="str">
        <f t="shared" ca="1" si="3"/>
        <v/>
      </c>
      <c r="AH53" s="236" t="str">
        <f t="shared" ca="1" si="19"/>
        <v/>
      </c>
      <c r="AJ53" s="236">
        <f t="shared" ca="1" si="4"/>
        <v>54</v>
      </c>
      <c r="AK53" s="236" t="str">
        <f t="shared" ca="1" si="20"/>
        <v>BBB-</v>
      </c>
      <c r="AL53" s="236">
        <f t="shared" ca="1" si="20"/>
        <v>17</v>
      </c>
      <c r="AM53" s="236" t="str">
        <f t="shared" ca="1" si="5"/>
        <v/>
      </c>
      <c r="AQ53" s="286" t="s">
        <v>25</v>
      </c>
      <c r="AR53" s="286" t="s">
        <v>16</v>
      </c>
      <c r="AS53" s="286">
        <v>19</v>
      </c>
      <c r="AT53" s="286" t="s">
        <v>329</v>
      </c>
      <c r="AV53" s="234">
        <f t="shared" si="21"/>
        <v>11</v>
      </c>
      <c r="AW53" s="234">
        <f>COUNTIF( AV$7:AV53, AV53 )</f>
        <v>12</v>
      </c>
      <c r="AX53" s="287">
        <f t="shared" si="22"/>
        <v>12.2</v>
      </c>
      <c r="AY53" s="234">
        <f t="shared" si="23"/>
        <v>22</v>
      </c>
      <c r="AZ53" s="236"/>
      <c r="BA53" s="236"/>
      <c r="BC53" s="234">
        <f t="shared" ca="1" si="24"/>
        <v>47</v>
      </c>
      <c r="BD53" s="288">
        <f t="shared" ca="1" si="7"/>
        <v>23</v>
      </c>
      <c r="BF53" s="240" t="str">
        <f t="shared" ca="1" si="25"/>
        <v>Hawaiian Electric Industries, Inc.</v>
      </c>
      <c r="BG53" s="240" t="str">
        <f t="shared" ca="1" si="9"/>
        <v>BBB-</v>
      </c>
      <c r="BH53" s="240">
        <f t="shared" ca="1" si="9"/>
        <v>17</v>
      </c>
      <c r="BI53" s="240" t="str">
        <f t="shared" ca="1" si="9"/>
        <v>HE</v>
      </c>
    </row>
    <row r="54" spans="1:61" x14ac:dyDescent="0.2">
      <c r="A54" s="303" t="s">
        <v>58</v>
      </c>
      <c r="B54" s="304" t="s">
        <v>49</v>
      </c>
      <c r="C54" s="304">
        <v>17</v>
      </c>
      <c r="D54" s="304" t="s">
        <v>446</v>
      </c>
      <c r="E54" s="305" t="str">
        <f t="shared" ca="1" si="0"/>
        <v>R</v>
      </c>
      <c r="F54" s="306"/>
      <c r="G54" s="307">
        <f t="shared" ca="1" si="1"/>
        <v>66</v>
      </c>
      <c r="H54" s="250"/>
      <c r="I54" s="250"/>
      <c r="J54" s="262"/>
      <c r="K54" s="262"/>
      <c r="AF54" s="236">
        <f t="shared" si="2"/>
        <v>1</v>
      </c>
      <c r="AG54" s="236" t="str">
        <f t="shared" ca="1" si="3"/>
        <v/>
      </c>
      <c r="AH54" s="236" t="str">
        <f t="shared" ca="1" si="19"/>
        <v/>
      </c>
      <c r="AJ54" s="236">
        <f t="shared" ca="1" si="4"/>
        <v>55</v>
      </c>
      <c r="AK54" s="236" t="str">
        <f t="shared" ca="1" si="20"/>
        <v>BBB-</v>
      </c>
      <c r="AL54" s="236">
        <f t="shared" ca="1" si="20"/>
        <v>17</v>
      </c>
      <c r="AM54" s="236" t="str">
        <f t="shared" ca="1" si="5"/>
        <v/>
      </c>
      <c r="AQ54" s="286" t="s">
        <v>7</v>
      </c>
      <c r="AR54" s="286" t="s">
        <v>2</v>
      </c>
      <c r="AS54" s="286">
        <v>21</v>
      </c>
      <c r="AT54" s="286" t="s">
        <v>328</v>
      </c>
      <c r="AV54" s="234">
        <f t="shared" si="21"/>
        <v>1</v>
      </c>
      <c r="AW54" s="234">
        <f>COUNTIF( AV$7:AV54, AV54 )</f>
        <v>1</v>
      </c>
      <c r="AX54" s="287">
        <f t="shared" si="22"/>
        <v>1.1000000000000001</v>
      </c>
      <c r="AY54" s="234">
        <f t="shared" si="23"/>
        <v>1</v>
      </c>
      <c r="AZ54" s="236"/>
      <c r="BA54" s="236"/>
      <c r="BC54" s="234">
        <f t="shared" ca="1" si="24"/>
        <v>48</v>
      </c>
      <c r="BD54" s="288">
        <f t="shared" ca="1" si="7"/>
        <v>27</v>
      </c>
      <c r="BF54" s="240" t="str">
        <f t="shared" ca="1" si="25"/>
        <v>IPALCO Enterprises, Inc.</v>
      </c>
      <c r="BG54" s="240" t="str">
        <f t="shared" ca="1" si="9"/>
        <v>BBB-</v>
      </c>
      <c r="BH54" s="240">
        <f t="shared" ca="1" si="9"/>
        <v>17</v>
      </c>
      <c r="BI54" s="240" t="str">
        <f t="shared" ca="1" si="9"/>
        <v>**IPALCO</v>
      </c>
    </row>
    <row r="55" spans="1:61" x14ac:dyDescent="0.2">
      <c r="A55" s="303" t="s">
        <v>40</v>
      </c>
      <c r="B55" s="304" t="s">
        <v>49</v>
      </c>
      <c r="C55" s="304">
        <v>17</v>
      </c>
      <c r="D55" s="304" t="s">
        <v>311</v>
      </c>
      <c r="E55" s="305" t="str">
        <f t="shared" ca="1" si="0"/>
        <v>MR</v>
      </c>
      <c r="F55" s="306"/>
      <c r="G55" s="307">
        <f t="shared" ca="1" si="1"/>
        <v>36</v>
      </c>
      <c r="H55" s="250"/>
      <c r="I55" s="250"/>
      <c r="J55" s="262"/>
      <c r="K55" s="262"/>
      <c r="AF55" s="236">
        <f t="shared" si="2"/>
        <v>1</v>
      </c>
      <c r="AG55" s="236" t="str">
        <f t="shared" ca="1" si="3"/>
        <v/>
      </c>
      <c r="AH55" s="236" t="str">
        <f t="shared" ca="1" si="19"/>
        <v/>
      </c>
      <c r="AJ55" s="236">
        <f t="shared" ca="1" si="4"/>
        <v>56</v>
      </c>
      <c r="AK55" s="236" t="str">
        <f t="shared" ca="1" si="20"/>
        <v>BBB-</v>
      </c>
      <c r="AL55" s="236">
        <f t="shared" ca="1" si="20"/>
        <v>17</v>
      </c>
      <c r="AM55" s="236" t="str">
        <f t="shared" ca="1" si="5"/>
        <v/>
      </c>
      <c r="AQ55" s="286" t="s">
        <v>62</v>
      </c>
      <c r="AR55" s="286" t="s">
        <v>16</v>
      </c>
      <c r="AS55" s="286">
        <v>19</v>
      </c>
      <c r="AT55" s="286" t="s">
        <v>330</v>
      </c>
      <c r="AV55" s="234">
        <f t="shared" si="21"/>
        <v>11</v>
      </c>
      <c r="AW55" s="234">
        <f>COUNTIF( AV$7:AV55, AV55 )</f>
        <v>13</v>
      </c>
      <c r="AX55" s="287">
        <f t="shared" si="22"/>
        <v>12.3</v>
      </c>
      <c r="AY55" s="234">
        <f t="shared" si="23"/>
        <v>23</v>
      </c>
      <c r="AZ55" s="236"/>
      <c r="BA55" s="236"/>
      <c r="BC55" s="234">
        <f t="shared" ca="1" si="24"/>
        <v>49</v>
      </c>
      <c r="BD55" s="288">
        <f t="shared" ca="1" si="7"/>
        <v>31</v>
      </c>
      <c r="BF55" s="240" t="str">
        <f t="shared" ca="1" si="25"/>
        <v>NiSource Inc.</v>
      </c>
      <c r="BG55" s="240" t="str">
        <f t="shared" ca="1" si="9"/>
        <v>BBB-</v>
      </c>
      <c r="BH55" s="240">
        <f t="shared" ca="1" si="9"/>
        <v>17</v>
      </c>
      <c r="BI55" s="240" t="str">
        <f t="shared" ca="1" si="9"/>
        <v>NI</v>
      </c>
    </row>
    <row r="56" spans="1:61" x14ac:dyDescent="0.2">
      <c r="A56" s="303" t="s">
        <v>22</v>
      </c>
      <c r="B56" s="304" t="s">
        <v>49</v>
      </c>
      <c r="C56" s="304">
        <v>17</v>
      </c>
      <c r="D56" s="304" t="s">
        <v>317</v>
      </c>
      <c r="E56" s="305" t="str">
        <f t="shared" ca="1" si="0"/>
        <v>MR</v>
      </c>
      <c r="F56" s="306"/>
      <c r="G56" s="307">
        <f t="shared" ca="1" si="1"/>
        <v>42</v>
      </c>
      <c r="H56" s="250"/>
      <c r="I56" s="250"/>
      <c r="J56" s="262"/>
      <c r="K56" s="262"/>
      <c r="AF56" s="236">
        <f t="shared" si="2"/>
        <v>1</v>
      </c>
      <c r="AG56" s="236" t="str">
        <f t="shared" ca="1" si="3"/>
        <v/>
      </c>
      <c r="AH56" s="236" t="str">
        <f t="shared" ca="1" si="19"/>
        <v/>
      </c>
      <c r="AJ56" s="236">
        <f t="shared" ca="1" si="4"/>
        <v>57</v>
      </c>
      <c r="AK56" s="236" t="str">
        <f t="shared" ca="1" si="20"/>
        <v>BBB-</v>
      </c>
      <c r="AL56" s="236">
        <f t="shared" ca="1" si="20"/>
        <v>17</v>
      </c>
      <c r="AM56" s="236" t="str">
        <f t="shared" ca="1" si="5"/>
        <v/>
      </c>
      <c r="AQ56" s="286" t="s">
        <v>75</v>
      </c>
      <c r="AR56" s="286" t="s">
        <v>28</v>
      </c>
      <c r="AS56" s="286">
        <v>18</v>
      </c>
      <c r="AT56" s="286" t="s">
        <v>332</v>
      </c>
      <c r="AV56" s="234">
        <f t="shared" si="21"/>
        <v>24</v>
      </c>
      <c r="AW56" s="234">
        <f>COUNTIF( AV$7:AV56, AV56 )</f>
        <v>15</v>
      </c>
      <c r="AX56" s="287">
        <f t="shared" si="22"/>
        <v>25.5</v>
      </c>
      <c r="AY56" s="234">
        <f t="shared" si="23"/>
        <v>38</v>
      </c>
      <c r="AZ56" s="236"/>
      <c r="BA56" s="236"/>
      <c r="BC56" s="234">
        <f t="shared" ca="1" si="24"/>
        <v>50</v>
      </c>
      <c r="BD56" s="288">
        <f t="shared" ca="1" si="7"/>
        <v>36</v>
      </c>
      <c r="BF56" s="240" t="str">
        <f t="shared" ca="1" si="25"/>
        <v>Otter Tail Corporation</v>
      </c>
      <c r="BG56" s="240" t="str">
        <f t="shared" ca="1" si="9"/>
        <v>BBB-</v>
      </c>
      <c r="BH56" s="240">
        <f t="shared" ca="1" si="9"/>
        <v>17</v>
      </c>
      <c r="BI56" s="240" t="str">
        <f t="shared" ca="1" si="9"/>
        <v>OTTR</v>
      </c>
    </row>
    <row r="57" spans="1:61" x14ac:dyDescent="0.2">
      <c r="A57" s="303" t="s">
        <v>42</v>
      </c>
      <c r="B57" s="304" t="s">
        <v>49</v>
      </c>
      <c r="C57" s="304">
        <v>17</v>
      </c>
      <c r="D57" s="304" t="s">
        <v>321</v>
      </c>
      <c r="E57" s="305" t="str">
        <f t="shared" ca="1" si="0"/>
        <v>R</v>
      </c>
      <c r="F57" s="306"/>
      <c r="G57" s="307">
        <f t="shared" ca="1" si="1"/>
        <v>46</v>
      </c>
      <c r="H57" s="250"/>
      <c r="I57" s="250"/>
      <c r="J57" s="262"/>
      <c r="K57" s="262"/>
      <c r="AF57" s="236">
        <f t="shared" si="2"/>
        <v>1</v>
      </c>
      <c r="AG57" s="236">
        <f t="shared" ca="1" si="3"/>
        <v>1</v>
      </c>
      <c r="AH57" s="236" t="str">
        <f t="shared" ca="1" si="19"/>
        <v/>
      </c>
      <c r="AJ57" s="236">
        <f t="shared" ca="1" si="4"/>
        <v>60</v>
      </c>
      <c r="AK57" s="236" t="str">
        <f t="shared" ca="1" si="20"/>
        <v>BB</v>
      </c>
      <c r="AL57" s="236">
        <f t="shared" ca="1" si="20"/>
        <v>15</v>
      </c>
      <c r="AM57" s="236" t="str">
        <f t="shared" ca="1" si="5"/>
        <v>Change</v>
      </c>
      <c r="AQ57" s="286" t="s">
        <v>14</v>
      </c>
      <c r="AR57" s="286" t="s">
        <v>10</v>
      </c>
      <c r="AS57" s="286">
        <v>20</v>
      </c>
      <c r="AT57" s="286" t="s">
        <v>335</v>
      </c>
      <c r="AV57" s="234">
        <f t="shared" si="21"/>
        <v>2</v>
      </c>
      <c r="AW57" s="234">
        <f>COUNTIF( AV$7:AV57, AV57 )</f>
        <v>7</v>
      </c>
      <c r="AX57" s="287">
        <f t="shared" si="22"/>
        <v>2.7</v>
      </c>
      <c r="AY57" s="234">
        <f t="shared" si="23"/>
        <v>8</v>
      </c>
      <c r="AZ57" s="236"/>
      <c r="BA57" s="236"/>
      <c r="BC57" s="234">
        <f t="shared" ca="1" si="24"/>
        <v>51</v>
      </c>
      <c r="BD57" s="288">
        <f t="shared" ca="1" si="7"/>
        <v>40</v>
      </c>
      <c r="BF57" s="240" t="str">
        <f t="shared" ca="1" si="25"/>
        <v>PNM Resources, Inc.</v>
      </c>
      <c r="BG57" s="240" t="str">
        <f t="shared" ca="1" si="9"/>
        <v>BBB-</v>
      </c>
      <c r="BH57" s="240">
        <f t="shared" ca="1" si="9"/>
        <v>17</v>
      </c>
      <c r="BI57" s="240" t="str">
        <f t="shared" ca="1" si="9"/>
        <v>PNM</v>
      </c>
    </row>
    <row r="58" spans="1:61" x14ac:dyDescent="0.2">
      <c r="A58" s="303" t="s">
        <v>266</v>
      </c>
      <c r="B58" s="304" t="s">
        <v>56</v>
      </c>
      <c r="C58" s="304">
        <v>16</v>
      </c>
      <c r="D58" s="304" t="s">
        <v>314</v>
      </c>
      <c r="E58" s="305" t="str">
        <f t="shared" ca="1" si="0"/>
        <v>R</v>
      </c>
      <c r="F58" s="306"/>
      <c r="G58" s="307">
        <f t="shared" ca="1" si="1"/>
        <v>40</v>
      </c>
      <c r="H58" s="250"/>
      <c r="I58" s="250"/>
      <c r="J58" s="262"/>
      <c r="K58" s="262"/>
      <c r="AF58" s="236">
        <f t="shared" si="2"/>
        <v>0</v>
      </c>
      <c r="AG58" s="236" t="str">
        <f t="shared" ca="1" si="3"/>
        <v/>
      </c>
      <c r="AH58" s="236" t="str">
        <f t="shared" ca="1" si="19"/>
        <v/>
      </c>
      <c r="AJ58" s="236">
        <f t="shared" ca="1" si="4"/>
        <v>58</v>
      </c>
      <c r="AK58" s="236" t="str">
        <f t="shared" ca="1" si="20"/>
        <v>BB+</v>
      </c>
      <c r="AL58" s="236">
        <f t="shared" ca="1" si="20"/>
        <v>16</v>
      </c>
      <c r="AM58" s="236" t="str">
        <f t="shared" ca="1" si="5"/>
        <v/>
      </c>
      <c r="AQ58" s="286" t="s">
        <v>59</v>
      </c>
      <c r="AR58" s="286" t="s">
        <v>28</v>
      </c>
      <c r="AS58" s="286">
        <v>18</v>
      </c>
      <c r="AT58" s="286" t="s">
        <v>337</v>
      </c>
      <c r="AV58" s="234">
        <f t="shared" si="21"/>
        <v>24</v>
      </c>
      <c r="AW58" s="234">
        <f>COUNTIF( AV$7:AV58, AV58 )</f>
        <v>16</v>
      </c>
      <c r="AX58" s="287">
        <f t="shared" si="22"/>
        <v>25.6</v>
      </c>
      <c r="AY58" s="234">
        <f t="shared" si="23"/>
        <v>39</v>
      </c>
      <c r="AZ58" s="236"/>
      <c r="BA58" s="236"/>
      <c r="BC58" s="234">
        <f t="shared" ca="1" si="24"/>
        <v>52</v>
      </c>
      <c r="BD58" s="288">
        <f t="shared" ca="1" si="7"/>
        <v>34</v>
      </c>
      <c r="BF58" s="240" t="str">
        <f t="shared" ca="1" si="25"/>
        <v>NV Energy, Inc.</v>
      </c>
      <c r="BG58" s="240" t="str">
        <f t="shared" ca="1" si="9"/>
        <v>BB+</v>
      </c>
      <c r="BH58" s="240">
        <f t="shared" ca="1" si="9"/>
        <v>16</v>
      </c>
      <c r="BI58" s="240" t="str">
        <f t="shared" ca="1" si="9"/>
        <v>NVE</v>
      </c>
    </row>
    <row r="59" spans="1:61" x14ac:dyDescent="0.2">
      <c r="A59" s="303" t="s">
        <v>54</v>
      </c>
      <c r="B59" s="304" t="s">
        <v>56</v>
      </c>
      <c r="C59" s="304">
        <v>16</v>
      </c>
      <c r="D59" s="304" t="s">
        <v>449</v>
      </c>
      <c r="E59" s="305" t="str">
        <f t="shared" ca="1" si="0"/>
        <v>R</v>
      </c>
      <c r="F59" s="306"/>
      <c r="G59" s="307">
        <f t="shared" ca="1" si="1"/>
        <v>68</v>
      </c>
      <c r="H59" s="250"/>
      <c r="I59" s="250"/>
      <c r="J59" s="262"/>
      <c r="K59" s="262"/>
      <c r="AF59" s="236">
        <f t="shared" si="2"/>
        <v>0</v>
      </c>
      <c r="AG59" s="236" t="str">
        <f t="shared" ca="1" si="3"/>
        <v/>
      </c>
      <c r="AH59" s="236" t="str">
        <f t="shared" ca="1" si="19"/>
        <v/>
      </c>
      <c r="AJ59" s="236">
        <f t="shared" ca="1" si="4"/>
        <v>59</v>
      </c>
      <c r="AK59" s="236" t="str">
        <f t="shared" ca="1" si="20"/>
        <v>BB+</v>
      </c>
      <c r="AL59" s="236">
        <f t="shared" ca="1" si="20"/>
        <v>16</v>
      </c>
      <c r="AM59" s="236" t="str">
        <f t="shared" ca="1" si="5"/>
        <v/>
      </c>
      <c r="AQ59" s="286" t="s">
        <v>26</v>
      </c>
      <c r="AR59" s="286" t="s">
        <v>10</v>
      </c>
      <c r="AS59" s="286">
        <v>20</v>
      </c>
      <c r="AT59" s="286" t="s">
        <v>336</v>
      </c>
      <c r="AV59" s="234">
        <f t="shared" si="21"/>
        <v>2</v>
      </c>
      <c r="AW59" s="234">
        <f>COUNTIF( AV$7:AV59, AV59 )</f>
        <v>8</v>
      </c>
      <c r="AX59" s="287">
        <f t="shared" si="22"/>
        <v>2.8</v>
      </c>
      <c r="AY59" s="234">
        <f t="shared" si="23"/>
        <v>9</v>
      </c>
      <c r="AZ59" s="236"/>
      <c r="BA59" s="236"/>
      <c r="BC59" s="234">
        <f t="shared" ca="1" si="24"/>
        <v>53</v>
      </c>
      <c r="BD59" s="288">
        <f t="shared" ca="1" si="7"/>
        <v>45</v>
      </c>
      <c r="BF59" s="240" t="str">
        <f t="shared" ca="1" si="25"/>
        <v>Puget Energy, Inc.</v>
      </c>
      <c r="BG59" s="240" t="str">
        <f t="shared" ca="1" si="9"/>
        <v>BB+</v>
      </c>
      <c r="BH59" s="240">
        <f t="shared" ca="1" si="9"/>
        <v>16</v>
      </c>
      <c r="BI59" s="240" t="str">
        <f t="shared" ca="1" si="9"/>
        <v>**PSD</v>
      </c>
    </row>
    <row r="60" spans="1:61" x14ac:dyDescent="0.2">
      <c r="A60" s="247" t="s">
        <v>249</v>
      </c>
      <c r="B60" s="248" t="s">
        <v>125</v>
      </c>
      <c r="C60" s="248">
        <v>9</v>
      </c>
      <c r="D60" s="248" t="s">
        <v>445</v>
      </c>
      <c r="E60" s="249"/>
      <c r="F60" s="250"/>
      <c r="G60" s="251">
        <f t="shared" ca="1" si="1"/>
        <v>65</v>
      </c>
      <c r="H60" s="250"/>
      <c r="I60" s="250"/>
      <c r="AF60" s="236">
        <f t="shared" si="2"/>
        <v>1</v>
      </c>
      <c r="AG60" s="236" t="str">
        <f t="shared" ca="1" si="3"/>
        <v/>
      </c>
      <c r="AH60" s="236" t="str">
        <f t="shared" ca="1" si="19"/>
        <v/>
      </c>
      <c r="AJ60" s="236">
        <f t="shared" ca="1" si="4"/>
        <v>61</v>
      </c>
      <c r="AK60" s="236" t="str">
        <f t="shared" ca="1" si="20"/>
        <v>CCC</v>
      </c>
      <c r="AL60" s="236">
        <f t="shared" ca="1" si="20"/>
        <v>9</v>
      </c>
      <c r="AM60" s="236" t="str">
        <f t="shared" ca="1" si="5"/>
        <v/>
      </c>
      <c r="AQ60" s="286" t="s">
        <v>258</v>
      </c>
      <c r="AR60" s="286" t="s">
        <v>10</v>
      </c>
      <c r="AS60" s="286">
        <v>20</v>
      </c>
      <c r="AT60" s="286" t="s">
        <v>338</v>
      </c>
      <c r="AV60" s="234">
        <f t="shared" si="21"/>
        <v>2</v>
      </c>
      <c r="AW60" s="234">
        <f>COUNTIF( AV$7:AV60, AV60 )</f>
        <v>9</v>
      </c>
      <c r="AX60" s="287">
        <f t="shared" si="22"/>
        <v>2.9</v>
      </c>
      <c r="AY60" s="234">
        <f t="shared" si="23"/>
        <v>10</v>
      </c>
      <c r="AZ60" s="236"/>
      <c r="BA60" s="236"/>
      <c r="BC60" s="234">
        <f t="shared" ca="1" si="24"/>
        <v>54</v>
      </c>
      <c r="BD60" s="288">
        <f t="shared" ca="1" si="7"/>
        <v>18</v>
      </c>
      <c r="BF60" s="240" t="str">
        <f t="shared" ca="1" si="25"/>
        <v>Energy Future Holdings Corp.</v>
      </c>
      <c r="BG60" s="240" t="str">
        <f t="shared" ca="1" si="9"/>
        <v>CCC</v>
      </c>
      <c r="BH60" s="240">
        <f t="shared" ca="1" si="9"/>
        <v>9</v>
      </c>
      <c r="BI60" s="240" t="str">
        <f t="shared" ca="1" si="9"/>
        <v>**EFH</v>
      </c>
    </row>
    <row r="61" spans="1:61" ht="13.5" thickBot="1" x14ac:dyDescent="0.25">
      <c r="A61" s="265"/>
      <c r="B61" s="266"/>
      <c r="C61" s="266"/>
      <c r="D61" s="266"/>
      <c r="E61" s="267"/>
      <c r="F61" s="250"/>
      <c r="G61" s="251" t="str">
        <f t="shared" ca="1" si="1"/>
        <v/>
      </c>
      <c r="H61" s="250"/>
      <c r="I61" s="250"/>
      <c r="AF61" s="236">
        <f t="shared" si="2"/>
        <v>0</v>
      </c>
      <c r="AG61" s="236" t="str">
        <f t="shared" si="3"/>
        <v/>
      </c>
      <c r="AH61" s="236" t="str">
        <f t="shared" si="19"/>
        <v/>
      </c>
      <c r="AJ61" s="236" t="e">
        <f t="shared" ca="1" si="4"/>
        <v>#N/A</v>
      </c>
      <c r="AK61" s="236" t="str">
        <f t="shared" ca="1" si="20"/>
        <v/>
      </c>
      <c r="AL61" s="236" t="str">
        <f t="shared" ca="1" si="20"/>
        <v/>
      </c>
      <c r="AM61" s="236" t="str">
        <f t="shared" ca="1" si="5"/>
        <v/>
      </c>
      <c r="AQ61" s="286"/>
      <c r="AR61" s="286"/>
      <c r="AS61" s="286"/>
      <c r="AT61" s="286"/>
      <c r="AV61" s="234">
        <f t="shared" si="21"/>
        <v>99</v>
      </c>
      <c r="AW61" s="234">
        <f>COUNTIF( AV$7:AV61, AV61 )</f>
        <v>1</v>
      </c>
      <c r="AX61" s="287">
        <f t="shared" si="22"/>
        <v>99.1</v>
      </c>
      <c r="AY61" s="234">
        <f t="shared" si="23"/>
        <v>55</v>
      </c>
      <c r="AZ61" s="236"/>
      <c r="BA61" s="236"/>
      <c r="BC61" s="234">
        <f t="shared" ca="1" si="24"/>
        <v>55</v>
      </c>
      <c r="BD61" s="288">
        <f t="shared" ca="1" si="7"/>
        <v>55</v>
      </c>
      <c r="BF61" s="240">
        <f t="shared" ca="1" si="25"/>
        <v>0</v>
      </c>
      <c r="BG61" s="240">
        <f t="shared" ca="1" si="9"/>
        <v>0</v>
      </c>
      <c r="BH61" s="240">
        <f t="shared" ca="1" si="9"/>
        <v>0</v>
      </c>
      <c r="BI61" s="240">
        <f t="shared" ca="1" si="9"/>
        <v>0</v>
      </c>
    </row>
    <row r="62" spans="1:61" x14ac:dyDescent="0.2">
      <c r="A62" s="308" t="s">
        <v>474</v>
      </c>
      <c r="B62" s="309" t="s">
        <v>108</v>
      </c>
      <c r="C62" s="309">
        <v>23</v>
      </c>
      <c r="D62" s="309" t="s">
        <v>440</v>
      </c>
      <c r="E62" s="310" t="str">
        <f ca="1">OFFSET( INDIRECT( E$3 &amp; E$4 ), $G62 - 1, 0 )</f>
        <v>MR</v>
      </c>
      <c r="F62" s="311"/>
      <c r="G62" s="312">
        <f t="shared" ca="1" si="1"/>
        <v>34</v>
      </c>
      <c r="H62" s="250"/>
      <c r="I62" s="250"/>
      <c r="AF62" s="236">
        <f t="shared" si="2"/>
        <v>1</v>
      </c>
      <c r="AG62" s="236" t="str">
        <f t="shared" ca="1" si="3"/>
        <v/>
      </c>
      <c r="AH62" s="236" t="str">
        <f t="shared" ca="1" si="19"/>
        <v/>
      </c>
      <c r="AJ62" s="236">
        <f t="shared" ca="1" si="4"/>
        <v>63</v>
      </c>
      <c r="AK62" s="236" t="str">
        <f t="shared" ca="1" si="20"/>
        <v>AA-</v>
      </c>
      <c r="AL62" s="236">
        <f t="shared" ca="1" si="20"/>
        <v>23</v>
      </c>
      <c r="AM62" s="236" t="str">
        <f t="shared" ca="1" si="5"/>
        <v/>
      </c>
      <c r="AQ62" s="286"/>
      <c r="AR62" s="286"/>
      <c r="AS62" s="286"/>
      <c r="AT62" s="286"/>
      <c r="AV62" s="234">
        <f t="shared" si="21"/>
        <v>99</v>
      </c>
      <c r="AW62" s="234">
        <f>COUNTIF( AV$7:AV62, AV62 )</f>
        <v>2</v>
      </c>
      <c r="AX62" s="287">
        <f t="shared" si="22"/>
        <v>99.2</v>
      </c>
      <c r="AY62" s="234">
        <f t="shared" si="23"/>
        <v>56</v>
      </c>
      <c r="AZ62" s="236"/>
      <c r="BA62" s="236"/>
      <c r="BC62" s="234">
        <f t="shared" ca="1" si="24"/>
        <v>56</v>
      </c>
      <c r="BD62" s="288">
        <f t="shared" ca="1" si="7"/>
        <v>56</v>
      </c>
      <c r="BF62" s="240">
        <f t="shared" ca="1" si="25"/>
        <v>0</v>
      </c>
      <c r="BG62" s="240">
        <f t="shared" ca="1" si="9"/>
        <v>0</v>
      </c>
      <c r="BH62" s="240">
        <f t="shared" ca="1" si="9"/>
        <v>0</v>
      </c>
      <c r="BI62" s="240">
        <f t="shared" ca="1" si="9"/>
        <v>0</v>
      </c>
    </row>
    <row r="63" spans="1:61" x14ac:dyDescent="0.2">
      <c r="A63" s="303" t="s">
        <v>475</v>
      </c>
      <c r="B63" s="304" t="s">
        <v>2</v>
      </c>
      <c r="C63" s="304">
        <v>21</v>
      </c>
      <c r="D63" s="304" t="s">
        <v>441</v>
      </c>
      <c r="E63" s="305" t="str">
        <f ca="1">OFFSET( INDIRECT( E$3 &amp; E$4 ), $G63 - 1, 0 )</f>
        <v>R</v>
      </c>
      <c r="F63" s="306"/>
      <c r="G63" s="307">
        <f t="shared" ca="1" si="1"/>
        <v>15</v>
      </c>
      <c r="H63" s="250"/>
      <c r="I63" s="250"/>
      <c r="AF63" s="236">
        <f t="shared" si="2"/>
        <v>0</v>
      </c>
      <c r="AG63" s="236" t="str">
        <f t="shared" ca="1" si="3"/>
        <v/>
      </c>
      <c r="AH63" s="236" t="str">
        <f t="shared" ca="1" si="19"/>
        <v/>
      </c>
      <c r="AJ63" s="236">
        <f t="shared" ca="1" si="4"/>
        <v>64</v>
      </c>
      <c r="AK63" s="236" t="str">
        <f t="shared" ca="1" si="20"/>
        <v>A</v>
      </c>
      <c r="AL63" s="236">
        <f t="shared" ca="1" si="20"/>
        <v>21</v>
      </c>
      <c r="AM63" s="236" t="str">
        <f t="shared" ca="1" si="5"/>
        <v/>
      </c>
      <c r="AQ63" s="286"/>
      <c r="AR63" s="286"/>
      <c r="AS63" s="286"/>
      <c r="AT63" s="286"/>
      <c r="AU63" s="286"/>
      <c r="AV63" s="234">
        <f t="shared" si="21"/>
        <v>99</v>
      </c>
      <c r="AW63" s="234">
        <f>COUNTIF( AV$7:AV63, AV63 )</f>
        <v>3</v>
      </c>
      <c r="AX63" s="287">
        <f t="shared" si="22"/>
        <v>99.3</v>
      </c>
      <c r="AY63" s="234">
        <f t="shared" si="23"/>
        <v>57</v>
      </c>
      <c r="AZ63" s="236"/>
      <c r="BA63" s="236"/>
      <c r="BC63" s="234">
        <f t="shared" ca="1" si="24"/>
        <v>57</v>
      </c>
      <c r="BD63" s="288">
        <f ca="1">MATCH( BC63, $AY$7:$AY$63, 0 )</f>
        <v>57</v>
      </c>
      <c r="BF63" s="240">
        <f t="shared" ca="1" si="25"/>
        <v>0</v>
      </c>
      <c r="BG63" s="240">
        <f t="shared" ref="BG63:BI63" ca="1" si="26">OFFSET( AR$6, $BD63, 0 )</f>
        <v>0</v>
      </c>
      <c r="BH63" s="240">
        <f t="shared" ca="1" si="26"/>
        <v>0</v>
      </c>
      <c r="BI63" s="240">
        <f t="shared" ca="1" si="26"/>
        <v>0</v>
      </c>
    </row>
    <row r="64" spans="1:61" x14ac:dyDescent="0.2">
      <c r="A64" s="303" t="s">
        <v>476</v>
      </c>
      <c r="B64" s="304" t="s">
        <v>56</v>
      </c>
      <c r="C64" s="304">
        <v>16</v>
      </c>
      <c r="D64" s="304" t="s">
        <v>442</v>
      </c>
      <c r="E64" s="305" t="str">
        <f ca="1">OFFSET( INDIRECT( E$3 &amp; E$4 ), $G64 - 1, 0 )</f>
        <v>R</v>
      </c>
      <c r="F64" s="306"/>
      <c r="G64" s="307">
        <f t="shared" ca="1" si="1"/>
        <v>57</v>
      </c>
      <c r="H64" s="250"/>
      <c r="I64" s="250"/>
      <c r="AF64" s="236">
        <f t="shared" si="2"/>
        <v>1</v>
      </c>
      <c r="AG64" s="236" t="str">
        <f t="shared" ca="1" si="3"/>
        <v/>
      </c>
      <c r="AH64" s="236" t="str">
        <f t="shared" ca="1" si="19"/>
        <v/>
      </c>
      <c r="AJ64" s="236">
        <f t="shared" ca="1" si="4"/>
        <v>65</v>
      </c>
      <c r="AK64" s="236" t="str">
        <f t="shared" ca="1" si="20"/>
        <v>BB+</v>
      </c>
      <c r="AL64" s="236">
        <f t="shared" ca="1" si="20"/>
        <v>16</v>
      </c>
      <c r="AM64" s="236" t="str">
        <f t="shared" ca="1" si="5"/>
        <v/>
      </c>
      <c r="AQ64" s="286" t="s">
        <v>474</v>
      </c>
      <c r="AR64" s="286" t="s">
        <v>108</v>
      </c>
      <c r="AS64" s="286">
        <v>23</v>
      </c>
      <c r="AT64" s="286" t="s">
        <v>440</v>
      </c>
      <c r="AU64" s="286"/>
      <c r="AZ64" s="236"/>
      <c r="BA64" s="236"/>
      <c r="BF64" s="236"/>
    </row>
    <row r="65" spans="1:58" x14ac:dyDescent="0.2">
      <c r="A65" s="303" t="s">
        <v>477</v>
      </c>
      <c r="B65" s="313"/>
      <c r="C65" s="304"/>
      <c r="D65" s="304" t="s">
        <v>448</v>
      </c>
      <c r="E65" s="305" t="str">
        <f ca="1">OFFSET( INDIRECT( E$3 &amp; E$4 ), $G65 - 1, 0 )</f>
        <v>R</v>
      </c>
      <c r="F65" s="306"/>
      <c r="G65" s="307">
        <f t="shared" ca="1" si="1"/>
        <v>56</v>
      </c>
      <c r="H65" s="250"/>
      <c r="I65" s="250"/>
      <c r="N65" s="234" t="s">
        <v>73</v>
      </c>
      <c r="AF65" s="236">
        <f t="shared" si="2"/>
        <v>0</v>
      </c>
      <c r="AG65" s="236" t="str">
        <f>IF( LEN( $C65 ) = 0, "", IF( $C65 &gt; $AL65, 1, "" ) )</f>
        <v/>
      </c>
      <c r="AH65" s="236" t="str">
        <f t="shared" si="19"/>
        <v/>
      </c>
      <c r="AJ65" s="236">
        <f t="shared" ca="1" si="4"/>
        <v>66</v>
      </c>
      <c r="AK65" s="236">
        <f t="shared" ca="1" si="20"/>
        <v>0</v>
      </c>
      <c r="AL65" s="236">
        <f t="shared" ca="1" si="20"/>
        <v>0</v>
      </c>
      <c r="AM65" s="236" t="str">
        <f t="shared" ca="1" si="5"/>
        <v/>
      </c>
      <c r="AQ65" s="286" t="s">
        <v>475</v>
      </c>
      <c r="AR65" s="286" t="s">
        <v>2</v>
      </c>
      <c r="AS65" s="286">
        <v>21</v>
      </c>
      <c r="AT65" s="286" t="s">
        <v>441</v>
      </c>
      <c r="AU65" s="286"/>
      <c r="AZ65" s="236"/>
      <c r="BA65" s="236"/>
      <c r="BF65" s="236"/>
    </row>
    <row r="66" spans="1:58" x14ac:dyDescent="0.2">
      <c r="A66" s="268"/>
      <c r="B66" s="269"/>
      <c r="C66" s="270"/>
      <c r="D66" s="270"/>
      <c r="E66" s="249"/>
      <c r="F66" s="250"/>
      <c r="H66" s="250"/>
      <c r="I66" s="250"/>
      <c r="AF66" s="236">
        <f t="shared" si="2"/>
        <v>0</v>
      </c>
      <c r="AG66" s="236" t="str">
        <f t="shared" ref="AG66:AG67" si="27">IF( LEN( $C66 ) = 0, "", IF( $C66 &gt; $AL66, 1, "" ) )</f>
        <v/>
      </c>
      <c r="AH66" s="236" t="str">
        <f t="shared" si="19"/>
        <v/>
      </c>
      <c r="AJ66" s="236" t="e">
        <f t="shared" ca="1" si="4"/>
        <v>#N/A</v>
      </c>
      <c r="AK66" s="236" t="str">
        <f t="shared" ca="1" si="20"/>
        <v/>
      </c>
      <c r="AL66" s="236" t="str">
        <f t="shared" ca="1" si="20"/>
        <v/>
      </c>
      <c r="AM66" s="236" t="str">
        <f t="shared" ca="1" si="5"/>
        <v/>
      </c>
      <c r="AQ66" s="286" t="s">
        <v>476</v>
      </c>
      <c r="AR66" s="286" t="s">
        <v>56</v>
      </c>
      <c r="AS66" s="286">
        <v>16</v>
      </c>
      <c r="AT66" s="286" t="s">
        <v>442</v>
      </c>
      <c r="AU66" s="286"/>
      <c r="AX66" s="287"/>
      <c r="AZ66" s="236"/>
      <c r="BA66" s="236"/>
      <c r="BD66" s="288"/>
      <c r="BF66" s="236"/>
    </row>
    <row r="67" spans="1:58" ht="13.5" thickBot="1" x14ac:dyDescent="0.25">
      <c r="A67" s="271"/>
      <c r="B67" s="272"/>
      <c r="C67" s="337"/>
      <c r="D67" s="272"/>
      <c r="E67" s="273"/>
      <c r="F67" s="250"/>
      <c r="H67" s="250"/>
      <c r="I67" s="250"/>
      <c r="AF67" s="236">
        <f t="shared" si="2"/>
        <v>0</v>
      </c>
      <c r="AG67" s="236" t="str">
        <f t="shared" si="27"/>
        <v/>
      </c>
      <c r="AH67" s="236" t="str">
        <f t="shared" si="19"/>
        <v/>
      </c>
      <c r="AJ67" s="236" t="e">
        <f t="shared" ca="1" si="4"/>
        <v>#N/A</v>
      </c>
      <c r="AK67" s="236" t="str">
        <f t="shared" ca="1" si="20"/>
        <v/>
      </c>
      <c r="AL67" s="236" t="str">
        <f t="shared" ca="1" si="20"/>
        <v/>
      </c>
      <c r="AM67" s="236" t="str">
        <f t="shared" ca="1" si="5"/>
        <v/>
      </c>
      <c r="AQ67" s="286" t="s">
        <v>76</v>
      </c>
      <c r="AR67" s="286" t="s">
        <v>373</v>
      </c>
      <c r="AS67" s="286"/>
      <c r="AT67" s="286" t="s">
        <v>448</v>
      </c>
      <c r="AX67" s="287"/>
      <c r="AZ67" s="236"/>
      <c r="BA67" s="236"/>
      <c r="BD67" s="288"/>
      <c r="BF67" s="236"/>
    </row>
    <row r="68" spans="1:58" x14ac:dyDescent="0.2">
      <c r="A68" s="274" t="s">
        <v>135</v>
      </c>
      <c r="B68" s="275" t="s">
        <v>28</v>
      </c>
      <c r="C68" s="276">
        <f>AVERAGE(C7:C65)</f>
        <v>18.263157894736842</v>
      </c>
      <c r="D68" s="276"/>
      <c r="E68" s="276"/>
      <c r="F68" s="250"/>
      <c r="H68" s="250"/>
      <c r="I68" s="250"/>
      <c r="J68" s="253"/>
      <c r="K68" s="253"/>
      <c r="AQ68" s="286"/>
      <c r="AR68" s="286"/>
      <c r="AS68" s="286"/>
      <c r="AT68" s="286"/>
      <c r="AX68" s="287"/>
      <c r="AZ68" s="236"/>
      <c r="BA68" s="236"/>
      <c r="BD68" s="288"/>
      <c r="BF68" s="236"/>
    </row>
    <row r="69" spans="1:58" x14ac:dyDescent="0.2">
      <c r="A69" s="277"/>
      <c r="B69" s="278"/>
      <c r="F69" s="250"/>
      <c r="H69" s="250"/>
      <c r="I69" s="250"/>
      <c r="AX69" s="287"/>
      <c r="AZ69" s="236"/>
      <c r="BA69" s="236"/>
      <c r="BD69" s="288"/>
      <c r="BF69" s="236"/>
    </row>
    <row r="70" spans="1:58" x14ac:dyDescent="0.2">
      <c r="A70" s="277"/>
      <c r="B70" s="278"/>
      <c r="F70" s="240"/>
      <c r="H70" s="240"/>
      <c r="I70" s="240"/>
      <c r="J70" s="253"/>
      <c r="K70" s="253"/>
    </row>
    <row r="71" spans="1:58" x14ac:dyDescent="0.2">
      <c r="A71" s="279" t="s">
        <v>267</v>
      </c>
      <c r="F71" s="240"/>
      <c r="H71" s="240"/>
      <c r="I71" s="240"/>
    </row>
    <row r="72" spans="1:58" x14ac:dyDescent="0.2">
      <c r="A72" s="279" t="s">
        <v>366</v>
      </c>
      <c r="B72" s="240"/>
      <c r="D72" s="264"/>
      <c r="E72" s="264"/>
      <c r="F72" s="280"/>
      <c r="H72" s="280"/>
      <c r="I72" s="280"/>
    </row>
    <row r="73" spans="1:58" x14ac:dyDescent="0.2">
      <c r="A73" s="281" t="s">
        <v>356</v>
      </c>
      <c r="B73" s="240"/>
      <c r="D73" s="264"/>
      <c r="E73" s="264"/>
      <c r="F73" s="280"/>
      <c r="H73" s="280"/>
      <c r="I73" s="280"/>
    </row>
    <row r="74" spans="1:58" x14ac:dyDescent="0.2">
      <c r="A74" s="281" t="s">
        <v>357</v>
      </c>
      <c r="B74" s="240"/>
      <c r="D74" s="264"/>
      <c r="E74" s="264"/>
      <c r="F74" s="280"/>
      <c r="H74" s="280"/>
      <c r="I74" s="280"/>
    </row>
    <row r="75" spans="1:58" x14ac:dyDescent="0.2">
      <c r="A75" s="281" t="s">
        <v>470</v>
      </c>
      <c r="D75" s="280"/>
      <c r="E75" s="234"/>
      <c r="F75" s="282"/>
      <c r="H75" s="282"/>
      <c r="I75" s="282"/>
    </row>
    <row r="76" spans="1:58" x14ac:dyDescent="0.2">
      <c r="A76" s="279" t="s">
        <v>359</v>
      </c>
      <c r="D76" s="280"/>
      <c r="E76" s="234"/>
      <c r="F76" s="282"/>
      <c r="H76" s="282"/>
      <c r="I76" s="282"/>
      <c r="AQ76" s="286"/>
      <c r="AR76" s="286"/>
      <c r="AS76" s="286"/>
    </row>
    <row r="77" spans="1:58" x14ac:dyDescent="0.2">
      <c r="A77" s="279"/>
      <c r="D77" s="280"/>
      <c r="E77" s="234"/>
      <c r="F77" s="282"/>
      <c r="H77" s="282"/>
      <c r="I77" s="282"/>
      <c r="AQ77" s="286"/>
      <c r="AR77" s="286"/>
      <c r="AS77" s="286"/>
    </row>
    <row r="78" spans="1:58" x14ac:dyDescent="0.2">
      <c r="A78" s="279"/>
      <c r="AQ78" s="286"/>
      <c r="AR78" s="286"/>
      <c r="AS78" s="286"/>
    </row>
    <row r="79" spans="1:58" x14ac:dyDescent="0.2">
      <c r="C79" s="339">
        <f>SUMPRODUCT( L8:L13, Y8:Y13 ) / L14</f>
        <v>18.350877192982455</v>
      </c>
      <c r="E79" s="283"/>
      <c r="G79" s="251"/>
      <c r="J79" s="240"/>
      <c r="K79" s="240"/>
      <c r="AQ79" s="286"/>
      <c r="AR79" s="286"/>
      <c r="AS79" s="286"/>
    </row>
    <row r="80" spans="1:58" s="240" customFormat="1" x14ac:dyDescent="0.2">
      <c r="A80" s="284"/>
      <c r="B80" s="285"/>
      <c r="C80" s="285"/>
      <c r="D80" s="285"/>
      <c r="E80" s="249"/>
      <c r="F80" s="234"/>
      <c r="G80" s="236"/>
      <c r="H80" s="234"/>
      <c r="I80" s="234"/>
      <c r="Q80" s="234"/>
      <c r="T80" s="236"/>
      <c r="U80" s="236"/>
      <c r="V80" s="236"/>
      <c r="AF80" s="236"/>
      <c r="AG80" s="236"/>
      <c r="AH80" s="236"/>
      <c r="AJ80" s="236"/>
      <c r="AK80" s="236"/>
      <c r="AL80" s="236"/>
      <c r="AM80" s="236"/>
      <c r="AN80" s="236"/>
      <c r="AQ80" s="286"/>
      <c r="AR80" s="286"/>
      <c r="AS80" s="286"/>
    </row>
    <row r="81" spans="43:45" x14ac:dyDescent="0.2">
      <c r="AQ81" s="286"/>
      <c r="AR81" s="286"/>
      <c r="AS81" s="286"/>
    </row>
    <row r="82" spans="43:45" x14ac:dyDescent="0.2">
      <c r="AQ82" s="286"/>
      <c r="AR82" s="286"/>
      <c r="AS82" s="286"/>
    </row>
  </sheetData>
  <sortState ref="AQ7:AT60">
    <sortCondition ref="AQ7"/>
  </sortState>
  <mergeCells count="9">
    <mergeCell ref="L16:M16"/>
    <mergeCell ref="O16:P16"/>
    <mergeCell ref="R16:S16"/>
    <mergeCell ref="U16:V16"/>
    <mergeCell ref="J5:J6"/>
    <mergeCell ref="L5:M6"/>
    <mergeCell ref="O5:P6"/>
    <mergeCell ref="R5:S6"/>
    <mergeCell ref="U5:V6"/>
  </mergeCells>
  <conditionalFormatting sqref="A60:B61">
    <cfRule type="expression" dxfId="131" priority="61" stopIfTrue="1">
      <formula>IF( $AH60 = 1, TRUE, FALSE )</formula>
    </cfRule>
    <cfRule type="expression" dxfId="130" priority="62" stopIfTrue="1">
      <formula>IF( $AG60 = 1, TRUE, FALSE )</formula>
    </cfRule>
    <cfRule type="expression" dxfId="129" priority="63" stopIfTrue="1">
      <formula>IF( $AF60 = 1, TRUE, FALSE )</formula>
    </cfRule>
  </conditionalFormatting>
  <conditionalFormatting sqref="A67:B67">
    <cfRule type="expression" dxfId="128" priority="64" stopIfTrue="1">
      <formula>IF( $AH67 = 1, TRUE, FALSE )</formula>
    </cfRule>
    <cfRule type="expression" dxfId="127" priority="65" stopIfTrue="1">
      <formula>IF( $AG67 = 1, TRUE, FALSE )</formula>
    </cfRule>
    <cfRule type="expression" dxfId="126" priority="66" stopIfTrue="1">
      <formula>IF( $AF67 = 1, TRUE, FALSE )</formula>
    </cfRule>
  </conditionalFormatting>
  <conditionalFormatting sqref="A66:B66">
    <cfRule type="expression" dxfId="125" priority="58" stopIfTrue="1">
      <formula>IF( $AH66 = 1, TRUE, FALSE )</formula>
    </cfRule>
    <cfRule type="expression" dxfId="124" priority="59" stopIfTrue="1">
      <formula>IF( $AG66 = 1, TRUE, FALSE )</formula>
    </cfRule>
    <cfRule type="expression" dxfId="123" priority="60" stopIfTrue="1">
      <formula>IF( $AF66 = 1, TRUE, FALSE )</formula>
    </cfRule>
  </conditionalFormatting>
  <conditionalFormatting sqref="A7:B58">
    <cfRule type="expression" dxfId="122" priority="55" stopIfTrue="1">
      <formula>IF( $AH7 = 1, TRUE, FALSE )</formula>
    </cfRule>
    <cfRule type="expression" dxfId="121" priority="56" stopIfTrue="1">
      <formula>IF( $AG7 = 1, TRUE, FALSE )</formula>
    </cfRule>
    <cfRule type="expression" dxfId="120" priority="57" stopIfTrue="1">
      <formula>IF( $AF7 = 1, TRUE, FALSE )</formula>
    </cfRule>
  </conditionalFormatting>
  <conditionalFormatting sqref="A59:B59">
    <cfRule type="expression" dxfId="119" priority="52" stopIfTrue="1">
      <formula>IF( $AH59 = 1, TRUE, FALSE )</formula>
    </cfRule>
    <cfRule type="expression" dxfId="118" priority="53" stopIfTrue="1">
      <formula>IF( $AG59 = 1, TRUE, FALSE )</formula>
    </cfRule>
    <cfRule type="expression" dxfId="117" priority="54" stopIfTrue="1">
      <formula>IF( $AF59 = 1, TRUE, FALSE )</formula>
    </cfRule>
  </conditionalFormatting>
  <conditionalFormatting sqref="A62:B65">
    <cfRule type="expression" dxfId="116" priority="49" stopIfTrue="1">
      <formula>IF( $AH62 = 1, TRUE, FALSE )</formula>
    </cfRule>
    <cfRule type="expression" dxfId="115" priority="50" stopIfTrue="1">
      <formula>IF( $AG62 = 1, TRUE, FALSE )</formula>
    </cfRule>
    <cfRule type="expression" dxfId="114" priority="51" stopIfTrue="1">
      <formula>IF( $AF62 = 1, TRUE, FALSE )</formula>
    </cfRule>
  </conditionalFormatting>
  <conditionalFormatting sqref="U8:U12">
    <cfRule type="cellIs" dxfId="113" priority="48" operator="equal">
      <formula>0</formula>
    </cfRule>
  </conditionalFormatting>
  <conditionalFormatting sqref="O8:O12 Q8:Q12">
    <cfRule type="cellIs" dxfId="112" priority="47" operator="equal">
      <formula>0</formula>
    </cfRule>
  </conditionalFormatting>
  <conditionalFormatting sqref="V8:V12">
    <cfRule type="cellIs" dxfId="111" priority="46" operator="equal">
      <formula>0</formula>
    </cfRule>
  </conditionalFormatting>
  <conditionalFormatting sqref="S8:S12">
    <cfRule type="cellIs" dxfId="110" priority="44" operator="equal">
      <formula>0</formula>
    </cfRule>
  </conditionalFormatting>
  <conditionalFormatting sqref="R8:R12">
    <cfRule type="cellIs" dxfId="109" priority="45" operator="equal">
      <formula>0</formula>
    </cfRule>
  </conditionalFormatting>
  <conditionalFormatting sqref="P8:P12">
    <cfRule type="cellIs" dxfId="108" priority="43" operator="equal">
      <formula>0</formula>
    </cfRule>
  </conditionalFormatting>
  <conditionalFormatting sqref="M8:M12">
    <cfRule type="cellIs" dxfId="107" priority="42" operator="equal">
      <formula>0</formula>
    </cfRule>
  </conditionalFormatting>
  <conditionalFormatting sqref="T8:T12">
    <cfRule type="cellIs" dxfId="106" priority="41" operator="equal">
      <formula>0</formula>
    </cfRule>
  </conditionalFormatting>
  <conditionalFormatting sqref="N8:N12">
    <cfRule type="cellIs" dxfId="105" priority="40" operator="equal">
      <formula>0</formula>
    </cfRule>
  </conditionalFormatting>
  <conditionalFormatting sqref="K8:K12">
    <cfRule type="cellIs" dxfId="104" priority="39" operator="equal">
      <formula>0</formula>
    </cfRule>
  </conditionalFormatting>
  <conditionalFormatting sqref="W8:W12">
    <cfRule type="cellIs" dxfId="103" priority="38" operator="equal">
      <formula>0</formula>
    </cfRule>
  </conditionalFormatting>
  <conditionalFormatting sqref="C60:C61">
    <cfRule type="expression" dxfId="102" priority="32" stopIfTrue="1">
      <formula>IF( $AH60 = 1, TRUE, FALSE )</formula>
    </cfRule>
    <cfRule type="expression" dxfId="101" priority="33" stopIfTrue="1">
      <formula>IF( $AG60 = 1, TRUE, FALSE )</formula>
    </cfRule>
    <cfRule type="expression" dxfId="100" priority="34" stopIfTrue="1">
      <formula>IF( $AF60 = 1, TRUE, FALSE )</formula>
    </cfRule>
  </conditionalFormatting>
  <conditionalFormatting sqref="C67">
    <cfRule type="expression" dxfId="99" priority="35" stopIfTrue="1">
      <formula>IF( $AH67 = 1, TRUE, FALSE )</formula>
    </cfRule>
    <cfRule type="expression" dxfId="98" priority="36" stopIfTrue="1">
      <formula>IF( $AG67 = 1, TRUE, FALSE )</formula>
    </cfRule>
    <cfRule type="expression" dxfId="97" priority="37" stopIfTrue="1">
      <formula>IF( $AF67 = 1, TRUE, FALSE )</formula>
    </cfRule>
  </conditionalFormatting>
  <conditionalFormatting sqref="C66">
    <cfRule type="expression" dxfId="96" priority="29" stopIfTrue="1">
      <formula>IF( $AH66 = 1, TRUE, FALSE )</formula>
    </cfRule>
    <cfRule type="expression" dxfId="95" priority="30" stopIfTrue="1">
      <formula>IF( $AG66 = 1, TRUE, FALSE )</formula>
    </cfRule>
    <cfRule type="expression" dxfId="94" priority="31" stopIfTrue="1">
      <formula>IF( $AF66 = 1, TRUE, FALSE )</formula>
    </cfRule>
  </conditionalFormatting>
  <conditionalFormatting sqref="C7:C58">
    <cfRule type="expression" dxfId="93" priority="26" stopIfTrue="1">
      <formula>IF( $AH7 = 1, TRUE, FALSE )</formula>
    </cfRule>
    <cfRule type="expression" dxfId="92" priority="27" stopIfTrue="1">
      <formula>IF( $AG7 = 1, TRUE, FALSE )</formula>
    </cfRule>
    <cfRule type="expression" dxfId="91" priority="28" stopIfTrue="1">
      <formula>IF( $AF7 = 1, TRUE, FALSE )</formula>
    </cfRule>
  </conditionalFormatting>
  <conditionalFormatting sqref="C59">
    <cfRule type="expression" dxfId="90" priority="23" stopIfTrue="1">
      <formula>IF( $AH59 = 1, TRUE, FALSE )</formula>
    </cfRule>
    <cfRule type="expression" dxfId="89" priority="24" stopIfTrue="1">
      <formula>IF( $AG59 = 1, TRUE, FALSE )</formula>
    </cfRule>
    <cfRule type="expression" dxfId="88" priority="25" stopIfTrue="1">
      <formula>IF( $AF59 = 1, TRUE, FALSE )</formula>
    </cfRule>
  </conditionalFormatting>
  <conditionalFormatting sqref="C62:C65">
    <cfRule type="expression" dxfId="87" priority="20" stopIfTrue="1">
      <formula>IF( $AH62 = 1, TRUE, FALSE )</formula>
    </cfRule>
    <cfRule type="expression" dxfId="86" priority="21" stopIfTrue="1">
      <formula>IF( $AG62 = 1, TRUE, FALSE )</formula>
    </cfRule>
    <cfRule type="expression" dxfId="85" priority="22" stopIfTrue="1">
      <formula>IF( $AF62 = 1, TRUE, FALSE )</formula>
    </cfRule>
  </conditionalFormatting>
  <conditionalFormatting sqref="D60:E61 E7:E59 E62:E65">
    <cfRule type="expression" dxfId="84" priority="14" stopIfTrue="1">
      <formula>IF( $AH7 = 1, TRUE, FALSE )</formula>
    </cfRule>
    <cfRule type="expression" dxfId="83" priority="15" stopIfTrue="1">
      <formula>IF( $AG7 = 1, TRUE, FALSE )</formula>
    </cfRule>
    <cfRule type="expression" dxfId="82" priority="16" stopIfTrue="1">
      <formula>IF( $AF7 = 1, TRUE, FALSE )</formula>
    </cfRule>
  </conditionalFormatting>
  <conditionalFormatting sqref="D67:E67">
    <cfRule type="expression" dxfId="81" priority="17" stopIfTrue="1">
      <formula>IF( $AH67 = 1, TRUE, FALSE )</formula>
    </cfRule>
    <cfRule type="expression" dxfId="80" priority="18" stopIfTrue="1">
      <formula>IF( $AG67 = 1, TRUE, FALSE )</formula>
    </cfRule>
    <cfRule type="expression" dxfId="79" priority="19" stopIfTrue="1">
      <formula>IF( $AF67 = 1, TRUE, FALSE )</formula>
    </cfRule>
  </conditionalFormatting>
  <conditionalFormatting sqref="D66:E66">
    <cfRule type="expression" dxfId="78" priority="11" stopIfTrue="1">
      <formula>IF( $AH66 = 1, TRUE, FALSE )</formula>
    </cfRule>
    <cfRule type="expression" dxfId="77" priority="12" stopIfTrue="1">
      <formula>IF( $AG66 = 1, TRUE, FALSE )</formula>
    </cfRule>
    <cfRule type="expression" dxfId="76" priority="13" stopIfTrue="1">
      <formula>IF( $AF66 = 1, TRUE, FALSE )</formula>
    </cfRule>
  </conditionalFormatting>
  <conditionalFormatting sqref="D7:D58">
    <cfRule type="expression" dxfId="75" priority="8" stopIfTrue="1">
      <formula>IF( $AH7 = 1, TRUE, FALSE )</formula>
    </cfRule>
    <cfRule type="expression" dxfId="74" priority="9" stopIfTrue="1">
      <formula>IF( $AG7 = 1, TRUE, FALSE )</formula>
    </cfRule>
    <cfRule type="expression" dxfId="73" priority="10" stopIfTrue="1">
      <formula>IF( $AF7 = 1, TRUE, FALSE )</formula>
    </cfRule>
  </conditionalFormatting>
  <conditionalFormatting sqref="D59">
    <cfRule type="expression" dxfId="72" priority="5" stopIfTrue="1">
      <formula>IF( $AH59 = 1, TRUE, FALSE )</formula>
    </cfRule>
    <cfRule type="expression" dxfId="71" priority="6" stopIfTrue="1">
      <formula>IF( $AG59 = 1, TRUE, FALSE )</formula>
    </cfRule>
    <cfRule type="expression" dxfId="70" priority="7" stopIfTrue="1">
      <formula>IF( $AF59 = 1, TRUE, FALSE )</formula>
    </cfRule>
  </conditionalFormatting>
  <conditionalFormatting sqref="D62:D65">
    <cfRule type="expression" dxfId="69" priority="2" stopIfTrue="1">
      <formula>IF( $AH62 = 1, TRUE, FALSE )</formula>
    </cfRule>
    <cfRule type="expression" dxfId="68" priority="3" stopIfTrue="1">
      <formula>IF( $AG62 = 1, TRUE, FALSE )</formula>
    </cfRule>
    <cfRule type="expression" dxfId="67" priority="4" stopIfTrue="1">
      <formula>IF( $AF62 = 1, TRUE, FALSE )</formula>
    </cfRule>
  </conditionalFormatting>
  <conditionalFormatting sqref="I8:I12">
    <cfRule type="cellIs" dxfId="66" priority="1" operator="equal">
      <formula>0</formula>
    </cfRule>
  </conditionalFormatting>
  <pageMargins left="0.17" right="0.18" top="0.28000000000000003" bottom="0.17" header="0.3" footer="0.3"/>
  <pageSetup scale="19" orientation="portrait" horizontalDpi="1200" verticalDpi="120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J82"/>
  <sheetViews>
    <sheetView showGridLines="0" zoomScale="70" zoomScaleNormal="70" workbookViewId="0">
      <pane ySplit="6" topLeftCell="A7" activePane="bottomLeft" state="frozen"/>
      <selection pane="bottomLeft" activeCell="A7" sqref="A7"/>
    </sheetView>
  </sheetViews>
  <sheetFormatPr defaultColWidth="9.140625" defaultRowHeight="12.75" outlineLevelRow="1" outlineLevelCol="2" x14ac:dyDescent="0.2"/>
  <cols>
    <col min="1" max="1" width="35.140625" style="234" customWidth="1"/>
    <col min="2" max="2" width="9.140625" style="234"/>
    <col min="3" max="3" width="9.42578125" style="263" customWidth="1"/>
    <col min="4" max="4" width="9.140625" style="235" customWidth="1" outlineLevel="1"/>
    <col min="5" max="5" width="12.5703125" style="235" customWidth="1" outlineLevel="1"/>
    <col min="6" max="6" width="3.42578125" style="234" customWidth="1" outlineLevel="1"/>
    <col min="7" max="7" width="17.7109375" style="236" hidden="1" customWidth="1" outlineLevel="2"/>
    <col min="8" max="8" width="3.42578125" style="234" hidden="1" customWidth="1" outlineLevel="2" collapsed="1"/>
    <col min="9" max="9" width="3.28515625" style="234" customWidth="1" outlineLevel="1" collapsed="1"/>
    <col min="10" max="10" width="22" style="234" customWidth="1"/>
    <col min="11" max="11" width="2" style="234" customWidth="1"/>
    <col min="12" max="13" width="10.42578125" style="234" customWidth="1"/>
    <col min="14" max="14" width="2" style="234" customWidth="1"/>
    <col min="15" max="16" width="10.42578125" style="234" customWidth="1"/>
    <col min="17" max="17" width="2" style="234" customWidth="1"/>
    <col min="18" max="19" width="10.42578125" style="234" customWidth="1"/>
    <col min="20" max="20" width="2" style="236" customWidth="1"/>
    <col min="21" max="22" width="10.42578125" style="236" customWidth="1"/>
    <col min="23" max="23" width="2" style="234" customWidth="1"/>
    <col min="24" max="24" width="4.140625" style="234" bestFit="1" customWidth="1"/>
    <col min="25" max="25" width="5.5703125" style="234" bestFit="1" customWidth="1"/>
    <col min="26" max="26" width="2.42578125" style="234" bestFit="1" customWidth="1"/>
    <col min="27" max="27" width="4.28515625" style="234" bestFit="1" customWidth="1"/>
    <col min="28" max="30" width="2.42578125" style="234" hidden="1" customWidth="1" outlineLevel="1"/>
    <col min="31" max="31" width="4.42578125" style="234" hidden="1" customWidth="1" outlineLevel="1"/>
    <col min="32" max="32" width="6.5703125" style="236" hidden="1" customWidth="1" outlineLevel="1" collapsed="1"/>
    <col min="33" max="34" width="6.5703125" style="236" hidden="1" customWidth="1" outlineLevel="1"/>
    <col min="35" max="35" width="3.140625" style="234" hidden="1" customWidth="1" outlineLevel="1"/>
    <col min="36" max="36" width="7.85546875" style="236" hidden="1" customWidth="1" outlineLevel="1" collapsed="1"/>
    <col min="37" max="38" width="9" style="236" hidden="1" customWidth="1" outlineLevel="1"/>
    <col min="39" max="39" width="8.42578125" style="236" hidden="1" customWidth="1" outlineLevel="1"/>
    <col min="40" max="40" width="11.85546875" style="236" hidden="1" customWidth="1" outlineLevel="1"/>
    <col min="41" max="41" width="3.42578125" style="234" customWidth="1" collapsed="1"/>
    <col min="42" max="42" width="3.42578125" style="234" customWidth="1"/>
    <col min="43" max="43" width="29.7109375" style="234" hidden="1" customWidth="1" outlineLevel="1"/>
    <col min="44" max="44" width="6.42578125" style="234" hidden="1" customWidth="1" outlineLevel="1"/>
    <col min="45" max="45" width="3.42578125" style="234" hidden="1" customWidth="1" outlineLevel="1"/>
    <col min="46" max="46" width="8.7109375" style="234" hidden="1" customWidth="1" outlineLevel="1"/>
    <col min="47" max="47" width="3.140625" style="234" hidden="1" customWidth="1" outlineLevel="1"/>
    <col min="48" max="56" width="9.140625" style="234" hidden="1" customWidth="1" outlineLevel="2"/>
    <col min="57" max="57" width="5.42578125" style="234" hidden="1" customWidth="1" outlineLevel="1" collapsed="1"/>
    <col min="58" max="58" width="36.85546875" style="234" hidden="1" customWidth="1" outlineLevel="1"/>
    <col min="59" max="59" width="6.42578125" style="234" hidden="1" customWidth="1" outlineLevel="1"/>
    <col min="60" max="60" width="3.42578125" style="234" hidden="1" customWidth="1" outlineLevel="1"/>
    <col min="61" max="61" width="9.140625" style="234" hidden="1" customWidth="1" outlineLevel="1"/>
    <col min="62" max="62" width="9.140625" style="234" collapsed="1"/>
    <col min="63" max="16384" width="9.140625" style="234"/>
  </cols>
  <sheetData>
    <row r="1" spans="1:61" ht="18.75" x14ac:dyDescent="0.2">
      <c r="A1" s="323" t="str">
        <f>"I.  S&amp;P Utility Credit Ratings Distribution -- " &amp; B6</f>
        <v>I.  S&amp;P Utility Credit Ratings Distribution -- 2012 Q1</v>
      </c>
      <c r="AF1" s="237" t="s">
        <v>420</v>
      </c>
      <c r="AG1" s="237" t="s">
        <v>421</v>
      </c>
      <c r="AH1" s="237" t="s">
        <v>422</v>
      </c>
      <c r="AJ1" s="237" t="s">
        <v>424</v>
      </c>
      <c r="AK1" s="237" t="s">
        <v>426</v>
      </c>
      <c r="AL1" s="237" t="s">
        <v>426</v>
      </c>
      <c r="AM1" s="237" t="s">
        <v>424</v>
      </c>
      <c r="AN1" s="237"/>
    </row>
    <row r="2" spans="1:61" ht="18.75" hidden="1" outlineLevel="1" x14ac:dyDescent="0.2">
      <c r="A2" s="233"/>
      <c r="E2" s="238" t="str">
        <f>G2</f>
        <v>Reg_Percent_2010</v>
      </c>
      <c r="G2" s="239" t="s">
        <v>487</v>
      </c>
      <c r="AJ2" s="240" t="str">
        <f>AJ4 &amp; AJ3</f>
        <v>'Credit_2011Q4'!a:a</v>
      </c>
      <c r="AK2" s="240" t="str">
        <f>AK4 &amp; AK3</f>
        <v>'Credit_2011Q4'!b1</v>
      </c>
      <c r="AL2" s="240" t="str">
        <f>AL4 &amp; AL3</f>
        <v>'Credit_2011Q4'!c1</v>
      </c>
    </row>
    <row r="3" spans="1:61" ht="18.75" hidden="1" outlineLevel="1" x14ac:dyDescent="0.2">
      <c r="A3" s="233"/>
      <c r="E3" s="241" t="str">
        <f>"'" &amp; E2 &amp; "'!"</f>
        <v>'Reg_Percent_2010'!</v>
      </c>
      <c r="G3" s="234" t="str">
        <f>"'" &amp; G2 &amp; "'!"</f>
        <v>'Reg_Percent_2010'!</v>
      </c>
      <c r="O3" s="242" t="s">
        <v>371</v>
      </c>
      <c r="P3" s="242"/>
      <c r="Q3" s="242"/>
      <c r="R3" s="242" t="s">
        <v>372</v>
      </c>
      <c r="T3" s="234"/>
      <c r="U3" s="242" t="s">
        <v>86</v>
      </c>
      <c r="V3" s="234"/>
      <c r="X3" s="242"/>
      <c r="Y3" s="242"/>
      <c r="Z3" s="242"/>
      <c r="AA3" s="242"/>
      <c r="AJ3" s="210" t="s">
        <v>425</v>
      </c>
      <c r="AK3" s="210" t="s">
        <v>427</v>
      </c>
      <c r="AL3" s="210" t="s">
        <v>453</v>
      </c>
    </row>
    <row r="4" spans="1:61" ht="18.75" hidden="1" outlineLevel="1" x14ac:dyDescent="0.2">
      <c r="A4" s="233"/>
      <c r="E4" s="242" t="s">
        <v>439</v>
      </c>
      <c r="G4" s="242" t="s">
        <v>438</v>
      </c>
      <c r="O4" s="236"/>
      <c r="P4" s="236"/>
      <c r="Q4" s="236"/>
      <c r="T4" s="234"/>
      <c r="U4" s="234"/>
      <c r="V4" s="234"/>
      <c r="AJ4" s="232" t="s">
        <v>493</v>
      </c>
      <c r="AK4" s="236" t="str">
        <f>AJ4</f>
        <v>'Credit_2011Q4'!</v>
      </c>
      <c r="AL4" s="236" t="str">
        <f>AK4</f>
        <v>'Credit_2011Q4'!</v>
      </c>
    </row>
    <row r="5" spans="1:61" collapsed="1" x14ac:dyDescent="0.2">
      <c r="E5" s="243" t="s">
        <v>436</v>
      </c>
      <c r="G5" s="237" t="s">
        <v>424</v>
      </c>
      <c r="I5" s="314"/>
      <c r="J5" s="466" t="s">
        <v>77</v>
      </c>
      <c r="K5" s="314"/>
      <c r="L5" s="468" t="str">
        <f>"All Companies" &amp; CHAR( 10 ) &amp; "("&amp; L14 &amp; ")"</f>
        <v>All Companies
(58)</v>
      </c>
      <c r="M5" s="468"/>
      <c r="N5" s="314"/>
      <c r="O5" s="466" t="str">
        <f ca="1">"Regulated" &amp; CHAR( 10 ) &amp; "(" &amp; O14 &amp; ")"</f>
        <v>Regulated
(37)</v>
      </c>
      <c r="P5" s="470"/>
      <c r="Q5" s="314"/>
      <c r="R5" s="466" t="str">
        <f ca="1">"Mostly Regulated" &amp; CHAR( 10 ) &amp; "(" &amp; R14 &amp; ")"</f>
        <v>Mostly Regulated
(18)</v>
      </c>
      <c r="S5" s="470"/>
      <c r="T5" s="314"/>
      <c r="U5" s="466" t="str">
        <f ca="1">"Diversified" &amp; CHAR( 10 ) &amp; "(" &amp; U14 &amp; ")"</f>
        <v>Diversified
(3)</v>
      </c>
      <c r="V5" s="470"/>
      <c r="W5" s="314"/>
      <c r="AE5" s="244"/>
      <c r="AF5" s="234"/>
      <c r="AG5" s="234"/>
      <c r="AH5" s="234"/>
      <c r="AJ5" s="234"/>
      <c r="AK5" s="234"/>
      <c r="AL5" s="234"/>
      <c r="AM5" s="234"/>
      <c r="AN5" s="234"/>
    </row>
    <row r="6" spans="1:61" ht="28.5" customHeight="1" x14ac:dyDescent="0.2">
      <c r="A6" s="299" t="s">
        <v>0</v>
      </c>
      <c r="B6" s="300" t="s">
        <v>391</v>
      </c>
      <c r="C6" s="338" t="s">
        <v>471</v>
      </c>
      <c r="D6" s="301"/>
      <c r="E6" s="302">
        <v>40543</v>
      </c>
      <c r="I6" s="315"/>
      <c r="J6" s="467"/>
      <c r="K6" s="315"/>
      <c r="L6" s="469"/>
      <c r="M6" s="469"/>
      <c r="N6" s="315"/>
      <c r="O6" s="467"/>
      <c r="P6" s="467"/>
      <c r="Q6" s="315"/>
      <c r="R6" s="467" t="s">
        <v>137</v>
      </c>
      <c r="S6" s="467"/>
      <c r="T6" s="315"/>
      <c r="U6" s="467"/>
      <c r="V6" s="467"/>
      <c r="W6" s="315"/>
      <c r="AE6" s="245"/>
      <c r="AJ6" s="246"/>
    </row>
    <row r="7" spans="1:61" x14ac:dyDescent="0.2">
      <c r="A7" s="303" t="s">
        <v>6</v>
      </c>
      <c r="B7" s="304" t="s">
        <v>110</v>
      </c>
      <c r="C7" s="304">
        <v>22</v>
      </c>
      <c r="D7" s="304" t="s">
        <v>313</v>
      </c>
      <c r="E7" s="305" t="str">
        <f t="shared" ref="E7:E61" ca="1" si="0">OFFSET( INDIRECT( E$3 &amp; E$4 ), $G7 - 1, 0 )</f>
        <v>R</v>
      </c>
      <c r="F7" s="306"/>
      <c r="G7" s="307">
        <f t="shared" ref="G7:G66" ca="1" si="1">IF( LEN( $D7 ) = 0, "", MATCH( $D7, INDIRECT( G$3 &amp; G$4 ), 0 ) )</f>
        <v>39</v>
      </c>
      <c r="H7" s="250"/>
      <c r="I7" s="316"/>
      <c r="J7" s="252"/>
      <c r="K7" s="316"/>
      <c r="L7" s="252" t="s">
        <v>81</v>
      </c>
      <c r="M7" s="252" t="s">
        <v>82</v>
      </c>
      <c r="N7" s="316"/>
      <c r="O7" s="252" t="s">
        <v>81</v>
      </c>
      <c r="P7" s="252" t="s">
        <v>82</v>
      </c>
      <c r="Q7" s="316"/>
      <c r="R7" s="252" t="s">
        <v>81</v>
      </c>
      <c r="S7" s="252" t="s">
        <v>82</v>
      </c>
      <c r="T7" s="316"/>
      <c r="U7" s="252" t="s">
        <v>81</v>
      </c>
      <c r="V7" s="252" t="s">
        <v>82</v>
      </c>
      <c r="W7" s="316"/>
      <c r="AE7" s="254"/>
      <c r="AF7" s="236">
        <f t="shared" ref="AF7:AF67" si="2">IF( LEN( C7 ) = 0, 0, IF( C7 = C6, AF6, IF( AF6 = 1, 0, 1 ) ) )</f>
        <v>1</v>
      </c>
      <c r="AG7" s="236" t="str">
        <f t="shared" ref="AG7:AG64" ca="1" si="3">IF( LEN( $C7 ) = 0, "", IF( $C7 &gt; $AL7, 1, "" ) )</f>
        <v/>
      </c>
      <c r="AH7" s="236" t="str">
        <f ca="1">IF( LEN( $C7 ) = 0, "", IF( $C7 &lt; $AL7, 1, "" ) )</f>
        <v/>
      </c>
      <c r="AJ7" s="236">
        <f t="shared" ref="AJ7:AJ67" ca="1" si="4">MATCH( $A7, INDIRECT( AJ$2 ), 0 )</f>
        <v>7</v>
      </c>
      <c r="AK7" s="236" t="str">
        <f ca="1">IF( ISNA( $AJ7 ), "", OFFSET( INDIRECT( AK$2 ), $AJ7-1, 0 ) )</f>
        <v>A+</v>
      </c>
      <c r="AL7" s="236">
        <f ca="1">IF( ISNA( $AJ7 ), "", OFFSET( INDIRECT( AL$2 ), $AJ7-1, 0 ) )</f>
        <v>22</v>
      </c>
      <c r="AM7" s="236" t="str">
        <f t="shared" ref="AM7:AM67" ca="1" si="5">IF( B7 = AK7, "", "Change" )</f>
        <v/>
      </c>
      <c r="AQ7" s="286" t="s">
        <v>15</v>
      </c>
      <c r="AR7" s="286" t="s">
        <v>16</v>
      </c>
      <c r="AS7" s="286">
        <v>19</v>
      </c>
      <c r="AT7" s="286" t="s">
        <v>277</v>
      </c>
      <c r="AV7" s="234">
        <f>IF( LEN( AS7 ) = 0, 99, RANK( AS7, $AS$7:$AS$63 ) )</f>
        <v>12</v>
      </c>
      <c r="AW7" s="234">
        <f>COUNTIF( AV7:AV$7, AV7 )</f>
        <v>1</v>
      </c>
      <c r="AX7" s="287">
        <f>AV7 + AW7 / 10</f>
        <v>12.1</v>
      </c>
      <c r="AY7" s="234">
        <f>RANK( AX7, $AX$7:$AX$63, 1 )</f>
        <v>12</v>
      </c>
      <c r="AZ7" s="236"/>
      <c r="BA7" s="236"/>
      <c r="BC7" s="234">
        <f t="shared" ref="BC7" ca="1" si="6">OFFSET( BC7, -1, 0 ) + 1</f>
        <v>1</v>
      </c>
      <c r="BD7" s="288">
        <f t="shared" ref="BD7:BD62" ca="1" si="7">MATCH( BC7, $AY$7:$AY$63, 0 )</f>
        <v>34</v>
      </c>
      <c r="BF7" s="240" t="str">
        <f t="shared" ref="BF7:BF38" ca="1" si="8">OFFSET( AQ$6, $BD7, 0 )</f>
        <v>NSTAR</v>
      </c>
      <c r="BG7" s="240" t="str">
        <f t="shared" ref="BG7:BI62" ca="1" si="9">OFFSET( AR$6, $BD7, 0 )</f>
        <v>A+</v>
      </c>
      <c r="BH7" s="240">
        <f t="shared" ca="1" si="9"/>
        <v>22</v>
      </c>
      <c r="BI7" s="240" t="str">
        <f t="shared" ca="1" si="9"/>
        <v>NST</v>
      </c>
    </row>
    <row r="8" spans="1:61" x14ac:dyDescent="0.2">
      <c r="A8" s="303" t="s">
        <v>7</v>
      </c>
      <c r="B8" s="304" t="s">
        <v>2</v>
      </c>
      <c r="C8" s="304">
        <v>21</v>
      </c>
      <c r="D8" s="304" t="s">
        <v>328</v>
      </c>
      <c r="E8" s="305" t="str">
        <f t="shared" ca="1" si="0"/>
        <v>R</v>
      </c>
      <c r="F8" s="306"/>
      <c r="G8" s="307">
        <f t="shared" ca="1" si="1"/>
        <v>53</v>
      </c>
      <c r="H8" s="250"/>
      <c r="I8" s="317"/>
      <c r="J8" s="293" t="s">
        <v>138</v>
      </c>
      <c r="K8" s="317"/>
      <c r="L8" s="293">
        <f t="shared" ref="L8:L13" si="10">COUNTIF($C$7:$C$67,$X8)</f>
        <v>4</v>
      </c>
      <c r="M8" s="294">
        <f t="shared" ref="M8:M13" si="11">IF( L8 = 0, "", L8/L$14 )</f>
        <v>6.8965517241379309E-2</v>
      </c>
      <c r="N8" s="317"/>
      <c r="O8" s="293">
        <f t="shared" ref="O8:O13" ca="1" si="12">COUNTIFS( $E$7:$E$66, O$3, $C$7:$C$66, $X8 )</f>
        <v>3</v>
      </c>
      <c r="P8" s="294">
        <f t="shared" ref="P8:P13" ca="1" si="13">IF( O8 = 0, "", O8/O$14 )</f>
        <v>8.1081081081081086E-2</v>
      </c>
      <c r="Q8" s="317"/>
      <c r="R8" s="293">
        <f t="shared" ref="R8:R13" ca="1" si="14">COUNTIFS( $E$7:$E$66, R$3, $C$7:$C$66, $X8 )</f>
        <v>1</v>
      </c>
      <c r="S8" s="294">
        <f t="shared" ref="S8:S13" ca="1" si="15">IF( R8 = 0, "", R8/R$14 )</f>
        <v>5.5555555555555552E-2</v>
      </c>
      <c r="T8" s="317"/>
      <c r="U8" s="293">
        <f t="shared" ref="U8:U13" ca="1" si="16">COUNTIFS( $E$7:$E$66, U$3, $C$7:$C$66, $X8 )</f>
        <v>0</v>
      </c>
      <c r="V8" s="294" t="str">
        <f t="shared" ref="V8:V13" ca="1" si="17">IF( U8 = 0, "", U8/U$14 )</f>
        <v/>
      </c>
      <c r="W8" s="317"/>
      <c r="X8" s="256" t="s">
        <v>464</v>
      </c>
      <c r="Y8" s="256">
        <v>21</v>
      </c>
      <c r="Z8" s="256">
        <v>1</v>
      </c>
      <c r="AA8" s="255">
        <f t="shared" ref="AA8:AA13" ca="1" si="18">SUM(O8, R8, U8)</f>
        <v>4</v>
      </c>
      <c r="AC8" s="257"/>
      <c r="AE8" s="254"/>
      <c r="AF8" s="236">
        <f t="shared" si="2"/>
        <v>0</v>
      </c>
      <c r="AG8" s="236" t="str">
        <f t="shared" ca="1" si="3"/>
        <v/>
      </c>
      <c r="AH8" s="236" t="str">
        <f t="shared" ref="AH8:AH67" ca="1" si="19">IF( LEN( $C8 ) = 0, "", IF( $C8 &lt; $AL8, 1, "" ) )</f>
        <v/>
      </c>
      <c r="AJ8" s="236">
        <f t="shared" ca="1" si="4"/>
        <v>8</v>
      </c>
      <c r="AK8" s="236" t="str">
        <f t="shared" ref="AK8:AL67" ca="1" si="20">IF( ISNA( $AJ8 ), "", OFFSET( INDIRECT( AK$2 ), $AJ8-1, 0 ) )</f>
        <v>A</v>
      </c>
      <c r="AL8" s="236">
        <f t="shared" ca="1" si="20"/>
        <v>21</v>
      </c>
      <c r="AM8" s="236" t="str">
        <f t="shared" ca="1" si="5"/>
        <v/>
      </c>
      <c r="AQ8" s="286" t="s">
        <v>17</v>
      </c>
      <c r="AR8" s="286" t="s">
        <v>16</v>
      </c>
      <c r="AS8" s="286">
        <v>19</v>
      </c>
      <c r="AT8" s="289" t="s">
        <v>307</v>
      </c>
      <c r="AV8" s="234">
        <f t="shared" ref="AV8:AV63" si="21">IF( LEN( AS8 ) = 0, 99, RANK( AS8, $AS$7:$AS$63 ) )</f>
        <v>12</v>
      </c>
      <c r="AW8" s="234">
        <f>COUNTIF( AV$7:AV8, AV8 )</f>
        <v>2</v>
      </c>
      <c r="AX8" s="287">
        <f t="shared" ref="AX8:AX63" si="22">AV8 + AW8 / 10</f>
        <v>12.2</v>
      </c>
      <c r="AY8" s="234">
        <f t="shared" ref="AY8:AY63" si="23">RANK( AX8, $AX$7:$AX$63, 1 )</f>
        <v>13</v>
      </c>
      <c r="AZ8" s="236"/>
      <c r="BA8" s="236"/>
      <c r="BC8" s="234">
        <f ca="1">OFFSET( BC8, -1, 0 ) + 1</f>
        <v>2</v>
      </c>
      <c r="BD8" s="288">
        <f t="shared" ca="1" si="7"/>
        <v>49</v>
      </c>
      <c r="BF8" s="240" t="str">
        <f t="shared" ca="1" si="8"/>
        <v>Southern Company</v>
      </c>
      <c r="BG8" s="240" t="str">
        <f t="shared" ca="1" si="9"/>
        <v>A</v>
      </c>
      <c r="BH8" s="240">
        <f t="shared" ca="1" si="9"/>
        <v>21</v>
      </c>
      <c r="BI8" s="240" t="str">
        <f t="shared" ca="1" si="9"/>
        <v>SO</v>
      </c>
    </row>
    <row r="9" spans="1:61" x14ac:dyDescent="0.2">
      <c r="A9" s="303" t="s">
        <v>3</v>
      </c>
      <c r="B9" s="304" t="s">
        <v>10</v>
      </c>
      <c r="C9" s="304">
        <v>20</v>
      </c>
      <c r="D9" s="304" t="s">
        <v>292</v>
      </c>
      <c r="E9" s="305" t="str">
        <f t="shared" ca="1" si="0"/>
        <v>R</v>
      </c>
      <c r="F9" s="306"/>
      <c r="G9" s="307">
        <f t="shared" ca="1" si="1"/>
        <v>18</v>
      </c>
      <c r="H9" s="250"/>
      <c r="I9" s="318"/>
      <c r="J9" s="295" t="s">
        <v>10</v>
      </c>
      <c r="K9" s="318"/>
      <c r="L9" s="295">
        <f t="shared" si="10"/>
        <v>9</v>
      </c>
      <c r="M9" s="296">
        <f t="shared" si="11"/>
        <v>0.15517241379310345</v>
      </c>
      <c r="N9" s="318"/>
      <c r="O9" s="295">
        <f t="shared" ca="1" si="12"/>
        <v>6</v>
      </c>
      <c r="P9" s="296">
        <f t="shared" ca="1" si="13"/>
        <v>0.16216216216216217</v>
      </c>
      <c r="Q9" s="318"/>
      <c r="R9" s="295">
        <f t="shared" ca="1" si="14"/>
        <v>3</v>
      </c>
      <c r="S9" s="296">
        <f t="shared" ca="1" si="15"/>
        <v>0.16666666666666666</v>
      </c>
      <c r="T9" s="318"/>
      <c r="U9" s="295">
        <f t="shared" ca="1" si="16"/>
        <v>0</v>
      </c>
      <c r="V9" s="296" t="str">
        <f t="shared" ca="1" si="17"/>
        <v/>
      </c>
      <c r="W9" s="318"/>
      <c r="X9" s="256" t="s">
        <v>465</v>
      </c>
      <c r="Y9" s="256">
        <v>20</v>
      </c>
      <c r="Z9" s="256">
        <v>1</v>
      </c>
      <c r="AA9" s="255">
        <f t="shared" ca="1" si="18"/>
        <v>9</v>
      </c>
      <c r="AC9" s="253"/>
      <c r="AE9" s="254"/>
      <c r="AF9" s="236">
        <f t="shared" si="2"/>
        <v>1</v>
      </c>
      <c r="AG9" s="236" t="str">
        <f t="shared" ca="1" si="3"/>
        <v/>
      </c>
      <c r="AH9" s="236" t="str">
        <f t="shared" ca="1" si="19"/>
        <v/>
      </c>
      <c r="AJ9" s="236">
        <f t="shared" ca="1" si="4"/>
        <v>9</v>
      </c>
      <c r="AK9" s="236" t="str">
        <f t="shared" ca="1" si="20"/>
        <v>A-</v>
      </c>
      <c r="AL9" s="236">
        <f t="shared" ca="1" si="20"/>
        <v>20</v>
      </c>
      <c r="AM9" s="236" t="str">
        <f t="shared" ca="1" si="5"/>
        <v/>
      </c>
      <c r="AQ9" s="286" t="s">
        <v>9</v>
      </c>
      <c r="AR9" s="286" t="s">
        <v>49</v>
      </c>
      <c r="AS9" s="286">
        <v>17</v>
      </c>
      <c r="AT9" s="286" t="s">
        <v>274</v>
      </c>
      <c r="AV9" s="234">
        <f t="shared" si="21"/>
        <v>41</v>
      </c>
      <c r="AW9" s="234">
        <f>COUNTIF( AV$7:AV9, AV9 )</f>
        <v>1</v>
      </c>
      <c r="AX9" s="287">
        <f t="shared" si="22"/>
        <v>41.1</v>
      </c>
      <c r="AY9" s="234">
        <f t="shared" si="23"/>
        <v>41</v>
      </c>
      <c r="AZ9" s="236"/>
      <c r="BA9" s="236"/>
      <c r="BC9" s="234">
        <f t="shared" ref="BC9:BC63" ca="1" si="24">OFFSET( BC9, -1, 0 ) + 1</f>
        <v>3</v>
      </c>
      <c r="BD9" s="288">
        <f t="shared" ca="1" si="7"/>
        <v>10</v>
      </c>
      <c r="BF9" s="240" t="str">
        <f t="shared" ca="1" si="8"/>
        <v>Consolidated Edison, Inc.</v>
      </c>
      <c r="BG9" s="240" t="str">
        <f t="shared" ca="1" si="9"/>
        <v>A-</v>
      </c>
      <c r="BH9" s="240">
        <f t="shared" ca="1" si="9"/>
        <v>20</v>
      </c>
      <c r="BI9" s="240" t="str">
        <f t="shared" ca="1" si="9"/>
        <v>ED</v>
      </c>
    </row>
    <row r="10" spans="1:61" x14ac:dyDescent="0.2">
      <c r="A10" s="303" t="s">
        <v>18</v>
      </c>
      <c r="B10" s="304" t="s">
        <v>10</v>
      </c>
      <c r="C10" s="304">
        <v>20</v>
      </c>
      <c r="D10" s="304" t="s">
        <v>86</v>
      </c>
      <c r="E10" s="305" t="str">
        <f t="shared" ca="1" si="0"/>
        <v>MR</v>
      </c>
      <c r="F10" s="306"/>
      <c r="G10" s="307">
        <f t="shared" ca="1" si="1"/>
        <v>20</v>
      </c>
      <c r="H10" s="250"/>
      <c r="I10" s="318"/>
      <c r="J10" s="295" t="s">
        <v>16</v>
      </c>
      <c r="K10" s="318"/>
      <c r="L10" s="295">
        <f t="shared" si="10"/>
        <v>13</v>
      </c>
      <c r="M10" s="296">
        <f t="shared" si="11"/>
        <v>0.22413793103448276</v>
      </c>
      <c r="N10" s="318"/>
      <c r="O10" s="295">
        <f t="shared" ca="1" si="12"/>
        <v>6</v>
      </c>
      <c r="P10" s="296">
        <f t="shared" ca="1" si="13"/>
        <v>0.16216216216216217</v>
      </c>
      <c r="Q10" s="318"/>
      <c r="R10" s="295">
        <f t="shared" ca="1" si="14"/>
        <v>6</v>
      </c>
      <c r="S10" s="296">
        <f t="shared" ca="1" si="15"/>
        <v>0.33333333333333331</v>
      </c>
      <c r="T10" s="318"/>
      <c r="U10" s="295">
        <f t="shared" ca="1" si="16"/>
        <v>1</v>
      </c>
      <c r="V10" s="296">
        <f t="shared" ca="1" si="17"/>
        <v>0.33333333333333331</v>
      </c>
      <c r="W10" s="318"/>
      <c r="X10" s="256" t="s">
        <v>466</v>
      </c>
      <c r="Y10" s="256">
        <v>19</v>
      </c>
      <c r="Z10" s="256">
        <v>1</v>
      </c>
      <c r="AA10" s="255">
        <f t="shared" ca="1" si="18"/>
        <v>13</v>
      </c>
      <c r="AE10" s="254"/>
      <c r="AF10" s="236">
        <f t="shared" si="2"/>
        <v>1</v>
      </c>
      <c r="AG10" s="236" t="str">
        <f t="shared" ca="1" si="3"/>
        <v/>
      </c>
      <c r="AH10" s="236" t="str">
        <f t="shared" ca="1" si="19"/>
        <v/>
      </c>
      <c r="AJ10" s="236">
        <f t="shared" ca="1" si="4"/>
        <v>10</v>
      </c>
      <c r="AK10" s="236" t="str">
        <f t="shared" ca="1" si="20"/>
        <v>A-</v>
      </c>
      <c r="AL10" s="236">
        <f t="shared" ca="1" si="20"/>
        <v>20</v>
      </c>
      <c r="AM10" s="236" t="str">
        <f t="shared" ca="1" si="5"/>
        <v/>
      </c>
      <c r="AQ10" s="286" t="s">
        <v>259</v>
      </c>
      <c r="AR10" s="286" t="s">
        <v>28</v>
      </c>
      <c r="AS10" s="286">
        <v>18</v>
      </c>
      <c r="AT10" s="286" t="s">
        <v>275</v>
      </c>
      <c r="AV10" s="234">
        <f t="shared" si="21"/>
        <v>25</v>
      </c>
      <c r="AW10" s="234">
        <f>COUNTIF( AV$7:AV10, AV10 )</f>
        <v>1</v>
      </c>
      <c r="AX10" s="287">
        <f t="shared" si="22"/>
        <v>25.1</v>
      </c>
      <c r="AY10" s="234">
        <f t="shared" si="23"/>
        <v>25</v>
      </c>
      <c r="AZ10" s="236"/>
      <c r="BA10" s="236"/>
      <c r="BC10" s="234">
        <f t="shared" ca="1" si="24"/>
        <v>4</v>
      </c>
      <c r="BD10" s="288">
        <f t="shared" ca="1" si="7"/>
        <v>11</v>
      </c>
      <c r="BF10" s="240" t="str">
        <f t="shared" ca="1" si="8"/>
        <v>Dominion Resources, Inc.</v>
      </c>
      <c r="BG10" s="240" t="str">
        <f t="shared" ca="1" si="9"/>
        <v>A-</v>
      </c>
      <c r="BH10" s="240">
        <f t="shared" ca="1" si="9"/>
        <v>20</v>
      </c>
      <c r="BI10" s="240" t="str">
        <f t="shared" ca="1" si="9"/>
        <v>D</v>
      </c>
    </row>
    <row r="11" spans="1:61" x14ac:dyDescent="0.2">
      <c r="A11" s="303" t="s">
        <v>32</v>
      </c>
      <c r="B11" s="304" t="s">
        <v>10</v>
      </c>
      <c r="C11" s="304">
        <v>20</v>
      </c>
      <c r="D11" s="304" t="s">
        <v>290</v>
      </c>
      <c r="E11" s="305" t="str">
        <f t="shared" ca="1" si="0"/>
        <v>MR</v>
      </c>
      <c r="F11" s="306"/>
      <c r="G11" s="307">
        <f t="shared" ca="1" si="1"/>
        <v>22</v>
      </c>
      <c r="H11" s="250"/>
      <c r="I11" s="318"/>
      <c r="J11" s="295" t="s">
        <v>28</v>
      </c>
      <c r="K11" s="318"/>
      <c r="L11" s="295">
        <f t="shared" si="10"/>
        <v>16</v>
      </c>
      <c r="M11" s="296">
        <f t="shared" si="11"/>
        <v>0.27586206896551724</v>
      </c>
      <c r="N11" s="318"/>
      <c r="O11" s="295">
        <f t="shared" ca="1" si="12"/>
        <v>13</v>
      </c>
      <c r="P11" s="296">
        <f t="shared" ca="1" si="13"/>
        <v>0.35135135135135137</v>
      </c>
      <c r="Q11" s="318"/>
      <c r="R11" s="295">
        <f t="shared" ca="1" si="14"/>
        <v>3</v>
      </c>
      <c r="S11" s="296">
        <f t="shared" ca="1" si="15"/>
        <v>0.16666666666666666</v>
      </c>
      <c r="T11" s="318"/>
      <c r="U11" s="295">
        <f t="shared" ca="1" si="16"/>
        <v>0</v>
      </c>
      <c r="V11" s="296" t="str">
        <f t="shared" ca="1" si="17"/>
        <v/>
      </c>
      <c r="W11" s="318"/>
      <c r="X11" s="256" t="s">
        <v>467</v>
      </c>
      <c r="Y11" s="256">
        <v>18</v>
      </c>
      <c r="Z11" s="256">
        <v>1</v>
      </c>
      <c r="AA11" s="255">
        <f t="shared" ca="1" si="18"/>
        <v>16</v>
      </c>
      <c r="AE11" s="254"/>
      <c r="AF11" s="236">
        <f t="shared" si="2"/>
        <v>1</v>
      </c>
      <c r="AG11" s="236" t="str">
        <f t="shared" ca="1" si="3"/>
        <v/>
      </c>
      <c r="AH11" s="236" t="str">
        <f t="shared" ca="1" si="19"/>
        <v/>
      </c>
      <c r="AJ11" s="236">
        <f t="shared" ca="1" si="4"/>
        <v>11</v>
      </c>
      <c r="AK11" s="236" t="str">
        <f t="shared" ca="1" si="20"/>
        <v>A-</v>
      </c>
      <c r="AL11" s="236">
        <f t="shared" ca="1" si="20"/>
        <v>20</v>
      </c>
      <c r="AM11" s="236" t="str">
        <f t="shared" ca="1" si="5"/>
        <v/>
      </c>
      <c r="AQ11" s="286" t="s">
        <v>55</v>
      </c>
      <c r="AR11" s="286" t="s">
        <v>28</v>
      </c>
      <c r="AS11" s="286">
        <v>18</v>
      </c>
      <c r="AT11" s="286" t="s">
        <v>278</v>
      </c>
      <c r="AV11" s="234">
        <f t="shared" si="21"/>
        <v>25</v>
      </c>
      <c r="AW11" s="234">
        <f>COUNTIF( AV$7:AV11, AV11 )</f>
        <v>2</v>
      </c>
      <c r="AX11" s="287">
        <f t="shared" si="22"/>
        <v>25.2</v>
      </c>
      <c r="AY11" s="234">
        <f t="shared" si="23"/>
        <v>26</v>
      </c>
      <c r="AZ11" s="236"/>
      <c r="BA11" s="236"/>
      <c r="BC11" s="234">
        <f t="shared" ca="1" si="24"/>
        <v>5</v>
      </c>
      <c r="BD11" s="288">
        <f t="shared" ca="1" si="7"/>
        <v>14</v>
      </c>
      <c r="BF11" s="240" t="str">
        <f t="shared" ca="1" si="8"/>
        <v>Duke Energy Corporation</v>
      </c>
      <c r="BG11" s="240" t="str">
        <f t="shared" ca="1" si="9"/>
        <v>A-</v>
      </c>
      <c r="BH11" s="240">
        <f t="shared" ca="1" si="9"/>
        <v>20</v>
      </c>
      <c r="BI11" s="240" t="str">
        <f t="shared" ca="1" si="9"/>
        <v>DUK</v>
      </c>
    </row>
    <row r="12" spans="1:61" x14ac:dyDescent="0.2">
      <c r="A12" s="303" t="s">
        <v>452</v>
      </c>
      <c r="B12" s="304" t="s">
        <v>10</v>
      </c>
      <c r="C12" s="304">
        <v>20</v>
      </c>
      <c r="D12" s="304" t="s">
        <v>444</v>
      </c>
      <c r="E12" s="305" t="str">
        <f t="shared" ca="1" si="0"/>
        <v>R</v>
      </c>
      <c r="F12" s="306"/>
      <c r="G12" s="307">
        <f t="shared" ca="1" si="1"/>
        <v>65</v>
      </c>
      <c r="H12" s="250"/>
      <c r="I12" s="318"/>
      <c r="J12" s="295" t="s">
        <v>49</v>
      </c>
      <c r="K12" s="318"/>
      <c r="L12" s="295">
        <f t="shared" si="10"/>
        <v>11</v>
      </c>
      <c r="M12" s="296">
        <f t="shared" si="11"/>
        <v>0.18965517241379309</v>
      </c>
      <c r="N12" s="318"/>
      <c r="O12" s="295">
        <f t="shared" ca="1" si="12"/>
        <v>5</v>
      </c>
      <c r="P12" s="296">
        <f t="shared" ca="1" si="13"/>
        <v>0.13513513513513514</v>
      </c>
      <c r="Q12" s="318"/>
      <c r="R12" s="295">
        <f t="shared" ca="1" si="14"/>
        <v>5</v>
      </c>
      <c r="S12" s="296">
        <f t="shared" ca="1" si="15"/>
        <v>0.27777777777777779</v>
      </c>
      <c r="T12" s="318"/>
      <c r="U12" s="295">
        <f t="shared" ca="1" si="16"/>
        <v>1</v>
      </c>
      <c r="V12" s="296">
        <f t="shared" ca="1" si="17"/>
        <v>0.33333333333333331</v>
      </c>
      <c r="W12" s="318"/>
      <c r="X12" s="256" t="s">
        <v>468</v>
      </c>
      <c r="Y12" s="256">
        <v>17</v>
      </c>
      <c r="Z12" s="256">
        <v>1</v>
      </c>
      <c r="AA12" s="255">
        <f t="shared" ca="1" si="18"/>
        <v>11</v>
      </c>
      <c r="AE12" s="254"/>
      <c r="AF12" s="236">
        <f t="shared" si="2"/>
        <v>1</v>
      </c>
      <c r="AG12" s="236" t="str">
        <f t="shared" ca="1" si="3"/>
        <v/>
      </c>
      <c r="AH12" s="236" t="str">
        <f t="shared" ca="1" si="19"/>
        <v/>
      </c>
      <c r="AJ12" s="236">
        <f t="shared" ca="1" si="4"/>
        <v>12</v>
      </c>
      <c r="AK12" s="236" t="str">
        <f t="shared" ca="1" si="20"/>
        <v>A-</v>
      </c>
      <c r="AL12" s="236">
        <f t="shared" ca="1" si="20"/>
        <v>20</v>
      </c>
      <c r="AM12" s="236" t="str">
        <f t="shared" ca="1" si="5"/>
        <v/>
      </c>
      <c r="AQ12" s="286" t="s">
        <v>48</v>
      </c>
      <c r="AR12" s="286" t="s">
        <v>49</v>
      </c>
      <c r="AS12" s="286">
        <v>17</v>
      </c>
      <c r="AT12" s="286" t="s">
        <v>280</v>
      </c>
      <c r="AV12" s="234">
        <f t="shared" si="21"/>
        <v>41</v>
      </c>
      <c r="AW12" s="234">
        <f>COUNTIF( AV$7:AV12, AV12 )</f>
        <v>2</v>
      </c>
      <c r="AX12" s="287">
        <f t="shared" si="22"/>
        <v>41.2</v>
      </c>
      <c r="AY12" s="234">
        <f t="shared" si="23"/>
        <v>42</v>
      </c>
      <c r="AZ12" s="236"/>
      <c r="BA12" s="236"/>
      <c r="BC12" s="234">
        <f t="shared" ca="1" si="24"/>
        <v>6</v>
      </c>
      <c r="BD12" s="288">
        <f t="shared" ca="1" si="7"/>
        <v>24</v>
      </c>
      <c r="BF12" s="240" t="str">
        <f t="shared" ca="1" si="8"/>
        <v>Iberdrola USA</v>
      </c>
      <c r="BG12" s="240" t="str">
        <f t="shared" ca="1" si="9"/>
        <v>A-</v>
      </c>
      <c r="BH12" s="240">
        <f t="shared" ca="1" si="9"/>
        <v>20</v>
      </c>
      <c r="BI12" s="240" t="str">
        <f t="shared" ca="1" si="9"/>
        <v>**EAST</v>
      </c>
    </row>
    <row r="13" spans="1:61" x14ac:dyDescent="0.2">
      <c r="A13" s="303" t="s">
        <v>254</v>
      </c>
      <c r="B13" s="304" t="s">
        <v>10</v>
      </c>
      <c r="C13" s="304">
        <v>20</v>
      </c>
      <c r="D13" s="304" t="s">
        <v>331</v>
      </c>
      <c r="E13" s="305" t="str">
        <f t="shared" ca="1" si="0"/>
        <v>R</v>
      </c>
      <c r="F13" s="306"/>
      <c r="G13" s="307">
        <f t="shared" ca="1" si="1"/>
        <v>32</v>
      </c>
      <c r="H13" s="250"/>
      <c r="I13" s="319"/>
      <c r="J13" s="297" t="s">
        <v>79</v>
      </c>
      <c r="K13" s="319"/>
      <c r="L13" s="297">
        <f t="shared" si="10"/>
        <v>5</v>
      </c>
      <c r="M13" s="298">
        <f t="shared" si="11"/>
        <v>8.6206896551724144E-2</v>
      </c>
      <c r="N13" s="319"/>
      <c r="O13" s="297">
        <f t="shared" ca="1" si="12"/>
        <v>4</v>
      </c>
      <c r="P13" s="298">
        <f t="shared" ca="1" si="13"/>
        <v>0.10810810810810811</v>
      </c>
      <c r="Q13" s="319"/>
      <c r="R13" s="297">
        <f t="shared" ca="1" si="14"/>
        <v>0</v>
      </c>
      <c r="S13" s="298" t="str">
        <f t="shared" ca="1" si="15"/>
        <v/>
      </c>
      <c r="T13" s="319"/>
      <c r="U13" s="297">
        <f t="shared" ca="1" si="16"/>
        <v>1</v>
      </c>
      <c r="V13" s="298">
        <f t="shared" ca="1" si="17"/>
        <v>0.33333333333333331</v>
      </c>
      <c r="W13" s="319"/>
      <c r="X13" s="256" t="s">
        <v>469</v>
      </c>
      <c r="Y13" s="256">
        <v>16</v>
      </c>
      <c r="Z13" s="256">
        <v>1</v>
      </c>
      <c r="AA13" s="259">
        <f t="shared" ca="1" si="18"/>
        <v>5</v>
      </c>
      <c r="AE13" s="254"/>
      <c r="AF13" s="236">
        <f t="shared" si="2"/>
        <v>1</v>
      </c>
      <c r="AG13" s="236">
        <f t="shared" ca="1" si="3"/>
        <v>1</v>
      </c>
      <c r="AH13" s="236" t="str">
        <f t="shared" ca="1" si="19"/>
        <v/>
      </c>
      <c r="AJ13" s="236">
        <f t="shared" ca="1" si="4"/>
        <v>21</v>
      </c>
      <c r="AK13" s="236" t="str">
        <f t="shared" ca="1" si="20"/>
        <v>BBB+</v>
      </c>
      <c r="AL13" s="236">
        <f t="shared" ca="1" si="20"/>
        <v>19</v>
      </c>
      <c r="AM13" s="236" t="str">
        <f t="shared" ca="1" si="5"/>
        <v>Change</v>
      </c>
      <c r="AQ13" s="286" t="s">
        <v>29</v>
      </c>
      <c r="AR13" s="286" t="s">
        <v>16</v>
      </c>
      <c r="AS13" s="286">
        <v>19</v>
      </c>
      <c r="AT13" s="289" t="s">
        <v>286</v>
      </c>
      <c r="AV13" s="234">
        <f t="shared" si="21"/>
        <v>12</v>
      </c>
      <c r="AW13" s="234">
        <f>COUNTIF( AV$7:AV13, AV13 )</f>
        <v>3</v>
      </c>
      <c r="AX13" s="287">
        <f t="shared" si="22"/>
        <v>12.3</v>
      </c>
      <c r="AY13" s="234">
        <f t="shared" si="23"/>
        <v>14</v>
      </c>
      <c r="AZ13" s="236"/>
      <c r="BA13" s="236"/>
      <c r="BC13" s="234">
        <f t="shared" ca="1" si="24"/>
        <v>7</v>
      </c>
      <c r="BD13" s="288">
        <f t="shared" ca="1" si="7"/>
        <v>26</v>
      </c>
      <c r="BF13" s="240" t="str">
        <f t="shared" ca="1" si="8"/>
        <v>Integrys Energy Group, Inc.</v>
      </c>
      <c r="BG13" s="240" t="str">
        <f t="shared" ca="1" si="9"/>
        <v>A-</v>
      </c>
      <c r="BH13" s="240">
        <f t="shared" ca="1" si="9"/>
        <v>20</v>
      </c>
      <c r="BI13" s="240" t="str">
        <f t="shared" ca="1" si="9"/>
        <v>TEG</v>
      </c>
    </row>
    <row r="14" spans="1:61" x14ac:dyDescent="0.2">
      <c r="A14" s="303" t="s">
        <v>370</v>
      </c>
      <c r="B14" s="304" t="s">
        <v>10</v>
      </c>
      <c r="C14" s="304">
        <v>20</v>
      </c>
      <c r="D14" s="304" t="s">
        <v>369</v>
      </c>
      <c r="E14" s="305" t="str">
        <f t="shared" ca="1" si="0"/>
        <v>MR</v>
      </c>
      <c r="F14" s="306"/>
      <c r="G14" s="307">
        <f t="shared" ca="1" si="1"/>
        <v>35</v>
      </c>
      <c r="H14" s="250"/>
      <c r="I14" s="320"/>
      <c r="J14" s="291" t="s">
        <v>80</v>
      </c>
      <c r="K14" s="320"/>
      <c r="L14" s="291">
        <f>SUM(L8:L13)</f>
        <v>58</v>
      </c>
      <c r="M14" s="292">
        <f>L14/L$14</f>
        <v>1</v>
      </c>
      <c r="N14" s="320"/>
      <c r="O14" s="291">
        <f ca="1">SUM(O8:O13)</f>
        <v>37</v>
      </c>
      <c r="P14" s="292">
        <f ca="1">O14/O$14</f>
        <v>1</v>
      </c>
      <c r="Q14" s="320"/>
      <c r="R14" s="291">
        <f ca="1">SUM(R8:R13)</f>
        <v>18</v>
      </c>
      <c r="S14" s="292">
        <f ca="1">R14/R$14</f>
        <v>1</v>
      </c>
      <c r="T14" s="320"/>
      <c r="U14" s="291">
        <f ca="1">SUM(U8:U13)</f>
        <v>3</v>
      </c>
      <c r="V14" s="292">
        <f ca="1">U14/U$14</f>
        <v>1</v>
      </c>
      <c r="W14" s="320"/>
      <c r="Y14" s="261">
        <f>SUMPRODUCT( L8:L13, Y8:Y13 ) / L14</f>
        <v>18.379310344827587</v>
      </c>
      <c r="Z14" s="261"/>
      <c r="AA14" s="260">
        <f ca="1">SUM(AA8:AA13)</f>
        <v>58</v>
      </c>
      <c r="AE14" s="254"/>
      <c r="AF14" s="236">
        <f t="shared" si="2"/>
        <v>1</v>
      </c>
      <c r="AG14" s="236" t="str">
        <f t="shared" ca="1" si="3"/>
        <v/>
      </c>
      <c r="AH14" s="236" t="str">
        <f t="shared" ca="1" si="19"/>
        <v/>
      </c>
      <c r="AJ14" s="236">
        <f t="shared" ca="1" si="4"/>
        <v>13</v>
      </c>
      <c r="AK14" s="236" t="str">
        <f t="shared" ca="1" si="20"/>
        <v>A-</v>
      </c>
      <c r="AL14" s="236">
        <f t="shared" ca="1" si="20"/>
        <v>20</v>
      </c>
      <c r="AM14" s="236" t="str">
        <f t="shared" ca="1" si="5"/>
        <v/>
      </c>
      <c r="AQ14" s="286" t="s">
        <v>30</v>
      </c>
      <c r="AR14" s="286" t="s">
        <v>28</v>
      </c>
      <c r="AS14" s="286">
        <v>18</v>
      </c>
      <c r="AT14" s="286" t="s">
        <v>285</v>
      </c>
      <c r="AV14" s="234">
        <f>IF( LEN( AS14 ) = 0, 99, RANK( AS14, $AS$7:$AS$63 ) )</f>
        <v>25</v>
      </c>
      <c r="AW14" s="234">
        <f>COUNTIF( AV$7:AV14, AV14 )</f>
        <v>3</v>
      </c>
      <c r="AX14" s="287">
        <f t="shared" si="22"/>
        <v>25.3</v>
      </c>
      <c r="AY14" s="234">
        <f t="shared" si="23"/>
        <v>27</v>
      </c>
      <c r="AZ14" s="236"/>
      <c r="BA14" s="236"/>
      <c r="BC14" s="234">
        <f t="shared" ca="1" si="24"/>
        <v>8</v>
      </c>
      <c r="BD14" s="288">
        <f t="shared" ca="1" si="7"/>
        <v>30</v>
      </c>
      <c r="BF14" s="240" t="str">
        <f t="shared" ca="1" si="8"/>
        <v>NextEra Energy, Inc.</v>
      </c>
      <c r="BG14" s="240" t="str">
        <f t="shared" ca="1" si="9"/>
        <v>A-</v>
      </c>
      <c r="BH14" s="240">
        <f t="shared" ca="1" si="9"/>
        <v>20</v>
      </c>
      <c r="BI14" s="240" t="str">
        <f t="shared" ca="1" si="9"/>
        <v>NEE</v>
      </c>
    </row>
    <row r="15" spans="1:61" x14ac:dyDescent="0.2">
      <c r="A15" s="303" t="s">
        <v>14</v>
      </c>
      <c r="B15" s="304" t="s">
        <v>10</v>
      </c>
      <c r="C15" s="304">
        <v>20</v>
      </c>
      <c r="D15" s="304" t="s">
        <v>335</v>
      </c>
      <c r="E15" s="305" t="str">
        <f t="shared" ca="1" si="0"/>
        <v>R</v>
      </c>
      <c r="F15" s="306"/>
      <c r="G15" s="307">
        <f t="shared" ca="1" si="1"/>
        <v>58</v>
      </c>
      <c r="H15" s="250"/>
      <c r="I15" s="321"/>
      <c r="K15" s="321"/>
      <c r="N15" s="321"/>
      <c r="Q15" s="321"/>
      <c r="T15" s="321"/>
      <c r="W15" s="321"/>
      <c r="X15" s="240"/>
      <c r="AA15" s="240"/>
      <c r="AE15" s="254"/>
      <c r="AF15" s="236">
        <f t="shared" si="2"/>
        <v>1</v>
      </c>
      <c r="AG15" s="236" t="str">
        <f t="shared" ca="1" si="3"/>
        <v/>
      </c>
      <c r="AH15" s="236" t="str">
        <f t="shared" ca="1" si="19"/>
        <v/>
      </c>
      <c r="AJ15" s="236">
        <f t="shared" ca="1" si="4"/>
        <v>14</v>
      </c>
      <c r="AK15" s="236" t="str">
        <f t="shared" ca="1" si="20"/>
        <v>A-</v>
      </c>
      <c r="AL15" s="236">
        <f t="shared" ca="1" si="20"/>
        <v>20</v>
      </c>
      <c r="AM15" s="236" t="str">
        <f t="shared" ca="1" si="5"/>
        <v/>
      </c>
      <c r="AQ15" s="286" t="s">
        <v>60</v>
      </c>
      <c r="AR15" s="286" t="s">
        <v>49</v>
      </c>
      <c r="AS15" s="286">
        <v>17</v>
      </c>
      <c r="AT15" s="286" t="s">
        <v>284</v>
      </c>
      <c r="AV15" s="234">
        <f t="shared" si="21"/>
        <v>41</v>
      </c>
      <c r="AW15" s="234">
        <f>COUNTIF( AV$7:AV15, AV15 )</f>
        <v>3</v>
      </c>
      <c r="AX15" s="287">
        <f t="shared" si="22"/>
        <v>41.3</v>
      </c>
      <c r="AY15" s="234">
        <f t="shared" si="23"/>
        <v>43</v>
      </c>
      <c r="AZ15" s="236"/>
      <c r="BA15" s="236"/>
      <c r="BC15" s="234">
        <f t="shared" ca="1" si="24"/>
        <v>9</v>
      </c>
      <c r="BD15" s="288">
        <f t="shared" ca="1" si="7"/>
        <v>52</v>
      </c>
      <c r="BF15" s="240" t="str">
        <f t="shared" ca="1" si="8"/>
        <v>Vectren Corporation</v>
      </c>
      <c r="BG15" s="240" t="str">
        <f t="shared" ca="1" si="9"/>
        <v>A-</v>
      </c>
      <c r="BH15" s="240">
        <f t="shared" ca="1" si="9"/>
        <v>20</v>
      </c>
      <c r="BI15" s="240" t="str">
        <f t="shared" ca="1" si="9"/>
        <v>VVC</v>
      </c>
    </row>
    <row r="16" spans="1:61" x14ac:dyDescent="0.2">
      <c r="A16" s="303" t="s">
        <v>26</v>
      </c>
      <c r="B16" s="304" t="s">
        <v>10</v>
      </c>
      <c r="C16" s="304">
        <v>20</v>
      </c>
      <c r="D16" s="304" t="s">
        <v>336</v>
      </c>
      <c r="E16" s="305" t="str">
        <f t="shared" ca="1" si="0"/>
        <v>R</v>
      </c>
      <c r="F16" s="306"/>
      <c r="G16" s="307">
        <f t="shared" ca="1" si="1"/>
        <v>60</v>
      </c>
      <c r="H16" s="250"/>
      <c r="I16" s="316"/>
      <c r="J16" s="290" t="s">
        <v>450</v>
      </c>
      <c r="K16" s="316"/>
      <c r="L16" s="463">
        <f t="array" ref="L16">SUM( IF( LEN( $C$7:$C$65 ) = 0, 0, $C$7:$C$65 ) ) / SUM( IF( LEN( $C$7:$C$65 ) = 0, 0, 1  ) )</f>
        <v>18.293103448275861</v>
      </c>
      <c r="M16" s="464"/>
      <c r="N16" s="316"/>
      <c r="O16" s="463">
        <f t="array" aca="1" ref="O16" ca="1">SUM( IF( LEN( $C$7:$C$65 ) = 0, 0, IF( $E$7:$E$65 = O3, $C$7:$C$65, 0 ) ) ) / SUM( IF( LEN( $C$7:$C$65 ) = 0, 0, IF( $E$7:$E$65 = O3, 1, 0 ) ) )</f>
        <v>18.378378378378379</v>
      </c>
      <c r="P16" s="464"/>
      <c r="Q16" s="316"/>
      <c r="R16" s="463">
        <f t="array" aca="1" ref="R16" ca="1">SUM( IF( LEN( $C$7:$C$65 ) = 0, 0, IF( $E$7:$E$65 = R3, $C$7:$C$65, 0 ) ) ) / SUM( IF( LEN( $C$7:$C$65 ) = 0, 0, IF( $E$7:$E$65 = R3, 1, 0 ) ) )</f>
        <v>18.666666666666668</v>
      </c>
      <c r="S16" s="464"/>
      <c r="T16" s="316"/>
      <c r="U16" s="463">
        <f t="array" aca="1" ref="U16" ca="1">SUM( IF( LEN( $C$7:$C$65 ) = 0, 0, IF( $E$7:$E$65 = U3, $C$7:$C$65, 0 ) ) ) / SUM( IF( LEN( $C$7:$C$65 ) = 0, 0, IF( $E$7:$E$65 = U3, 1, 0 ) ) )</f>
        <v>15</v>
      </c>
      <c r="V16" s="465"/>
      <c r="W16" s="316"/>
      <c r="AE16" s="254"/>
      <c r="AF16" s="236">
        <f t="shared" si="2"/>
        <v>1</v>
      </c>
      <c r="AG16" s="236" t="str">
        <f t="shared" ca="1" si="3"/>
        <v/>
      </c>
      <c r="AH16" s="236" t="str">
        <f t="shared" ca="1" si="19"/>
        <v/>
      </c>
      <c r="AJ16" s="236">
        <f t="shared" ca="1" si="4"/>
        <v>15</v>
      </c>
      <c r="AK16" s="236" t="str">
        <f t="shared" ca="1" si="20"/>
        <v>A-</v>
      </c>
      <c r="AL16" s="236">
        <f t="shared" ca="1" si="20"/>
        <v>20</v>
      </c>
      <c r="AM16" s="236" t="str">
        <f t="shared" ca="1" si="5"/>
        <v/>
      </c>
      <c r="AQ16" s="286" t="s">
        <v>3</v>
      </c>
      <c r="AR16" s="286" t="s">
        <v>10</v>
      </c>
      <c r="AS16" s="286">
        <v>20</v>
      </c>
      <c r="AT16" s="286" t="s">
        <v>292</v>
      </c>
      <c r="AV16" s="234">
        <f t="shared" si="21"/>
        <v>3</v>
      </c>
      <c r="AW16" s="234">
        <f>COUNTIF( AV$7:AV16, AV16 )</f>
        <v>1</v>
      </c>
      <c r="AX16" s="287">
        <f t="shared" si="22"/>
        <v>3.1</v>
      </c>
      <c r="AY16" s="234">
        <f t="shared" si="23"/>
        <v>3</v>
      </c>
      <c r="AZ16" s="236"/>
      <c r="BA16" s="236"/>
      <c r="BC16" s="234">
        <f t="shared" ca="1" si="24"/>
        <v>10</v>
      </c>
      <c r="BD16" s="288">
        <f t="shared" ca="1" si="7"/>
        <v>54</v>
      </c>
      <c r="BF16" s="240" t="str">
        <f t="shared" ca="1" si="8"/>
        <v>Wisconsin Energy Corporation</v>
      </c>
      <c r="BG16" s="240" t="str">
        <f t="shared" ca="1" si="9"/>
        <v>A-</v>
      </c>
      <c r="BH16" s="240">
        <f t="shared" ca="1" si="9"/>
        <v>20</v>
      </c>
      <c r="BI16" s="240" t="str">
        <f t="shared" ca="1" si="9"/>
        <v>WEC</v>
      </c>
    </row>
    <row r="17" spans="1:61" x14ac:dyDescent="0.2">
      <c r="A17" s="303" t="s">
        <v>258</v>
      </c>
      <c r="B17" s="304" t="s">
        <v>10</v>
      </c>
      <c r="C17" s="304">
        <v>20</v>
      </c>
      <c r="D17" s="304" t="s">
        <v>338</v>
      </c>
      <c r="E17" s="305" t="str">
        <f t="shared" ca="1" si="0"/>
        <v>R</v>
      </c>
      <c r="F17" s="306"/>
      <c r="G17" s="307">
        <f t="shared" ca="1" si="1"/>
        <v>61</v>
      </c>
      <c r="H17" s="250"/>
      <c r="I17" s="321"/>
      <c r="K17" s="321"/>
      <c r="N17" s="321"/>
      <c r="O17" s="240"/>
      <c r="Q17" s="321"/>
      <c r="T17" s="321"/>
      <c r="W17" s="321"/>
      <c r="AE17" s="245"/>
      <c r="AF17" s="236">
        <f t="shared" si="2"/>
        <v>1</v>
      </c>
      <c r="AG17" s="236" t="str">
        <f t="shared" ca="1" si="3"/>
        <v/>
      </c>
      <c r="AH17" s="236" t="str">
        <f t="shared" ca="1" si="19"/>
        <v/>
      </c>
      <c r="AJ17" s="236">
        <f t="shared" ca="1" si="4"/>
        <v>16</v>
      </c>
      <c r="AK17" s="236" t="str">
        <f t="shared" ca="1" si="20"/>
        <v>A-</v>
      </c>
      <c r="AL17" s="236">
        <f t="shared" ca="1" si="20"/>
        <v>20</v>
      </c>
      <c r="AM17" s="236" t="str">
        <f t="shared" ca="1" si="5"/>
        <v/>
      </c>
      <c r="AQ17" s="286" t="s">
        <v>18</v>
      </c>
      <c r="AR17" s="286" t="s">
        <v>10</v>
      </c>
      <c r="AS17" s="286">
        <v>20</v>
      </c>
      <c r="AT17" s="286" t="s">
        <v>86</v>
      </c>
      <c r="AV17" s="234">
        <f t="shared" si="21"/>
        <v>3</v>
      </c>
      <c r="AW17" s="234">
        <f>COUNTIF( AV$7:AV17, AV17 )</f>
        <v>2</v>
      </c>
      <c r="AX17" s="287">
        <f t="shared" si="22"/>
        <v>3.2</v>
      </c>
      <c r="AY17" s="234">
        <f t="shared" si="23"/>
        <v>4</v>
      </c>
      <c r="AZ17" s="236"/>
      <c r="BA17" s="236"/>
      <c r="BC17" s="234">
        <f t="shared" ca="1" si="24"/>
        <v>11</v>
      </c>
      <c r="BD17" s="288">
        <f t="shared" ca="1" si="7"/>
        <v>55</v>
      </c>
      <c r="BF17" s="240" t="str">
        <f t="shared" ca="1" si="8"/>
        <v>Xcel Energy Inc.</v>
      </c>
      <c r="BG17" s="240" t="str">
        <f t="shared" ca="1" si="9"/>
        <v>A-</v>
      </c>
      <c r="BH17" s="240">
        <f t="shared" ca="1" si="9"/>
        <v>20</v>
      </c>
      <c r="BI17" s="240" t="str">
        <f t="shared" ca="1" si="9"/>
        <v>XEL</v>
      </c>
    </row>
    <row r="18" spans="1:61" x14ac:dyDescent="0.2">
      <c r="A18" s="303" t="s">
        <v>15</v>
      </c>
      <c r="B18" s="304" t="s">
        <v>16</v>
      </c>
      <c r="C18" s="304">
        <v>19</v>
      </c>
      <c r="D18" s="304" t="s">
        <v>277</v>
      </c>
      <c r="E18" s="305" t="str">
        <f t="shared" ca="1" si="0"/>
        <v>R</v>
      </c>
      <c r="F18" s="306"/>
      <c r="G18" s="307">
        <f t="shared" ca="1" si="1"/>
        <v>7</v>
      </c>
      <c r="H18" s="250"/>
      <c r="I18" s="321"/>
      <c r="K18" s="321"/>
      <c r="N18" s="321"/>
      <c r="O18" s="240"/>
      <c r="Q18" s="321"/>
      <c r="T18" s="321"/>
      <c r="W18" s="321"/>
      <c r="AE18" s="254"/>
      <c r="AF18" s="236">
        <f t="shared" si="2"/>
        <v>0</v>
      </c>
      <c r="AG18" s="236" t="str">
        <f t="shared" ca="1" si="3"/>
        <v/>
      </c>
      <c r="AH18" s="236" t="str">
        <f t="shared" ca="1" si="19"/>
        <v/>
      </c>
      <c r="AJ18" s="236">
        <f t="shared" ca="1" si="4"/>
        <v>17</v>
      </c>
      <c r="AK18" s="236" t="str">
        <f t="shared" ca="1" si="20"/>
        <v>BBB+</v>
      </c>
      <c r="AL18" s="236">
        <f t="shared" ca="1" si="20"/>
        <v>19</v>
      </c>
      <c r="AM18" s="236" t="str">
        <f t="shared" ca="1" si="5"/>
        <v/>
      </c>
      <c r="AQ18" s="286" t="s">
        <v>64</v>
      </c>
      <c r="AR18" s="286" t="s">
        <v>49</v>
      </c>
      <c r="AS18" s="286">
        <v>17</v>
      </c>
      <c r="AT18" s="286" t="s">
        <v>443</v>
      </c>
      <c r="AV18" s="234">
        <f t="shared" si="21"/>
        <v>41</v>
      </c>
      <c r="AW18" s="234">
        <f>COUNTIF( AV$7:AV18, AV18 )</f>
        <v>4</v>
      </c>
      <c r="AX18" s="287">
        <f t="shared" si="22"/>
        <v>41.4</v>
      </c>
      <c r="AY18" s="234">
        <f t="shared" si="23"/>
        <v>44</v>
      </c>
      <c r="AZ18" s="236"/>
      <c r="BA18" s="236"/>
      <c r="BC18" s="234">
        <f t="shared" ca="1" si="24"/>
        <v>12</v>
      </c>
      <c r="BD18" s="288">
        <f t="shared" ca="1" si="7"/>
        <v>1</v>
      </c>
      <c r="BF18" s="240" t="str">
        <f t="shared" ca="1" si="8"/>
        <v>ALLETE, Inc.</v>
      </c>
      <c r="BG18" s="240" t="str">
        <f t="shared" ca="1" si="9"/>
        <v>BBB+</v>
      </c>
      <c r="BH18" s="240">
        <f t="shared" ca="1" si="9"/>
        <v>19</v>
      </c>
      <c r="BI18" s="240" t="str">
        <f t="shared" ca="1" si="9"/>
        <v>ALE</v>
      </c>
    </row>
    <row r="19" spans="1:61" x14ac:dyDescent="0.2">
      <c r="A19" s="303" t="s">
        <v>17</v>
      </c>
      <c r="B19" s="304" t="s">
        <v>16</v>
      </c>
      <c r="C19" s="304">
        <v>19</v>
      </c>
      <c r="D19" s="304" t="s">
        <v>307</v>
      </c>
      <c r="E19" s="305" t="str">
        <f t="shared" ca="1" si="0"/>
        <v>R</v>
      </c>
      <c r="F19" s="306"/>
      <c r="G19" s="307">
        <f t="shared" ca="1" si="1"/>
        <v>8</v>
      </c>
      <c r="H19" s="250"/>
      <c r="I19" s="321"/>
      <c r="K19" s="321"/>
      <c r="N19" s="321"/>
      <c r="O19" s="240"/>
      <c r="Q19" s="321"/>
      <c r="T19" s="321"/>
      <c r="W19" s="321"/>
      <c r="AE19" s="254"/>
      <c r="AF19" s="236">
        <f t="shared" si="2"/>
        <v>0</v>
      </c>
      <c r="AG19" s="236" t="str">
        <f t="shared" ca="1" si="3"/>
        <v/>
      </c>
      <c r="AH19" s="236" t="str">
        <f t="shared" ca="1" si="19"/>
        <v/>
      </c>
      <c r="AJ19" s="236">
        <f t="shared" ca="1" si="4"/>
        <v>18</v>
      </c>
      <c r="AK19" s="236" t="str">
        <f t="shared" ca="1" si="20"/>
        <v>BBB+</v>
      </c>
      <c r="AL19" s="236">
        <f t="shared" ca="1" si="20"/>
        <v>19</v>
      </c>
      <c r="AM19" s="236" t="str">
        <f t="shared" ca="1" si="5"/>
        <v/>
      </c>
      <c r="AQ19" s="286" t="s">
        <v>31</v>
      </c>
      <c r="AR19" s="286" t="s">
        <v>16</v>
      </c>
      <c r="AS19" s="286">
        <v>19</v>
      </c>
      <c r="AT19" s="286" t="s">
        <v>289</v>
      </c>
      <c r="AV19" s="234">
        <f t="shared" si="21"/>
        <v>12</v>
      </c>
      <c r="AW19" s="234">
        <f>COUNTIF( AV$7:AV19, AV19 )</f>
        <v>4</v>
      </c>
      <c r="AX19" s="287">
        <f t="shared" si="22"/>
        <v>12.4</v>
      </c>
      <c r="AY19" s="234">
        <f t="shared" si="23"/>
        <v>15</v>
      </c>
      <c r="AZ19" s="236"/>
      <c r="BA19" s="236"/>
      <c r="BC19" s="234">
        <f t="shared" ca="1" si="24"/>
        <v>13</v>
      </c>
      <c r="BD19" s="288">
        <f t="shared" ca="1" si="7"/>
        <v>2</v>
      </c>
      <c r="BF19" s="240" t="str">
        <f t="shared" ca="1" si="8"/>
        <v>Alliant Energy Corporation</v>
      </c>
      <c r="BG19" s="240" t="str">
        <f t="shared" ca="1" si="9"/>
        <v>BBB+</v>
      </c>
      <c r="BH19" s="240">
        <f t="shared" ca="1" si="9"/>
        <v>19</v>
      </c>
      <c r="BI19" s="240" t="str">
        <f t="shared" ca="1" si="9"/>
        <v>LNT</v>
      </c>
    </row>
    <row r="20" spans="1:61" x14ac:dyDescent="0.2">
      <c r="A20" s="303" t="s">
        <v>29</v>
      </c>
      <c r="B20" s="304" t="s">
        <v>16</v>
      </c>
      <c r="C20" s="304">
        <v>19</v>
      </c>
      <c r="D20" s="304" t="s">
        <v>286</v>
      </c>
      <c r="E20" s="305" t="str">
        <f t="shared" ca="1" si="0"/>
        <v>MR</v>
      </c>
      <c r="F20" s="306"/>
      <c r="G20" s="307">
        <f t="shared" ca="1" si="1"/>
        <v>13</v>
      </c>
      <c r="H20" s="250"/>
      <c r="I20" s="322"/>
      <c r="K20" s="322"/>
      <c r="N20" s="322"/>
      <c r="O20" s="240"/>
      <c r="Q20" s="322"/>
      <c r="T20" s="322"/>
      <c r="W20" s="322"/>
      <c r="AE20" s="254"/>
      <c r="AF20" s="236">
        <f t="shared" si="2"/>
        <v>0</v>
      </c>
      <c r="AG20" s="236" t="str">
        <f t="shared" ca="1" si="3"/>
        <v/>
      </c>
      <c r="AH20" s="236" t="str">
        <f t="shared" ca="1" si="19"/>
        <v/>
      </c>
      <c r="AJ20" s="236">
        <f t="shared" ca="1" si="4"/>
        <v>19</v>
      </c>
      <c r="AK20" s="236" t="str">
        <f t="shared" ca="1" si="20"/>
        <v>BBB+</v>
      </c>
      <c r="AL20" s="236">
        <f t="shared" ca="1" si="20"/>
        <v>19</v>
      </c>
      <c r="AM20" s="236" t="str">
        <f t="shared" ca="1" si="5"/>
        <v/>
      </c>
      <c r="AQ20" s="286" t="s">
        <v>32</v>
      </c>
      <c r="AR20" s="286" t="s">
        <v>10</v>
      </c>
      <c r="AS20" s="286">
        <v>20</v>
      </c>
      <c r="AT20" s="286" t="s">
        <v>290</v>
      </c>
      <c r="AV20" s="234">
        <f t="shared" si="21"/>
        <v>3</v>
      </c>
      <c r="AW20" s="234">
        <f>COUNTIF( AV$7:AV20, AV20 )</f>
        <v>3</v>
      </c>
      <c r="AX20" s="287">
        <f t="shared" si="22"/>
        <v>3.3</v>
      </c>
      <c r="AY20" s="234">
        <f t="shared" si="23"/>
        <v>5</v>
      </c>
      <c r="AZ20" s="236"/>
      <c r="BA20" s="236"/>
      <c r="BC20" s="234">
        <f t="shared" ca="1" si="24"/>
        <v>14</v>
      </c>
      <c r="BD20" s="288">
        <f t="shared" ca="1" si="7"/>
        <v>7</v>
      </c>
      <c r="BF20" s="240" t="str">
        <f t="shared" ca="1" si="8"/>
        <v>CenterPoint Energy, Inc.</v>
      </c>
      <c r="BG20" s="240" t="str">
        <f t="shared" ca="1" si="9"/>
        <v>BBB+</v>
      </c>
      <c r="BH20" s="240">
        <f t="shared" ca="1" si="9"/>
        <v>19</v>
      </c>
      <c r="BI20" s="240" t="str">
        <f t="shared" ca="1" si="9"/>
        <v>CNP</v>
      </c>
    </row>
    <row r="21" spans="1:61" x14ac:dyDescent="0.2">
      <c r="A21" s="303" t="s">
        <v>31</v>
      </c>
      <c r="B21" s="304" t="s">
        <v>16</v>
      </c>
      <c r="C21" s="304">
        <v>19</v>
      </c>
      <c r="D21" s="304" t="s">
        <v>289</v>
      </c>
      <c r="E21" s="305" t="str">
        <f t="shared" ca="1" si="0"/>
        <v>R</v>
      </c>
      <c r="F21" s="306"/>
      <c r="G21" s="307">
        <f t="shared" ca="1" si="1"/>
        <v>21</v>
      </c>
      <c r="H21" s="250"/>
      <c r="I21" s="321"/>
      <c r="K21" s="321"/>
      <c r="N21" s="321"/>
      <c r="Q21" s="321"/>
      <c r="T21" s="321"/>
      <c r="W21" s="321"/>
      <c r="AE21" s="254"/>
      <c r="AF21" s="236">
        <f t="shared" si="2"/>
        <v>0</v>
      </c>
      <c r="AG21" s="236" t="str">
        <f t="shared" ca="1" si="3"/>
        <v/>
      </c>
      <c r="AH21" s="236" t="str">
        <f t="shared" ca="1" si="19"/>
        <v/>
      </c>
      <c r="AJ21" s="236">
        <f t="shared" ca="1" si="4"/>
        <v>20</v>
      </c>
      <c r="AK21" s="236" t="str">
        <f t="shared" ca="1" si="20"/>
        <v>BBB+</v>
      </c>
      <c r="AL21" s="236">
        <f t="shared" ca="1" si="20"/>
        <v>19</v>
      </c>
      <c r="AM21" s="236" t="str">
        <f t="shared" ca="1" si="5"/>
        <v/>
      </c>
      <c r="AQ21" s="286" t="s">
        <v>57</v>
      </c>
      <c r="AR21" s="286" t="s">
        <v>49</v>
      </c>
      <c r="AS21" s="286">
        <v>17</v>
      </c>
      <c r="AT21" s="286" t="s">
        <v>296</v>
      </c>
      <c r="AV21" s="234">
        <f t="shared" si="21"/>
        <v>41</v>
      </c>
      <c r="AW21" s="234">
        <f>COUNTIF( AV$7:AV21, AV21 )</f>
        <v>5</v>
      </c>
      <c r="AX21" s="287">
        <f t="shared" si="22"/>
        <v>41.5</v>
      </c>
      <c r="AY21" s="234">
        <f t="shared" si="23"/>
        <v>45</v>
      </c>
      <c r="AZ21" s="236"/>
      <c r="BA21" s="236"/>
      <c r="BC21" s="234">
        <f t="shared" ca="1" si="24"/>
        <v>15</v>
      </c>
      <c r="BD21" s="288">
        <f t="shared" ca="1" si="7"/>
        <v>13</v>
      </c>
      <c r="BF21" s="240" t="str">
        <f t="shared" ca="1" si="8"/>
        <v>DTE Energy Company</v>
      </c>
      <c r="BG21" s="240" t="str">
        <f t="shared" ca="1" si="9"/>
        <v>BBB+</v>
      </c>
      <c r="BH21" s="240">
        <f t="shared" ca="1" si="9"/>
        <v>19</v>
      </c>
      <c r="BI21" s="240" t="str">
        <f t="shared" ca="1" si="9"/>
        <v>DTE</v>
      </c>
    </row>
    <row r="22" spans="1:61" x14ac:dyDescent="0.2">
      <c r="A22" s="303" t="s">
        <v>12</v>
      </c>
      <c r="B22" s="304" t="s">
        <v>16</v>
      </c>
      <c r="C22" s="304">
        <v>19</v>
      </c>
      <c r="D22" s="304" t="s">
        <v>309</v>
      </c>
      <c r="E22" s="305" t="str">
        <f t="shared" ca="1" si="0"/>
        <v>D</v>
      </c>
      <c r="F22" s="306"/>
      <c r="G22" s="307">
        <f t="shared" ca="1" si="1"/>
        <v>33</v>
      </c>
      <c r="H22" s="250"/>
      <c r="I22" s="321"/>
      <c r="K22" s="321"/>
      <c r="N22" s="321"/>
      <c r="Q22" s="321"/>
      <c r="T22" s="321"/>
      <c r="W22" s="321"/>
      <c r="AE22" s="254"/>
      <c r="AF22" s="236">
        <f t="shared" si="2"/>
        <v>0</v>
      </c>
      <c r="AG22" s="236" t="str">
        <f t="shared" ca="1" si="3"/>
        <v/>
      </c>
      <c r="AH22" s="236" t="str">
        <f t="shared" ca="1" si="19"/>
        <v/>
      </c>
      <c r="AJ22" s="236">
        <f t="shared" ca="1" si="4"/>
        <v>22</v>
      </c>
      <c r="AK22" s="236" t="str">
        <f t="shared" ca="1" si="20"/>
        <v>BBB+</v>
      </c>
      <c r="AL22" s="236">
        <f t="shared" ca="1" si="20"/>
        <v>19</v>
      </c>
      <c r="AM22" s="236" t="str">
        <f t="shared" ca="1" si="5"/>
        <v/>
      </c>
      <c r="AQ22" s="286" t="s">
        <v>34</v>
      </c>
      <c r="AR22" s="286" t="s">
        <v>28</v>
      </c>
      <c r="AS22" s="286">
        <v>18</v>
      </c>
      <c r="AT22" s="286" t="s">
        <v>294</v>
      </c>
      <c r="AV22" s="234">
        <f t="shared" si="21"/>
        <v>25</v>
      </c>
      <c r="AW22" s="234">
        <f>COUNTIF( AV$7:AV22, AV22 )</f>
        <v>4</v>
      </c>
      <c r="AX22" s="287">
        <f t="shared" si="22"/>
        <v>25.4</v>
      </c>
      <c r="AY22" s="234">
        <f t="shared" si="23"/>
        <v>28</v>
      </c>
      <c r="AZ22" s="236"/>
      <c r="BA22" s="236"/>
      <c r="BC22" s="234">
        <f t="shared" ca="1" si="24"/>
        <v>16</v>
      </c>
      <c r="BD22" s="288">
        <f t="shared" ca="1" si="7"/>
        <v>28</v>
      </c>
      <c r="BF22" s="240" t="str">
        <f t="shared" ca="1" si="8"/>
        <v>MDU Resources Group, Inc.</v>
      </c>
      <c r="BG22" s="240" t="str">
        <f t="shared" ca="1" si="9"/>
        <v>BBB+</v>
      </c>
      <c r="BH22" s="240">
        <f t="shared" ca="1" si="9"/>
        <v>19</v>
      </c>
      <c r="BI22" s="240" t="str">
        <f t="shared" ca="1" si="9"/>
        <v>MDU</v>
      </c>
    </row>
    <row r="23" spans="1:61" x14ac:dyDescent="0.2">
      <c r="A23" s="303" t="s">
        <v>52</v>
      </c>
      <c r="B23" s="304" t="s">
        <v>16</v>
      </c>
      <c r="C23" s="304">
        <v>19</v>
      </c>
      <c r="D23" s="304" t="s">
        <v>447</v>
      </c>
      <c r="E23" s="305" t="str">
        <f t="shared" ca="1" si="0"/>
        <v>MR</v>
      </c>
      <c r="F23" s="306"/>
      <c r="G23" s="307">
        <f t="shared" ca="1" si="1"/>
        <v>67</v>
      </c>
      <c r="H23" s="250"/>
      <c r="I23" s="321"/>
      <c r="K23" s="321"/>
      <c r="N23" s="321"/>
      <c r="Q23" s="321"/>
      <c r="T23" s="321"/>
      <c r="W23" s="321"/>
      <c r="AE23" s="254"/>
      <c r="AF23" s="236">
        <f t="shared" si="2"/>
        <v>0</v>
      </c>
      <c r="AG23" s="236" t="str">
        <f t="shared" ca="1" si="3"/>
        <v/>
      </c>
      <c r="AH23" s="236" t="str">
        <f t="shared" ca="1" si="19"/>
        <v/>
      </c>
      <c r="AJ23" s="236">
        <f t="shared" ca="1" si="4"/>
        <v>23</v>
      </c>
      <c r="AK23" s="236" t="str">
        <f t="shared" ca="1" si="20"/>
        <v>BBB+</v>
      </c>
      <c r="AL23" s="236">
        <f t="shared" ca="1" si="20"/>
        <v>19</v>
      </c>
      <c r="AM23" s="236" t="str">
        <f t="shared" ca="1" si="5"/>
        <v/>
      </c>
      <c r="AQ23" s="286" t="s">
        <v>35</v>
      </c>
      <c r="AR23" s="286" t="s">
        <v>49</v>
      </c>
      <c r="AS23" s="286">
        <v>17</v>
      </c>
      <c r="AT23" s="286" t="s">
        <v>293</v>
      </c>
      <c r="AV23" s="234">
        <f t="shared" si="21"/>
        <v>41</v>
      </c>
      <c r="AW23" s="234">
        <f>COUNTIF( AV$7:AV23, AV23 )</f>
        <v>6</v>
      </c>
      <c r="AX23" s="287">
        <f t="shared" si="22"/>
        <v>41.6</v>
      </c>
      <c r="AY23" s="234">
        <f t="shared" si="23"/>
        <v>46</v>
      </c>
      <c r="AZ23" s="236"/>
      <c r="BA23" s="236"/>
      <c r="BC23" s="234">
        <f t="shared" ca="1" si="24"/>
        <v>17</v>
      </c>
      <c r="BD23" s="288">
        <f t="shared" ca="1" si="7"/>
        <v>29</v>
      </c>
      <c r="BF23" s="240" t="str">
        <f t="shared" ca="1" si="8"/>
        <v>MidAmerican Energy Holdings Company</v>
      </c>
      <c r="BG23" s="240" t="str">
        <f t="shared" ca="1" si="9"/>
        <v>BBB+</v>
      </c>
      <c r="BH23" s="240">
        <f t="shared" ca="1" si="9"/>
        <v>19</v>
      </c>
      <c r="BI23" s="240" t="str">
        <f t="shared" ca="1" si="9"/>
        <v>**BRK</v>
      </c>
    </row>
    <row r="24" spans="1:61" x14ac:dyDescent="0.2">
      <c r="A24" s="303" t="s">
        <v>513</v>
      </c>
      <c r="B24" s="304" t="s">
        <v>16</v>
      </c>
      <c r="C24" s="304">
        <v>19</v>
      </c>
      <c r="D24" s="304" t="s">
        <v>512</v>
      </c>
      <c r="E24" s="305" t="str">
        <f t="shared" ca="1" si="0"/>
        <v>R</v>
      </c>
      <c r="F24" s="306"/>
      <c r="G24" s="307">
        <f t="shared" ca="1" si="1"/>
        <v>37</v>
      </c>
      <c r="H24" s="250"/>
      <c r="I24" s="321"/>
      <c r="J24" s="262"/>
      <c r="K24" s="321"/>
      <c r="N24" s="321"/>
      <c r="Q24" s="321"/>
      <c r="T24" s="321"/>
      <c r="W24" s="321"/>
      <c r="AE24" s="254"/>
      <c r="AF24" s="236">
        <f t="shared" si="2"/>
        <v>0</v>
      </c>
      <c r="AG24" s="236" t="str">
        <f t="shared" ca="1" si="3"/>
        <v/>
      </c>
      <c r="AH24" s="236" t="str">
        <f t="shared" ca="1" si="19"/>
        <v/>
      </c>
      <c r="AJ24" s="236">
        <f t="shared" ca="1" si="4"/>
        <v>24</v>
      </c>
      <c r="AK24" s="236" t="str">
        <f t="shared" ca="1" si="20"/>
        <v>BBB+</v>
      </c>
      <c r="AL24" s="236">
        <f t="shared" ca="1" si="20"/>
        <v>19</v>
      </c>
      <c r="AM24" s="236" t="str">
        <f t="shared" ca="1" si="5"/>
        <v/>
      </c>
      <c r="AQ24" s="286" t="s">
        <v>249</v>
      </c>
      <c r="AR24" s="286" t="s">
        <v>125</v>
      </c>
      <c r="AS24" s="286">
        <v>9</v>
      </c>
      <c r="AT24" s="286" t="s">
        <v>445</v>
      </c>
      <c r="AV24" s="234">
        <f t="shared" si="21"/>
        <v>55</v>
      </c>
      <c r="AW24" s="234">
        <f>COUNTIF( AV$7:AV24, AV24 )</f>
        <v>1</v>
      </c>
      <c r="AX24" s="287">
        <f t="shared" si="22"/>
        <v>55.1</v>
      </c>
      <c r="AY24" s="234">
        <f t="shared" si="23"/>
        <v>55</v>
      </c>
      <c r="AZ24" s="236"/>
      <c r="BA24" s="236"/>
      <c r="BC24" s="234">
        <f t="shared" ca="1" si="24"/>
        <v>18</v>
      </c>
      <c r="BD24" s="288">
        <f t="shared" ca="1" si="7"/>
        <v>32</v>
      </c>
      <c r="BF24" s="240" t="str">
        <f t="shared" ca="1" si="8"/>
        <v>Eversource</v>
      </c>
      <c r="BG24" s="240" t="str">
        <f t="shared" ca="1" si="9"/>
        <v>BBB+</v>
      </c>
      <c r="BH24" s="240">
        <f t="shared" ca="1" si="9"/>
        <v>19</v>
      </c>
      <c r="BI24" s="240" t="str">
        <f t="shared" ca="1" si="9"/>
        <v>ES</v>
      </c>
    </row>
    <row r="25" spans="1:61" x14ac:dyDescent="0.2">
      <c r="A25" s="303" t="s">
        <v>21</v>
      </c>
      <c r="B25" s="304" t="s">
        <v>16</v>
      </c>
      <c r="C25" s="304">
        <v>19</v>
      </c>
      <c r="D25" s="304" t="s">
        <v>316</v>
      </c>
      <c r="E25" s="305" t="str">
        <f t="shared" ca="1" si="0"/>
        <v>MR</v>
      </c>
      <c r="F25" s="306"/>
      <c r="G25" s="307">
        <f t="shared" ca="1" si="1"/>
        <v>41</v>
      </c>
      <c r="H25" s="250"/>
      <c r="I25" s="321"/>
      <c r="J25" s="262"/>
      <c r="K25" s="321"/>
      <c r="N25" s="321"/>
      <c r="Q25" s="321"/>
      <c r="T25" s="321"/>
      <c r="W25" s="321"/>
      <c r="AE25" s="254"/>
      <c r="AF25" s="236">
        <f t="shared" si="2"/>
        <v>0</v>
      </c>
      <c r="AG25" s="236" t="str">
        <f t="shared" ca="1" si="3"/>
        <v/>
      </c>
      <c r="AH25" s="236" t="str">
        <f t="shared" ca="1" si="19"/>
        <v/>
      </c>
      <c r="AJ25" s="236">
        <f t="shared" ca="1" si="4"/>
        <v>25</v>
      </c>
      <c r="AK25" s="236" t="str">
        <f t="shared" ca="1" si="20"/>
        <v>BBB+</v>
      </c>
      <c r="AL25" s="236">
        <f t="shared" ca="1" si="20"/>
        <v>19</v>
      </c>
      <c r="AM25" s="236" t="str">
        <f t="shared" ca="1" si="5"/>
        <v/>
      </c>
      <c r="AQ25" s="286" t="s">
        <v>36</v>
      </c>
      <c r="AR25" s="286" t="s">
        <v>28</v>
      </c>
      <c r="AS25" s="286">
        <v>18</v>
      </c>
      <c r="AT25" s="286" t="s">
        <v>297</v>
      </c>
      <c r="AV25" s="234">
        <f t="shared" si="21"/>
        <v>25</v>
      </c>
      <c r="AW25" s="234">
        <f>COUNTIF( AV$7:AV25, AV25 )</f>
        <v>5</v>
      </c>
      <c r="AX25" s="287">
        <f t="shared" si="22"/>
        <v>25.5</v>
      </c>
      <c r="AY25" s="234">
        <f t="shared" si="23"/>
        <v>29</v>
      </c>
      <c r="AZ25" s="236"/>
      <c r="BA25" s="236"/>
      <c r="BC25" s="234">
        <f t="shared" ca="1" si="24"/>
        <v>19</v>
      </c>
      <c r="BD25" s="288">
        <f t="shared" ca="1" si="7"/>
        <v>36</v>
      </c>
      <c r="BF25" s="240" t="str">
        <f t="shared" ca="1" si="8"/>
        <v>OGE Energy Corp.</v>
      </c>
      <c r="BG25" s="240" t="str">
        <f t="shared" ca="1" si="9"/>
        <v>BBB+</v>
      </c>
      <c r="BH25" s="240">
        <f t="shared" ca="1" si="9"/>
        <v>19</v>
      </c>
      <c r="BI25" s="240" t="str">
        <f t="shared" ca="1" si="9"/>
        <v>OGE</v>
      </c>
    </row>
    <row r="26" spans="1:61" x14ac:dyDescent="0.2">
      <c r="A26" s="303" t="s">
        <v>23</v>
      </c>
      <c r="B26" s="304" t="s">
        <v>16</v>
      </c>
      <c r="C26" s="304">
        <v>19</v>
      </c>
      <c r="D26" s="304" t="s">
        <v>323</v>
      </c>
      <c r="E26" s="305" t="str">
        <f t="shared" ca="1" si="0"/>
        <v>MR</v>
      </c>
      <c r="F26" s="306"/>
      <c r="G26" s="307">
        <f t="shared" ca="1" si="1"/>
        <v>43</v>
      </c>
      <c r="H26" s="250"/>
      <c r="I26" s="321"/>
      <c r="J26" s="262"/>
      <c r="K26" s="321"/>
      <c r="N26" s="321"/>
      <c r="Q26" s="321"/>
      <c r="T26" s="321"/>
      <c r="W26" s="321"/>
      <c r="AE26" s="254"/>
      <c r="AF26" s="236">
        <f t="shared" si="2"/>
        <v>0</v>
      </c>
      <c r="AG26" s="236" t="str">
        <f t="shared" ca="1" si="3"/>
        <v/>
      </c>
      <c r="AH26" s="236" t="str">
        <f t="shared" ca="1" si="19"/>
        <v/>
      </c>
      <c r="AJ26" s="236">
        <f t="shared" ca="1" si="4"/>
        <v>26</v>
      </c>
      <c r="AK26" s="236" t="str">
        <f t="shared" ca="1" si="20"/>
        <v>BBB+</v>
      </c>
      <c r="AL26" s="236">
        <f t="shared" ca="1" si="20"/>
        <v>19</v>
      </c>
      <c r="AM26" s="236" t="str">
        <f t="shared" ca="1" si="5"/>
        <v/>
      </c>
      <c r="AQ26" s="286" t="s">
        <v>11</v>
      </c>
      <c r="AR26" s="286" t="s">
        <v>28</v>
      </c>
      <c r="AS26" s="286">
        <v>18</v>
      </c>
      <c r="AT26" s="286" t="s">
        <v>298</v>
      </c>
      <c r="AV26" s="234">
        <f t="shared" si="21"/>
        <v>25</v>
      </c>
      <c r="AW26" s="234">
        <f>COUNTIF( AV$7:AV26, AV26 )</f>
        <v>6</v>
      </c>
      <c r="AX26" s="287">
        <f t="shared" si="22"/>
        <v>25.6</v>
      </c>
      <c r="AY26" s="234">
        <f t="shared" si="23"/>
        <v>30</v>
      </c>
      <c r="AZ26" s="236"/>
      <c r="BA26" s="236"/>
      <c r="BC26" s="234">
        <f t="shared" ca="1" si="24"/>
        <v>20</v>
      </c>
      <c r="BD26" s="288">
        <f t="shared" ca="1" si="7"/>
        <v>38</v>
      </c>
      <c r="BF26" s="240" t="str">
        <f t="shared" ca="1" si="8"/>
        <v>Pepco Holdings, Inc.</v>
      </c>
      <c r="BG26" s="240" t="str">
        <f t="shared" ca="1" si="9"/>
        <v>BBB+</v>
      </c>
      <c r="BH26" s="240">
        <f t="shared" ca="1" si="9"/>
        <v>19</v>
      </c>
      <c r="BI26" s="240" t="str">
        <f t="shared" ca="1" si="9"/>
        <v>POM</v>
      </c>
    </row>
    <row r="27" spans="1:61" x14ac:dyDescent="0.2">
      <c r="A27" s="303" t="s">
        <v>257</v>
      </c>
      <c r="B27" s="304" t="s">
        <v>16</v>
      </c>
      <c r="C27" s="304">
        <v>19</v>
      </c>
      <c r="D27" s="304" t="s">
        <v>320</v>
      </c>
      <c r="E27" s="305" t="str">
        <f t="shared" ca="1" si="0"/>
        <v>R</v>
      </c>
      <c r="F27" s="306"/>
      <c r="G27" s="307">
        <f t="shared" ca="1" si="1"/>
        <v>49</v>
      </c>
      <c r="H27" s="250"/>
      <c r="I27" s="321"/>
      <c r="J27" s="262"/>
      <c r="K27" s="321"/>
      <c r="N27" s="321"/>
      <c r="Q27" s="321"/>
      <c r="T27" s="321"/>
      <c r="W27" s="321"/>
      <c r="AE27" s="254"/>
      <c r="AF27" s="236">
        <f t="shared" si="2"/>
        <v>0</v>
      </c>
      <c r="AG27" s="236" t="str">
        <f t="shared" ca="1" si="3"/>
        <v/>
      </c>
      <c r="AH27" s="236" t="str">
        <f t="shared" ca="1" si="19"/>
        <v/>
      </c>
      <c r="AJ27" s="236">
        <f t="shared" ca="1" si="4"/>
        <v>27</v>
      </c>
      <c r="AK27" s="236" t="str">
        <f t="shared" ca="1" si="20"/>
        <v>BBB+</v>
      </c>
      <c r="AL27" s="236">
        <f t="shared" ca="1" si="20"/>
        <v>19</v>
      </c>
      <c r="AM27" s="236" t="str">
        <f t="shared" ca="1" si="5"/>
        <v/>
      </c>
      <c r="AQ27" s="286" t="s">
        <v>51</v>
      </c>
      <c r="AR27" s="286" t="s">
        <v>49</v>
      </c>
      <c r="AS27" s="286">
        <v>17</v>
      </c>
      <c r="AT27" s="286" t="s">
        <v>299</v>
      </c>
      <c r="AV27" s="234">
        <f t="shared" si="21"/>
        <v>41</v>
      </c>
      <c r="AW27" s="234">
        <f>COUNTIF( AV$7:AV27, AV27 )</f>
        <v>7</v>
      </c>
      <c r="AX27" s="287">
        <f t="shared" si="22"/>
        <v>41.7</v>
      </c>
      <c r="AY27" s="234">
        <f t="shared" si="23"/>
        <v>47</v>
      </c>
      <c r="AZ27" s="236"/>
      <c r="BA27" s="236"/>
      <c r="BC27" s="234">
        <f t="shared" ca="1" si="24"/>
        <v>21</v>
      </c>
      <c r="BD27" s="288">
        <f t="shared" ca="1" si="7"/>
        <v>44</v>
      </c>
      <c r="BF27" s="240" t="str">
        <f t="shared" ca="1" si="8"/>
        <v>Progress Energy, Inc.</v>
      </c>
      <c r="BG27" s="240" t="str">
        <f t="shared" ca="1" si="9"/>
        <v>BBB+</v>
      </c>
      <c r="BH27" s="240">
        <f t="shared" ca="1" si="9"/>
        <v>19</v>
      </c>
      <c r="BI27" s="240" t="str">
        <f t="shared" ca="1" si="9"/>
        <v>PGN</v>
      </c>
    </row>
    <row r="28" spans="1:61" x14ac:dyDescent="0.2">
      <c r="A28" s="303" t="s">
        <v>13</v>
      </c>
      <c r="B28" s="304" t="s">
        <v>16</v>
      </c>
      <c r="C28" s="304">
        <v>19</v>
      </c>
      <c r="D28" s="304" t="s">
        <v>327</v>
      </c>
      <c r="E28" s="305" t="str">
        <f t="shared" ca="1" si="0"/>
        <v>MR</v>
      </c>
      <c r="F28" s="306"/>
      <c r="G28" s="307">
        <f t="shared" ca="1" si="1"/>
        <v>51</v>
      </c>
      <c r="H28" s="250"/>
      <c r="I28" s="321"/>
      <c r="J28" s="262"/>
      <c r="K28" s="321"/>
      <c r="N28" s="321"/>
      <c r="Q28" s="321"/>
      <c r="T28" s="321"/>
      <c r="W28" s="321"/>
      <c r="AE28" s="245"/>
      <c r="AF28" s="236">
        <f t="shared" si="2"/>
        <v>0</v>
      </c>
      <c r="AG28" s="236" t="str">
        <f t="shared" ca="1" si="3"/>
        <v/>
      </c>
      <c r="AH28" s="236" t="str">
        <f t="shared" ca="1" si="19"/>
        <v/>
      </c>
      <c r="AJ28" s="236">
        <f t="shared" ca="1" si="4"/>
        <v>28</v>
      </c>
      <c r="AK28" s="236" t="str">
        <f t="shared" ca="1" si="20"/>
        <v>BBB+</v>
      </c>
      <c r="AL28" s="236">
        <f t="shared" ca="1" si="20"/>
        <v>19</v>
      </c>
      <c r="AM28" s="236" t="str">
        <f t="shared" ca="1" si="5"/>
        <v/>
      </c>
      <c r="AQ28" s="286" t="s">
        <v>261</v>
      </c>
      <c r="AR28" s="286" t="s">
        <v>28</v>
      </c>
      <c r="AS28" s="286">
        <v>18</v>
      </c>
      <c r="AT28" s="286" t="s">
        <v>301</v>
      </c>
      <c r="AV28" s="234">
        <f t="shared" si="21"/>
        <v>25</v>
      </c>
      <c r="AW28" s="234">
        <f>COUNTIF( AV$7:AV28, AV28 )</f>
        <v>7</v>
      </c>
      <c r="AX28" s="287">
        <f t="shared" si="22"/>
        <v>25.7</v>
      </c>
      <c r="AY28" s="234">
        <f t="shared" si="23"/>
        <v>31</v>
      </c>
      <c r="AZ28" s="236"/>
      <c r="BA28" s="236"/>
      <c r="BC28" s="234">
        <f t="shared" ca="1" si="24"/>
        <v>22</v>
      </c>
      <c r="BD28" s="288">
        <f t="shared" ca="1" si="7"/>
        <v>47</v>
      </c>
      <c r="BF28" s="240" t="str">
        <f t="shared" ca="1" si="8"/>
        <v>SCANA Corporation</v>
      </c>
      <c r="BG28" s="240" t="str">
        <f t="shared" ca="1" si="9"/>
        <v>BBB+</v>
      </c>
      <c r="BH28" s="240">
        <f t="shared" ca="1" si="9"/>
        <v>19</v>
      </c>
      <c r="BI28" s="240" t="str">
        <f t="shared" ca="1" si="9"/>
        <v>SCG</v>
      </c>
    </row>
    <row r="29" spans="1:61" x14ac:dyDescent="0.2">
      <c r="A29" s="303" t="s">
        <v>25</v>
      </c>
      <c r="B29" s="304" t="s">
        <v>16</v>
      </c>
      <c r="C29" s="304">
        <v>19</v>
      </c>
      <c r="D29" s="304" t="s">
        <v>329</v>
      </c>
      <c r="E29" s="305" t="str">
        <f t="shared" ca="1" si="0"/>
        <v>MR</v>
      </c>
      <c r="F29" s="306"/>
      <c r="G29" s="307">
        <f t="shared" ca="1" si="1"/>
        <v>52</v>
      </c>
      <c r="H29" s="250"/>
      <c r="I29" s="321"/>
      <c r="J29" s="262"/>
      <c r="K29" s="321"/>
      <c r="N29" s="321"/>
      <c r="Q29" s="321"/>
      <c r="T29" s="321"/>
      <c r="W29" s="321"/>
      <c r="AF29" s="236">
        <f t="shared" si="2"/>
        <v>0</v>
      </c>
      <c r="AG29" s="236" t="str">
        <f t="shared" ca="1" si="3"/>
        <v/>
      </c>
      <c r="AH29" s="236" t="str">
        <f t="shared" ca="1" si="19"/>
        <v/>
      </c>
      <c r="AJ29" s="236">
        <f t="shared" ca="1" si="4"/>
        <v>29</v>
      </c>
      <c r="AK29" s="236" t="str">
        <f t="shared" ca="1" si="20"/>
        <v>BBB+</v>
      </c>
      <c r="AL29" s="236">
        <f t="shared" ca="1" si="20"/>
        <v>19</v>
      </c>
      <c r="AM29" s="236" t="str">
        <f t="shared" ca="1" si="5"/>
        <v/>
      </c>
      <c r="AQ29" s="286" t="s">
        <v>39</v>
      </c>
      <c r="AR29" s="286" t="s">
        <v>49</v>
      </c>
      <c r="AS29" s="286">
        <v>17</v>
      </c>
      <c r="AT29" s="286" t="s">
        <v>302</v>
      </c>
      <c r="AV29" s="234">
        <f t="shared" si="21"/>
        <v>41</v>
      </c>
      <c r="AW29" s="234">
        <f>COUNTIF( AV$7:AV29, AV29 )</f>
        <v>8</v>
      </c>
      <c r="AX29" s="287">
        <f t="shared" si="22"/>
        <v>41.8</v>
      </c>
      <c r="AY29" s="234">
        <f t="shared" si="23"/>
        <v>48</v>
      </c>
      <c r="AZ29" s="236"/>
      <c r="BA29" s="236"/>
      <c r="BC29" s="234">
        <f t="shared" ca="1" si="24"/>
        <v>23</v>
      </c>
      <c r="BD29" s="288">
        <f t="shared" ca="1" si="7"/>
        <v>48</v>
      </c>
      <c r="BF29" s="240" t="str">
        <f t="shared" ca="1" si="8"/>
        <v>Sempra Energy</v>
      </c>
      <c r="BG29" s="240" t="str">
        <f t="shared" ca="1" si="9"/>
        <v>BBB+</v>
      </c>
      <c r="BH29" s="240">
        <f t="shared" ca="1" si="9"/>
        <v>19</v>
      </c>
      <c r="BI29" s="240" t="str">
        <f t="shared" ca="1" si="9"/>
        <v>SRE</v>
      </c>
    </row>
    <row r="30" spans="1:61" x14ac:dyDescent="0.2">
      <c r="A30" s="303" t="s">
        <v>62</v>
      </c>
      <c r="B30" s="304" t="s">
        <v>16</v>
      </c>
      <c r="C30" s="304">
        <v>19</v>
      </c>
      <c r="D30" s="304" t="s">
        <v>330</v>
      </c>
      <c r="E30" s="305" t="str">
        <f t="shared" ca="1" si="0"/>
        <v>R</v>
      </c>
      <c r="F30" s="306"/>
      <c r="G30" s="307">
        <f t="shared" ca="1" si="1"/>
        <v>54</v>
      </c>
      <c r="H30" s="250"/>
      <c r="I30" s="321"/>
      <c r="J30" s="262"/>
      <c r="K30" s="321"/>
      <c r="N30" s="321"/>
      <c r="Q30" s="321"/>
      <c r="T30" s="321"/>
      <c r="W30" s="321"/>
      <c r="AF30" s="236">
        <f t="shared" si="2"/>
        <v>0</v>
      </c>
      <c r="AG30" s="236" t="str">
        <f t="shared" ca="1" si="3"/>
        <v/>
      </c>
      <c r="AH30" s="236" t="str">
        <f t="shared" ca="1" si="19"/>
        <v/>
      </c>
      <c r="AJ30" s="236">
        <f t="shared" ca="1" si="4"/>
        <v>30</v>
      </c>
      <c r="AK30" s="236" t="str">
        <f t="shared" ca="1" si="20"/>
        <v>BBB+</v>
      </c>
      <c r="AL30" s="236">
        <f t="shared" ca="1" si="20"/>
        <v>19</v>
      </c>
      <c r="AM30" s="236" t="str">
        <f t="shared" ca="1" si="5"/>
        <v/>
      </c>
      <c r="AQ30" s="286" t="s">
        <v>452</v>
      </c>
      <c r="AR30" s="286" t="s">
        <v>10</v>
      </c>
      <c r="AS30" s="286">
        <v>20</v>
      </c>
      <c r="AT30" s="286" t="s">
        <v>444</v>
      </c>
      <c r="AV30" s="234">
        <f t="shared" si="21"/>
        <v>3</v>
      </c>
      <c r="AW30" s="234">
        <f>COUNTIF( AV$7:AV30, AV30 )</f>
        <v>4</v>
      </c>
      <c r="AX30" s="287">
        <f t="shared" si="22"/>
        <v>3.4</v>
      </c>
      <c r="AY30" s="234">
        <f t="shared" si="23"/>
        <v>6</v>
      </c>
      <c r="AZ30" s="236"/>
      <c r="BA30" s="236"/>
      <c r="BC30" s="234">
        <f t="shared" ca="1" si="24"/>
        <v>24</v>
      </c>
      <c r="BD30" s="288">
        <f t="shared" ca="1" si="7"/>
        <v>50</v>
      </c>
      <c r="BF30" s="240" t="str">
        <f t="shared" ca="1" si="8"/>
        <v>TECO Energy, Inc.</v>
      </c>
      <c r="BG30" s="240" t="str">
        <f t="shared" ca="1" si="9"/>
        <v>BBB+</v>
      </c>
      <c r="BH30" s="240">
        <f t="shared" ca="1" si="9"/>
        <v>19</v>
      </c>
      <c r="BI30" s="240" t="str">
        <f t="shared" ca="1" si="9"/>
        <v>TE</v>
      </c>
    </row>
    <row r="31" spans="1:61" x14ac:dyDescent="0.2">
      <c r="A31" s="303" t="s">
        <v>259</v>
      </c>
      <c r="B31" s="304" t="s">
        <v>28</v>
      </c>
      <c r="C31" s="304">
        <v>18</v>
      </c>
      <c r="D31" s="304" t="s">
        <v>275</v>
      </c>
      <c r="E31" s="305" t="str">
        <f t="shared" ca="1" si="0"/>
        <v>R</v>
      </c>
      <c r="F31" s="306"/>
      <c r="G31" s="307">
        <f t="shared" ca="1" si="1"/>
        <v>10</v>
      </c>
      <c r="H31" s="250"/>
      <c r="I31" s="321"/>
      <c r="J31" s="262"/>
      <c r="K31" s="321"/>
      <c r="N31" s="321"/>
      <c r="O31" s="253"/>
      <c r="Q31" s="321"/>
      <c r="T31" s="321"/>
      <c r="W31" s="321"/>
      <c r="AF31" s="236">
        <f t="shared" si="2"/>
        <v>1</v>
      </c>
      <c r="AG31" s="236" t="str">
        <f t="shared" ca="1" si="3"/>
        <v/>
      </c>
      <c r="AH31" s="236" t="str">
        <f t="shared" ca="1" si="19"/>
        <v/>
      </c>
      <c r="AJ31" s="236">
        <f t="shared" ca="1" si="4"/>
        <v>31</v>
      </c>
      <c r="AK31" s="236" t="str">
        <f t="shared" ca="1" si="20"/>
        <v>BBB</v>
      </c>
      <c r="AL31" s="236">
        <f t="shared" ca="1" si="20"/>
        <v>18</v>
      </c>
      <c r="AM31" s="236" t="str">
        <f t="shared" ca="1" si="5"/>
        <v/>
      </c>
      <c r="AQ31" s="286" t="s">
        <v>20</v>
      </c>
      <c r="AR31" s="286" t="s">
        <v>28</v>
      </c>
      <c r="AS31" s="286">
        <v>18</v>
      </c>
      <c r="AT31" s="286" t="s">
        <v>303</v>
      </c>
      <c r="AV31" s="234">
        <f t="shared" si="21"/>
        <v>25</v>
      </c>
      <c r="AW31" s="234">
        <f>COUNTIF( AV$7:AV31, AV31 )</f>
        <v>8</v>
      </c>
      <c r="AX31" s="287">
        <f t="shared" si="22"/>
        <v>25.8</v>
      </c>
      <c r="AY31" s="234">
        <f t="shared" si="23"/>
        <v>32</v>
      </c>
      <c r="AZ31" s="236"/>
      <c r="BA31" s="236"/>
      <c r="BC31" s="234">
        <f t="shared" ca="1" si="24"/>
        <v>25</v>
      </c>
      <c r="BD31" s="288">
        <f t="shared" ca="1" si="7"/>
        <v>4</v>
      </c>
      <c r="BF31" s="240" t="str">
        <f t="shared" ca="1" si="8"/>
        <v>American Electric Power Company, Inc.</v>
      </c>
      <c r="BG31" s="240" t="str">
        <f t="shared" ca="1" si="9"/>
        <v>BBB</v>
      </c>
      <c r="BH31" s="240">
        <f t="shared" ca="1" si="9"/>
        <v>18</v>
      </c>
      <c r="BI31" s="240" t="str">
        <f t="shared" ca="1" si="9"/>
        <v>AEP</v>
      </c>
    </row>
    <row r="32" spans="1:61" x14ac:dyDescent="0.2">
      <c r="A32" s="303" t="s">
        <v>55</v>
      </c>
      <c r="B32" s="304" t="s">
        <v>28</v>
      </c>
      <c r="C32" s="304">
        <v>18</v>
      </c>
      <c r="D32" s="304" t="s">
        <v>278</v>
      </c>
      <c r="E32" s="305" t="str">
        <f t="shared" ca="1" si="0"/>
        <v>R</v>
      </c>
      <c r="F32" s="306"/>
      <c r="G32" s="307">
        <f t="shared" ca="1" si="1"/>
        <v>11</v>
      </c>
      <c r="H32" s="250"/>
      <c r="I32" s="321"/>
      <c r="J32" s="262"/>
      <c r="K32" s="321"/>
      <c r="N32" s="321"/>
      <c r="Q32" s="321"/>
      <c r="T32" s="321"/>
      <c r="W32" s="321"/>
      <c r="AF32" s="236">
        <f t="shared" si="2"/>
        <v>1</v>
      </c>
      <c r="AG32" s="236" t="str">
        <f t="shared" ca="1" si="3"/>
        <v/>
      </c>
      <c r="AH32" s="236" t="str">
        <f t="shared" ca="1" si="19"/>
        <v/>
      </c>
      <c r="AJ32" s="236">
        <f t="shared" ca="1" si="4"/>
        <v>32</v>
      </c>
      <c r="AK32" s="236" t="str">
        <f t="shared" ca="1" si="20"/>
        <v>BBB</v>
      </c>
      <c r="AL32" s="236">
        <f t="shared" ca="1" si="20"/>
        <v>18</v>
      </c>
      <c r="AM32" s="236" t="str">
        <f t="shared" ca="1" si="5"/>
        <v/>
      </c>
      <c r="AQ32" s="286" t="s">
        <v>254</v>
      </c>
      <c r="AR32" s="286" t="s">
        <v>10</v>
      </c>
      <c r="AS32" s="286">
        <v>20</v>
      </c>
      <c r="AT32" s="286" t="s">
        <v>331</v>
      </c>
      <c r="AV32" s="234">
        <f t="shared" si="21"/>
        <v>3</v>
      </c>
      <c r="AW32" s="234">
        <f>COUNTIF( AV$7:AV32, AV32 )</f>
        <v>5</v>
      </c>
      <c r="AX32" s="287">
        <f t="shared" si="22"/>
        <v>3.5</v>
      </c>
      <c r="AY32" s="234">
        <f t="shared" si="23"/>
        <v>7</v>
      </c>
      <c r="AZ32" s="236"/>
      <c r="BA32" s="236"/>
      <c r="BC32" s="234">
        <f t="shared" ca="1" si="24"/>
        <v>26</v>
      </c>
      <c r="BD32" s="288">
        <f t="shared" ca="1" si="7"/>
        <v>5</v>
      </c>
      <c r="BF32" s="240" t="str">
        <f t="shared" ca="1" si="8"/>
        <v>Avista Corporation</v>
      </c>
      <c r="BG32" s="240" t="str">
        <f t="shared" ca="1" si="9"/>
        <v>BBB</v>
      </c>
      <c r="BH32" s="240">
        <f t="shared" ca="1" si="9"/>
        <v>18</v>
      </c>
      <c r="BI32" s="240" t="str">
        <f t="shared" ca="1" si="9"/>
        <v>AVA</v>
      </c>
    </row>
    <row r="33" spans="1:61" x14ac:dyDescent="0.2">
      <c r="A33" s="303" t="s">
        <v>30</v>
      </c>
      <c r="B33" s="304" t="s">
        <v>28</v>
      </c>
      <c r="C33" s="304">
        <v>18</v>
      </c>
      <c r="D33" s="304" t="s">
        <v>285</v>
      </c>
      <c r="E33" s="305" t="str">
        <f t="shared" ca="1" si="0"/>
        <v>R</v>
      </c>
      <c r="F33" s="306"/>
      <c r="G33" s="307">
        <f t="shared" ca="1" si="1"/>
        <v>16</v>
      </c>
      <c r="H33" s="250"/>
      <c r="I33" s="321"/>
      <c r="J33" s="262"/>
      <c r="K33" s="321"/>
      <c r="N33" s="321"/>
      <c r="Q33" s="321"/>
      <c r="T33" s="321"/>
      <c r="W33" s="321"/>
      <c r="AF33" s="236">
        <f t="shared" si="2"/>
        <v>1</v>
      </c>
      <c r="AG33" s="236" t="str">
        <f t="shared" ca="1" si="3"/>
        <v/>
      </c>
      <c r="AH33" s="236" t="str">
        <f t="shared" ca="1" si="19"/>
        <v/>
      </c>
      <c r="AJ33" s="236">
        <f t="shared" ca="1" si="4"/>
        <v>33</v>
      </c>
      <c r="AK33" s="236" t="str">
        <f t="shared" ca="1" si="20"/>
        <v>BBB</v>
      </c>
      <c r="AL33" s="236">
        <f t="shared" ca="1" si="20"/>
        <v>18</v>
      </c>
      <c r="AM33" s="236" t="str">
        <f t="shared" ca="1" si="5"/>
        <v/>
      </c>
      <c r="AQ33" s="286" t="s">
        <v>58</v>
      </c>
      <c r="AR33" s="286" t="s">
        <v>49</v>
      </c>
      <c r="AS33" s="286">
        <v>17</v>
      </c>
      <c r="AT33" s="286" t="s">
        <v>446</v>
      </c>
      <c r="AV33" s="234">
        <f t="shared" si="21"/>
        <v>41</v>
      </c>
      <c r="AW33" s="234">
        <f>COUNTIF( AV$7:AV33, AV33 )</f>
        <v>9</v>
      </c>
      <c r="AX33" s="287">
        <f t="shared" si="22"/>
        <v>41.9</v>
      </c>
      <c r="AY33" s="234">
        <f t="shared" si="23"/>
        <v>49</v>
      </c>
      <c r="AZ33" s="236"/>
      <c r="BA33" s="236"/>
      <c r="BC33" s="234">
        <f t="shared" ca="1" si="24"/>
        <v>27</v>
      </c>
      <c r="BD33" s="288">
        <f t="shared" ca="1" si="7"/>
        <v>8</v>
      </c>
      <c r="BF33" s="240" t="str">
        <f t="shared" ca="1" si="8"/>
        <v>Cleco Corporation</v>
      </c>
      <c r="BG33" s="240" t="str">
        <f t="shared" ca="1" si="9"/>
        <v>BBB</v>
      </c>
      <c r="BH33" s="240">
        <f t="shared" ca="1" si="9"/>
        <v>18</v>
      </c>
      <c r="BI33" s="240" t="str">
        <f t="shared" ca="1" si="9"/>
        <v>CNL</v>
      </c>
    </row>
    <row r="34" spans="1:61" x14ac:dyDescent="0.2">
      <c r="A34" s="303" t="s">
        <v>34</v>
      </c>
      <c r="B34" s="304" t="s">
        <v>28</v>
      </c>
      <c r="C34" s="304">
        <v>18</v>
      </c>
      <c r="D34" s="304" t="s">
        <v>294</v>
      </c>
      <c r="E34" s="305" t="str">
        <f t="shared" ca="1" si="0"/>
        <v>R</v>
      </c>
      <c r="F34" s="306"/>
      <c r="G34" s="307">
        <f t="shared" ca="1" si="1"/>
        <v>24</v>
      </c>
      <c r="H34" s="250"/>
      <c r="I34" s="321"/>
      <c r="J34" s="262"/>
      <c r="K34" s="321"/>
      <c r="L34" s="235"/>
      <c r="M34" s="235"/>
      <c r="N34" s="321"/>
      <c r="Q34" s="321"/>
      <c r="T34" s="321"/>
      <c r="W34" s="321"/>
      <c r="AF34" s="236">
        <f t="shared" si="2"/>
        <v>1</v>
      </c>
      <c r="AG34" s="236" t="str">
        <f t="shared" ca="1" si="3"/>
        <v/>
      </c>
      <c r="AH34" s="236" t="str">
        <f t="shared" ca="1" si="19"/>
        <v/>
      </c>
      <c r="AJ34" s="236">
        <f t="shared" ca="1" si="4"/>
        <v>34</v>
      </c>
      <c r="AK34" s="236" t="str">
        <f t="shared" ca="1" si="20"/>
        <v>BBB</v>
      </c>
      <c r="AL34" s="236">
        <f t="shared" ca="1" si="20"/>
        <v>18</v>
      </c>
      <c r="AM34" s="236" t="str">
        <f t="shared" ca="1" si="5"/>
        <v/>
      </c>
      <c r="AQ34" s="286" t="s">
        <v>12</v>
      </c>
      <c r="AR34" s="286" t="s">
        <v>16</v>
      </c>
      <c r="AS34" s="286">
        <v>19</v>
      </c>
      <c r="AT34" s="286" t="s">
        <v>309</v>
      </c>
      <c r="AV34" s="234">
        <f t="shared" si="21"/>
        <v>12</v>
      </c>
      <c r="AW34" s="234">
        <f>COUNTIF( AV$7:AV34, AV34 )</f>
        <v>5</v>
      </c>
      <c r="AX34" s="287">
        <f t="shared" si="22"/>
        <v>12.5</v>
      </c>
      <c r="AY34" s="234">
        <f t="shared" si="23"/>
        <v>16</v>
      </c>
      <c r="AZ34" s="236"/>
      <c r="BA34" s="236"/>
      <c r="BC34" s="234">
        <f t="shared" ca="1" si="24"/>
        <v>28</v>
      </c>
      <c r="BD34" s="288">
        <f t="shared" ca="1" si="7"/>
        <v>16</v>
      </c>
      <c r="BF34" s="240" t="str">
        <f t="shared" ca="1" si="8"/>
        <v>El Paso Electric Company</v>
      </c>
      <c r="BG34" s="240" t="str">
        <f t="shared" ca="1" si="9"/>
        <v>BBB</v>
      </c>
      <c r="BH34" s="240">
        <f t="shared" ca="1" si="9"/>
        <v>18</v>
      </c>
      <c r="BI34" s="240" t="str">
        <f t="shared" ca="1" si="9"/>
        <v>EE</v>
      </c>
    </row>
    <row r="35" spans="1:61" x14ac:dyDescent="0.2">
      <c r="A35" s="303" t="s">
        <v>36</v>
      </c>
      <c r="B35" s="304" t="s">
        <v>28</v>
      </c>
      <c r="C35" s="304">
        <v>18</v>
      </c>
      <c r="D35" s="304" t="s">
        <v>297</v>
      </c>
      <c r="E35" s="305" t="str">
        <f t="shared" ca="1" si="0"/>
        <v>R</v>
      </c>
      <c r="F35" s="306"/>
      <c r="G35" s="307">
        <f t="shared" ca="1" si="1"/>
        <v>26</v>
      </c>
      <c r="H35" s="250"/>
      <c r="I35" s="321"/>
      <c r="K35" s="321"/>
      <c r="L35" s="235"/>
      <c r="M35" s="235"/>
      <c r="N35" s="321"/>
      <c r="Q35" s="321"/>
      <c r="T35" s="321"/>
      <c r="W35" s="321"/>
      <c r="AF35" s="236">
        <f t="shared" si="2"/>
        <v>1</v>
      </c>
      <c r="AG35" s="236" t="str">
        <f t="shared" ca="1" si="3"/>
        <v/>
      </c>
      <c r="AH35" s="236" t="str">
        <f t="shared" ca="1" si="19"/>
        <v/>
      </c>
      <c r="AJ35" s="236">
        <f t="shared" ca="1" si="4"/>
        <v>35</v>
      </c>
      <c r="AK35" s="236" t="str">
        <f t="shared" ca="1" si="20"/>
        <v>BBB</v>
      </c>
      <c r="AL35" s="236">
        <f t="shared" ca="1" si="20"/>
        <v>18</v>
      </c>
      <c r="AM35" s="236" t="str">
        <f t="shared" ca="1" si="5"/>
        <v/>
      </c>
      <c r="AQ35" s="286" t="s">
        <v>52</v>
      </c>
      <c r="AR35" s="286" t="s">
        <v>16</v>
      </c>
      <c r="AS35" s="286">
        <v>19</v>
      </c>
      <c r="AT35" s="286" t="s">
        <v>447</v>
      </c>
      <c r="AV35" s="234">
        <f t="shared" si="21"/>
        <v>12</v>
      </c>
      <c r="AW35" s="234">
        <f>COUNTIF( AV$7:AV35, AV35 )</f>
        <v>6</v>
      </c>
      <c r="AX35" s="287">
        <f t="shared" si="22"/>
        <v>12.6</v>
      </c>
      <c r="AY35" s="234">
        <f t="shared" si="23"/>
        <v>17</v>
      </c>
      <c r="AZ35" s="236"/>
      <c r="BA35" s="236"/>
      <c r="BC35" s="234">
        <f t="shared" ca="1" si="24"/>
        <v>29</v>
      </c>
      <c r="BD35" s="288">
        <f t="shared" ca="1" si="7"/>
        <v>19</v>
      </c>
      <c r="BF35" s="240" t="str">
        <f t="shared" ca="1" si="8"/>
        <v>Entergy Corporation</v>
      </c>
      <c r="BG35" s="240" t="str">
        <f t="shared" ca="1" si="9"/>
        <v>BBB</v>
      </c>
      <c r="BH35" s="240">
        <f t="shared" ca="1" si="9"/>
        <v>18</v>
      </c>
      <c r="BI35" s="240" t="str">
        <f t="shared" ca="1" si="9"/>
        <v>ETR</v>
      </c>
    </row>
    <row r="36" spans="1:61" x14ac:dyDescent="0.2">
      <c r="A36" s="303" t="s">
        <v>11</v>
      </c>
      <c r="B36" s="304" t="s">
        <v>28</v>
      </c>
      <c r="C36" s="304">
        <v>18</v>
      </c>
      <c r="D36" s="304" t="s">
        <v>298</v>
      </c>
      <c r="E36" s="305" t="str">
        <f t="shared" ca="1" si="0"/>
        <v>MR</v>
      </c>
      <c r="F36" s="306"/>
      <c r="G36" s="307">
        <f t="shared" ca="1" si="1"/>
        <v>27</v>
      </c>
      <c r="H36" s="250"/>
      <c r="I36" s="321"/>
      <c r="J36" s="262"/>
      <c r="K36" s="321"/>
      <c r="L36" s="263"/>
      <c r="M36" s="263"/>
      <c r="N36" s="321"/>
      <c r="Q36" s="321"/>
      <c r="T36" s="321"/>
      <c r="W36" s="321"/>
      <c r="AF36" s="236">
        <f t="shared" si="2"/>
        <v>1</v>
      </c>
      <c r="AG36" s="236" t="str">
        <f t="shared" ca="1" si="3"/>
        <v/>
      </c>
      <c r="AH36" s="236" t="str">
        <f t="shared" ca="1" si="19"/>
        <v/>
      </c>
      <c r="AJ36" s="236">
        <f t="shared" ca="1" si="4"/>
        <v>36</v>
      </c>
      <c r="AK36" s="236" t="str">
        <f t="shared" ca="1" si="20"/>
        <v>BBB</v>
      </c>
      <c r="AL36" s="236">
        <f t="shared" ca="1" si="20"/>
        <v>18</v>
      </c>
      <c r="AM36" s="236" t="str">
        <f t="shared" ca="1" si="5"/>
        <v/>
      </c>
      <c r="AQ36" s="286" t="s">
        <v>370</v>
      </c>
      <c r="AR36" s="286" t="s">
        <v>10</v>
      </c>
      <c r="AS36" s="286">
        <v>20</v>
      </c>
      <c r="AT36" s="286" t="s">
        <v>369</v>
      </c>
      <c r="AV36" s="234">
        <f t="shared" si="21"/>
        <v>3</v>
      </c>
      <c r="AW36" s="234">
        <f>COUNTIF( AV$7:AV36, AV36 )</f>
        <v>6</v>
      </c>
      <c r="AX36" s="287">
        <f t="shared" si="22"/>
        <v>3.6</v>
      </c>
      <c r="AY36" s="234">
        <f t="shared" si="23"/>
        <v>8</v>
      </c>
      <c r="AZ36" s="236"/>
      <c r="BA36" s="236"/>
      <c r="BC36" s="234">
        <f t="shared" ca="1" si="24"/>
        <v>30</v>
      </c>
      <c r="BD36" s="288">
        <f t="shared" ca="1" si="7"/>
        <v>20</v>
      </c>
      <c r="BF36" s="240" t="str">
        <f t="shared" ca="1" si="8"/>
        <v>Exelon Corporation</v>
      </c>
      <c r="BG36" s="240" t="str">
        <f t="shared" ca="1" si="9"/>
        <v>BBB</v>
      </c>
      <c r="BH36" s="240">
        <f t="shared" ca="1" si="9"/>
        <v>18</v>
      </c>
      <c r="BI36" s="240" t="str">
        <f t="shared" ca="1" si="9"/>
        <v>EXC</v>
      </c>
    </row>
    <row r="37" spans="1:61" x14ac:dyDescent="0.2">
      <c r="A37" s="303" t="s">
        <v>261</v>
      </c>
      <c r="B37" s="304" t="s">
        <v>28</v>
      </c>
      <c r="C37" s="304">
        <v>18</v>
      </c>
      <c r="D37" s="304" t="s">
        <v>301</v>
      </c>
      <c r="E37" s="305" t="str">
        <f t="shared" ca="1" si="0"/>
        <v>R</v>
      </c>
      <c r="F37" s="306"/>
      <c r="G37" s="307">
        <f t="shared" ca="1" si="1"/>
        <v>29</v>
      </c>
      <c r="H37" s="250"/>
      <c r="I37" s="321"/>
      <c r="K37" s="321"/>
      <c r="L37" s="264"/>
      <c r="M37" s="235"/>
      <c r="N37" s="321"/>
      <c r="Q37" s="321"/>
      <c r="T37" s="321"/>
      <c r="W37" s="321"/>
      <c r="AF37" s="236">
        <f t="shared" si="2"/>
        <v>1</v>
      </c>
      <c r="AG37" s="236" t="str">
        <f t="shared" ca="1" si="3"/>
        <v/>
      </c>
      <c r="AH37" s="236" t="str">
        <f t="shared" ca="1" si="19"/>
        <v/>
      </c>
      <c r="AJ37" s="236">
        <f t="shared" ca="1" si="4"/>
        <v>37</v>
      </c>
      <c r="AK37" s="236" t="str">
        <f t="shared" ca="1" si="20"/>
        <v>BBB</v>
      </c>
      <c r="AL37" s="236">
        <f t="shared" ca="1" si="20"/>
        <v>18</v>
      </c>
      <c r="AM37" s="236" t="str">
        <f t="shared" ca="1" si="5"/>
        <v/>
      </c>
      <c r="AQ37" s="286" t="s">
        <v>40</v>
      </c>
      <c r="AR37" s="286" t="s">
        <v>49</v>
      </c>
      <c r="AS37" s="286">
        <v>17</v>
      </c>
      <c r="AT37" s="286" t="s">
        <v>311</v>
      </c>
      <c r="AV37" s="234">
        <f t="shared" si="21"/>
        <v>41</v>
      </c>
      <c r="AW37" s="234">
        <f>COUNTIF( AV$7:AV37, AV37 )</f>
        <v>10</v>
      </c>
      <c r="AX37" s="287">
        <f t="shared" si="22"/>
        <v>42</v>
      </c>
      <c r="AY37" s="234">
        <f t="shared" si="23"/>
        <v>50</v>
      </c>
      <c r="AZ37" s="236"/>
      <c r="BA37" s="236"/>
      <c r="BC37" s="234">
        <f t="shared" ca="1" si="24"/>
        <v>31</v>
      </c>
      <c r="BD37" s="288">
        <f t="shared" ca="1" si="7"/>
        <v>22</v>
      </c>
      <c r="BF37" s="240" t="str">
        <f t="shared" ca="1" si="8"/>
        <v>Great Plains Energy Inc.</v>
      </c>
      <c r="BG37" s="240" t="str">
        <f t="shared" ca="1" si="9"/>
        <v>BBB</v>
      </c>
      <c r="BH37" s="240">
        <f t="shared" ca="1" si="9"/>
        <v>18</v>
      </c>
      <c r="BI37" s="240" t="str">
        <f t="shared" ca="1" si="9"/>
        <v>GXP</v>
      </c>
    </row>
    <row r="38" spans="1:61" x14ac:dyDescent="0.2">
      <c r="A38" s="303" t="s">
        <v>20</v>
      </c>
      <c r="B38" s="304" t="s">
        <v>28</v>
      </c>
      <c r="C38" s="304">
        <v>18</v>
      </c>
      <c r="D38" s="304" t="s">
        <v>303</v>
      </c>
      <c r="E38" s="305" t="str">
        <f t="shared" ca="1" si="0"/>
        <v>R</v>
      </c>
      <c r="F38" s="306"/>
      <c r="G38" s="307">
        <f t="shared" ca="1" si="1"/>
        <v>31</v>
      </c>
      <c r="H38" s="250"/>
      <c r="I38" s="321"/>
      <c r="J38" s="262"/>
      <c r="K38" s="321"/>
      <c r="L38" s="264"/>
      <c r="M38" s="235"/>
      <c r="N38" s="321"/>
      <c r="Q38" s="321"/>
      <c r="T38" s="321"/>
      <c r="W38" s="321"/>
      <c r="AF38" s="236">
        <f t="shared" si="2"/>
        <v>1</v>
      </c>
      <c r="AG38" s="236" t="str">
        <f t="shared" ca="1" si="3"/>
        <v/>
      </c>
      <c r="AH38" s="236" t="str">
        <f t="shared" ca="1" si="19"/>
        <v/>
      </c>
      <c r="AJ38" s="236">
        <f t="shared" ca="1" si="4"/>
        <v>38</v>
      </c>
      <c r="AK38" s="236" t="str">
        <f t="shared" ca="1" si="20"/>
        <v>BBB</v>
      </c>
      <c r="AL38" s="236">
        <f t="shared" ca="1" si="20"/>
        <v>18</v>
      </c>
      <c r="AM38" s="236" t="str">
        <f t="shared" ca="1" si="5"/>
        <v/>
      </c>
      <c r="AQ38" s="286" t="s">
        <v>513</v>
      </c>
      <c r="AR38" s="286" t="s">
        <v>16</v>
      </c>
      <c r="AS38" s="286">
        <v>19</v>
      </c>
      <c r="AT38" s="286" t="s">
        <v>512</v>
      </c>
      <c r="AV38" s="234">
        <f t="shared" si="21"/>
        <v>12</v>
      </c>
      <c r="AW38" s="234">
        <f>COUNTIF( AV$7:AV38, AV38 )</f>
        <v>7</v>
      </c>
      <c r="AX38" s="287">
        <f t="shared" si="22"/>
        <v>12.7</v>
      </c>
      <c r="AY38" s="234">
        <f t="shared" si="23"/>
        <v>18</v>
      </c>
      <c r="AZ38" s="236"/>
      <c r="BA38" s="236"/>
      <c r="BC38" s="234">
        <f t="shared" ca="1" si="24"/>
        <v>32</v>
      </c>
      <c r="BD38" s="288">
        <f t="shared" ca="1" si="7"/>
        <v>25</v>
      </c>
      <c r="BF38" s="240" t="str">
        <f t="shared" ca="1" si="8"/>
        <v>IDACORP, Inc.</v>
      </c>
      <c r="BG38" s="240" t="str">
        <f t="shared" ca="1" si="9"/>
        <v>BBB</v>
      </c>
      <c r="BH38" s="240">
        <f t="shared" ca="1" si="9"/>
        <v>18</v>
      </c>
      <c r="BI38" s="240" t="str">
        <f t="shared" ca="1" si="9"/>
        <v>IDA</v>
      </c>
    </row>
    <row r="39" spans="1:61" x14ac:dyDescent="0.2">
      <c r="A39" s="303" t="s">
        <v>66</v>
      </c>
      <c r="B39" s="304" t="s">
        <v>28</v>
      </c>
      <c r="C39" s="304">
        <v>18</v>
      </c>
      <c r="D39" s="304" t="s">
        <v>315</v>
      </c>
      <c r="E39" s="305" t="str">
        <f t="shared" ca="1" si="0"/>
        <v>R</v>
      </c>
      <c r="F39" s="306"/>
      <c r="G39" s="307">
        <f t="shared" ca="1" si="1"/>
        <v>38</v>
      </c>
      <c r="H39" s="250"/>
      <c r="I39" s="321"/>
      <c r="K39" s="321"/>
      <c r="L39" s="264"/>
      <c r="M39" s="235"/>
      <c r="N39" s="321"/>
      <c r="Q39" s="321"/>
      <c r="T39" s="321"/>
      <c r="W39" s="321"/>
      <c r="AF39" s="236">
        <f t="shared" si="2"/>
        <v>1</v>
      </c>
      <c r="AG39" s="236" t="str">
        <f t="shared" ca="1" si="3"/>
        <v/>
      </c>
      <c r="AH39" s="236" t="str">
        <f t="shared" ca="1" si="19"/>
        <v/>
      </c>
      <c r="AJ39" s="236">
        <f t="shared" ca="1" si="4"/>
        <v>39</v>
      </c>
      <c r="AK39" s="236" t="str">
        <f t="shared" ca="1" si="20"/>
        <v>BBB</v>
      </c>
      <c r="AL39" s="236">
        <f t="shared" ca="1" si="20"/>
        <v>18</v>
      </c>
      <c r="AM39" s="236" t="str">
        <f t="shared" ca="1" si="5"/>
        <v/>
      </c>
      <c r="AQ39" s="286" t="s">
        <v>66</v>
      </c>
      <c r="AR39" s="286" t="s">
        <v>28</v>
      </c>
      <c r="AS39" s="286">
        <v>18</v>
      </c>
      <c r="AT39" s="286" t="s">
        <v>315</v>
      </c>
      <c r="AV39" s="234">
        <f t="shared" si="21"/>
        <v>25</v>
      </c>
      <c r="AW39" s="234">
        <f>COUNTIF( AV$7:AV39, AV39 )</f>
        <v>9</v>
      </c>
      <c r="AX39" s="287">
        <f t="shared" si="22"/>
        <v>25.9</v>
      </c>
      <c r="AY39" s="234">
        <f t="shared" si="23"/>
        <v>33</v>
      </c>
      <c r="AZ39" s="236"/>
      <c r="BA39" s="236"/>
      <c r="BC39" s="234">
        <f t="shared" ca="1" si="24"/>
        <v>33</v>
      </c>
      <c r="BD39" s="288">
        <f t="shared" ca="1" si="7"/>
        <v>33</v>
      </c>
      <c r="BF39" s="240" t="str">
        <f t="shared" ref="BF39:BF63" ca="1" si="25">OFFSET( AQ$6, $BD39, 0 )</f>
        <v>NorthWestern Corporation</v>
      </c>
      <c r="BG39" s="240" t="str">
        <f t="shared" ca="1" si="9"/>
        <v>BBB</v>
      </c>
      <c r="BH39" s="240">
        <f t="shared" ca="1" si="9"/>
        <v>18</v>
      </c>
      <c r="BI39" s="240" t="str">
        <f t="shared" ca="1" si="9"/>
        <v>NWE</v>
      </c>
    </row>
    <row r="40" spans="1:61" x14ac:dyDescent="0.2">
      <c r="A40" s="303" t="s">
        <v>53</v>
      </c>
      <c r="B40" s="304" t="s">
        <v>28</v>
      </c>
      <c r="C40" s="304">
        <v>18</v>
      </c>
      <c r="D40" s="304" t="s">
        <v>318</v>
      </c>
      <c r="E40" s="305" t="str">
        <f t="shared" ca="1" si="0"/>
        <v>R</v>
      </c>
      <c r="F40" s="306"/>
      <c r="G40" s="307">
        <f t="shared" ca="1" si="1"/>
        <v>44</v>
      </c>
      <c r="H40" s="250"/>
      <c r="I40" s="321"/>
      <c r="J40" s="262"/>
      <c r="K40" s="321"/>
      <c r="L40" s="264"/>
      <c r="M40" s="235"/>
      <c r="N40" s="321"/>
      <c r="Q40" s="321"/>
      <c r="T40" s="321"/>
      <c r="W40" s="321"/>
      <c r="AF40" s="236">
        <f t="shared" si="2"/>
        <v>1</v>
      </c>
      <c r="AG40" s="236" t="str">
        <f t="shared" ca="1" si="3"/>
        <v/>
      </c>
      <c r="AH40" s="236" t="str">
        <f t="shared" ca="1" si="19"/>
        <v/>
      </c>
      <c r="AJ40" s="236">
        <f t="shared" ca="1" si="4"/>
        <v>40</v>
      </c>
      <c r="AK40" s="236" t="str">
        <f t="shared" ca="1" si="20"/>
        <v>BBB</v>
      </c>
      <c r="AL40" s="236">
        <f t="shared" ca="1" si="20"/>
        <v>18</v>
      </c>
      <c r="AM40" s="236" t="str">
        <f t="shared" ca="1" si="5"/>
        <v/>
      </c>
      <c r="AQ40" s="286" t="s">
        <v>6</v>
      </c>
      <c r="AR40" s="286" t="s">
        <v>110</v>
      </c>
      <c r="AS40" s="286">
        <v>22</v>
      </c>
      <c r="AT40" s="286" t="s">
        <v>313</v>
      </c>
      <c r="AV40" s="234">
        <f t="shared" si="21"/>
        <v>1</v>
      </c>
      <c r="AW40" s="234">
        <f>COUNTIF( AV$7:AV40, AV40 )</f>
        <v>1</v>
      </c>
      <c r="AX40" s="287">
        <f t="shared" si="22"/>
        <v>1.1000000000000001</v>
      </c>
      <c r="AY40" s="234">
        <f t="shared" si="23"/>
        <v>1</v>
      </c>
      <c r="AZ40" s="236"/>
      <c r="BA40" s="236"/>
      <c r="BC40" s="234">
        <f t="shared" ca="1" si="24"/>
        <v>34</v>
      </c>
      <c r="BD40" s="288">
        <f t="shared" ca="1" si="7"/>
        <v>39</v>
      </c>
      <c r="BF40" s="240" t="str">
        <f t="shared" ca="1" si="25"/>
        <v>PG&amp;E Corporation</v>
      </c>
      <c r="BG40" s="240" t="str">
        <f t="shared" ca="1" si="9"/>
        <v>BBB</v>
      </c>
      <c r="BH40" s="240">
        <f t="shared" ca="1" si="9"/>
        <v>18</v>
      </c>
      <c r="BI40" s="240" t="str">
        <f t="shared" ca="1" si="9"/>
        <v>PCG</v>
      </c>
    </row>
    <row r="41" spans="1:61" x14ac:dyDescent="0.2">
      <c r="A41" s="303" t="s">
        <v>41</v>
      </c>
      <c r="B41" s="304" t="s">
        <v>28</v>
      </c>
      <c r="C41" s="304">
        <v>18</v>
      </c>
      <c r="D41" s="304" t="s">
        <v>322</v>
      </c>
      <c r="E41" s="305" t="str">
        <f t="shared" ca="1" si="0"/>
        <v>R</v>
      </c>
      <c r="F41" s="306"/>
      <c r="G41" s="307">
        <f t="shared" ca="1" si="1"/>
        <v>45</v>
      </c>
      <c r="H41" s="250"/>
      <c r="I41" s="321"/>
      <c r="J41" s="262"/>
      <c r="K41" s="321"/>
      <c r="L41" s="264"/>
      <c r="M41" s="235"/>
      <c r="N41" s="321"/>
      <c r="Q41" s="321"/>
      <c r="T41" s="321"/>
      <c r="W41" s="321"/>
      <c r="AF41" s="236">
        <f t="shared" si="2"/>
        <v>1</v>
      </c>
      <c r="AG41" s="236" t="str">
        <f t="shared" ca="1" si="3"/>
        <v/>
      </c>
      <c r="AH41" s="236" t="str">
        <f t="shared" ca="1" si="19"/>
        <v/>
      </c>
      <c r="AJ41" s="236">
        <f t="shared" ca="1" si="4"/>
        <v>41</v>
      </c>
      <c r="AK41" s="236" t="str">
        <f t="shared" ca="1" si="20"/>
        <v>BBB</v>
      </c>
      <c r="AL41" s="236">
        <f t="shared" ca="1" si="20"/>
        <v>18</v>
      </c>
      <c r="AM41" s="236" t="str">
        <f t="shared" ca="1" si="5"/>
        <v/>
      </c>
      <c r="AQ41" s="286" t="s">
        <v>266</v>
      </c>
      <c r="AR41" s="286" t="s">
        <v>56</v>
      </c>
      <c r="AS41" s="286">
        <v>16</v>
      </c>
      <c r="AT41" s="286" t="s">
        <v>314</v>
      </c>
      <c r="AV41" s="234">
        <f t="shared" si="21"/>
        <v>52</v>
      </c>
      <c r="AW41" s="234">
        <f>COUNTIF( AV$7:AV41, AV41 )</f>
        <v>1</v>
      </c>
      <c r="AX41" s="287">
        <f t="shared" si="22"/>
        <v>52.1</v>
      </c>
      <c r="AY41" s="234">
        <f t="shared" si="23"/>
        <v>52</v>
      </c>
      <c r="AZ41" s="236"/>
      <c r="BA41" s="236"/>
      <c r="BC41" s="234">
        <f t="shared" ca="1" si="24"/>
        <v>35</v>
      </c>
      <c r="BD41" s="288">
        <f t="shared" ca="1" si="7"/>
        <v>40</v>
      </c>
      <c r="BF41" s="240" t="str">
        <f t="shared" ca="1" si="25"/>
        <v>Pinnacle West Capital Corporation</v>
      </c>
      <c r="BG41" s="240" t="str">
        <f t="shared" ca="1" si="9"/>
        <v>BBB</v>
      </c>
      <c r="BH41" s="240">
        <f t="shared" ca="1" si="9"/>
        <v>18</v>
      </c>
      <c r="BI41" s="240" t="str">
        <f t="shared" ca="1" si="9"/>
        <v>PNW</v>
      </c>
    </row>
    <row r="42" spans="1:61" x14ac:dyDescent="0.2">
      <c r="A42" s="303" t="s">
        <v>24</v>
      </c>
      <c r="B42" s="304" t="s">
        <v>28</v>
      </c>
      <c r="C42" s="304">
        <v>18</v>
      </c>
      <c r="D42" s="304" t="s">
        <v>324</v>
      </c>
      <c r="E42" s="305" t="str">
        <f t="shared" ca="1" si="0"/>
        <v>R</v>
      </c>
      <c r="F42" s="306"/>
      <c r="G42" s="307">
        <f t="shared" ca="1" si="1"/>
        <v>47</v>
      </c>
      <c r="H42" s="250"/>
      <c r="I42" s="321"/>
      <c r="J42" s="262"/>
      <c r="K42" s="321"/>
      <c r="L42" s="264"/>
      <c r="M42" s="235"/>
      <c r="N42" s="321"/>
      <c r="Q42" s="321"/>
      <c r="T42" s="321"/>
      <c r="W42" s="321"/>
      <c r="AF42" s="236">
        <f t="shared" si="2"/>
        <v>1</v>
      </c>
      <c r="AG42" s="236" t="str">
        <f t="shared" ca="1" si="3"/>
        <v/>
      </c>
      <c r="AH42" s="236" t="str">
        <f t="shared" ca="1" si="19"/>
        <v/>
      </c>
      <c r="AJ42" s="236">
        <f t="shared" ca="1" si="4"/>
        <v>42</v>
      </c>
      <c r="AK42" s="236" t="str">
        <f t="shared" ca="1" si="20"/>
        <v>BBB</v>
      </c>
      <c r="AL42" s="236">
        <f t="shared" ca="1" si="20"/>
        <v>18</v>
      </c>
      <c r="AM42" s="236" t="str">
        <f t="shared" ca="1" si="5"/>
        <v/>
      </c>
      <c r="AQ42" s="286" t="s">
        <v>21</v>
      </c>
      <c r="AR42" s="286" t="s">
        <v>16</v>
      </c>
      <c r="AS42" s="286">
        <v>19</v>
      </c>
      <c r="AT42" s="286" t="s">
        <v>316</v>
      </c>
      <c r="AV42" s="234">
        <f t="shared" si="21"/>
        <v>12</v>
      </c>
      <c r="AW42" s="234">
        <f>COUNTIF( AV$7:AV42, AV42 )</f>
        <v>8</v>
      </c>
      <c r="AX42" s="287">
        <f t="shared" si="22"/>
        <v>12.8</v>
      </c>
      <c r="AY42" s="234">
        <f t="shared" si="23"/>
        <v>19</v>
      </c>
      <c r="AZ42" s="236"/>
      <c r="BA42" s="236"/>
      <c r="BC42" s="234">
        <f t="shared" ca="1" si="24"/>
        <v>36</v>
      </c>
      <c r="BD42" s="288">
        <f t="shared" ca="1" si="7"/>
        <v>42</v>
      </c>
      <c r="BF42" s="240" t="str">
        <f t="shared" ca="1" si="25"/>
        <v>Portland General Electric Company</v>
      </c>
      <c r="BG42" s="240" t="str">
        <f t="shared" ca="1" si="9"/>
        <v>BBB</v>
      </c>
      <c r="BH42" s="240">
        <f t="shared" ca="1" si="9"/>
        <v>18</v>
      </c>
      <c r="BI42" s="240" t="str">
        <f t="shared" ca="1" si="9"/>
        <v>POR</v>
      </c>
    </row>
    <row r="43" spans="1:61" x14ac:dyDescent="0.2">
      <c r="A43" s="303" t="s">
        <v>43</v>
      </c>
      <c r="B43" s="304" t="s">
        <v>28</v>
      </c>
      <c r="C43" s="304">
        <v>18</v>
      </c>
      <c r="D43" s="304" t="s">
        <v>325</v>
      </c>
      <c r="E43" s="305" t="str">
        <f t="shared" ca="1" si="0"/>
        <v>MR</v>
      </c>
      <c r="F43" s="306"/>
      <c r="G43" s="307">
        <f t="shared" ca="1" si="1"/>
        <v>48</v>
      </c>
      <c r="H43" s="250"/>
      <c r="I43" s="321"/>
      <c r="J43" s="262"/>
      <c r="K43" s="321"/>
      <c r="L43" s="235"/>
      <c r="M43" s="235"/>
      <c r="N43" s="321"/>
      <c r="Q43" s="321"/>
      <c r="T43" s="321"/>
      <c r="W43" s="321"/>
      <c r="AF43" s="236">
        <f t="shared" si="2"/>
        <v>1</v>
      </c>
      <c r="AG43" s="236" t="str">
        <f t="shared" ca="1" si="3"/>
        <v/>
      </c>
      <c r="AH43" s="236" t="str">
        <f t="shared" ca="1" si="19"/>
        <v/>
      </c>
      <c r="AJ43" s="236">
        <f t="shared" ca="1" si="4"/>
        <v>43</v>
      </c>
      <c r="AK43" s="236" t="str">
        <f t="shared" ca="1" si="20"/>
        <v>BBB</v>
      </c>
      <c r="AL43" s="236">
        <f t="shared" ca="1" si="20"/>
        <v>18</v>
      </c>
      <c r="AM43" s="236" t="str">
        <f t="shared" ca="1" si="5"/>
        <v/>
      </c>
      <c r="AQ43" s="286" t="s">
        <v>22</v>
      </c>
      <c r="AR43" s="286" t="s">
        <v>49</v>
      </c>
      <c r="AS43" s="286">
        <v>17</v>
      </c>
      <c r="AT43" s="286" t="s">
        <v>317</v>
      </c>
      <c r="AV43" s="234">
        <f t="shared" si="21"/>
        <v>41</v>
      </c>
      <c r="AW43" s="234">
        <f>COUNTIF( AV$7:AV43, AV43 )</f>
        <v>11</v>
      </c>
      <c r="AX43" s="287">
        <f t="shared" si="22"/>
        <v>42.1</v>
      </c>
      <c r="AY43" s="234">
        <f t="shared" si="23"/>
        <v>51</v>
      </c>
      <c r="AZ43" s="236"/>
      <c r="BA43" s="236"/>
      <c r="BC43" s="234">
        <f t="shared" ca="1" si="24"/>
        <v>37</v>
      </c>
      <c r="BD43" s="288">
        <f t="shared" ca="1" si="7"/>
        <v>43</v>
      </c>
      <c r="BF43" s="240" t="str">
        <f t="shared" ca="1" si="25"/>
        <v>PPL Corporation</v>
      </c>
      <c r="BG43" s="240" t="str">
        <f t="shared" ca="1" si="9"/>
        <v>BBB</v>
      </c>
      <c r="BH43" s="240">
        <f t="shared" ca="1" si="9"/>
        <v>18</v>
      </c>
      <c r="BI43" s="240" t="str">
        <f t="shared" ca="1" si="9"/>
        <v>PPL</v>
      </c>
    </row>
    <row r="44" spans="1:61" x14ac:dyDescent="0.2">
      <c r="A44" s="303" t="s">
        <v>45</v>
      </c>
      <c r="B44" s="304" t="s">
        <v>28</v>
      </c>
      <c r="C44" s="304">
        <v>18</v>
      </c>
      <c r="D44" s="304" t="s">
        <v>319</v>
      </c>
      <c r="E44" s="305" t="str">
        <f t="shared" ca="1" si="0"/>
        <v>MR</v>
      </c>
      <c r="F44" s="306"/>
      <c r="G44" s="307">
        <f t="shared" ca="1" si="1"/>
        <v>50</v>
      </c>
      <c r="H44" s="250"/>
      <c r="I44" s="321"/>
      <c r="J44" s="262"/>
      <c r="K44" s="321"/>
      <c r="L44" s="235"/>
      <c r="M44" s="235"/>
      <c r="N44" s="321"/>
      <c r="Q44" s="321"/>
      <c r="T44" s="321"/>
      <c r="W44" s="321"/>
      <c r="AF44" s="236">
        <f t="shared" si="2"/>
        <v>1</v>
      </c>
      <c r="AG44" s="236" t="str">
        <f t="shared" ca="1" si="3"/>
        <v/>
      </c>
      <c r="AH44" s="236" t="str">
        <f t="shared" ca="1" si="19"/>
        <v/>
      </c>
      <c r="AJ44" s="236">
        <f t="shared" ca="1" si="4"/>
        <v>44</v>
      </c>
      <c r="AK44" s="236" t="str">
        <f t="shared" ca="1" si="20"/>
        <v>BBB</v>
      </c>
      <c r="AL44" s="236">
        <f t="shared" ca="1" si="20"/>
        <v>18</v>
      </c>
      <c r="AM44" s="236" t="str">
        <f t="shared" ca="1" si="5"/>
        <v/>
      </c>
      <c r="AQ44" s="286" t="s">
        <v>23</v>
      </c>
      <c r="AR44" s="286" t="s">
        <v>16</v>
      </c>
      <c r="AS44" s="286">
        <v>19</v>
      </c>
      <c r="AT44" s="286" t="s">
        <v>323</v>
      </c>
      <c r="AV44" s="234">
        <f t="shared" si="21"/>
        <v>12</v>
      </c>
      <c r="AW44" s="234">
        <f>COUNTIF( AV$7:AV44, AV44 )</f>
        <v>9</v>
      </c>
      <c r="AX44" s="287">
        <f t="shared" si="22"/>
        <v>12.9</v>
      </c>
      <c r="AY44" s="234">
        <f t="shared" si="23"/>
        <v>20</v>
      </c>
      <c r="AZ44" s="236"/>
      <c r="BA44" s="236"/>
      <c r="BC44" s="234">
        <f t="shared" ca="1" si="24"/>
        <v>38</v>
      </c>
      <c r="BD44" s="288">
        <f t="shared" ca="1" si="7"/>
        <v>45</v>
      </c>
      <c r="BF44" s="240" t="str">
        <f t="shared" ca="1" si="25"/>
        <v>Public Service Enterprise Group Incorporated</v>
      </c>
      <c r="BG44" s="240" t="str">
        <f t="shared" ca="1" si="9"/>
        <v>BBB</v>
      </c>
      <c r="BH44" s="240">
        <f t="shared" ca="1" si="9"/>
        <v>18</v>
      </c>
      <c r="BI44" s="240" t="str">
        <f t="shared" ca="1" si="9"/>
        <v>PEG</v>
      </c>
    </row>
    <row r="45" spans="1:61" x14ac:dyDescent="0.2">
      <c r="A45" s="303" t="s">
        <v>75</v>
      </c>
      <c r="B45" s="304" t="s">
        <v>28</v>
      </c>
      <c r="C45" s="304">
        <v>18</v>
      </c>
      <c r="D45" s="304" t="s">
        <v>332</v>
      </c>
      <c r="E45" s="305" t="str">
        <f t="shared" ca="1" si="0"/>
        <v>R</v>
      </c>
      <c r="F45" s="306"/>
      <c r="G45" s="307">
        <f t="shared" ca="1" si="1"/>
        <v>55</v>
      </c>
      <c r="H45" s="250"/>
      <c r="I45" s="321"/>
      <c r="J45" s="262"/>
      <c r="K45" s="321"/>
      <c r="L45" s="235"/>
      <c r="M45" s="235"/>
      <c r="N45" s="321"/>
      <c r="Q45" s="321"/>
      <c r="T45" s="321"/>
      <c r="W45" s="321"/>
      <c r="AF45" s="236">
        <f t="shared" si="2"/>
        <v>1</v>
      </c>
      <c r="AG45" s="236" t="str">
        <f t="shared" ca="1" si="3"/>
        <v/>
      </c>
      <c r="AH45" s="236" t="str">
        <f t="shared" ca="1" si="19"/>
        <v/>
      </c>
      <c r="AJ45" s="236">
        <f t="shared" ca="1" si="4"/>
        <v>45</v>
      </c>
      <c r="AK45" s="236" t="str">
        <f t="shared" ca="1" si="20"/>
        <v>BBB</v>
      </c>
      <c r="AL45" s="236">
        <f t="shared" ca="1" si="20"/>
        <v>18</v>
      </c>
      <c r="AM45" s="236" t="str">
        <f t="shared" ca="1" si="5"/>
        <v/>
      </c>
      <c r="AQ45" s="286" t="s">
        <v>53</v>
      </c>
      <c r="AR45" s="286" t="s">
        <v>28</v>
      </c>
      <c r="AS45" s="286">
        <v>18</v>
      </c>
      <c r="AT45" s="286" t="s">
        <v>318</v>
      </c>
      <c r="AV45" s="234">
        <f t="shared" si="21"/>
        <v>25</v>
      </c>
      <c r="AW45" s="234">
        <f>COUNTIF( AV$7:AV45, AV45 )</f>
        <v>10</v>
      </c>
      <c r="AX45" s="287">
        <f t="shared" si="22"/>
        <v>26</v>
      </c>
      <c r="AY45" s="234">
        <f t="shared" si="23"/>
        <v>34</v>
      </c>
      <c r="AZ45" s="236"/>
      <c r="BA45" s="236"/>
      <c r="BC45" s="234">
        <f t="shared" ca="1" si="24"/>
        <v>39</v>
      </c>
      <c r="BD45" s="288">
        <f t="shared" ca="1" si="7"/>
        <v>51</v>
      </c>
      <c r="BF45" s="240" t="str">
        <f t="shared" ca="1" si="25"/>
        <v>UIL Holdings Corporation</v>
      </c>
      <c r="BG45" s="240" t="str">
        <f t="shared" ca="1" si="9"/>
        <v>BBB</v>
      </c>
      <c r="BH45" s="240">
        <f t="shared" ca="1" si="9"/>
        <v>18</v>
      </c>
      <c r="BI45" s="240" t="str">
        <f t="shared" ca="1" si="9"/>
        <v>UIL</v>
      </c>
    </row>
    <row r="46" spans="1:61" x14ac:dyDescent="0.2">
      <c r="A46" s="303" t="s">
        <v>59</v>
      </c>
      <c r="B46" s="304" t="s">
        <v>28</v>
      </c>
      <c r="C46" s="304">
        <v>18</v>
      </c>
      <c r="D46" s="304" t="s">
        <v>337</v>
      </c>
      <c r="E46" s="305" t="str">
        <f t="shared" ca="1" si="0"/>
        <v>R</v>
      </c>
      <c r="F46" s="306"/>
      <c r="G46" s="307">
        <f t="shared" ca="1" si="1"/>
        <v>59</v>
      </c>
      <c r="H46" s="250"/>
      <c r="I46" s="262"/>
      <c r="K46" s="262"/>
      <c r="N46" s="257"/>
      <c r="W46" s="262"/>
      <c r="AF46" s="236">
        <f t="shared" si="2"/>
        <v>1</v>
      </c>
      <c r="AG46" s="236" t="str">
        <f t="shared" ca="1" si="3"/>
        <v/>
      </c>
      <c r="AH46" s="236" t="str">
        <f t="shared" ca="1" si="19"/>
        <v/>
      </c>
      <c r="AJ46" s="236">
        <f t="shared" ca="1" si="4"/>
        <v>46</v>
      </c>
      <c r="AK46" s="236" t="str">
        <f t="shared" ca="1" si="20"/>
        <v>BBB</v>
      </c>
      <c r="AL46" s="236">
        <f t="shared" ca="1" si="20"/>
        <v>18</v>
      </c>
      <c r="AM46" s="236" t="str">
        <f t="shared" ca="1" si="5"/>
        <v/>
      </c>
      <c r="AQ46" s="286" t="s">
        <v>41</v>
      </c>
      <c r="AR46" s="286" t="s">
        <v>28</v>
      </c>
      <c r="AS46" s="286">
        <v>18</v>
      </c>
      <c r="AT46" s="286" t="s">
        <v>322</v>
      </c>
      <c r="AV46" s="234">
        <f t="shared" si="21"/>
        <v>25</v>
      </c>
      <c r="AW46" s="234">
        <f>COUNTIF( AV$7:AV46, AV46 )</f>
        <v>11</v>
      </c>
      <c r="AX46" s="287">
        <f t="shared" si="22"/>
        <v>26.1</v>
      </c>
      <c r="AY46" s="234">
        <f t="shared" si="23"/>
        <v>35</v>
      </c>
      <c r="AZ46" s="236"/>
      <c r="BA46" s="236"/>
      <c r="BC46" s="234">
        <f t="shared" ca="1" si="24"/>
        <v>40</v>
      </c>
      <c r="BD46" s="288">
        <f t="shared" ca="1" si="7"/>
        <v>53</v>
      </c>
      <c r="BF46" s="240" t="str">
        <f t="shared" ca="1" si="25"/>
        <v>Westar Energy, Inc.</v>
      </c>
      <c r="BG46" s="240" t="str">
        <f t="shared" ca="1" si="9"/>
        <v>BBB</v>
      </c>
      <c r="BH46" s="240">
        <f t="shared" ca="1" si="9"/>
        <v>18</v>
      </c>
      <c r="BI46" s="240" t="str">
        <f t="shared" ca="1" si="9"/>
        <v>WR</v>
      </c>
    </row>
    <row r="47" spans="1:61" x14ac:dyDescent="0.2">
      <c r="A47" s="303" t="s">
        <v>9</v>
      </c>
      <c r="B47" s="304" t="s">
        <v>49</v>
      </c>
      <c r="C47" s="304">
        <v>17</v>
      </c>
      <c r="D47" s="304" t="s">
        <v>274</v>
      </c>
      <c r="E47" s="305" t="str">
        <f t="shared" ca="1" si="0"/>
        <v>R</v>
      </c>
      <c r="F47" s="306"/>
      <c r="G47" s="307">
        <f t="shared" ca="1" si="1"/>
        <v>9</v>
      </c>
      <c r="H47" s="250"/>
      <c r="I47" s="250"/>
      <c r="J47" s="258" t="s">
        <v>268</v>
      </c>
      <c r="K47" s="262"/>
      <c r="M47" s="253"/>
      <c r="N47" s="253"/>
      <c r="AF47" s="236">
        <f t="shared" si="2"/>
        <v>0</v>
      </c>
      <c r="AG47" s="236" t="str">
        <f t="shared" ca="1" si="3"/>
        <v/>
      </c>
      <c r="AH47" s="236" t="str">
        <f t="shared" ca="1" si="19"/>
        <v/>
      </c>
      <c r="AJ47" s="236">
        <f t="shared" ca="1" si="4"/>
        <v>47</v>
      </c>
      <c r="AK47" s="236" t="str">
        <f t="shared" ca="1" si="20"/>
        <v>BBB-</v>
      </c>
      <c r="AL47" s="236">
        <f t="shared" ca="1" si="20"/>
        <v>17</v>
      </c>
      <c r="AM47" s="236" t="str">
        <f t="shared" ca="1" si="5"/>
        <v/>
      </c>
      <c r="AQ47" s="286" t="s">
        <v>42</v>
      </c>
      <c r="AR47" s="286" t="s">
        <v>61</v>
      </c>
      <c r="AS47" s="286">
        <v>15</v>
      </c>
      <c r="AT47" s="286" t="s">
        <v>321</v>
      </c>
      <c r="AV47" s="234">
        <f t="shared" si="21"/>
        <v>54</v>
      </c>
      <c r="AW47" s="234">
        <f>COUNTIF( AV$7:AV47, AV47 )</f>
        <v>1</v>
      </c>
      <c r="AX47" s="287">
        <f t="shared" si="22"/>
        <v>54.1</v>
      </c>
      <c r="AY47" s="234">
        <f t="shared" si="23"/>
        <v>54</v>
      </c>
      <c r="AZ47" s="236"/>
      <c r="BA47" s="236"/>
      <c r="BC47" s="234">
        <f t="shared" ca="1" si="24"/>
        <v>41</v>
      </c>
      <c r="BD47" s="288">
        <f t="shared" ca="1" si="7"/>
        <v>3</v>
      </c>
      <c r="BF47" s="240" t="str">
        <f t="shared" ca="1" si="25"/>
        <v>Ameren Corporation</v>
      </c>
      <c r="BG47" s="240" t="str">
        <f t="shared" ca="1" si="9"/>
        <v>BBB-</v>
      </c>
      <c r="BH47" s="240">
        <f t="shared" ca="1" si="9"/>
        <v>17</v>
      </c>
      <c r="BI47" s="240" t="str">
        <f t="shared" ca="1" si="9"/>
        <v>AEE</v>
      </c>
    </row>
    <row r="48" spans="1:61" x14ac:dyDescent="0.2">
      <c r="A48" s="303" t="s">
        <v>48</v>
      </c>
      <c r="B48" s="304" t="s">
        <v>49</v>
      </c>
      <c r="C48" s="304">
        <v>17</v>
      </c>
      <c r="D48" s="304" t="s">
        <v>280</v>
      </c>
      <c r="E48" s="305" t="str">
        <f t="shared" ca="1" si="0"/>
        <v>MR</v>
      </c>
      <c r="F48" s="306"/>
      <c r="G48" s="307">
        <f t="shared" ca="1" si="1"/>
        <v>12</v>
      </c>
      <c r="H48" s="250"/>
      <c r="I48" s="250"/>
      <c r="K48" s="262"/>
      <c r="M48" s="253"/>
      <c r="N48" s="253"/>
      <c r="AF48" s="236">
        <f t="shared" si="2"/>
        <v>0</v>
      </c>
      <c r="AG48" s="236" t="str">
        <f t="shared" ca="1" si="3"/>
        <v/>
      </c>
      <c r="AH48" s="236" t="str">
        <f t="shared" ca="1" si="19"/>
        <v/>
      </c>
      <c r="AJ48" s="236">
        <f t="shared" ca="1" si="4"/>
        <v>48</v>
      </c>
      <c r="AK48" s="236" t="str">
        <f t="shared" ca="1" si="20"/>
        <v>BBB-</v>
      </c>
      <c r="AL48" s="236">
        <f t="shared" ca="1" si="20"/>
        <v>17</v>
      </c>
      <c r="AM48" s="236" t="str">
        <f t="shared" ca="1" si="5"/>
        <v/>
      </c>
      <c r="AQ48" s="286" t="s">
        <v>24</v>
      </c>
      <c r="AR48" s="286" t="s">
        <v>28</v>
      </c>
      <c r="AS48" s="286">
        <v>18</v>
      </c>
      <c r="AT48" s="286" t="s">
        <v>324</v>
      </c>
      <c r="AV48" s="234">
        <f t="shared" si="21"/>
        <v>25</v>
      </c>
      <c r="AW48" s="234">
        <f>COUNTIF( AV$7:AV48, AV48 )</f>
        <v>12</v>
      </c>
      <c r="AX48" s="287">
        <f t="shared" si="22"/>
        <v>26.2</v>
      </c>
      <c r="AY48" s="234">
        <f t="shared" si="23"/>
        <v>36</v>
      </c>
      <c r="AZ48" s="236"/>
      <c r="BA48" s="236"/>
      <c r="BC48" s="234">
        <f t="shared" ca="1" si="24"/>
        <v>42</v>
      </c>
      <c r="BD48" s="288">
        <f t="shared" ca="1" si="7"/>
        <v>6</v>
      </c>
      <c r="BF48" s="240" t="str">
        <f t="shared" ca="1" si="25"/>
        <v>Black Hills Corporation</v>
      </c>
      <c r="BG48" s="240" t="str">
        <f t="shared" ca="1" si="9"/>
        <v>BBB-</v>
      </c>
      <c r="BH48" s="240">
        <f t="shared" ca="1" si="9"/>
        <v>17</v>
      </c>
      <c r="BI48" s="240" t="str">
        <f t="shared" ca="1" si="9"/>
        <v>BKH</v>
      </c>
    </row>
    <row r="49" spans="1:61" x14ac:dyDescent="0.2">
      <c r="A49" s="303" t="s">
        <v>60</v>
      </c>
      <c r="B49" s="304" t="s">
        <v>49</v>
      </c>
      <c r="C49" s="304">
        <v>17</v>
      </c>
      <c r="D49" s="304" t="s">
        <v>284</v>
      </c>
      <c r="E49" s="305" t="str">
        <f t="shared" ca="1" si="0"/>
        <v>R</v>
      </c>
      <c r="F49" s="306"/>
      <c r="G49" s="307">
        <f t="shared" ca="1" si="1"/>
        <v>17</v>
      </c>
      <c r="H49" s="250"/>
      <c r="I49" s="250"/>
      <c r="J49" s="262"/>
      <c r="K49" s="262"/>
      <c r="M49" s="253"/>
      <c r="N49" s="253"/>
      <c r="AF49" s="236">
        <f t="shared" si="2"/>
        <v>0</v>
      </c>
      <c r="AG49" s="236" t="str">
        <f t="shared" ca="1" si="3"/>
        <v/>
      </c>
      <c r="AH49" s="236" t="str">
        <f t="shared" ca="1" si="19"/>
        <v/>
      </c>
      <c r="AJ49" s="236">
        <f t="shared" ca="1" si="4"/>
        <v>49</v>
      </c>
      <c r="AK49" s="236" t="str">
        <f t="shared" ca="1" si="20"/>
        <v>BBB-</v>
      </c>
      <c r="AL49" s="236">
        <f t="shared" ca="1" si="20"/>
        <v>17</v>
      </c>
      <c r="AM49" s="236" t="str">
        <f t="shared" ca="1" si="5"/>
        <v/>
      </c>
      <c r="AQ49" s="286" t="s">
        <v>43</v>
      </c>
      <c r="AR49" s="286" t="s">
        <v>28</v>
      </c>
      <c r="AS49" s="286">
        <v>18</v>
      </c>
      <c r="AT49" s="286" t="s">
        <v>325</v>
      </c>
      <c r="AV49" s="234">
        <f t="shared" si="21"/>
        <v>25</v>
      </c>
      <c r="AW49" s="234">
        <f>COUNTIF( AV$7:AV49, AV49 )</f>
        <v>13</v>
      </c>
      <c r="AX49" s="287">
        <f t="shared" si="22"/>
        <v>26.3</v>
      </c>
      <c r="AY49" s="234">
        <f t="shared" si="23"/>
        <v>37</v>
      </c>
      <c r="AZ49" s="236"/>
      <c r="BA49" s="236"/>
      <c r="BC49" s="234">
        <f t="shared" ca="1" si="24"/>
        <v>43</v>
      </c>
      <c r="BD49" s="288">
        <f t="shared" ca="1" si="7"/>
        <v>9</v>
      </c>
      <c r="BF49" s="240" t="str">
        <f t="shared" ca="1" si="25"/>
        <v>CMS Energy Corporation</v>
      </c>
      <c r="BG49" s="240" t="str">
        <f t="shared" ca="1" si="9"/>
        <v>BBB-</v>
      </c>
      <c r="BH49" s="240">
        <f t="shared" ca="1" si="9"/>
        <v>17</v>
      </c>
      <c r="BI49" s="240" t="str">
        <f t="shared" ca="1" si="9"/>
        <v>CMS</v>
      </c>
    </row>
    <row r="50" spans="1:61" x14ac:dyDescent="0.2">
      <c r="A50" s="303" t="s">
        <v>64</v>
      </c>
      <c r="B50" s="304" t="s">
        <v>49</v>
      </c>
      <c r="C50" s="304">
        <v>17</v>
      </c>
      <c r="D50" s="304" t="s">
        <v>443</v>
      </c>
      <c r="E50" s="305" t="str">
        <f t="shared" ca="1" si="0"/>
        <v>R</v>
      </c>
      <c r="F50" s="306"/>
      <c r="G50" s="307">
        <f t="shared" ca="1" si="1"/>
        <v>63</v>
      </c>
      <c r="H50" s="250"/>
      <c r="I50" s="250"/>
      <c r="J50" s="262"/>
      <c r="K50" s="262"/>
      <c r="L50" s="235"/>
      <c r="M50" s="257"/>
      <c r="N50" s="257"/>
      <c r="AF50" s="236">
        <f t="shared" si="2"/>
        <v>0</v>
      </c>
      <c r="AG50" s="236" t="str">
        <f t="shared" ca="1" si="3"/>
        <v/>
      </c>
      <c r="AH50" s="236" t="str">
        <f t="shared" ca="1" si="19"/>
        <v/>
      </c>
      <c r="AJ50" s="236">
        <f t="shared" ca="1" si="4"/>
        <v>51</v>
      </c>
      <c r="AK50" s="236" t="str">
        <f t="shared" ca="1" si="20"/>
        <v>BBB-</v>
      </c>
      <c r="AL50" s="236">
        <f t="shared" ca="1" si="20"/>
        <v>17</v>
      </c>
      <c r="AM50" s="236" t="str">
        <f t="shared" ca="1" si="5"/>
        <v/>
      </c>
      <c r="AQ50" s="286" t="s">
        <v>257</v>
      </c>
      <c r="AR50" s="286" t="s">
        <v>16</v>
      </c>
      <c r="AS50" s="286">
        <v>19</v>
      </c>
      <c r="AT50" s="286" t="s">
        <v>320</v>
      </c>
      <c r="AV50" s="234">
        <f t="shared" si="21"/>
        <v>12</v>
      </c>
      <c r="AW50" s="234">
        <f>COUNTIF( AV$7:AV50, AV50 )</f>
        <v>10</v>
      </c>
      <c r="AX50" s="287">
        <f t="shared" si="22"/>
        <v>13</v>
      </c>
      <c r="AY50" s="234">
        <f t="shared" si="23"/>
        <v>21</v>
      </c>
      <c r="AZ50" s="236"/>
      <c r="BA50" s="236"/>
      <c r="BC50" s="234">
        <f t="shared" ca="1" si="24"/>
        <v>44</v>
      </c>
      <c r="BD50" s="288">
        <f t="shared" ca="1" si="7"/>
        <v>12</v>
      </c>
      <c r="BF50" s="240" t="str">
        <f t="shared" ca="1" si="25"/>
        <v>DPL Inc.</v>
      </c>
      <c r="BG50" s="240" t="str">
        <f t="shared" ca="1" si="9"/>
        <v>BBB-</v>
      </c>
      <c r="BH50" s="240">
        <f t="shared" ca="1" si="9"/>
        <v>17</v>
      </c>
      <c r="BI50" s="240" t="str">
        <f t="shared" ca="1" si="9"/>
        <v>**DPL</v>
      </c>
    </row>
    <row r="51" spans="1:61" x14ac:dyDescent="0.2">
      <c r="A51" s="303" t="s">
        <v>57</v>
      </c>
      <c r="B51" s="304" t="s">
        <v>49</v>
      </c>
      <c r="C51" s="304">
        <v>17</v>
      </c>
      <c r="D51" s="304" t="s">
        <v>296</v>
      </c>
      <c r="E51" s="305" t="str">
        <f t="shared" ca="1" si="0"/>
        <v>MR</v>
      </c>
      <c r="F51" s="306"/>
      <c r="G51" s="307">
        <f t="shared" ca="1" si="1"/>
        <v>23</v>
      </c>
      <c r="H51" s="250"/>
      <c r="I51" s="250"/>
      <c r="J51" s="262"/>
      <c r="K51" s="262"/>
      <c r="L51" s="235"/>
      <c r="M51" s="257"/>
      <c r="N51" s="257"/>
      <c r="AF51" s="236">
        <f t="shared" si="2"/>
        <v>0</v>
      </c>
      <c r="AG51" s="236" t="str">
        <f t="shared" ca="1" si="3"/>
        <v/>
      </c>
      <c r="AH51" s="236" t="str">
        <f t="shared" ca="1" si="19"/>
        <v/>
      </c>
      <c r="AJ51" s="236">
        <f t="shared" ca="1" si="4"/>
        <v>52</v>
      </c>
      <c r="AK51" s="236" t="str">
        <f t="shared" ca="1" si="20"/>
        <v>BBB-</v>
      </c>
      <c r="AL51" s="236">
        <f t="shared" ca="1" si="20"/>
        <v>17</v>
      </c>
      <c r="AM51" s="236" t="str">
        <f t="shared" ca="1" si="5"/>
        <v/>
      </c>
      <c r="AQ51" s="286" t="s">
        <v>45</v>
      </c>
      <c r="AR51" s="286" t="s">
        <v>28</v>
      </c>
      <c r="AS51" s="286">
        <v>18</v>
      </c>
      <c r="AT51" s="289" t="s">
        <v>319</v>
      </c>
      <c r="AV51" s="234">
        <f t="shared" si="21"/>
        <v>25</v>
      </c>
      <c r="AW51" s="234">
        <f>COUNTIF( AV$7:AV51, AV51 )</f>
        <v>14</v>
      </c>
      <c r="AX51" s="287">
        <f t="shared" si="22"/>
        <v>26.4</v>
      </c>
      <c r="AY51" s="234">
        <f t="shared" si="23"/>
        <v>38</v>
      </c>
      <c r="AZ51" s="236"/>
      <c r="BA51" s="236"/>
      <c r="BC51" s="234">
        <f t="shared" ca="1" si="24"/>
        <v>45</v>
      </c>
      <c r="BD51" s="288">
        <f t="shared" ca="1" si="7"/>
        <v>15</v>
      </c>
      <c r="BF51" s="240" t="str">
        <f t="shared" ca="1" si="25"/>
        <v>Edison International</v>
      </c>
      <c r="BG51" s="240" t="str">
        <f t="shared" ca="1" si="9"/>
        <v>BBB-</v>
      </c>
      <c r="BH51" s="240">
        <f t="shared" ca="1" si="9"/>
        <v>17</v>
      </c>
      <c r="BI51" s="240" t="str">
        <f t="shared" ca="1" si="9"/>
        <v>EIX</v>
      </c>
    </row>
    <row r="52" spans="1:61" x14ac:dyDescent="0.2">
      <c r="A52" s="303" t="s">
        <v>35</v>
      </c>
      <c r="B52" s="304" t="s">
        <v>49</v>
      </c>
      <c r="C52" s="304">
        <v>17</v>
      </c>
      <c r="D52" s="304" t="s">
        <v>293</v>
      </c>
      <c r="E52" s="305" t="str">
        <f t="shared" ca="1" si="0"/>
        <v>R</v>
      </c>
      <c r="F52" s="306"/>
      <c r="G52" s="307">
        <f t="shared" ca="1" si="1"/>
        <v>25</v>
      </c>
      <c r="H52" s="250"/>
      <c r="I52" s="250"/>
      <c r="J52" s="262"/>
      <c r="K52" s="262"/>
      <c r="AF52" s="236">
        <f t="shared" si="2"/>
        <v>0</v>
      </c>
      <c r="AG52" s="236" t="str">
        <f t="shared" ca="1" si="3"/>
        <v/>
      </c>
      <c r="AH52" s="236" t="str">
        <f t="shared" ca="1" si="19"/>
        <v/>
      </c>
      <c r="AJ52" s="236">
        <f t="shared" ca="1" si="4"/>
        <v>53</v>
      </c>
      <c r="AK52" s="236" t="str">
        <f t="shared" ca="1" si="20"/>
        <v>BBB-</v>
      </c>
      <c r="AL52" s="236">
        <f t="shared" ca="1" si="20"/>
        <v>17</v>
      </c>
      <c r="AM52" s="236" t="str">
        <f t="shared" ca="1" si="5"/>
        <v/>
      </c>
      <c r="AQ52" s="286" t="s">
        <v>54</v>
      </c>
      <c r="AR52" s="286" t="s">
        <v>56</v>
      </c>
      <c r="AS52" s="286">
        <v>16</v>
      </c>
      <c r="AT52" s="286" t="s">
        <v>449</v>
      </c>
      <c r="AV52" s="234">
        <f t="shared" si="21"/>
        <v>52</v>
      </c>
      <c r="AW52" s="234">
        <f>COUNTIF( AV$7:AV52, AV52 )</f>
        <v>2</v>
      </c>
      <c r="AX52" s="287">
        <f t="shared" si="22"/>
        <v>52.2</v>
      </c>
      <c r="AY52" s="234">
        <f t="shared" si="23"/>
        <v>53</v>
      </c>
      <c r="AZ52" s="236"/>
      <c r="BA52" s="236"/>
      <c r="BC52" s="234">
        <f t="shared" ca="1" si="24"/>
        <v>46</v>
      </c>
      <c r="BD52" s="288">
        <f t="shared" ca="1" si="7"/>
        <v>17</v>
      </c>
      <c r="BF52" s="240" t="str">
        <f t="shared" ca="1" si="25"/>
        <v>Empire District Electric Company</v>
      </c>
      <c r="BG52" s="240" t="str">
        <f t="shared" ca="1" si="9"/>
        <v>BBB-</v>
      </c>
      <c r="BH52" s="240">
        <f t="shared" ca="1" si="9"/>
        <v>17</v>
      </c>
      <c r="BI52" s="240" t="str">
        <f t="shared" ca="1" si="9"/>
        <v>EDE</v>
      </c>
    </row>
    <row r="53" spans="1:61" x14ac:dyDescent="0.2">
      <c r="A53" s="303" t="s">
        <v>51</v>
      </c>
      <c r="B53" s="304" t="s">
        <v>49</v>
      </c>
      <c r="C53" s="304">
        <v>17</v>
      </c>
      <c r="D53" s="304" t="s">
        <v>299</v>
      </c>
      <c r="E53" s="305" t="str">
        <f t="shared" ca="1" si="0"/>
        <v>MR</v>
      </c>
      <c r="F53" s="306"/>
      <c r="G53" s="307">
        <f t="shared" ca="1" si="1"/>
        <v>28</v>
      </c>
      <c r="H53" s="250"/>
      <c r="I53" s="250"/>
      <c r="J53" s="262"/>
      <c r="K53" s="262"/>
      <c r="AF53" s="236">
        <f t="shared" si="2"/>
        <v>0</v>
      </c>
      <c r="AG53" s="236" t="str">
        <f t="shared" ca="1" si="3"/>
        <v/>
      </c>
      <c r="AH53" s="236" t="str">
        <f t="shared" ca="1" si="19"/>
        <v/>
      </c>
      <c r="AJ53" s="236">
        <f t="shared" ca="1" si="4"/>
        <v>54</v>
      </c>
      <c r="AK53" s="236" t="str">
        <f t="shared" ca="1" si="20"/>
        <v>BBB-</v>
      </c>
      <c r="AL53" s="236">
        <f t="shared" ca="1" si="20"/>
        <v>17</v>
      </c>
      <c r="AM53" s="236" t="str">
        <f t="shared" ca="1" si="5"/>
        <v/>
      </c>
      <c r="AQ53" s="286" t="s">
        <v>13</v>
      </c>
      <c r="AR53" s="286" t="s">
        <v>16</v>
      </c>
      <c r="AS53" s="286">
        <v>19</v>
      </c>
      <c r="AT53" s="286" t="s">
        <v>327</v>
      </c>
      <c r="AV53" s="234">
        <f t="shared" si="21"/>
        <v>12</v>
      </c>
      <c r="AW53" s="234">
        <f>COUNTIF( AV$7:AV53, AV53 )</f>
        <v>11</v>
      </c>
      <c r="AX53" s="287">
        <f t="shared" si="22"/>
        <v>13.1</v>
      </c>
      <c r="AY53" s="234">
        <f t="shared" si="23"/>
        <v>22</v>
      </c>
      <c r="AZ53" s="236"/>
      <c r="BA53" s="236"/>
      <c r="BC53" s="234">
        <f t="shared" ca="1" si="24"/>
        <v>47</v>
      </c>
      <c r="BD53" s="288">
        <f t="shared" ca="1" si="7"/>
        <v>21</v>
      </c>
      <c r="BF53" s="240" t="str">
        <f t="shared" ca="1" si="25"/>
        <v>FirstEnergy Corp.</v>
      </c>
      <c r="BG53" s="240" t="str">
        <f t="shared" ca="1" si="9"/>
        <v>BBB-</v>
      </c>
      <c r="BH53" s="240">
        <f t="shared" ca="1" si="9"/>
        <v>17</v>
      </c>
      <c r="BI53" s="240" t="str">
        <f t="shared" ca="1" si="9"/>
        <v>FE</v>
      </c>
    </row>
    <row r="54" spans="1:61" x14ac:dyDescent="0.2">
      <c r="A54" s="303" t="s">
        <v>39</v>
      </c>
      <c r="B54" s="304" t="s">
        <v>49</v>
      </c>
      <c r="C54" s="304">
        <v>17</v>
      </c>
      <c r="D54" s="304" t="s">
        <v>302</v>
      </c>
      <c r="E54" s="305" t="str">
        <f t="shared" ca="1" si="0"/>
        <v>D</v>
      </c>
      <c r="F54" s="306"/>
      <c r="G54" s="307">
        <f t="shared" ca="1" si="1"/>
        <v>30</v>
      </c>
      <c r="H54" s="250"/>
      <c r="I54" s="250"/>
      <c r="J54" s="262"/>
      <c r="K54" s="262"/>
      <c r="AF54" s="236">
        <f t="shared" si="2"/>
        <v>0</v>
      </c>
      <c r="AG54" s="236" t="str">
        <f t="shared" ca="1" si="3"/>
        <v/>
      </c>
      <c r="AH54" s="236" t="str">
        <f t="shared" ca="1" si="19"/>
        <v/>
      </c>
      <c r="AJ54" s="236">
        <f t="shared" ca="1" si="4"/>
        <v>55</v>
      </c>
      <c r="AK54" s="236" t="str">
        <f t="shared" ca="1" si="20"/>
        <v>BBB-</v>
      </c>
      <c r="AL54" s="236">
        <f t="shared" ca="1" si="20"/>
        <v>17</v>
      </c>
      <c r="AM54" s="236" t="str">
        <f t="shared" ca="1" si="5"/>
        <v/>
      </c>
      <c r="AQ54" s="286" t="s">
        <v>25</v>
      </c>
      <c r="AR54" s="286" t="s">
        <v>16</v>
      </c>
      <c r="AS54" s="286">
        <v>19</v>
      </c>
      <c r="AT54" s="286" t="s">
        <v>329</v>
      </c>
      <c r="AV54" s="234">
        <f t="shared" si="21"/>
        <v>12</v>
      </c>
      <c r="AW54" s="234">
        <f>COUNTIF( AV$7:AV54, AV54 )</f>
        <v>12</v>
      </c>
      <c r="AX54" s="287">
        <f t="shared" si="22"/>
        <v>13.2</v>
      </c>
      <c r="AY54" s="234">
        <f t="shared" si="23"/>
        <v>23</v>
      </c>
      <c r="AZ54" s="236"/>
      <c r="BA54" s="236"/>
      <c r="BC54" s="234">
        <f t="shared" ca="1" si="24"/>
        <v>48</v>
      </c>
      <c r="BD54" s="288">
        <f t="shared" ca="1" si="7"/>
        <v>23</v>
      </c>
      <c r="BF54" s="240" t="str">
        <f t="shared" ca="1" si="25"/>
        <v>Hawaiian Electric Industries, Inc.</v>
      </c>
      <c r="BG54" s="240" t="str">
        <f t="shared" ca="1" si="9"/>
        <v>BBB-</v>
      </c>
      <c r="BH54" s="240">
        <f t="shared" ca="1" si="9"/>
        <v>17</v>
      </c>
      <c r="BI54" s="240" t="str">
        <f t="shared" ca="1" si="9"/>
        <v>HE</v>
      </c>
    </row>
    <row r="55" spans="1:61" x14ac:dyDescent="0.2">
      <c r="A55" s="303" t="s">
        <v>58</v>
      </c>
      <c r="B55" s="304" t="s">
        <v>49</v>
      </c>
      <c r="C55" s="304">
        <v>17</v>
      </c>
      <c r="D55" s="304" t="s">
        <v>446</v>
      </c>
      <c r="E55" s="305" t="str">
        <f t="shared" ca="1" si="0"/>
        <v>R</v>
      </c>
      <c r="F55" s="306"/>
      <c r="G55" s="307">
        <f t="shared" ca="1" si="1"/>
        <v>66</v>
      </c>
      <c r="H55" s="250"/>
      <c r="I55" s="250"/>
      <c r="J55" s="262"/>
      <c r="K55" s="262"/>
      <c r="AF55" s="236">
        <f t="shared" si="2"/>
        <v>0</v>
      </c>
      <c r="AG55" s="236" t="str">
        <f t="shared" ca="1" si="3"/>
        <v/>
      </c>
      <c r="AH55" s="236" t="str">
        <f t="shared" ca="1" si="19"/>
        <v/>
      </c>
      <c r="AJ55" s="236">
        <f t="shared" ca="1" si="4"/>
        <v>56</v>
      </c>
      <c r="AK55" s="236" t="str">
        <f t="shared" ca="1" si="20"/>
        <v>BBB-</v>
      </c>
      <c r="AL55" s="236">
        <f t="shared" ca="1" si="20"/>
        <v>17</v>
      </c>
      <c r="AM55" s="236" t="str">
        <f t="shared" ca="1" si="5"/>
        <v/>
      </c>
      <c r="AQ55" s="286" t="s">
        <v>7</v>
      </c>
      <c r="AR55" s="286" t="s">
        <v>2</v>
      </c>
      <c r="AS55" s="286">
        <v>21</v>
      </c>
      <c r="AT55" s="289" t="s">
        <v>328</v>
      </c>
      <c r="AV55" s="234">
        <f t="shared" si="21"/>
        <v>2</v>
      </c>
      <c r="AW55" s="234">
        <f>COUNTIF( AV$7:AV55, AV55 )</f>
        <v>1</v>
      </c>
      <c r="AX55" s="287">
        <f t="shared" si="22"/>
        <v>2.1</v>
      </c>
      <c r="AY55" s="234">
        <f t="shared" si="23"/>
        <v>2</v>
      </c>
      <c r="AZ55" s="236"/>
      <c r="BA55" s="236"/>
      <c r="BC55" s="234">
        <f t="shared" ca="1" si="24"/>
        <v>49</v>
      </c>
      <c r="BD55" s="288">
        <f t="shared" ca="1" si="7"/>
        <v>27</v>
      </c>
      <c r="BF55" s="240" t="str">
        <f t="shared" ca="1" si="25"/>
        <v>IPALCO Enterprises, Inc.</v>
      </c>
      <c r="BG55" s="240" t="str">
        <f t="shared" ca="1" si="9"/>
        <v>BBB-</v>
      </c>
      <c r="BH55" s="240">
        <f t="shared" ca="1" si="9"/>
        <v>17</v>
      </c>
      <c r="BI55" s="240" t="str">
        <f t="shared" ca="1" si="9"/>
        <v>**IPALCO</v>
      </c>
    </row>
    <row r="56" spans="1:61" x14ac:dyDescent="0.2">
      <c r="A56" s="303" t="s">
        <v>40</v>
      </c>
      <c r="B56" s="304" t="s">
        <v>49</v>
      </c>
      <c r="C56" s="304">
        <v>17</v>
      </c>
      <c r="D56" s="304" t="s">
        <v>311</v>
      </c>
      <c r="E56" s="305" t="str">
        <f t="shared" ca="1" si="0"/>
        <v>MR</v>
      </c>
      <c r="F56" s="306"/>
      <c r="G56" s="307">
        <f t="shared" ca="1" si="1"/>
        <v>36</v>
      </c>
      <c r="H56" s="250"/>
      <c r="I56" s="250"/>
      <c r="J56" s="262"/>
      <c r="K56" s="262"/>
      <c r="AF56" s="236">
        <f t="shared" si="2"/>
        <v>0</v>
      </c>
      <c r="AG56" s="236" t="str">
        <f t="shared" ca="1" si="3"/>
        <v/>
      </c>
      <c r="AH56" s="236" t="str">
        <f t="shared" ca="1" si="19"/>
        <v/>
      </c>
      <c r="AJ56" s="236">
        <f t="shared" ca="1" si="4"/>
        <v>57</v>
      </c>
      <c r="AK56" s="236" t="str">
        <f t="shared" ca="1" si="20"/>
        <v>BBB-</v>
      </c>
      <c r="AL56" s="236">
        <f t="shared" ca="1" si="20"/>
        <v>17</v>
      </c>
      <c r="AM56" s="236" t="str">
        <f t="shared" ca="1" si="5"/>
        <v/>
      </c>
      <c r="AQ56" s="286" t="s">
        <v>62</v>
      </c>
      <c r="AR56" s="286" t="s">
        <v>16</v>
      </c>
      <c r="AS56" s="286">
        <v>19</v>
      </c>
      <c r="AT56" s="286" t="s">
        <v>330</v>
      </c>
      <c r="AV56" s="234">
        <f t="shared" si="21"/>
        <v>12</v>
      </c>
      <c r="AW56" s="234">
        <f>COUNTIF( AV$7:AV56, AV56 )</f>
        <v>13</v>
      </c>
      <c r="AX56" s="287">
        <f t="shared" si="22"/>
        <v>13.3</v>
      </c>
      <c r="AY56" s="234">
        <f t="shared" si="23"/>
        <v>24</v>
      </c>
      <c r="AZ56" s="236"/>
      <c r="BA56" s="236"/>
      <c r="BC56" s="234">
        <f t="shared" ca="1" si="24"/>
        <v>50</v>
      </c>
      <c r="BD56" s="288">
        <f t="shared" ca="1" si="7"/>
        <v>31</v>
      </c>
      <c r="BF56" s="240" t="str">
        <f t="shared" ca="1" si="25"/>
        <v>NiSource Inc.</v>
      </c>
      <c r="BG56" s="240" t="str">
        <f t="shared" ca="1" si="9"/>
        <v>BBB-</v>
      </c>
      <c r="BH56" s="240">
        <f t="shared" ca="1" si="9"/>
        <v>17</v>
      </c>
      <c r="BI56" s="240" t="str">
        <f t="shared" ca="1" si="9"/>
        <v>NI</v>
      </c>
    </row>
    <row r="57" spans="1:61" x14ac:dyDescent="0.2">
      <c r="A57" s="303" t="s">
        <v>22</v>
      </c>
      <c r="B57" s="304" t="s">
        <v>49</v>
      </c>
      <c r="C57" s="304">
        <v>17</v>
      </c>
      <c r="D57" s="304" t="s">
        <v>317</v>
      </c>
      <c r="E57" s="305" t="str">
        <f t="shared" ca="1" si="0"/>
        <v>MR</v>
      </c>
      <c r="F57" s="306"/>
      <c r="G57" s="307">
        <f t="shared" ca="1" si="1"/>
        <v>42</v>
      </c>
      <c r="H57" s="250"/>
      <c r="I57" s="250"/>
      <c r="J57" s="262"/>
      <c r="K57" s="262"/>
      <c r="AF57" s="236">
        <f t="shared" si="2"/>
        <v>0</v>
      </c>
      <c r="AG57" s="236" t="str">
        <f t="shared" ca="1" si="3"/>
        <v/>
      </c>
      <c r="AH57" s="236" t="str">
        <f t="shared" ca="1" si="19"/>
        <v/>
      </c>
      <c r="AJ57" s="236">
        <f t="shared" ca="1" si="4"/>
        <v>58</v>
      </c>
      <c r="AK57" s="236" t="str">
        <f t="shared" ca="1" si="20"/>
        <v>BBB-</v>
      </c>
      <c r="AL57" s="236">
        <f t="shared" ca="1" si="20"/>
        <v>17</v>
      </c>
      <c r="AM57" s="236" t="str">
        <f t="shared" ca="1" si="5"/>
        <v/>
      </c>
      <c r="AQ57" s="286" t="s">
        <v>75</v>
      </c>
      <c r="AR57" s="286" t="s">
        <v>28</v>
      </c>
      <c r="AS57" s="286">
        <v>18</v>
      </c>
      <c r="AT57" s="286" t="s">
        <v>332</v>
      </c>
      <c r="AV57" s="234">
        <f t="shared" si="21"/>
        <v>25</v>
      </c>
      <c r="AW57" s="234">
        <f>COUNTIF( AV$7:AV57, AV57 )</f>
        <v>15</v>
      </c>
      <c r="AX57" s="287">
        <f t="shared" si="22"/>
        <v>26.5</v>
      </c>
      <c r="AY57" s="234">
        <f t="shared" si="23"/>
        <v>39</v>
      </c>
      <c r="AZ57" s="236"/>
      <c r="BA57" s="236"/>
      <c r="BC57" s="234">
        <f t="shared" ca="1" si="24"/>
        <v>51</v>
      </c>
      <c r="BD57" s="288">
        <f t="shared" ca="1" si="7"/>
        <v>37</v>
      </c>
      <c r="BF57" s="240" t="str">
        <f t="shared" ca="1" si="25"/>
        <v>Otter Tail Corporation</v>
      </c>
      <c r="BG57" s="240" t="str">
        <f t="shared" ca="1" si="9"/>
        <v>BBB-</v>
      </c>
      <c r="BH57" s="240">
        <f t="shared" ca="1" si="9"/>
        <v>17</v>
      </c>
      <c r="BI57" s="240" t="str">
        <f t="shared" ca="1" si="9"/>
        <v>OTTR</v>
      </c>
    </row>
    <row r="58" spans="1:61" x14ac:dyDescent="0.2">
      <c r="A58" s="303" t="s">
        <v>266</v>
      </c>
      <c r="B58" s="304" t="s">
        <v>56</v>
      </c>
      <c r="C58" s="304">
        <v>16</v>
      </c>
      <c r="D58" s="304" t="s">
        <v>314</v>
      </c>
      <c r="E58" s="305" t="str">
        <f t="shared" ca="1" si="0"/>
        <v>R</v>
      </c>
      <c r="F58" s="306"/>
      <c r="G58" s="307">
        <f t="shared" ca="1" si="1"/>
        <v>40</v>
      </c>
      <c r="H58" s="250"/>
      <c r="I58" s="250"/>
      <c r="J58" s="262"/>
      <c r="K58" s="262"/>
      <c r="AF58" s="236">
        <f t="shared" si="2"/>
        <v>1</v>
      </c>
      <c r="AG58" s="236" t="str">
        <f t="shared" ca="1" si="3"/>
        <v/>
      </c>
      <c r="AH58" s="236" t="str">
        <f t="shared" ca="1" si="19"/>
        <v/>
      </c>
      <c r="AJ58" s="236">
        <f t="shared" ca="1" si="4"/>
        <v>59</v>
      </c>
      <c r="AK58" s="236" t="str">
        <f t="shared" ca="1" si="20"/>
        <v>BB+</v>
      </c>
      <c r="AL58" s="236">
        <f t="shared" ca="1" si="20"/>
        <v>16</v>
      </c>
      <c r="AM58" s="236" t="str">
        <f t="shared" ca="1" si="5"/>
        <v/>
      </c>
      <c r="AQ58" s="286" t="s">
        <v>14</v>
      </c>
      <c r="AR58" s="286" t="s">
        <v>10</v>
      </c>
      <c r="AS58" s="286">
        <v>20</v>
      </c>
      <c r="AT58" s="286" t="s">
        <v>335</v>
      </c>
      <c r="AV58" s="234">
        <f t="shared" si="21"/>
        <v>3</v>
      </c>
      <c r="AW58" s="234">
        <f>COUNTIF( AV$7:AV58, AV58 )</f>
        <v>7</v>
      </c>
      <c r="AX58" s="287">
        <f t="shared" si="22"/>
        <v>3.7</v>
      </c>
      <c r="AY58" s="234">
        <f t="shared" si="23"/>
        <v>9</v>
      </c>
      <c r="AZ58" s="236"/>
      <c r="BA58" s="236"/>
      <c r="BC58" s="234">
        <f t="shared" ca="1" si="24"/>
        <v>52</v>
      </c>
      <c r="BD58" s="288">
        <f t="shared" ca="1" si="7"/>
        <v>35</v>
      </c>
      <c r="BF58" s="240" t="str">
        <f t="shared" ca="1" si="25"/>
        <v>NV Energy, Inc.</v>
      </c>
      <c r="BG58" s="240" t="str">
        <f t="shared" ca="1" si="9"/>
        <v>BB+</v>
      </c>
      <c r="BH58" s="240">
        <f t="shared" ca="1" si="9"/>
        <v>16</v>
      </c>
      <c r="BI58" s="240" t="str">
        <f t="shared" ca="1" si="9"/>
        <v>NVE</v>
      </c>
    </row>
    <row r="59" spans="1:61" x14ac:dyDescent="0.2">
      <c r="A59" s="303" t="s">
        <v>54</v>
      </c>
      <c r="B59" s="304" t="s">
        <v>56</v>
      </c>
      <c r="C59" s="304">
        <v>16</v>
      </c>
      <c r="D59" s="304" t="s">
        <v>449</v>
      </c>
      <c r="E59" s="305" t="str">
        <f t="shared" ca="1" si="0"/>
        <v>R</v>
      </c>
      <c r="F59" s="306"/>
      <c r="G59" s="307">
        <f t="shared" ca="1" si="1"/>
        <v>68</v>
      </c>
      <c r="H59" s="250"/>
      <c r="I59" s="250"/>
      <c r="J59" s="262"/>
      <c r="K59" s="262"/>
      <c r="AF59" s="236">
        <f t="shared" si="2"/>
        <v>1</v>
      </c>
      <c r="AG59" s="236" t="str">
        <f t="shared" ca="1" si="3"/>
        <v/>
      </c>
      <c r="AH59" s="236" t="str">
        <f t="shared" ca="1" si="19"/>
        <v/>
      </c>
      <c r="AJ59" s="236">
        <f t="shared" ca="1" si="4"/>
        <v>60</v>
      </c>
      <c r="AK59" s="236" t="str">
        <f t="shared" ca="1" si="20"/>
        <v>BB+</v>
      </c>
      <c r="AL59" s="236">
        <f t="shared" ca="1" si="20"/>
        <v>16</v>
      </c>
      <c r="AM59" s="236" t="str">
        <f t="shared" ca="1" si="5"/>
        <v/>
      </c>
      <c r="AQ59" s="286" t="s">
        <v>59</v>
      </c>
      <c r="AR59" s="286" t="s">
        <v>28</v>
      </c>
      <c r="AS59" s="286">
        <v>18</v>
      </c>
      <c r="AT59" s="286" t="s">
        <v>337</v>
      </c>
      <c r="AV59" s="234">
        <f t="shared" si="21"/>
        <v>25</v>
      </c>
      <c r="AW59" s="234">
        <f>COUNTIF( AV$7:AV59, AV59 )</f>
        <v>16</v>
      </c>
      <c r="AX59" s="287">
        <f t="shared" si="22"/>
        <v>26.6</v>
      </c>
      <c r="AY59" s="234">
        <f t="shared" si="23"/>
        <v>40</v>
      </c>
      <c r="AZ59" s="236"/>
      <c r="BA59" s="236"/>
      <c r="BC59" s="234">
        <f t="shared" ca="1" si="24"/>
        <v>53</v>
      </c>
      <c r="BD59" s="288">
        <f t="shared" ca="1" si="7"/>
        <v>46</v>
      </c>
      <c r="BF59" s="240" t="str">
        <f t="shared" ca="1" si="25"/>
        <v>Puget Energy, Inc.</v>
      </c>
      <c r="BG59" s="240" t="str">
        <f t="shared" ca="1" si="9"/>
        <v>BB+</v>
      </c>
      <c r="BH59" s="240">
        <f t="shared" ca="1" si="9"/>
        <v>16</v>
      </c>
      <c r="BI59" s="240" t="str">
        <f t="shared" ca="1" si="9"/>
        <v>**PSD</v>
      </c>
    </row>
    <row r="60" spans="1:61" x14ac:dyDescent="0.2">
      <c r="A60" s="247" t="s">
        <v>42</v>
      </c>
      <c r="B60" s="248" t="s">
        <v>61</v>
      </c>
      <c r="C60" s="248">
        <v>15</v>
      </c>
      <c r="D60" s="248" t="s">
        <v>321</v>
      </c>
      <c r="E60" s="305" t="str">
        <f t="shared" ca="1" si="0"/>
        <v>R</v>
      </c>
      <c r="F60" s="250"/>
      <c r="G60" s="251">
        <f t="shared" ca="1" si="1"/>
        <v>46</v>
      </c>
      <c r="H60" s="250"/>
      <c r="I60" s="250"/>
      <c r="AF60" s="236">
        <f t="shared" si="2"/>
        <v>0</v>
      </c>
      <c r="AG60" s="236" t="str">
        <f t="shared" ca="1" si="3"/>
        <v/>
      </c>
      <c r="AH60" s="236" t="str">
        <f t="shared" ca="1" si="19"/>
        <v/>
      </c>
      <c r="AJ60" s="236">
        <f t="shared" ca="1" si="4"/>
        <v>61</v>
      </c>
      <c r="AK60" s="236" t="str">
        <f t="shared" ca="1" si="20"/>
        <v>BB</v>
      </c>
      <c r="AL60" s="236">
        <f t="shared" ca="1" si="20"/>
        <v>15</v>
      </c>
      <c r="AM60" s="236" t="str">
        <f t="shared" ca="1" si="5"/>
        <v/>
      </c>
      <c r="AQ60" s="286" t="s">
        <v>26</v>
      </c>
      <c r="AR60" s="286" t="s">
        <v>10</v>
      </c>
      <c r="AS60" s="286">
        <v>20</v>
      </c>
      <c r="AT60" s="286" t="s">
        <v>336</v>
      </c>
      <c r="AV60" s="234">
        <f t="shared" si="21"/>
        <v>3</v>
      </c>
      <c r="AW60" s="234">
        <f>COUNTIF( AV$7:AV60, AV60 )</f>
        <v>8</v>
      </c>
      <c r="AX60" s="287">
        <f t="shared" si="22"/>
        <v>3.8</v>
      </c>
      <c r="AY60" s="234">
        <f t="shared" si="23"/>
        <v>10</v>
      </c>
      <c r="AZ60" s="236"/>
      <c r="BA60" s="236"/>
      <c r="BC60" s="234">
        <f t="shared" ca="1" si="24"/>
        <v>54</v>
      </c>
      <c r="BD60" s="288">
        <f t="shared" ca="1" si="7"/>
        <v>41</v>
      </c>
      <c r="BF60" s="240" t="str">
        <f t="shared" ca="1" si="25"/>
        <v>PNM Resources, Inc.</v>
      </c>
      <c r="BG60" s="240" t="str">
        <f t="shared" ca="1" si="9"/>
        <v>BB</v>
      </c>
      <c r="BH60" s="240">
        <f t="shared" ca="1" si="9"/>
        <v>15</v>
      </c>
      <c r="BI60" s="240" t="str">
        <f t="shared" ca="1" si="9"/>
        <v>PNM</v>
      </c>
    </row>
    <row r="61" spans="1:61" x14ac:dyDescent="0.2">
      <c r="A61" s="247" t="s">
        <v>249</v>
      </c>
      <c r="B61" s="248" t="s">
        <v>125</v>
      </c>
      <c r="C61" s="248">
        <v>9</v>
      </c>
      <c r="D61" s="248" t="s">
        <v>445</v>
      </c>
      <c r="E61" s="305" t="str">
        <f t="shared" ca="1" si="0"/>
        <v>D</v>
      </c>
      <c r="F61" s="250"/>
      <c r="G61" s="251">
        <f t="shared" ca="1" si="1"/>
        <v>64</v>
      </c>
      <c r="H61" s="250"/>
      <c r="I61" s="250"/>
      <c r="AF61" s="236">
        <f t="shared" si="2"/>
        <v>1</v>
      </c>
      <c r="AG61" s="236" t="str">
        <f t="shared" ca="1" si="3"/>
        <v/>
      </c>
      <c r="AH61" s="236" t="str">
        <f t="shared" ca="1" si="19"/>
        <v/>
      </c>
      <c r="AJ61" s="236">
        <f t="shared" ca="1" si="4"/>
        <v>62</v>
      </c>
      <c r="AK61" s="236" t="str">
        <f t="shared" ca="1" si="20"/>
        <v>CCC</v>
      </c>
      <c r="AL61" s="236">
        <f t="shared" ca="1" si="20"/>
        <v>9</v>
      </c>
      <c r="AM61" s="236" t="str">
        <f t="shared" ca="1" si="5"/>
        <v/>
      </c>
      <c r="AQ61" s="286" t="s">
        <v>258</v>
      </c>
      <c r="AR61" s="286" t="s">
        <v>10</v>
      </c>
      <c r="AS61" s="286">
        <v>20</v>
      </c>
      <c r="AT61" s="286" t="s">
        <v>338</v>
      </c>
      <c r="AV61" s="234">
        <f t="shared" si="21"/>
        <v>3</v>
      </c>
      <c r="AW61" s="234">
        <f>COUNTIF( AV$7:AV61, AV61 )</f>
        <v>9</v>
      </c>
      <c r="AX61" s="287">
        <f t="shared" si="22"/>
        <v>3.9</v>
      </c>
      <c r="AY61" s="234">
        <f t="shared" si="23"/>
        <v>11</v>
      </c>
      <c r="AZ61" s="236"/>
      <c r="BA61" s="236"/>
      <c r="BC61" s="234">
        <f t="shared" ca="1" si="24"/>
        <v>55</v>
      </c>
      <c r="BD61" s="288">
        <f t="shared" ca="1" si="7"/>
        <v>18</v>
      </c>
      <c r="BF61" s="240" t="str">
        <f t="shared" ca="1" si="25"/>
        <v>Energy Future Holdings Corp.</v>
      </c>
      <c r="BG61" s="240" t="str">
        <f t="shared" ca="1" si="9"/>
        <v>CCC</v>
      </c>
      <c r="BH61" s="240">
        <f t="shared" ca="1" si="9"/>
        <v>9</v>
      </c>
      <c r="BI61" s="240" t="str">
        <f t="shared" ca="1" si="9"/>
        <v>**EFH</v>
      </c>
    </row>
    <row r="62" spans="1:61" ht="13.5" thickBot="1" x14ac:dyDescent="0.25">
      <c r="A62" s="265"/>
      <c r="B62" s="266"/>
      <c r="C62" s="266"/>
      <c r="D62" s="266"/>
      <c r="E62" s="267"/>
      <c r="F62" s="250"/>
      <c r="G62" s="251" t="str">
        <f t="shared" ca="1" si="1"/>
        <v/>
      </c>
      <c r="H62" s="250"/>
      <c r="I62" s="250"/>
      <c r="AF62" s="236">
        <f t="shared" si="2"/>
        <v>0</v>
      </c>
      <c r="AG62" s="236" t="str">
        <f t="shared" si="3"/>
        <v/>
      </c>
      <c r="AH62" s="236" t="str">
        <f t="shared" si="19"/>
        <v/>
      </c>
      <c r="AJ62" s="236" t="e">
        <f t="shared" ca="1" si="4"/>
        <v>#N/A</v>
      </c>
      <c r="AK62" s="236" t="str">
        <f t="shared" ca="1" si="20"/>
        <v/>
      </c>
      <c r="AL62" s="236" t="str">
        <f t="shared" ca="1" si="20"/>
        <v/>
      </c>
      <c r="AM62" s="236" t="str">
        <f t="shared" ca="1" si="5"/>
        <v/>
      </c>
      <c r="AQ62" s="286"/>
      <c r="AR62" s="286"/>
      <c r="AS62" s="286"/>
      <c r="AT62" s="286"/>
      <c r="AV62" s="234">
        <f t="shared" si="21"/>
        <v>99</v>
      </c>
      <c r="AW62" s="234">
        <f>COUNTIF( AV$7:AV62, AV62 )</f>
        <v>1</v>
      </c>
      <c r="AX62" s="287">
        <f t="shared" si="22"/>
        <v>99.1</v>
      </c>
      <c r="AY62" s="234">
        <f t="shared" si="23"/>
        <v>56</v>
      </c>
      <c r="AZ62" s="236"/>
      <c r="BA62" s="236"/>
      <c r="BC62" s="234">
        <f t="shared" ca="1" si="24"/>
        <v>56</v>
      </c>
      <c r="BD62" s="288">
        <f t="shared" ca="1" si="7"/>
        <v>56</v>
      </c>
      <c r="BF62" s="240">
        <f t="shared" ca="1" si="25"/>
        <v>0</v>
      </c>
      <c r="BG62" s="240">
        <f t="shared" ca="1" si="9"/>
        <v>0</v>
      </c>
      <c r="BH62" s="240">
        <f t="shared" ca="1" si="9"/>
        <v>0</v>
      </c>
      <c r="BI62" s="240">
        <f t="shared" ca="1" si="9"/>
        <v>0</v>
      </c>
    </row>
    <row r="63" spans="1:61" x14ac:dyDescent="0.2">
      <c r="A63" s="308" t="s">
        <v>474</v>
      </c>
      <c r="B63" s="309" t="s">
        <v>108</v>
      </c>
      <c r="C63" s="309">
        <v>23</v>
      </c>
      <c r="D63" s="309" t="s">
        <v>440</v>
      </c>
      <c r="E63" s="310" t="str">
        <f ca="1">OFFSET( INDIRECT( E$3 &amp; E$4 ), $G63 - 1, 0 )</f>
        <v>MR</v>
      </c>
      <c r="F63" s="311"/>
      <c r="G63" s="312">
        <f t="shared" ca="1" si="1"/>
        <v>34</v>
      </c>
      <c r="H63" s="250"/>
      <c r="I63" s="250"/>
      <c r="AF63" s="236">
        <f t="shared" si="2"/>
        <v>1</v>
      </c>
      <c r="AG63" s="236" t="str">
        <f t="shared" ca="1" si="3"/>
        <v/>
      </c>
      <c r="AH63" s="236" t="str">
        <f t="shared" ca="1" si="19"/>
        <v/>
      </c>
      <c r="AJ63" s="236">
        <f t="shared" ca="1" si="4"/>
        <v>63</v>
      </c>
      <c r="AK63" s="236" t="str">
        <f t="shared" ca="1" si="20"/>
        <v>AA-</v>
      </c>
      <c r="AL63" s="236">
        <f t="shared" ca="1" si="20"/>
        <v>23</v>
      </c>
      <c r="AM63" s="236" t="str">
        <f t="shared" ca="1" si="5"/>
        <v/>
      </c>
      <c r="AQ63" s="286"/>
      <c r="AR63" s="286"/>
      <c r="AS63" s="286"/>
      <c r="AT63" s="286"/>
      <c r="AU63" s="286"/>
      <c r="AV63" s="234">
        <f t="shared" si="21"/>
        <v>99</v>
      </c>
      <c r="AW63" s="234">
        <f>COUNTIF( AV$7:AV63, AV63 )</f>
        <v>2</v>
      </c>
      <c r="AX63" s="287">
        <f t="shared" si="22"/>
        <v>99.2</v>
      </c>
      <c r="AY63" s="234">
        <f t="shared" si="23"/>
        <v>57</v>
      </c>
      <c r="AZ63" s="236"/>
      <c r="BA63" s="236"/>
      <c r="BC63" s="234">
        <f t="shared" ca="1" si="24"/>
        <v>57</v>
      </c>
      <c r="BD63" s="288">
        <f ca="1">MATCH( BC63, $AY$7:$AY$63, 0 )</f>
        <v>57</v>
      </c>
      <c r="BF63" s="240">
        <f t="shared" ca="1" si="25"/>
        <v>0</v>
      </c>
      <c r="BG63" s="240">
        <f t="shared" ref="BG63" ca="1" si="26">OFFSET( AR$6, $BD63, 0 )</f>
        <v>0</v>
      </c>
      <c r="BH63" s="240">
        <f t="shared" ref="BH63" ca="1" si="27">OFFSET( AS$6, $BD63, 0 )</f>
        <v>0</v>
      </c>
      <c r="BI63" s="240">
        <f t="shared" ref="BI63" ca="1" si="28">OFFSET( AT$6, $BD63, 0 )</f>
        <v>0</v>
      </c>
    </row>
    <row r="64" spans="1:61" x14ac:dyDescent="0.2">
      <c r="A64" s="303" t="s">
        <v>475</v>
      </c>
      <c r="B64" s="304" t="s">
        <v>2</v>
      </c>
      <c r="C64" s="304">
        <v>21</v>
      </c>
      <c r="D64" s="304" t="s">
        <v>441</v>
      </c>
      <c r="E64" s="305" t="str">
        <f ca="1">OFFSET( INDIRECT( E$3 &amp; E$4 ), $G64 - 1, 0 )</f>
        <v>R</v>
      </c>
      <c r="F64" s="306"/>
      <c r="G64" s="307">
        <f t="shared" ca="1" si="1"/>
        <v>15</v>
      </c>
      <c r="H64" s="250"/>
      <c r="I64" s="250"/>
      <c r="AF64" s="236">
        <f t="shared" si="2"/>
        <v>0</v>
      </c>
      <c r="AG64" s="236" t="str">
        <f t="shared" ca="1" si="3"/>
        <v/>
      </c>
      <c r="AH64" s="236" t="str">
        <f t="shared" ca="1" si="19"/>
        <v/>
      </c>
      <c r="AJ64" s="236">
        <f t="shared" ca="1" si="4"/>
        <v>64</v>
      </c>
      <c r="AK64" s="236" t="str">
        <f t="shared" ca="1" si="20"/>
        <v>A</v>
      </c>
      <c r="AL64" s="236">
        <f t="shared" ca="1" si="20"/>
        <v>21</v>
      </c>
      <c r="AM64" s="236" t="str">
        <f t="shared" ca="1" si="5"/>
        <v/>
      </c>
      <c r="AQ64" s="286"/>
      <c r="AR64" s="286"/>
      <c r="AS64" s="286"/>
      <c r="AT64" s="286"/>
      <c r="AU64" s="286"/>
      <c r="AZ64" s="236"/>
      <c r="BA64" s="236"/>
      <c r="BF64" s="236"/>
    </row>
    <row r="65" spans="1:58" x14ac:dyDescent="0.2">
      <c r="A65" s="303" t="s">
        <v>476</v>
      </c>
      <c r="B65" s="304" t="s">
        <v>56</v>
      </c>
      <c r="C65" s="304">
        <v>16</v>
      </c>
      <c r="D65" s="304" t="s">
        <v>442</v>
      </c>
      <c r="E65" s="305" t="str">
        <f ca="1">OFFSET( INDIRECT( E$3 &amp; E$4 ), $G65 - 1, 0 )</f>
        <v>R</v>
      </c>
      <c r="F65" s="306"/>
      <c r="G65" s="307">
        <f t="shared" ca="1" si="1"/>
        <v>57</v>
      </c>
      <c r="H65" s="250"/>
      <c r="I65" s="250"/>
      <c r="N65" s="234" t="s">
        <v>73</v>
      </c>
      <c r="AF65" s="236">
        <f t="shared" si="2"/>
        <v>1</v>
      </c>
      <c r="AG65" s="236" t="str">
        <f ca="1">IF( LEN( $C65 ) = 0, "", IF( $C65 &gt; $AL65, 1, "" ) )</f>
        <v/>
      </c>
      <c r="AH65" s="236" t="str">
        <f t="shared" ca="1" si="19"/>
        <v/>
      </c>
      <c r="AJ65" s="236">
        <f t="shared" ca="1" si="4"/>
        <v>65</v>
      </c>
      <c r="AK65" s="236" t="str">
        <f t="shared" ca="1" si="20"/>
        <v>BB+</v>
      </c>
      <c r="AL65" s="236">
        <f t="shared" ca="1" si="20"/>
        <v>16</v>
      </c>
      <c r="AM65" s="236" t="str">
        <f t="shared" ca="1" si="5"/>
        <v/>
      </c>
      <c r="AQ65" s="286"/>
      <c r="AR65" s="286"/>
      <c r="AS65" s="286"/>
      <c r="AT65" s="286"/>
      <c r="AU65" s="286"/>
      <c r="AZ65" s="236"/>
      <c r="BA65" s="236"/>
      <c r="BF65" s="236"/>
    </row>
    <row r="66" spans="1:58" x14ac:dyDescent="0.2">
      <c r="A66" s="303" t="s">
        <v>477</v>
      </c>
      <c r="B66" s="313"/>
      <c r="C66" s="304"/>
      <c r="D66" s="304" t="s">
        <v>448</v>
      </c>
      <c r="E66" s="305" t="str">
        <f ca="1">OFFSET( INDIRECT( E$3 &amp; E$4 ), $G66 - 1, 0 )</f>
        <v>R</v>
      </c>
      <c r="F66" s="306"/>
      <c r="G66" s="307">
        <f t="shared" ca="1" si="1"/>
        <v>56</v>
      </c>
      <c r="H66" s="250"/>
      <c r="I66" s="250"/>
      <c r="AF66" s="236">
        <f t="shared" si="2"/>
        <v>0</v>
      </c>
      <c r="AG66" s="236" t="str">
        <f t="shared" ref="AG66:AG67" si="29">IF( LEN( $C66 ) = 0, "", IF( $C66 &gt; $AL66, 1, "" ) )</f>
        <v/>
      </c>
      <c r="AH66" s="236" t="str">
        <f t="shared" si="19"/>
        <v/>
      </c>
      <c r="AJ66" s="236">
        <f t="shared" ca="1" si="4"/>
        <v>67</v>
      </c>
      <c r="AK66" s="236" t="str">
        <f t="shared" ca="1" si="20"/>
        <v>N.A.</v>
      </c>
      <c r="AL66" s="236">
        <f t="shared" ca="1" si="20"/>
        <v>0</v>
      </c>
      <c r="AM66" s="236" t="str">
        <f t="shared" ca="1" si="5"/>
        <v>Change</v>
      </c>
      <c r="AQ66" s="286" t="s">
        <v>475</v>
      </c>
      <c r="AR66" s="286" t="s">
        <v>2</v>
      </c>
      <c r="AS66" s="286">
        <v>21</v>
      </c>
      <c r="AT66" s="286" t="s">
        <v>441</v>
      </c>
      <c r="AU66" s="286"/>
      <c r="AX66" s="287"/>
      <c r="AZ66" s="236"/>
      <c r="BA66" s="236"/>
      <c r="BD66" s="288"/>
      <c r="BF66" s="236"/>
    </row>
    <row r="67" spans="1:58" ht="13.5" thickBot="1" x14ac:dyDescent="0.25">
      <c r="A67" s="271"/>
      <c r="B67" s="272"/>
      <c r="C67" s="337"/>
      <c r="D67" s="272"/>
      <c r="E67" s="273"/>
      <c r="F67" s="250"/>
      <c r="H67" s="250"/>
      <c r="I67" s="250"/>
      <c r="AF67" s="236">
        <f t="shared" si="2"/>
        <v>0</v>
      </c>
      <c r="AG67" s="236" t="str">
        <f t="shared" si="29"/>
        <v/>
      </c>
      <c r="AH67" s="236" t="str">
        <f t="shared" si="19"/>
        <v/>
      </c>
      <c r="AJ67" s="236" t="e">
        <f t="shared" ca="1" si="4"/>
        <v>#N/A</v>
      </c>
      <c r="AK67" s="236" t="str">
        <f t="shared" ca="1" si="20"/>
        <v/>
      </c>
      <c r="AL67" s="236" t="str">
        <f t="shared" ca="1" si="20"/>
        <v/>
      </c>
      <c r="AM67" s="236" t="str">
        <f t="shared" ca="1" si="5"/>
        <v/>
      </c>
      <c r="AQ67" s="286" t="s">
        <v>474</v>
      </c>
      <c r="AR67" s="286" t="s">
        <v>108</v>
      </c>
      <c r="AS67" s="286">
        <v>23</v>
      </c>
      <c r="AT67" s="286" t="s">
        <v>440</v>
      </c>
      <c r="AX67" s="287"/>
      <c r="AZ67" s="236"/>
      <c r="BA67" s="236"/>
      <c r="BD67" s="288"/>
      <c r="BF67" s="236"/>
    </row>
    <row r="68" spans="1:58" x14ac:dyDescent="0.2">
      <c r="A68" s="274" t="s">
        <v>135</v>
      </c>
      <c r="B68" s="275" t="s">
        <v>28</v>
      </c>
      <c r="C68" s="276">
        <f>AVERAGE(C7:C65)</f>
        <v>18.293103448275861</v>
      </c>
      <c r="D68" s="276"/>
      <c r="E68" s="276"/>
      <c r="F68" s="250"/>
      <c r="H68" s="250"/>
      <c r="I68" s="250"/>
      <c r="J68" s="253"/>
      <c r="K68" s="253"/>
      <c r="AQ68" s="286" t="s">
        <v>476</v>
      </c>
      <c r="AR68" s="286" t="s">
        <v>56</v>
      </c>
      <c r="AS68" s="286">
        <v>16</v>
      </c>
      <c r="AT68" s="286" t="s">
        <v>442</v>
      </c>
      <c r="AX68" s="287"/>
      <c r="AZ68" s="236"/>
      <c r="BA68" s="236"/>
      <c r="BD68" s="288"/>
      <c r="BF68" s="236"/>
    </row>
    <row r="69" spans="1:58" x14ac:dyDescent="0.2">
      <c r="A69" s="277"/>
      <c r="B69" s="278"/>
      <c r="F69" s="250"/>
      <c r="H69" s="250"/>
      <c r="I69" s="250"/>
      <c r="AQ69" s="286" t="s">
        <v>76</v>
      </c>
      <c r="AR69" s="286" t="s">
        <v>373</v>
      </c>
      <c r="AS69" s="286"/>
      <c r="AT69" s="286" t="s">
        <v>334</v>
      </c>
      <c r="AX69" s="287"/>
      <c r="AZ69" s="236"/>
      <c r="BA69" s="236"/>
      <c r="BD69" s="288"/>
      <c r="BF69" s="236"/>
    </row>
    <row r="70" spans="1:58" x14ac:dyDescent="0.2">
      <c r="A70" s="277"/>
      <c r="B70" s="278"/>
      <c r="F70" s="240"/>
      <c r="H70" s="240"/>
      <c r="I70" s="240"/>
      <c r="J70" s="253"/>
      <c r="K70" s="253"/>
      <c r="AQ70" s="286" t="s">
        <v>50</v>
      </c>
      <c r="AR70" s="286" t="s">
        <v>373</v>
      </c>
      <c r="AS70" s="286"/>
      <c r="AT70" s="286" t="s">
        <v>287</v>
      </c>
    </row>
    <row r="71" spans="1:58" x14ac:dyDescent="0.2">
      <c r="A71" s="279" t="s">
        <v>267</v>
      </c>
      <c r="F71" s="240"/>
      <c r="H71" s="240"/>
      <c r="I71" s="240"/>
    </row>
    <row r="72" spans="1:58" x14ac:dyDescent="0.2">
      <c r="A72" s="279" t="s">
        <v>366</v>
      </c>
      <c r="B72" s="240"/>
      <c r="D72" s="264"/>
      <c r="E72" s="264"/>
      <c r="F72" s="280"/>
      <c r="H72" s="280"/>
      <c r="I72" s="280"/>
    </row>
    <row r="73" spans="1:58" x14ac:dyDescent="0.2">
      <c r="A73" s="281" t="s">
        <v>356</v>
      </c>
      <c r="B73" s="240"/>
      <c r="D73" s="264"/>
      <c r="E73" s="264"/>
      <c r="F73" s="280"/>
      <c r="H73" s="280"/>
      <c r="I73" s="280"/>
    </row>
    <row r="74" spans="1:58" x14ac:dyDescent="0.2">
      <c r="A74" s="281" t="s">
        <v>357</v>
      </c>
      <c r="B74" s="240"/>
      <c r="D74" s="264"/>
      <c r="E74" s="264"/>
      <c r="F74" s="280"/>
      <c r="H74" s="280"/>
      <c r="I74" s="280"/>
    </row>
    <row r="75" spans="1:58" x14ac:dyDescent="0.2">
      <c r="A75" s="281" t="s">
        <v>470</v>
      </c>
      <c r="D75" s="280"/>
      <c r="E75" s="234"/>
      <c r="F75" s="282"/>
      <c r="H75" s="282"/>
      <c r="I75" s="282"/>
    </row>
    <row r="76" spans="1:58" x14ac:dyDescent="0.2">
      <c r="A76" s="279" t="s">
        <v>359</v>
      </c>
      <c r="D76" s="280"/>
      <c r="E76" s="234"/>
      <c r="F76" s="282"/>
      <c r="H76" s="282"/>
      <c r="I76" s="282"/>
      <c r="AQ76" s="286"/>
      <c r="AR76" s="286"/>
      <c r="AS76" s="286"/>
    </row>
    <row r="77" spans="1:58" x14ac:dyDescent="0.2">
      <c r="A77" s="279"/>
      <c r="D77" s="280"/>
      <c r="E77" s="234"/>
      <c r="F77" s="282"/>
      <c r="H77" s="282"/>
      <c r="I77" s="282"/>
      <c r="AQ77" s="286"/>
      <c r="AR77" s="286"/>
      <c r="AS77" s="286"/>
    </row>
    <row r="78" spans="1:58" x14ac:dyDescent="0.2">
      <c r="A78" s="279"/>
      <c r="AQ78" s="286"/>
      <c r="AR78" s="286"/>
      <c r="AS78" s="286"/>
    </row>
    <row r="79" spans="1:58" x14ac:dyDescent="0.2">
      <c r="C79" s="339">
        <f>SUMPRODUCT( L8:L13, Y8:Y13 ) / L14</f>
        <v>18.379310344827587</v>
      </c>
      <c r="E79" s="283"/>
      <c r="G79" s="251"/>
      <c r="J79" s="240"/>
      <c r="K79" s="240"/>
      <c r="AQ79" s="286"/>
      <c r="AR79" s="286"/>
      <c r="AS79" s="286"/>
    </row>
    <row r="80" spans="1:58" s="240" customFormat="1" x14ac:dyDescent="0.2">
      <c r="A80" s="284"/>
      <c r="B80" s="285"/>
      <c r="C80" s="285"/>
      <c r="D80" s="285"/>
      <c r="E80" s="249"/>
      <c r="F80" s="234"/>
      <c r="G80" s="236"/>
      <c r="H80" s="234"/>
      <c r="I80" s="234"/>
      <c r="Q80" s="234"/>
      <c r="T80" s="236"/>
      <c r="U80" s="236"/>
      <c r="V80" s="236"/>
      <c r="AF80" s="236"/>
      <c r="AG80" s="236"/>
      <c r="AH80" s="236"/>
      <c r="AJ80" s="236"/>
      <c r="AK80" s="236"/>
      <c r="AL80" s="236"/>
      <c r="AM80" s="236"/>
      <c r="AN80" s="236"/>
      <c r="AQ80" s="286"/>
      <c r="AR80" s="286"/>
      <c r="AS80" s="286"/>
    </row>
    <row r="81" spans="43:45" x14ac:dyDescent="0.2">
      <c r="AQ81" s="286"/>
      <c r="AR81" s="286"/>
      <c r="AS81" s="286"/>
    </row>
    <row r="82" spans="43:45" x14ac:dyDescent="0.2">
      <c r="AQ82" s="286"/>
      <c r="AR82" s="286"/>
      <c r="AS82" s="286"/>
    </row>
  </sheetData>
  <sortState ref="AQ7:AT61">
    <sortCondition ref="AQ7"/>
  </sortState>
  <mergeCells count="9">
    <mergeCell ref="L16:M16"/>
    <mergeCell ref="O16:P16"/>
    <mergeCell ref="R16:S16"/>
    <mergeCell ref="U16:V16"/>
    <mergeCell ref="J5:J6"/>
    <mergeCell ref="L5:M6"/>
    <mergeCell ref="O5:P6"/>
    <mergeCell ref="R5:S6"/>
    <mergeCell ref="U5:V6"/>
  </mergeCells>
  <conditionalFormatting sqref="A60:B62">
    <cfRule type="expression" dxfId="65" priority="61" stopIfTrue="1">
      <formula>IF( $AH60 = 1, TRUE, FALSE )</formula>
    </cfRule>
    <cfRule type="expression" dxfId="64" priority="62" stopIfTrue="1">
      <formula>IF( $AG60 = 1, TRUE, FALSE )</formula>
    </cfRule>
    <cfRule type="expression" dxfId="63" priority="63" stopIfTrue="1">
      <formula>IF( $AF60 = 1, TRUE, FALSE )</formula>
    </cfRule>
  </conditionalFormatting>
  <conditionalFormatting sqref="A67:B67">
    <cfRule type="expression" dxfId="62" priority="64" stopIfTrue="1">
      <formula>IF( $AH67 = 1, TRUE, FALSE )</formula>
    </cfRule>
    <cfRule type="expression" dxfId="61" priority="65" stopIfTrue="1">
      <formula>IF( $AG67 = 1, TRUE, FALSE )</formula>
    </cfRule>
    <cfRule type="expression" dxfId="60" priority="66" stopIfTrue="1">
      <formula>IF( $AF67 = 1, TRUE, FALSE )</formula>
    </cfRule>
  </conditionalFormatting>
  <conditionalFormatting sqref="A66:B66">
    <cfRule type="expression" dxfId="59" priority="58" stopIfTrue="1">
      <formula>IF( $AH66 = 1, TRUE, FALSE )</formula>
    </cfRule>
    <cfRule type="expression" dxfId="58" priority="59" stopIfTrue="1">
      <formula>IF( $AG66 = 1, TRUE, FALSE )</formula>
    </cfRule>
    <cfRule type="expression" dxfId="57" priority="60" stopIfTrue="1">
      <formula>IF( $AF66 = 1, TRUE, FALSE )</formula>
    </cfRule>
  </conditionalFormatting>
  <conditionalFormatting sqref="A7:B58">
    <cfRule type="expression" dxfId="56" priority="55" stopIfTrue="1">
      <formula>IF( $AH7 = 1, TRUE, FALSE )</formula>
    </cfRule>
    <cfRule type="expression" dxfId="55" priority="56" stopIfTrue="1">
      <formula>IF( $AG7 = 1, TRUE, FALSE )</formula>
    </cfRule>
    <cfRule type="expression" dxfId="54" priority="57" stopIfTrue="1">
      <formula>IF( $AF7 = 1, TRUE, FALSE )</formula>
    </cfRule>
  </conditionalFormatting>
  <conditionalFormatting sqref="A59:B59">
    <cfRule type="expression" dxfId="53" priority="52" stopIfTrue="1">
      <formula>IF( $AH59 = 1, TRUE, FALSE )</formula>
    </cfRule>
    <cfRule type="expression" dxfId="52" priority="53" stopIfTrue="1">
      <formula>IF( $AG59 = 1, TRUE, FALSE )</formula>
    </cfRule>
    <cfRule type="expression" dxfId="51" priority="54" stopIfTrue="1">
      <formula>IF( $AF59 = 1, TRUE, FALSE )</formula>
    </cfRule>
  </conditionalFormatting>
  <conditionalFormatting sqref="A62:B66">
    <cfRule type="expression" dxfId="50" priority="49" stopIfTrue="1">
      <formula>IF( $AH62 = 1, TRUE, FALSE )</formula>
    </cfRule>
    <cfRule type="expression" dxfId="49" priority="50" stopIfTrue="1">
      <formula>IF( $AG62 = 1, TRUE, FALSE )</formula>
    </cfRule>
    <cfRule type="expression" dxfId="48" priority="51" stopIfTrue="1">
      <formula>IF( $AF62 = 1, TRUE, FALSE )</formula>
    </cfRule>
  </conditionalFormatting>
  <conditionalFormatting sqref="U8:U12">
    <cfRule type="cellIs" dxfId="47" priority="48" operator="equal">
      <formula>0</formula>
    </cfRule>
  </conditionalFormatting>
  <conditionalFormatting sqref="O8:O12 Q8:Q12">
    <cfRule type="cellIs" dxfId="46" priority="47" operator="equal">
      <formula>0</formula>
    </cfRule>
  </conditionalFormatting>
  <conditionalFormatting sqref="V8:V12">
    <cfRule type="cellIs" dxfId="45" priority="46" operator="equal">
      <formula>0</formula>
    </cfRule>
  </conditionalFormatting>
  <conditionalFormatting sqref="S8:S12">
    <cfRule type="cellIs" dxfId="44" priority="44" operator="equal">
      <formula>0</formula>
    </cfRule>
  </conditionalFormatting>
  <conditionalFormatting sqref="R8:R12">
    <cfRule type="cellIs" dxfId="43" priority="45" operator="equal">
      <formula>0</formula>
    </cfRule>
  </conditionalFormatting>
  <conditionalFormatting sqref="P8:P12">
    <cfRule type="cellIs" dxfId="42" priority="43" operator="equal">
      <formula>0</formula>
    </cfRule>
  </conditionalFormatting>
  <conditionalFormatting sqref="M8:M12">
    <cfRule type="cellIs" dxfId="41" priority="42" operator="equal">
      <formula>0</formula>
    </cfRule>
  </conditionalFormatting>
  <conditionalFormatting sqref="T8:T12">
    <cfRule type="cellIs" dxfId="40" priority="41" operator="equal">
      <formula>0</formula>
    </cfRule>
  </conditionalFormatting>
  <conditionalFormatting sqref="N8:N12">
    <cfRule type="cellIs" dxfId="39" priority="40" operator="equal">
      <formula>0</formula>
    </cfRule>
  </conditionalFormatting>
  <conditionalFormatting sqref="K8:K12">
    <cfRule type="cellIs" dxfId="38" priority="39" operator="equal">
      <formula>0</formula>
    </cfRule>
  </conditionalFormatting>
  <conditionalFormatting sqref="W8:W12">
    <cfRule type="cellIs" dxfId="37" priority="38" operator="equal">
      <formula>0</formula>
    </cfRule>
  </conditionalFormatting>
  <conditionalFormatting sqref="C60:C62">
    <cfRule type="expression" dxfId="36" priority="32" stopIfTrue="1">
      <formula>IF( $AH60 = 1, TRUE, FALSE )</formula>
    </cfRule>
    <cfRule type="expression" dxfId="35" priority="33" stopIfTrue="1">
      <formula>IF( $AG60 = 1, TRUE, FALSE )</formula>
    </cfRule>
    <cfRule type="expression" dxfId="34" priority="34" stopIfTrue="1">
      <formula>IF( $AF60 = 1, TRUE, FALSE )</formula>
    </cfRule>
  </conditionalFormatting>
  <conditionalFormatting sqref="C67">
    <cfRule type="expression" dxfId="33" priority="35" stopIfTrue="1">
      <formula>IF( $AH67 = 1, TRUE, FALSE )</formula>
    </cfRule>
    <cfRule type="expression" dxfId="32" priority="36" stopIfTrue="1">
      <formula>IF( $AG67 = 1, TRUE, FALSE )</formula>
    </cfRule>
    <cfRule type="expression" dxfId="31" priority="37" stopIfTrue="1">
      <formula>IF( $AF67 = 1, TRUE, FALSE )</formula>
    </cfRule>
  </conditionalFormatting>
  <conditionalFormatting sqref="C66">
    <cfRule type="expression" dxfId="30" priority="29" stopIfTrue="1">
      <formula>IF( $AH66 = 1, TRUE, FALSE )</formula>
    </cfRule>
    <cfRule type="expression" dxfId="29" priority="30" stopIfTrue="1">
      <formula>IF( $AG66 = 1, TRUE, FALSE )</formula>
    </cfRule>
    <cfRule type="expression" dxfId="28" priority="31" stopIfTrue="1">
      <formula>IF( $AF66 = 1, TRUE, FALSE )</formula>
    </cfRule>
  </conditionalFormatting>
  <conditionalFormatting sqref="C7:C58">
    <cfRule type="expression" dxfId="27" priority="26" stopIfTrue="1">
      <formula>IF( $AH7 = 1, TRUE, FALSE )</formula>
    </cfRule>
    <cfRule type="expression" dxfId="26" priority="27" stopIfTrue="1">
      <formula>IF( $AG7 = 1, TRUE, FALSE )</formula>
    </cfRule>
    <cfRule type="expression" dxfId="25" priority="28" stopIfTrue="1">
      <formula>IF( $AF7 = 1, TRUE, FALSE )</formula>
    </cfRule>
  </conditionalFormatting>
  <conditionalFormatting sqref="C59">
    <cfRule type="expression" dxfId="24" priority="23" stopIfTrue="1">
      <formula>IF( $AH59 = 1, TRUE, FALSE )</formula>
    </cfRule>
    <cfRule type="expression" dxfId="23" priority="24" stopIfTrue="1">
      <formula>IF( $AG59 = 1, TRUE, FALSE )</formula>
    </cfRule>
    <cfRule type="expression" dxfId="22" priority="25" stopIfTrue="1">
      <formula>IF( $AF59 = 1, TRUE, FALSE )</formula>
    </cfRule>
  </conditionalFormatting>
  <conditionalFormatting sqref="C62:C66">
    <cfRule type="expression" dxfId="21" priority="20" stopIfTrue="1">
      <formula>IF( $AH62 = 1, TRUE, FALSE )</formula>
    </cfRule>
    <cfRule type="expression" dxfId="20" priority="21" stopIfTrue="1">
      <formula>IF( $AG62 = 1, TRUE, FALSE )</formula>
    </cfRule>
    <cfRule type="expression" dxfId="19" priority="22" stopIfTrue="1">
      <formula>IF( $AF62 = 1, TRUE, FALSE )</formula>
    </cfRule>
  </conditionalFormatting>
  <conditionalFormatting sqref="D60:E63 E7:E66">
    <cfRule type="expression" dxfId="18" priority="14" stopIfTrue="1">
      <formula>IF( $AH7 = 1, TRUE, FALSE )</formula>
    </cfRule>
    <cfRule type="expression" dxfId="17" priority="15" stopIfTrue="1">
      <formula>IF( $AG7 = 1, TRUE, FALSE )</formula>
    </cfRule>
    <cfRule type="expression" dxfId="16" priority="16" stopIfTrue="1">
      <formula>IF( $AF7 = 1, TRUE, FALSE )</formula>
    </cfRule>
  </conditionalFormatting>
  <conditionalFormatting sqref="D67:E67">
    <cfRule type="expression" dxfId="15" priority="17" stopIfTrue="1">
      <formula>IF( $AH67 = 1, TRUE, FALSE )</formula>
    </cfRule>
    <cfRule type="expression" dxfId="14" priority="18" stopIfTrue="1">
      <formula>IF( $AG67 = 1, TRUE, FALSE )</formula>
    </cfRule>
    <cfRule type="expression" dxfId="13" priority="19" stopIfTrue="1">
      <formula>IF( $AF67 = 1, TRUE, FALSE )</formula>
    </cfRule>
  </conditionalFormatting>
  <conditionalFormatting sqref="D66:E66">
    <cfRule type="expression" dxfId="12" priority="11" stopIfTrue="1">
      <formula>IF( $AH66 = 1, TRUE, FALSE )</formula>
    </cfRule>
    <cfRule type="expression" dxfId="11" priority="12" stopIfTrue="1">
      <formula>IF( $AG66 = 1, TRUE, FALSE )</formula>
    </cfRule>
    <cfRule type="expression" dxfId="10" priority="13" stopIfTrue="1">
      <formula>IF( $AF66 = 1, TRUE, FALSE )</formula>
    </cfRule>
  </conditionalFormatting>
  <conditionalFormatting sqref="D7:D58">
    <cfRule type="expression" dxfId="9" priority="8" stopIfTrue="1">
      <formula>IF( $AH7 = 1, TRUE, FALSE )</formula>
    </cfRule>
    <cfRule type="expression" dxfId="8" priority="9" stopIfTrue="1">
      <formula>IF( $AG7 = 1, TRUE, FALSE )</formula>
    </cfRule>
    <cfRule type="expression" dxfId="7" priority="10" stopIfTrue="1">
      <formula>IF( $AF7 = 1, TRUE, FALSE )</formula>
    </cfRule>
  </conditionalFormatting>
  <conditionalFormatting sqref="D59">
    <cfRule type="expression" dxfId="6" priority="5" stopIfTrue="1">
      <formula>IF( $AH59 = 1, TRUE, FALSE )</formula>
    </cfRule>
    <cfRule type="expression" dxfId="5" priority="6" stopIfTrue="1">
      <formula>IF( $AG59 = 1, TRUE, FALSE )</formula>
    </cfRule>
    <cfRule type="expression" dxfId="4" priority="7" stopIfTrue="1">
      <formula>IF( $AF59 = 1, TRUE, FALSE )</formula>
    </cfRule>
  </conditionalFormatting>
  <conditionalFormatting sqref="D62:D66">
    <cfRule type="expression" dxfId="3" priority="2" stopIfTrue="1">
      <formula>IF( $AH62 = 1, TRUE, FALSE )</formula>
    </cfRule>
    <cfRule type="expression" dxfId="2" priority="3" stopIfTrue="1">
      <formula>IF( $AG62 = 1, TRUE, FALSE )</formula>
    </cfRule>
    <cfRule type="expression" dxfId="1" priority="4" stopIfTrue="1">
      <formula>IF( $AF62 = 1, TRUE, FALSE )</formula>
    </cfRule>
  </conditionalFormatting>
  <conditionalFormatting sqref="I8:I12">
    <cfRule type="cellIs" dxfId="0" priority="1" operator="equal">
      <formula>0</formula>
    </cfRule>
  </conditionalFormatting>
  <pageMargins left="0.17" right="0.18" top="0.28000000000000003" bottom="0.17" header="0.3" footer="0.3"/>
  <pageSetup scale="19" orientation="portrait" horizontalDpi="1200" verticalDpi="120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002060"/>
    <pageSetUpPr fitToPage="1"/>
  </sheetPr>
  <dimension ref="A1:AG84"/>
  <sheetViews>
    <sheetView zoomScale="85" zoomScaleNormal="85" workbookViewId="0">
      <selection activeCell="Z31" sqref="Z31"/>
    </sheetView>
  </sheetViews>
  <sheetFormatPr defaultColWidth="9.140625" defaultRowHeight="12.75" outlineLevelCol="1" x14ac:dyDescent="0.2"/>
  <cols>
    <col min="1" max="1" width="35.140625" style="1" customWidth="1"/>
    <col min="2" max="2" width="9.140625" style="1"/>
    <col min="3" max="3" width="9.140625" style="4"/>
    <col min="4" max="4" width="9.140625" style="4" customWidth="1" outlineLevel="1"/>
    <col min="5" max="5" width="12.5703125" style="4" customWidth="1" outlineLevel="1"/>
    <col min="6" max="6" width="9.140625" style="1"/>
    <col min="7" max="7" width="11.5703125" style="1" customWidth="1"/>
    <col min="8" max="10" width="9.140625" style="1"/>
    <col min="11" max="11" width="11" style="1" bestFit="1" customWidth="1"/>
    <col min="12" max="12" width="4.85546875" style="1" bestFit="1" customWidth="1"/>
    <col min="13" max="16" width="9.140625" style="1"/>
    <col min="17" max="26" width="9.140625" style="1" customWidth="1" outlineLevel="1"/>
    <col min="27" max="27" width="12.5703125" style="107" customWidth="1" outlineLevel="1"/>
    <col min="28" max="33" width="9.140625" style="1" customWidth="1" outlineLevel="1"/>
    <col min="34" max="16384" width="9.140625" style="1"/>
  </cols>
  <sheetData>
    <row r="1" spans="1:33" ht="18.75" x14ac:dyDescent="0.3">
      <c r="A1" s="75" t="s">
        <v>388</v>
      </c>
    </row>
    <row r="2" spans="1:33" ht="18.75" x14ac:dyDescent="0.3">
      <c r="A2" s="75"/>
    </row>
    <row r="3" spans="1:33" ht="18.75" x14ac:dyDescent="0.3">
      <c r="A3" s="75"/>
    </row>
    <row r="4" spans="1:33" ht="18.75" x14ac:dyDescent="0.3">
      <c r="A4" s="75"/>
    </row>
    <row r="5" spans="1:33" x14ac:dyDescent="0.2">
      <c r="E5" s="106" t="s">
        <v>339</v>
      </c>
      <c r="Y5" s="4"/>
      <c r="Z5" s="4"/>
      <c r="AA5" s="106" t="s">
        <v>339</v>
      </c>
      <c r="AF5" s="129" t="s">
        <v>354</v>
      </c>
      <c r="AG5" s="128"/>
    </row>
    <row r="6" spans="1:33" x14ac:dyDescent="0.2">
      <c r="A6" s="150" t="s">
        <v>0</v>
      </c>
      <c r="B6" s="151" t="s">
        <v>389</v>
      </c>
      <c r="C6" s="152"/>
      <c r="D6" s="152"/>
      <c r="E6" s="153">
        <v>40543</v>
      </c>
      <c r="W6" s="150" t="s">
        <v>0</v>
      </c>
      <c r="X6" s="151" t="s">
        <v>389</v>
      </c>
      <c r="Y6" s="152"/>
      <c r="Z6" s="152"/>
      <c r="AA6" s="153">
        <v>40543</v>
      </c>
      <c r="AC6" s="108" t="s">
        <v>137</v>
      </c>
      <c r="AD6" s="109"/>
      <c r="AE6" s="109"/>
      <c r="AF6" s="77">
        <f>AVERAGE(Y$13:Y$51)</f>
        <v>14.351351351351351</v>
      </c>
      <c r="AG6" s="126"/>
    </row>
    <row r="7" spans="1:33" ht="13.5" thickBot="1" x14ac:dyDescent="0.25">
      <c r="A7" s="81" t="s">
        <v>6</v>
      </c>
      <c r="B7" s="82" t="s">
        <v>110</v>
      </c>
      <c r="C7" s="82">
        <v>22</v>
      </c>
      <c r="D7" s="82" t="s">
        <v>313</v>
      </c>
      <c r="E7" s="102">
        <f>VLOOKUP($D7,$Q$7:$R$68,2,0)</f>
        <v>1</v>
      </c>
      <c r="F7" s="65"/>
      <c r="G7" s="96" t="s">
        <v>77</v>
      </c>
      <c r="H7" s="96" t="s">
        <v>81</v>
      </c>
      <c r="I7" s="96" t="s">
        <v>82</v>
      </c>
      <c r="N7" s="67"/>
      <c r="O7" s="66"/>
      <c r="Q7" s="141" t="s">
        <v>274</v>
      </c>
      <c r="R7" s="142">
        <v>0.84669359982989578</v>
      </c>
      <c r="S7" s="141" t="s">
        <v>371</v>
      </c>
      <c r="W7" s="165" t="s">
        <v>87</v>
      </c>
      <c r="X7" s="166" t="s">
        <v>10</v>
      </c>
      <c r="Y7" s="166">
        <v>16</v>
      </c>
      <c r="Z7" s="166" t="s">
        <v>304</v>
      </c>
      <c r="AA7" s="167" t="s">
        <v>373</v>
      </c>
      <c r="AC7" s="96" t="s">
        <v>77</v>
      </c>
      <c r="AD7" s="96" t="s">
        <v>81</v>
      </c>
      <c r="AE7" s="96" t="s">
        <v>82</v>
      </c>
      <c r="AG7" s="127"/>
    </row>
    <row r="8" spans="1:33" x14ac:dyDescent="0.2">
      <c r="A8" s="79" t="s">
        <v>7</v>
      </c>
      <c r="B8" s="80" t="s">
        <v>2</v>
      </c>
      <c r="C8" s="80">
        <v>21</v>
      </c>
      <c r="D8" s="80" t="s">
        <v>328</v>
      </c>
      <c r="E8" s="101">
        <f t="shared" ref="E8:E13" si="0">VLOOKUP($D8,$Q$7:$R$68,2,0)</f>
        <v>0.92936836749527552</v>
      </c>
      <c r="F8" s="65"/>
      <c r="G8" s="72" t="s">
        <v>138</v>
      </c>
      <c r="H8" s="86">
        <f>COUNTIF(C$7:C$67,"&gt;16")</f>
        <v>54</v>
      </c>
      <c r="I8" s="87">
        <f>H8/H$14</f>
        <v>0.9152542372881356</v>
      </c>
      <c r="K8" s="66"/>
      <c r="M8" s="66"/>
      <c r="N8" s="66"/>
      <c r="O8" s="67"/>
      <c r="Q8" s="141" t="s">
        <v>275</v>
      </c>
      <c r="R8" s="142">
        <v>0.96680210088197405</v>
      </c>
      <c r="S8" s="141" t="s">
        <v>371</v>
      </c>
      <c r="W8" s="83" t="s">
        <v>5</v>
      </c>
      <c r="X8" s="110" t="s">
        <v>10</v>
      </c>
      <c r="Y8" s="110">
        <v>16</v>
      </c>
      <c r="Z8" s="110" t="s">
        <v>312</v>
      </c>
      <c r="AA8" s="111" t="s">
        <v>373</v>
      </c>
      <c r="AC8" s="72" t="s">
        <v>138</v>
      </c>
      <c r="AD8" s="86">
        <f>COUNTIF(Y$13:Y$51,"&gt;16")</f>
        <v>3</v>
      </c>
      <c r="AE8" s="87">
        <f>AD8/AD$14</f>
        <v>8.1081081081081086E-2</v>
      </c>
      <c r="AG8" s="127"/>
    </row>
    <row r="9" spans="1:33" x14ac:dyDescent="0.2">
      <c r="A9" s="81" t="s">
        <v>3</v>
      </c>
      <c r="B9" s="82" t="s">
        <v>10</v>
      </c>
      <c r="C9" s="82">
        <v>20</v>
      </c>
      <c r="D9" s="82" t="s">
        <v>292</v>
      </c>
      <c r="E9" s="102">
        <f t="shared" si="0"/>
        <v>0.89318320146074259</v>
      </c>
      <c r="F9" s="65"/>
      <c r="G9" s="72" t="s">
        <v>10</v>
      </c>
      <c r="H9" s="86">
        <f>COUNTIF(C$7:C$67,"=16")</f>
        <v>3</v>
      </c>
      <c r="I9" s="87">
        <f t="shared" ref="I9:I14" si="1">H9/H$14</f>
        <v>5.0847457627118647E-2</v>
      </c>
      <c r="K9" s="66"/>
      <c r="M9" s="66"/>
      <c r="N9" s="66"/>
      <c r="O9" s="67"/>
      <c r="Q9" s="141" t="s">
        <v>276</v>
      </c>
      <c r="R9" s="142">
        <v>1</v>
      </c>
      <c r="S9" s="141" t="s">
        <v>371</v>
      </c>
      <c r="W9" s="83" t="s">
        <v>255</v>
      </c>
      <c r="X9" s="110" t="s">
        <v>16</v>
      </c>
      <c r="Y9" s="110">
        <v>15</v>
      </c>
      <c r="Z9" s="110" t="s">
        <v>305</v>
      </c>
      <c r="AA9" s="111" t="s">
        <v>373</v>
      </c>
      <c r="AC9" s="72" t="s">
        <v>10</v>
      </c>
      <c r="AD9" s="86">
        <f>COUNTIF(Y$13:Y$51,"=16")</f>
        <v>5</v>
      </c>
      <c r="AE9" s="87">
        <f t="shared" ref="AE9:AE14" si="2">AD9/AD$14</f>
        <v>0.13513513513513514</v>
      </c>
      <c r="AG9" s="127"/>
    </row>
    <row r="10" spans="1:33" x14ac:dyDescent="0.2">
      <c r="A10" s="81" t="s">
        <v>18</v>
      </c>
      <c r="B10" s="82" t="s">
        <v>10</v>
      </c>
      <c r="C10" s="82">
        <v>20</v>
      </c>
      <c r="D10" s="82" t="s">
        <v>86</v>
      </c>
      <c r="E10" s="102">
        <f t="shared" si="0"/>
        <v>0.63157463237392464</v>
      </c>
      <c r="F10" s="65"/>
      <c r="G10" s="72" t="s">
        <v>16</v>
      </c>
      <c r="H10" s="86">
        <f>COUNTIF(C$7:C$67,"=15")</f>
        <v>1</v>
      </c>
      <c r="I10" s="87">
        <f t="shared" si="1"/>
        <v>1.6949152542372881E-2</v>
      </c>
      <c r="K10" s="66"/>
      <c r="M10" s="66"/>
      <c r="N10" s="66"/>
      <c r="O10" s="67"/>
      <c r="Q10" s="141" t="s">
        <v>277</v>
      </c>
      <c r="R10" s="142">
        <v>0.91042888352305396</v>
      </c>
      <c r="S10" s="141" t="s">
        <v>371</v>
      </c>
      <c r="W10" s="83" t="s">
        <v>256</v>
      </c>
      <c r="X10" s="110" t="s">
        <v>16</v>
      </c>
      <c r="Y10" s="110">
        <v>15</v>
      </c>
      <c r="Z10" s="110" t="s">
        <v>306</v>
      </c>
      <c r="AA10" s="111" t="s">
        <v>373</v>
      </c>
      <c r="AC10" s="72" t="s">
        <v>16</v>
      </c>
      <c r="AD10" s="86">
        <f>COUNTIF(Y$13:Y$51,"=15")</f>
        <v>7</v>
      </c>
      <c r="AE10" s="87">
        <f t="shared" si="2"/>
        <v>0.1891891891891892</v>
      </c>
      <c r="AG10" s="127"/>
    </row>
    <row r="11" spans="1:33" x14ac:dyDescent="0.2">
      <c r="A11" s="81" t="s">
        <v>32</v>
      </c>
      <c r="B11" s="82" t="s">
        <v>10</v>
      </c>
      <c r="C11" s="82">
        <v>20</v>
      </c>
      <c r="D11" s="82" t="s">
        <v>290</v>
      </c>
      <c r="E11" s="102">
        <f t="shared" si="0"/>
        <v>0.76510407852428497</v>
      </c>
      <c r="F11" s="65"/>
      <c r="G11" s="72" t="s">
        <v>28</v>
      </c>
      <c r="H11" s="86">
        <f>COUNTIF(C$7:C$67,"=14")</f>
        <v>0</v>
      </c>
      <c r="I11" s="87">
        <f t="shared" si="1"/>
        <v>0</v>
      </c>
      <c r="K11" s="67"/>
      <c r="L11" s="4"/>
      <c r="M11" s="67"/>
      <c r="N11" s="67"/>
      <c r="O11" s="67"/>
      <c r="Q11" s="141" t="s">
        <v>278</v>
      </c>
      <c r="R11" s="142">
        <v>0.91095138568993894</v>
      </c>
      <c r="S11" s="141" t="s">
        <v>371</v>
      </c>
      <c r="W11" s="83" t="s">
        <v>38</v>
      </c>
      <c r="X11" s="110" t="s">
        <v>28</v>
      </c>
      <c r="Y11" s="110">
        <v>14</v>
      </c>
      <c r="Z11" s="110" t="s">
        <v>300</v>
      </c>
      <c r="AA11" s="111" t="s">
        <v>373</v>
      </c>
      <c r="AC11" s="72" t="s">
        <v>28</v>
      </c>
      <c r="AD11" s="86">
        <f>COUNTIF(Y$13:Y$51,"=14")</f>
        <v>13</v>
      </c>
      <c r="AE11" s="87">
        <f t="shared" si="2"/>
        <v>0.35135135135135137</v>
      </c>
      <c r="AG11" s="127"/>
    </row>
    <row r="12" spans="1:33" x14ac:dyDescent="0.2">
      <c r="A12" s="81" t="s">
        <v>452</v>
      </c>
      <c r="B12" s="82" t="s">
        <v>10</v>
      </c>
      <c r="C12" s="82">
        <v>20</v>
      </c>
      <c r="D12" s="82" t="s">
        <v>444</v>
      </c>
      <c r="E12" s="102">
        <f t="shared" si="0"/>
        <v>0.96341849943457658</v>
      </c>
      <c r="F12" s="65"/>
      <c r="G12" s="72" t="s">
        <v>49</v>
      </c>
      <c r="H12" s="86">
        <f>COUNTIF(C$7:C$67,"=13")</f>
        <v>0</v>
      </c>
      <c r="I12" s="87">
        <f t="shared" si="1"/>
        <v>0</v>
      </c>
      <c r="Q12" s="141" t="s">
        <v>279</v>
      </c>
      <c r="R12" s="142">
        <v>0.62875460562079877</v>
      </c>
      <c r="S12" s="143" t="s">
        <v>372</v>
      </c>
      <c r="W12" s="83" t="s">
        <v>262</v>
      </c>
      <c r="X12" s="110" t="s">
        <v>49</v>
      </c>
      <c r="Y12" s="110">
        <v>13</v>
      </c>
      <c r="Z12" s="110" t="s">
        <v>185</v>
      </c>
      <c r="AA12" s="111" t="s">
        <v>373</v>
      </c>
      <c r="AC12" s="72" t="s">
        <v>49</v>
      </c>
      <c r="AD12" s="86">
        <f>COUNTIF(Y$13:Y$51,"=13")</f>
        <v>5</v>
      </c>
      <c r="AE12" s="87">
        <f t="shared" si="2"/>
        <v>0.13513513513513514</v>
      </c>
      <c r="AG12" s="127"/>
    </row>
    <row r="13" spans="1:33" ht="13.5" thickBot="1" x14ac:dyDescent="0.25">
      <c r="A13" s="81" t="s">
        <v>370</v>
      </c>
      <c r="B13" s="82" t="s">
        <v>10</v>
      </c>
      <c r="C13" s="82">
        <v>20</v>
      </c>
      <c r="D13" s="82" t="s">
        <v>369</v>
      </c>
      <c r="E13" s="102">
        <f t="shared" si="0"/>
        <v>0.541533003736272</v>
      </c>
      <c r="F13" s="65"/>
      <c r="G13" s="93" t="s">
        <v>79</v>
      </c>
      <c r="H13" s="94">
        <f>COUNTIF(C$7:C$67,"&lt;13")</f>
        <v>1</v>
      </c>
      <c r="I13" s="95">
        <f t="shared" si="1"/>
        <v>1.6949152542372881E-2</v>
      </c>
      <c r="Q13" s="141" t="s">
        <v>280</v>
      </c>
      <c r="R13" s="142">
        <v>0.68875112521618576</v>
      </c>
      <c r="S13" s="143" t="s">
        <v>372</v>
      </c>
      <c r="W13" s="83" t="s">
        <v>261</v>
      </c>
      <c r="X13" s="110" t="s">
        <v>28</v>
      </c>
      <c r="Y13" s="110">
        <v>14</v>
      </c>
      <c r="Z13" s="110" t="s">
        <v>301</v>
      </c>
      <c r="AA13" s="111">
        <v>1.0379329114785329</v>
      </c>
      <c r="AC13" s="93" t="s">
        <v>79</v>
      </c>
      <c r="AD13" s="94">
        <f>COUNTIF(Y$13:Y$51,"&lt;13")</f>
        <v>4</v>
      </c>
      <c r="AE13" s="95">
        <f t="shared" si="2"/>
        <v>0.10810810810810811</v>
      </c>
      <c r="AG13" s="127"/>
    </row>
    <row r="14" spans="1:33" x14ac:dyDescent="0.2">
      <c r="A14" s="81" t="s">
        <v>14</v>
      </c>
      <c r="B14" s="82" t="s">
        <v>10</v>
      </c>
      <c r="C14" s="82">
        <v>20</v>
      </c>
      <c r="D14" s="82" t="s">
        <v>335</v>
      </c>
      <c r="E14" s="102">
        <f t="shared" ref="E14:E45" si="3">VLOOKUP($D14,$Q$7:$R$68,2,0)</f>
        <v>0.975461842272901</v>
      </c>
      <c r="F14" s="65"/>
      <c r="G14" s="88" t="s">
        <v>80</v>
      </c>
      <c r="H14" s="89">
        <f>SUM(H8:H13)</f>
        <v>59</v>
      </c>
      <c r="I14" s="90">
        <f t="shared" si="1"/>
        <v>1</v>
      </c>
      <c r="Q14" s="141" t="s">
        <v>281</v>
      </c>
      <c r="R14" s="142">
        <v>0.76017780502759058</v>
      </c>
      <c r="S14" s="143" t="s">
        <v>372</v>
      </c>
      <c r="W14" s="83" t="s">
        <v>35</v>
      </c>
      <c r="X14" s="110" t="s">
        <v>49</v>
      </c>
      <c r="Y14" s="110">
        <v>13</v>
      </c>
      <c r="Z14" s="110" t="s">
        <v>293</v>
      </c>
      <c r="AA14" s="111">
        <v>1.0292149475019923</v>
      </c>
      <c r="AC14" s="88" t="s">
        <v>80</v>
      </c>
      <c r="AD14" s="89">
        <f>SUM(AD8:AD13)</f>
        <v>37</v>
      </c>
      <c r="AE14" s="90">
        <f t="shared" si="2"/>
        <v>1</v>
      </c>
      <c r="AG14" s="127"/>
    </row>
    <row r="15" spans="1:33" x14ac:dyDescent="0.2">
      <c r="A15" s="81" t="s">
        <v>26</v>
      </c>
      <c r="B15" s="82" t="s">
        <v>10</v>
      </c>
      <c r="C15" s="82">
        <v>20</v>
      </c>
      <c r="D15" s="82" t="s">
        <v>336</v>
      </c>
      <c r="E15" s="102">
        <f t="shared" si="3"/>
        <v>0.91865112788863534</v>
      </c>
      <c r="F15" s="65"/>
      <c r="K15" s="9"/>
      <c r="Q15" s="141" t="s">
        <v>282</v>
      </c>
      <c r="R15" s="142">
        <v>0.33305692234682915</v>
      </c>
      <c r="S15" s="141" t="s">
        <v>86</v>
      </c>
      <c r="W15" s="83" t="s">
        <v>6</v>
      </c>
      <c r="X15" s="110" t="s">
        <v>110</v>
      </c>
      <c r="Y15" s="110">
        <v>18</v>
      </c>
      <c r="Z15" s="110" t="s">
        <v>313</v>
      </c>
      <c r="AA15" s="111">
        <v>1</v>
      </c>
      <c r="AG15" s="127"/>
    </row>
    <row r="16" spans="1:33" x14ac:dyDescent="0.2">
      <c r="A16" s="81" t="s">
        <v>258</v>
      </c>
      <c r="B16" s="82" t="s">
        <v>10</v>
      </c>
      <c r="C16" s="82">
        <v>20</v>
      </c>
      <c r="D16" s="82" t="s">
        <v>338</v>
      </c>
      <c r="E16" s="102">
        <f t="shared" si="3"/>
        <v>0.94700000000000006</v>
      </c>
      <c r="F16" s="65"/>
      <c r="K16" s="9"/>
      <c r="L16" s="4"/>
      <c r="Q16" s="141" t="s">
        <v>283</v>
      </c>
      <c r="R16" s="142">
        <v>0.89001113183270453</v>
      </c>
      <c r="S16" s="143" t="s">
        <v>371</v>
      </c>
      <c r="W16" s="83" t="s">
        <v>34</v>
      </c>
      <c r="X16" s="110" t="s">
        <v>28</v>
      </c>
      <c r="Y16" s="110">
        <v>14</v>
      </c>
      <c r="Z16" s="110" t="s">
        <v>294</v>
      </c>
      <c r="AA16" s="111">
        <v>1</v>
      </c>
      <c r="AG16" s="127"/>
    </row>
    <row r="17" spans="1:33" x14ac:dyDescent="0.2">
      <c r="A17" s="83" t="s">
        <v>15</v>
      </c>
      <c r="B17" s="80" t="s">
        <v>16</v>
      </c>
      <c r="C17" s="80">
        <v>19</v>
      </c>
      <c r="D17" s="80" t="s">
        <v>277</v>
      </c>
      <c r="E17" s="101">
        <f t="shared" si="3"/>
        <v>0.91042888352305396</v>
      </c>
      <c r="F17" s="65"/>
      <c r="K17" s="9"/>
      <c r="L17" s="4"/>
      <c r="Q17" s="141" t="s">
        <v>284</v>
      </c>
      <c r="R17" s="142">
        <v>0.89235399590163933</v>
      </c>
      <c r="S17" s="141" t="s">
        <v>371</v>
      </c>
      <c r="W17" s="83" t="s">
        <v>24</v>
      </c>
      <c r="X17" s="110" t="s">
        <v>28</v>
      </c>
      <c r="Y17" s="110">
        <v>14</v>
      </c>
      <c r="Z17" s="110" t="s">
        <v>324</v>
      </c>
      <c r="AA17" s="111">
        <v>1</v>
      </c>
      <c r="AC17" s="108" t="s">
        <v>139</v>
      </c>
      <c r="AD17" s="109"/>
      <c r="AE17" s="109"/>
      <c r="AF17" s="77">
        <f>AVERAGE(Y$52:Y$70)</f>
        <v>14.578947368421053</v>
      </c>
      <c r="AG17" s="126"/>
    </row>
    <row r="18" spans="1:33" ht="13.5" thickBot="1" x14ac:dyDescent="0.25">
      <c r="A18" s="83" t="s">
        <v>17</v>
      </c>
      <c r="B18" s="80" t="s">
        <v>16</v>
      </c>
      <c r="C18" s="80">
        <v>19</v>
      </c>
      <c r="D18" s="80" t="s">
        <v>307</v>
      </c>
      <c r="E18" s="101">
        <f t="shared" si="3"/>
        <v>0.86662573118314323</v>
      </c>
      <c r="F18" s="65"/>
      <c r="K18" s="9"/>
      <c r="L18" s="4"/>
      <c r="N18" s="4"/>
      <c r="Q18" s="141" t="s">
        <v>285</v>
      </c>
      <c r="R18" s="142">
        <v>0.91199977892108686</v>
      </c>
      <c r="S18" s="141" t="s">
        <v>371</v>
      </c>
      <c r="W18" s="83" t="s">
        <v>59</v>
      </c>
      <c r="X18" s="110" t="s">
        <v>28</v>
      </c>
      <c r="Y18" s="110">
        <v>14</v>
      </c>
      <c r="Z18" s="110" t="s">
        <v>337</v>
      </c>
      <c r="AA18" s="111">
        <v>1</v>
      </c>
      <c r="AC18" s="96" t="s">
        <v>77</v>
      </c>
      <c r="AD18" s="96" t="s">
        <v>81</v>
      </c>
      <c r="AE18" s="96" t="s">
        <v>82</v>
      </c>
      <c r="AG18" s="127"/>
    </row>
    <row r="19" spans="1:33" x14ac:dyDescent="0.2">
      <c r="A19" s="171" t="s">
        <v>29</v>
      </c>
      <c r="B19" s="172" t="s">
        <v>16</v>
      </c>
      <c r="C19" s="172">
        <v>19</v>
      </c>
      <c r="D19" s="172" t="s">
        <v>286</v>
      </c>
      <c r="E19" s="173">
        <f t="shared" si="3"/>
        <v>0.71562826313957539</v>
      </c>
      <c r="F19" s="69"/>
      <c r="K19" s="9"/>
      <c r="L19" s="4"/>
      <c r="N19" s="4"/>
      <c r="Q19" s="141" t="s">
        <v>286</v>
      </c>
      <c r="R19" s="142">
        <v>0.71562826313957539</v>
      </c>
      <c r="S19" s="141" t="s">
        <v>372</v>
      </c>
      <c r="W19" s="83" t="s">
        <v>64</v>
      </c>
      <c r="X19" s="110" t="s">
        <v>49</v>
      </c>
      <c r="Y19" s="110">
        <v>13</v>
      </c>
      <c r="Z19" s="110" t="s">
        <v>288</v>
      </c>
      <c r="AA19" s="111">
        <v>1</v>
      </c>
      <c r="AC19" s="72" t="s">
        <v>138</v>
      </c>
      <c r="AD19" s="86">
        <f>COUNTIF(Y$52:Y$70,"&gt;16")</f>
        <v>1</v>
      </c>
      <c r="AE19" s="87">
        <f>AD19/AD$25</f>
        <v>5.2631578947368418E-2</v>
      </c>
      <c r="AG19" s="127"/>
    </row>
    <row r="20" spans="1:33" x14ac:dyDescent="0.2">
      <c r="A20" s="83" t="s">
        <v>31</v>
      </c>
      <c r="B20" s="80" t="s">
        <v>16</v>
      </c>
      <c r="C20" s="80">
        <v>19</v>
      </c>
      <c r="D20" s="110" t="s">
        <v>289</v>
      </c>
      <c r="E20" s="111">
        <f t="shared" si="3"/>
        <v>0.81254016709511567</v>
      </c>
      <c r="F20" s="65"/>
      <c r="K20" s="9"/>
      <c r="L20" s="4"/>
      <c r="N20" s="4"/>
      <c r="Q20" s="141" t="s">
        <v>287</v>
      </c>
      <c r="R20" s="142">
        <v>0.99609846555590886</v>
      </c>
      <c r="S20" s="143" t="s">
        <v>371</v>
      </c>
      <c r="W20" s="83" t="s">
        <v>58</v>
      </c>
      <c r="X20" s="110" t="s">
        <v>49</v>
      </c>
      <c r="Y20" s="110">
        <v>13</v>
      </c>
      <c r="Z20" s="110" t="s">
        <v>276</v>
      </c>
      <c r="AA20" s="111">
        <v>1</v>
      </c>
      <c r="AC20" s="72" t="s">
        <v>10</v>
      </c>
      <c r="AD20" s="86">
        <f>COUNTIF(Y$52:Y$70,"=16")</f>
        <v>3</v>
      </c>
      <c r="AE20" s="87">
        <f t="shared" ref="AE20:AE25" si="4">AD20/AD$25</f>
        <v>0.15789473684210525</v>
      </c>
      <c r="AG20" s="127"/>
    </row>
    <row r="21" spans="1:33" x14ac:dyDescent="0.2">
      <c r="A21" s="83" t="s">
        <v>254</v>
      </c>
      <c r="B21" s="80" t="s">
        <v>16</v>
      </c>
      <c r="C21" s="80">
        <v>19</v>
      </c>
      <c r="D21" s="80" t="s">
        <v>331</v>
      </c>
      <c r="E21" s="101">
        <f t="shared" si="3"/>
        <v>0.83267459864721705</v>
      </c>
      <c r="F21" s="65"/>
      <c r="Q21" s="141" t="s">
        <v>86</v>
      </c>
      <c r="R21" s="142">
        <v>0.63157463237392464</v>
      </c>
      <c r="S21" s="141" t="s">
        <v>372</v>
      </c>
      <c r="W21" s="83" t="s">
        <v>53</v>
      </c>
      <c r="X21" s="110" t="s">
        <v>28</v>
      </c>
      <c r="Y21" s="110">
        <v>14</v>
      </c>
      <c r="Z21" s="110" t="s">
        <v>318</v>
      </c>
      <c r="AA21" s="111">
        <v>0.99967409016838671</v>
      </c>
      <c r="AC21" s="72" t="s">
        <v>16</v>
      </c>
      <c r="AD21" s="86">
        <f>COUNTIF(Y$52:Y$70,"=15")</f>
        <v>6</v>
      </c>
      <c r="AE21" s="87">
        <f t="shared" si="4"/>
        <v>0.31578947368421051</v>
      </c>
      <c r="AG21" s="127"/>
    </row>
    <row r="22" spans="1:33" x14ac:dyDescent="0.2">
      <c r="A22" s="83" t="s">
        <v>12</v>
      </c>
      <c r="B22" s="80" t="s">
        <v>16</v>
      </c>
      <c r="C22" s="80">
        <v>19</v>
      </c>
      <c r="D22" s="80" t="s">
        <v>309</v>
      </c>
      <c r="E22" s="101">
        <f t="shared" si="3"/>
        <v>0.36101059894989318</v>
      </c>
      <c r="F22" s="65"/>
      <c r="Q22" s="141" t="s">
        <v>288</v>
      </c>
      <c r="R22" s="142">
        <v>1</v>
      </c>
      <c r="S22" s="143" t="s">
        <v>371</v>
      </c>
      <c r="W22" s="83" t="s">
        <v>50</v>
      </c>
      <c r="X22" s="84" t="s">
        <v>373</v>
      </c>
      <c r="Y22" s="84"/>
      <c r="Z22" s="110" t="s">
        <v>287</v>
      </c>
      <c r="AA22" s="111">
        <v>0.99609846555590886</v>
      </c>
      <c r="AC22" s="72" t="s">
        <v>28</v>
      </c>
      <c r="AD22" s="86">
        <f>COUNTIF(Y$52:Y$70,"=14")</f>
        <v>3</v>
      </c>
      <c r="AE22" s="87">
        <f t="shared" si="4"/>
        <v>0.15789473684210525</v>
      </c>
      <c r="AG22" s="127"/>
    </row>
    <row r="23" spans="1:33" x14ac:dyDescent="0.2">
      <c r="A23" s="83" t="s">
        <v>52</v>
      </c>
      <c r="B23" s="80" t="s">
        <v>16</v>
      </c>
      <c r="C23" s="80">
        <v>19</v>
      </c>
      <c r="D23" s="80" t="s">
        <v>281</v>
      </c>
      <c r="E23" s="101">
        <f t="shared" si="3"/>
        <v>0.76017780502759058</v>
      </c>
      <c r="F23" s="65"/>
      <c r="Q23" s="141" t="s">
        <v>289</v>
      </c>
      <c r="R23" s="142">
        <v>0.81254016709511567</v>
      </c>
      <c r="S23" s="141" t="s">
        <v>371</v>
      </c>
      <c r="W23" s="83" t="s">
        <v>66</v>
      </c>
      <c r="X23" s="110" t="s">
        <v>28</v>
      </c>
      <c r="Y23" s="110">
        <v>14</v>
      </c>
      <c r="Z23" s="110" t="s">
        <v>315</v>
      </c>
      <c r="AA23" s="111">
        <v>0.99569209153466032</v>
      </c>
      <c r="AC23" s="72" t="s">
        <v>49</v>
      </c>
      <c r="AD23" s="86">
        <f>COUNTIF(Y$52:Y$70,"=13")</f>
        <v>6</v>
      </c>
      <c r="AE23" s="87">
        <f t="shared" si="4"/>
        <v>0.31578947368421051</v>
      </c>
      <c r="AG23" s="127"/>
    </row>
    <row r="24" spans="1:33" ht="13.5" thickBot="1" x14ac:dyDescent="0.25">
      <c r="A24" s="83" t="s">
        <v>513</v>
      </c>
      <c r="B24" s="80" t="s">
        <v>16</v>
      </c>
      <c r="C24" s="80">
        <v>19</v>
      </c>
      <c r="D24" s="110" t="s">
        <v>512</v>
      </c>
      <c r="E24" s="111">
        <f t="shared" si="3"/>
        <v>0.95294725244456668</v>
      </c>
      <c r="F24" s="65"/>
      <c r="Q24" s="141" t="s">
        <v>290</v>
      </c>
      <c r="R24" s="142">
        <v>0.76510407852428497</v>
      </c>
      <c r="S24" s="141" t="s">
        <v>372</v>
      </c>
      <c r="W24" s="83" t="s">
        <v>266</v>
      </c>
      <c r="X24" s="110" t="s">
        <v>56</v>
      </c>
      <c r="Y24" s="110">
        <v>12</v>
      </c>
      <c r="Z24" s="110" t="s">
        <v>314</v>
      </c>
      <c r="AA24" s="111">
        <v>0.99533285779852521</v>
      </c>
      <c r="AC24" s="93" t="s">
        <v>79</v>
      </c>
      <c r="AD24" s="94">
        <f>COUNTIF(Y$52:Y$70,"&lt;13")</f>
        <v>0</v>
      </c>
      <c r="AE24" s="95">
        <f t="shared" si="4"/>
        <v>0</v>
      </c>
      <c r="AG24" s="127"/>
    </row>
    <row r="25" spans="1:33" x14ac:dyDescent="0.2">
      <c r="A25" s="83" t="s">
        <v>21</v>
      </c>
      <c r="B25" s="80" t="s">
        <v>16</v>
      </c>
      <c r="C25" s="80">
        <v>19</v>
      </c>
      <c r="D25" s="80" t="s">
        <v>316</v>
      </c>
      <c r="E25" s="101">
        <f t="shared" si="3"/>
        <v>0.76907329412838532</v>
      </c>
      <c r="F25" s="69"/>
      <c r="Q25" s="141" t="s">
        <v>291</v>
      </c>
      <c r="R25" s="142">
        <v>0.96341849943457658</v>
      </c>
      <c r="S25" s="143" t="s">
        <v>371</v>
      </c>
      <c r="W25" s="83" t="s">
        <v>54</v>
      </c>
      <c r="X25" s="110" t="s">
        <v>56</v>
      </c>
      <c r="Y25" s="110">
        <v>12</v>
      </c>
      <c r="Z25" s="110" t="s">
        <v>326</v>
      </c>
      <c r="AA25" s="111">
        <v>0.99461817608484948</v>
      </c>
      <c r="AC25" s="88" t="s">
        <v>80</v>
      </c>
      <c r="AD25" s="89">
        <f>SUM(AD19:AD24)</f>
        <v>19</v>
      </c>
      <c r="AE25" s="90">
        <f t="shared" si="4"/>
        <v>1</v>
      </c>
      <c r="AG25" s="127"/>
    </row>
    <row r="26" spans="1:33" x14ac:dyDescent="0.2">
      <c r="A26" s="83" t="s">
        <v>23</v>
      </c>
      <c r="B26" s="110" t="s">
        <v>16</v>
      </c>
      <c r="C26" s="110">
        <v>19</v>
      </c>
      <c r="D26" s="110" t="s">
        <v>323</v>
      </c>
      <c r="E26" s="111">
        <f t="shared" si="3"/>
        <v>0.73349447513812149</v>
      </c>
      <c r="F26" s="65"/>
      <c r="Q26" s="141" t="s">
        <v>292</v>
      </c>
      <c r="R26" s="142">
        <v>0.89318320146074259</v>
      </c>
      <c r="S26" s="141" t="s">
        <v>371</v>
      </c>
      <c r="W26" s="83" t="s">
        <v>41</v>
      </c>
      <c r="X26" s="110" t="s">
        <v>28</v>
      </c>
      <c r="Y26" s="110">
        <v>14</v>
      </c>
      <c r="Z26" s="110" t="s">
        <v>322</v>
      </c>
      <c r="AA26" s="111">
        <v>0.99126425624848336</v>
      </c>
      <c r="AG26" s="127"/>
    </row>
    <row r="27" spans="1:33" x14ac:dyDescent="0.2">
      <c r="A27" s="83" t="s">
        <v>257</v>
      </c>
      <c r="B27" s="80" t="s">
        <v>16</v>
      </c>
      <c r="C27" s="80">
        <v>19</v>
      </c>
      <c r="D27" s="80" t="s">
        <v>320</v>
      </c>
      <c r="E27" s="101">
        <f t="shared" si="3"/>
        <v>0.85816623707026407</v>
      </c>
      <c r="F27" s="65"/>
      <c r="Q27" s="141" t="s">
        <v>293</v>
      </c>
      <c r="R27" s="142">
        <v>1.0292149475019923</v>
      </c>
      <c r="S27" s="141" t="s">
        <v>371</v>
      </c>
      <c r="W27" s="83" t="s">
        <v>75</v>
      </c>
      <c r="X27" s="110" t="s">
        <v>28</v>
      </c>
      <c r="Y27" s="110">
        <v>14</v>
      </c>
      <c r="Z27" s="110" t="s">
        <v>332</v>
      </c>
      <c r="AA27" s="111">
        <v>0.98872477714287255</v>
      </c>
      <c r="AG27" s="127"/>
    </row>
    <row r="28" spans="1:33" x14ac:dyDescent="0.2">
      <c r="A28" s="83" t="s">
        <v>13</v>
      </c>
      <c r="B28" s="80" t="s">
        <v>16</v>
      </c>
      <c r="C28" s="80">
        <v>19</v>
      </c>
      <c r="D28" s="80" t="s">
        <v>327</v>
      </c>
      <c r="E28" s="101">
        <f t="shared" si="3"/>
        <v>0.77444478716841458</v>
      </c>
      <c r="F28" s="65"/>
      <c r="Q28" s="141" t="s">
        <v>294</v>
      </c>
      <c r="R28" s="142">
        <v>1</v>
      </c>
      <c r="S28" s="141" t="s">
        <v>371</v>
      </c>
      <c r="W28" s="83" t="s">
        <v>76</v>
      </c>
      <c r="X28" s="84" t="s">
        <v>373</v>
      </c>
      <c r="Y28" s="84"/>
      <c r="Z28" s="84" t="s">
        <v>334</v>
      </c>
      <c r="AA28" s="103">
        <v>0.98538704581358605</v>
      </c>
      <c r="AC28" s="108" t="s">
        <v>140</v>
      </c>
      <c r="AD28" s="109"/>
      <c r="AE28" s="109"/>
      <c r="AF28" s="77">
        <f>AVERAGE(Y$71:Y$74)</f>
        <v>11.5</v>
      </c>
      <c r="AG28" s="126"/>
    </row>
    <row r="29" spans="1:33" ht="13.5" thickBot="1" x14ac:dyDescent="0.25">
      <c r="A29" s="83" t="s">
        <v>25</v>
      </c>
      <c r="B29" s="80" t="s">
        <v>16</v>
      </c>
      <c r="C29" s="80">
        <v>19</v>
      </c>
      <c r="D29" s="80" t="s">
        <v>329</v>
      </c>
      <c r="E29" s="101">
        <f t="shared" si="3"/>
        <v>0.66251692368655679</v>
      </c>
      <c r="F29" s="65"/>
      <c r="Q29" s="141" t="s">
        <v>295</v>
      </c>
      <c r="R29" s="142">
        <v>0.11951366732775717</v>
      </c>
      <c r="S29" s="141" t="s">
        <v>86</v>
      </c>
      <c r="W29" s="83" t="s">
        <v>20</v>
      </c>
      <c r="X29" s="110" t="s">
        <v>28</v>
      </c>
      <c r="Y29" s="110">
        <v>14</v>
      </c>
      <c r="Z29" s="110" t="s">
        <v>303</v>
      </c>
      <c r="AA29" s="111">
        <v>0.97697589100213744</v>
      </c>
      <c r="AC29" s="96" t="s">
        <v>77</v>
      </c>
      <c r="AD29" s="96" t="s">
        <v>81</v>
      </c>
      <c r="AE29" s="96" t="s">
        <v>82</v>
      </c>
    </row>
    <row r="30" spans="1:33" x14ac:dyDescent="0.2">
      <c r="A30" s="83" t="s">
        <v>62</v>
      </c>
      <c r="B30" s="80" t="s">
        <v>16</v>
      </c>
      <c r="C30" s="80">
        <v>19</v>
      </c>
      <c r="D30" s="110" t="s">
        <v>330</v>
      </c>
      <c r="E30" s="111">
        <f t="shared" si="3"/>
        <v>0.93843994106691131</v>
      </c>
      <c r="F30" s="65"/>
      <c r="Q30" s="141" t="s">
        <v>296</v>
      </c>
      <c r="R30" s="142">
        <v>0.7886228860092247</v>
      </c>
      <c r="S30" s="141" t="s">
        <v>372</v>
      </c>
      <c r="W30" s="83" t="s">
        <v>14</v>
      </c>
      <c r="X30" s="110" t="s">
        <v>10</v>
      </c>
      <c r="Y30" s="110">
        <v>16</v>
      </c>
      <c r="Z30" s="110" t="s">
        <v>335</v>
      </c>
      <c r="AA30" s="111">
        <v>0.975461842272901</v>
      </c>
      <c r="AC30" s="72" t="s">
        <v>138</v>
      </c>
      <c r="AD30" s="86">
        <f>COUNTIF(Y$71:Y$74,"&gt;16")</f>
        <v>0</v>
      </c>
      <c r="AE30" s="87">
        <f>AD30/AD$36</f>
        <v>0</v>
      </c>
    </row>
    <row r="31" spans="1:33" x14ac:dyDescent="0.2">
      <c r="A31" s="81" t="s">
        <v>259</v>
      </c>
      <c r="B31" s="82" t="s">
        <v>28</v>
      </c>
      <c r="C31" s="82">
        <v>18</v>
      </c>
      <c r="D31" s="82" t="s">
        <v>275</v>
      </c>
      <c r="E31" s="102">
        <f t="shared" si="3"/>
        <v>0.96680210088197405</v>
      </c>
      <c r="F31" s="65"/>
      <c r="K31" s="66"/>
      <c r="L31" s="66"/>
      <c r="Q31" s="141" t="s">
        <v>297</v>
      </c>
      <c r="R31" s="142">
        <v>0.80341264723043471</v>
      </c>
      <c r="S31" s="143" t="s">
        <v>371</v>
      </c>
      <c r="W31" s="83" t="s">
        <v>265</v>
      </c>
      <c r="X31" s="110" t="s">
        <v>56</v>
      </c>
      <c r="Y31" s="110">
        <v>12</v>
      </c>
      <c r="Z31" s="110" t="s">
        <v>333</v>
      </c>
      <c r="AA31" s="111">
        <v>0.97036252976978032</v>
      </c>
      <c r="AC31" s="72" t="s">
        <v>10</v>
      </c>
      <c r="AD31" s="86">
        <f>COUNTIF(Y$71:Y$74,"=16")</f>
        <v>0</v>
      </c>
      <c r="AE31" s="87">
        <f t="shared" ref="AE31:AE36" si="5">AD31/AD$36</f>
        <v>0</v>
      </c>
    </row>
    <row r="32" spans="1:33" x14ac:dyDescent="0.2">
      <c r="A32" s="81" t="s">
        <v>55</v>
      </c>
      <c r="B32" s="82" t="s">
        <v>28</v>
      </c>
      <c r="C32" s="82">
        <v>18</v>
      </c>
      <c r="D32" s="82" t="s">
        <v>278</v>
      </c>
      <c r="E32" s="102">
        <f t="shared" si="3"/>
        <v>0.91095138568993894</v>
      </c>
      <c r="F32" s="65"/>
      <c r="L32" s="66"/>
      <c r="Q32" s="141" t="s">
        <v>298</v>
      </c>
      <c r="R32" s="142">
        <v>0.58646630934150079</v>
      </c>
      <c r="S32" s="143" t="s">
        <v>372</v>
      </c>
      <c r="W32" s="83" t="s">
        <v>259</v>
      </c>
      <c r="X32" s="110" t="s">
        <v>28</v>
      </c>
      <c r="Y32" s="110">
        <v>14</v>
      </c>
      <c r="Z32" s="110" t="s">
        <v>275</v>
      </c>
      <c r="AA32" s="111">
        <v>0.96680210088197405</v>
      </c>
      <c r="AC32" s="72" t="s">
        <v>16</v>
      </c>
      <c r="AD32" s="86">
        <f>COUNTIF(Y$71:Y$74,"=15")</f>
        <v>1</v>
      </c>
      <c r="AE32" s="87">
        <f t="shared" si="5"/>
        <v>0.25</v>
      </c>
    </row>
    <row r="33" spans="1:31" x14ac:dyDescent="0.2">
      <c r="A33" s="81" t="s">
        <v>30</v>
      </c>
      <c r="B33" s="82" t="s">
        <v>28</v>
      </c>
      <c r="C33" s="82">
        <v>18</v>
      </c>
      <c r="D33" s="82" t="s">
        <v>285</v>
      </c>
      <c r="E33" s="102">
        <f t="shared" si="3"/>
        <v>0.91199977892108686</v>
      </c>
      <c r="F33" s="65"/>
      <c r="L33" s="66"/>
      <c r="Q33" s="141" t="s">
        <v>299</v>
      </c>
      <c r="R33" s="142">
        <v>0.64970550208303401</v>
      </c>
      <c r="S33" s="143" t="s">
        <v>372</v>
      </c>
      <c r="W33" s="83" t="s">
        <v>19</v>
      </c>
      <c r="X33" s="110" t="s">
        <v>10</v>
      </c>
      <c r="Y33" s="110">
        <v>16</v>
      </c>
      <c r="Z33" s="110" t="s">
        <v>291</v>
      </c>
      <c r="AA33" s="111">
        <v>0.96341849943457658</v>
      </c>
      <c r="AC33" s="72" t="s">
        <v>28</v>
      </c>
      <c r="AD33" s="86">
        <f>COUNTIF(Y$71:Y$74,"=14")</f>
        <v>0</v>
      </c>
      <c r="AE33" s="87">
        <f t="shared" si="5"/>
        <v>0</v>
      </c>
    </row>
    <row r="34" spans="1:31" x14ac:dyDescent="0.2">
      <c r="A34" s="81" t="s">
        <v>34</v>
      </c>
      <c r="B34" s="82" t="s">
        <v>28</v>
      </c>
      <c r="C34" s="82">
        <v>18</v>
      </c>
      <c r="D34" s="82" t="s">
        <v>294</v>
      </c>
      <c r="E34" s="102">
        <f t="shared" si="3"/>
        <v>1</v>
      </c>
      <c r="F34" s="65"/>
      <c r="H34" s="4"/>
      <c r="I34" s="4"/>
      <c r="L34" s="66"/>
      <c r="Q34" s="141" t="s">
        <v>301</v>
      </c>
      <c r="R34" s="142">
        <v>1.0379329114785329</v>
      </c>
      <c r="S34" s="143" t="s">
        <v>371</v>
      </c>
      <c r="W34" s="83" t="s">
        <v>513</v>
      </c>
      <c r="X34" s="110" t="s">
        <v>16</v>
      </c>
      <c r="Y34" s="110">
        <v>15</v>
      </c>
      <c r="Z34" s="110" t="s">
        <v>512</v>
      </c>
      <c r="AA34" s="111">
        <v>0.95294725244456668</v>
      </c>
      <c r="AC34" s="72" t="s">
        <v>49</v>
      </c>
      <c r="AD34" s="86">
        <f>COUNTIF(Y$71:Y$74,"=13")</f>
        <v>2</v>
      </c>
      <c r="AE34" s="87">
        <f t="shared" si="5"/>
        <v>0.5</v>
      </c>
    </row>
    <row r="35" spans="1:31" ht="13.5" thickBot="1" x14ac:dyDescent="0.25">
      <c r="A35" s="81" t="s">
        <v>36</v>
      </c>
      <c r="B35" s="82" t="s">
        <v>28</v>
      </c>
      <c r="C35" s="82">
        <v>18</v>
      </c>
      <c r="D35" s="82" t="s">
        <v>297</v>
      </c>
      <c r="E35" s="102">
        <f t="shared" si="3"/>
        <v>0.80341264723043471</v>
      </c>
      <c r="F35" s="65"/>
      <c r="G35" s="86" t="s">
        <v>268</v>
      </c>
      <c r="H35" s="4"/>
      <c r="I35" s="4"/>
      <c r="J35" s="4"/>
      <c r="L35" s="67"/>
      <c r="Q35" s="141" t="s">
        <v>302</v>
      </c>
      <c r="R35" s="142">
        <v>0.47637430521244206</v>
      </c>
      <c r="S35" s="141" t="s">
        <v>86</v>
      </c>
      <c r="W35" s="83" t="s">
        <v>258</v>
      </c>
      <c r="X35" s="110" t="s">
        <v>10</v>
      </c>
      <c r="Y35" s="110">
        <v>16</v>
      </c>
      <c r="Z35" s="110" t="s">
        <v>338</v>
      </c>
      <c r="AA35" s="111">
        <v>0.94700000000000006</v>
      </c>
      <c r="AC35" s="93" t="s">
        <v>79</v>
      </c>
      <c r="AD35" s="94">
        <f>COUNTIF(Y$71:Y$74,"&lt;13")</f>
        <v>1</v>
      </c>
      <c r="AE35" s="95">
        <f t="shared" si="5"/>
        <v>0.25</v>
      </c>
    </row>
    <row r="36" spans="1:31" x14ac:dyDescent="0.2">
      <c r="A36" s="81" t="s">
        <v>11</v>
      </c>
      <c r="B36" s="82" t="s">
        <v>28</v>
      </c>
      <c r="C36" s="82">
        <v>18</v>
      </c>
      <c r="D36" s="82" t="s">
        <v>298</v>
      </c>
      <c r="E36" s="102">
        <f t="shared" si="3"/>
        <v>0.58646630934150079</v>
      </c>
      <c r="F36" s="65"/>
      <c r="G36" s="140"/>
      <c r="H36" s="11"/>
      <c r="I36" s="11"/>
      <c r="J36" s="4"/>
      <c r="L36" s="67"/>
      <c r="Q36" s="141" t="s">
        <v>303</v>
      </c>
      <c r="R36" s="142">
        <v>0.97697589100213744</v>
      </c>
      <c r="S36" s="143" t="s">
        <v>371</v>
      </c>
      <c r="W36" s="83" t="s">
        <v>62</v>
      </c>
      <c r="X36" s="110" t="s">
        <v>16</v>
      </c>
      <c r="Y36" s="110">
        <v>15</v>
      </c>
      <c r="Z36" s="110" t="s">
        <v>330</v>
      </c>
      <c r="AA36" s="111">
        <v>0.93843994106691131</v>
      </c>
      <c r="AC36" s="88" t="s">
        <v>80</v>
      </c>
      <c r="AD36" s="89">
        <f>SUM(AD30:AD35)</f>
        <v>4</v>
      </c>
      <c r="AE36" s="90">
        <f t="shared" si="5"/>
        <v>1</v>
      </c>
    </row>
    <row r="37" spans="1:31" x14ac:dyDescent="0.2">
      <c r="A37" s="81" t="s">
        <v>261</v>
      </c>
      <c r="B37" s="82" t="s">
        <v>28</v>
      </c>
      <c r="C37" s="82">
        <v>18</v>
      </c>
      <c r="D37" s="82" t="s">
        <v>301</v>
      </c>
      <c r="E37" s="102">
        <f t="shared" si="3"/>
        <v>1.0379329114785329</v>
      </c>
      <c r="F37" s="69"/>
      <c r="H37" s="12"/>
      <c r="I37" s="4"/>
      <c r="J37" s="11"/>
      <c r="Q37" s="141" t="s">
        <v>307</v>
      </c>
      <c r="R37" s="142">
        <v>0.86662573118314323</v>
      </c>
      <c r="S37" s="141" t="s">
        <v>371</v>
      </c>
      <c r="W37" s="83" t="s">
        <v>42</v>
      </c>
      <c r="X37" s="110" t="s">
        <v>61</v>
      </c>
      <c r="Y37" s="110">
        <v>11</v>
      </c>
      <c r="Z37" s="110" t="s">
        <v>321</v>
      </c>
      <c r="AA37" s="111">
        <v>0.93520619672453054</v>
      </c>
    </row>
    <row r="38" spans="1:31" x14ac:dyDescent="0.2">
      <c r="A38" s="81" t="s">
        <v>20</v>
      </c>
      <c r="B38" s="82" t="s">
        <v>28</v>
      </c>
      <c r="C38" s="82">
        <v>18</v>
      </c>
      <c r="D38" s="82" t="s">
        <v>303</v>
      </c>
      <c r="E38" s="102">
        <f t="shared" si="3"/>
        <v>0.97697589100213744</v>
      </c>
      <c r="F38" s="65"/>
      <c r="H38" s="12"/>
      <c r="I38" s="4"/>
      <c r="J38" s="13"/>
      <c r="Q38" s="141" t="s">
        <v>309</v>
      </c>
      <c r="R38" s="142">
        <v>0.36101059894989318</v>
      </c>
      <c r="S38" s="141" t="s">
        <v>86</v>
      </c>
      <c r="W38" s="83" t="s">
        <v>7</v>
      </c>
      <c r="X38" s="110" t="s">
        <v>2</v>
      </c>
      <c r="Y38" s="110">
        <v>17</v>
      </c>
      <c r="Z38" s="110" t="s">
        <v>328</v>
      </c>
      <c r="AA38" s="111">
        <v>0.92936836749527552</v>
      </c>
    </row>
    <row r="39" spans="1:31" x14ac:dyDescent="0.2">
      <c r="A39" s="81" t="s">
        <v>66</v>
      </c>
      <c r="B39" s="82" t="s">
        <v>28</v>
      </c>
      <c r="C39" s="82">
        <v>18</v>
      </c>
      <c r="D39" s="82" t="s">
        <v>315</v>
      </c>
      <c r="E39" s="102">
        <f t="shared" si="3"/>
        <v>0.99569209153466032</v>
      </c>
      <c r="F39" s="65"/>
      <c r="H39" s="12"/>
      <c r="I39" s="4"/>
      <c r="J39" s="13"/>
      <c r="Q39" s="141" t="s">
        <v>310</v>
      </c>
      <c r="R39" s="142">
        <v>0.78418126509511765</v>
      </c>
      <c r="S39" s="141" t="s">
        <v>372</v>
      </c>
      <c r="W39" s="83" t="s">
        <v>26</v>
      </c>
      <c r="X39" s="110" t="s">
        <v>10</v>
      </c>
      <c r="Y39" s="110">
        <v>16</v>
      </c>
      <c r="Z39" s="110" t="s">
        <v>336</v>
      </c>
      <c r="AA39" s="111">
        <v>0.91865112788863534</v>
      </c>
    </row>
    <row r="40" spans="1:31" x14ac:dyDescent="0.2">
      <c r="A40" s="168" t="s">
        <v>53</v>
      </c>
      <c r="B40" s="169" t="s">
        <v>28</v>
      </c>
      <c r="C40" s="169">
        <v>18</v>
      </c>
      <c r="D40" s="169" t="s">
        <v>318</v>
      </c>
      <c r="E40" s="170">
        <f t="shared" si="3"/>
        <v>0.99967409016838671</v>
      </c>
      <c r="F40" s="65"/>
      <c r="H40" s="12"/>
      <c r="I40" s="4"/>
      <c r="J40" s="13"/>
      <c r="Q40" s="141" t="s">
        <v>369</v>
      </c>
      <c r="R40" s="142">
        <v>0.541533003736272</v>
      </c>
      <c r="S40" s="143" t="s">
        <v>372</v>
      </c>
      <c r="W40" s="83" t="s">
        <v>30</v>
      </c>
      <c r="X40" s="110" t="s">
        <v>28</v>
      </c>
      <c r="Y40" s="110">
        <v>14</v>
      </c>
      <c r="Z40" s="110" t="s">
        <v>285</v>
      </c>
      <c r="AA40" s="111">
        <v>0.91199977892108686</v>
      </c>
    </row>
    <row r="41" spans="1:31" x14ac:dyDescent="0.2">
      <c r="A41" s="81" t="s">
        <v>41</v>
      </c>
      <c r="B41" s="82" t="s">
        <v>28</v>
      </c>
      <c r="C41" s="82">
        <v>18</v>
      </c>
      <c r="D41" s="82" t="s">
        <v>322</v>
      </c>
      <c r="E41" s="102">
        <f t="shared" si="3"/>
        <v>0.99126425624848336</v>
      </c>
      <c r="F41" s="69"/>
      <c r="H41" s="12"/>
      <c r="I41" s="4"/>
      <c r="J41" s="13"/>
      <c r="Q41" s="141" t="s">
        <v>311</v>
      </c>
      <c r="R41" s="142">
        <v>0.57845507252191697</v>
      </c>
      <c r="S41" s="143" t="s">
        <v>372</v>
      </c>
      <c r="W41" s="83" t="s">
        <v>55</v>
      </c>
      <c r="X41" s="110" t="s">
        <v>28</v>
      </c>
      <c r="Y41" s="110">
        <v>14</v>
      </c>
      <c r="Z41" s="110" t="s">
        <v>278</v>
      </c>
      <c r="AA41" s="111">
        <v>0.91095138568993894</v>
      </c>
    </row>
    <row r="42" spans="1:31" x14ac:dyDescent="0.2">
      <c r="A42" s="81" t="s">
        <v>24</v>
      </c>
      <c r="B42" s="82" t="s">
        <v>28</v>
      </c>
      <c r="C42" s="82">
        <v>18</v>
      </c>
      <c r="D42" s="82" t="s">
        <v>324</v>
      </c>
      <c r="E42" s="102">
        <f t="shared" si="3"/>
        <v>1</v>
      </c>
      <c r="F42" s="69"/>
      <c r="H42" s="12"/>
      <c r="I42" s="4"/>
      <c r="J42" s="13"/>
      <c r="Q42" s="141" t="s">
        <v>313</v>
      </c>
      <c r="R42" s="142">
        <v>1</v>
      </c>
      <c r="S42" s="143" t="s">
        <v>371</v>
      </c>
      <c r="W42" s="83" t="s">
        <v>15</v>
      </c>
      <c r="X42" s="110" t="s">
        <v>16</v>
      </c>
      <c r="Y42" s="110">
        <v>15</v>
      </c>
      <c r="Z42" s="110" t="s">
        <v>277</v>
      </c>
      <c r="AA42" s="111">
        <v>0.91042888352305396</v>
      </c>
    </row>
    <row r="43" spans="1:31" x14ac:dyDescent="0.2">
      <c r="A43" s="81" t="s">
        <v>43</v>
      </c>
      <c r="B43" s="82" t="s">
        <v>28</v>
      </c>
      <c r="C43" s="82">
        <v>18</v>
      </c>
      <c r="D43" s="82" t="s">
        <v>325</v>
      </c>
      <c r="E43" s="102">
        <f>VLOOKUP($D43,$Q$7:$R$68,2,0)</f>
        <v>0.61841824770837783</v>
      </c>
      <c r="F43" s="65"/>
      <c r="H43" s="4"/>
      <c r="I43" s="4"/>
      <c r="J43" s="4"/>
      <c r="Q43" s="141" t="s">
        <v>512</v>
      </c>
      <c r="R43" s="142">
        <v>0.95294725244456668</v>
      </c>
      <c r="S43" s="143" t="s">
        <v>371</v>
      </c>
      <c r="W43" s="83" t="s">
        <v>3</v>
      </c>
      <c r="X43" s="110" t="s">
        <v>10</v>
      </c>
      <c r="Y43" s="110">
        <v>16</v>
      </c>
      <c r="Z43" s="110" t="s">
        <v>292</v>
      </c>
      <c r="AA43" s="111">
        <v>0.89318320146074259</v>
      </c>
    </row>
    <row r="44" spans="1:31" x14ac:dyDescent="0.2">
      <c r="A44" s="81" t="s">
        <v>45</v>
      </c>
      <c r="B44" s="82" t="s">
        <v>28</v>
      </c>
      <c r="C44" s="82">
        <v>18</v>
      </c>
      <c r="D44" s="82" t="s">
        <v>319</v>
      </c>
      <c r="E44" s="102">
        <f t="shared" si="3"/>
        <v>0.5641445718679996</v>
      </c>
      <c r="F44" s="65"/>
      <c r="H44" s="4"/>
      <c r="I44" s="4"/>
      <c r="J44" s="4"/>
      <c r="Q44" s="141" t="s">
        <v>314</v>
      </c>
      <c r="R44" s="142">
        <v>0.99533285779852521</v>
      </c>
      <c r="S44" s="141" t="s">
        <v>371</v>
      </c>
      <c r="W44" s="83" t="s">
        <v>60</v>
      </c>
      <c r="X44" s="110" t="s">
        <v>49</v>
      </c>
      <c r="Y44" s="110">
        <v>13</v>
      </c>
      <c r="Z44" s="110" t="s">
        <v>284</v>
      </c>
      <c r="AA44" s="111">
        <v>0.89235399590163933</v>
      </c>
    </row>
    <row r="45" spans="1:31" x14ac:dyDescent="0.2">
      <c r="A45" s="81" t="s">
        <v>75</v>
      </c>
      <c r="B45" s="82" t="s">
        <v>28</v>
      </c>
      <c r="C45" s="82">
        <v>18</v>
      </c>
      <c r="D45" s="82" t="s">
        <v>332</v>
      </c>
      <c r="E45" s="102">
        <f t="shared" si="3"/>
        <v>0.98872477714287255</v>
      </c>
      <c r="F45" s="69"/>
      <c r="H45" s="4"/>
      <c r="I45" s="4"/>
      <c r="J45" s="4"/>
      <c r="Q45" s="141" t="s">
        <v>315</v>
      </c>
      <c r="R45" s="142">
        <v>0.99569209153466032</v>
      </c>
      <c r="S45" s="141" t="s">
        <v>371</v>
      </c>
      <c r="W45" s="83" t="s">
        <v>264</v>
      </c>
      <c r="X45" s="110" t="s">
        <v>2</v>
      </c>
      <c r="Y45" s="110">
        <v>17</v>
      </c>
      <c r="Z45" s="110" t="s">
        <v>283</v>
      </c>
      <c r="AA45" s="111">
        <v>0.89001113183270453</v>
      </c>
    </row>
    <row r="46" spans="1:31" x14ac:dyDescent="0.2">
      <c r="A46" s="81" t="s">
        <v>59</v>
      </c>
      <c r="B46" s="82" t="s">
        <v>28</v>
      </c>
      <c r="C46" s="82">
        <v>18</v>
      </c>
      <c r="D46" s="82" t="s">
        <v>337</v>
      </c>
      <c r="E46" s="102">
        <f t="shared" ref="E46:E67" si="6">VLOOKUP($D46,$Q$7:$R$68,2,0)</f>
        <v>1</v>
      </c>
      <c r="F46" s="69"/>
      <c r="G46" s="66"/>
      <c r="J46" s="67"/>
      <c r="Q46" s="141" t="s">
        <v>316</v>
      </c>
      <c r="R46" s="142">
        <v>0.76907329412838532</v>
      </c>
      <c r="S46" s="141" t="s">
        <v>372</v>
      </c>
      <c r="W46" s="83" t="s">
        <v>17</v>
      </c>
      <c r="X46" s="110" t="s">
        <v>16</v>
      </c>
      <c r="Y46" s="110">
        <v>15</v>
      </c>
      <c r="Z46" s="110" t="s">
        <v>307</v>
      </c>
      <c r="AA46" s="111">
        <v>0.86662573118314323</v>
      </c>
    </row>
    <row r="47" spans="1:31" x14ac:dyDescent="0.2">
      <c r="A47" s="79" t="s">
        <v>9</v>
      </c>
      <c r="B47" s="80" t="s">
        <v>49</v>
      </c>
      <c r="C47" s="80">
        <v>17</v>
      </c>
      <c r="D47" s="80" t="s">
        <v>274</v>
      </c>
      <c r="E47" s="101">
        <f t="shared" si="6"/>
        <v>0.84669359982989578</v>
      </c>
      <c r="F47" s="69"/>
      <c r="G47" s="66"/>
      <c r="I47" s="66"/>
      <c r="J47" s="66"/>
      <c r="Q47" s="141" t="s">
        <v>317</v>
      </c>
      <c r="R47" s="142">
        <v>0.62481029959532464</v>
      </c>
      <c r="S47" s="141" t="s">
        <v>372</v>
      </c>
      <c r="W47" s="83" t="s">
        <v>257</v>
      </c>
      <c r="X47" s="110" t="s">
        <v>16</v>
      </c>
      <c r="Y47" s="110">
        <v>15</v>
      </c>
      <c r="Z47" s="110" t="s">
        <v>320</v>
      </c>
      <c r="AA47" s="111">
        <v>0.85816623707026407</v>
      </c>
    </row>
    <row r="48" spans="1:31" x14ac:dyDescent="0.2">
      <c r="A48" s="79" t="s">
        <v>48</v>
      </c>
      <c r="B48" s="80" t="s">
        <v>49</v>
      </c>
      <c r="C48" s="80">
        <v>17</v>
      </c>
      <c r="D48" s="80" t="s">
        <v>280</v>
      </c>
      <c r="E48" s="101">
        <f t="shared" si="6"/>
        <v>0.68875112521618576</v>
      </c>
      <c r="F48" s="65"/>
      <c r="G48" s="66"/>
      <c r="I48" s="66"/>
      <c r="J48" s="66"/>
      <c r="Q48" s="141" t="s">
        <v>318</v>
      </c>
      <c r="R48" s="142">
        <v>0.99967409016838671</v>
      </c>
      <c r="S48" s="143" t="s">
        <v>371</v>
      </c>
      <c r="W48" s="83" t="s">
        <v>9</v>
      </c>
      <c r="X48" s="110" t="s">
        <v>49</v>
      </c>
      <c r="Y48" s="110">
        <v>13</v>
      </c>
      <c r="Z48" s="110" t="s">
        <v>274</v>
      </c>
      <c r="AA48" s="111">
        <v>0.84669359982989578</v>
      </c>
    </row>
    <row r="49" spans="1:27" x14ac:dyDescent="0.2">
      <c r="A49" s="79" t="s">
        <v>60</v>
      </c>
      <c r="B49" s="80" t="s">
        <v>49</v>
      </c>
      <c r="C49" s="80">
        <v>17</v>
      </c>
      <c r="D49" s="80" t="s">
        <v>284</v>
      </c>
      <c r="E49" s="101">
        <f t="shared" si="6"/>
        <v>0.89235399590163933</v>
      </c>
      <c r="F49" s="65"/>
      <c r="G49" s="67"/>
      <c r="I49" s="66"/>
      <c r="J49" s="66"/>
      <c r="Q49" s="141" t="s">
        <v>319</v>
      </c>
      <c r="R49" s="142">
        <v>0.5641445718679996</v>
      </c>
      <c r="S49" s="143" t="s">
        <v>372</v>
      </c>
      <c r="W49" s="83" t="s">
        <v>254</v>
      </c>
      <c r="X49" s="110" t="s">
        <v>16</v>
      </c>
      <c r="Y49" s="110">
        <v>15</v>
      </c>
      <c r="Z49" s="110" t="s">
        <v>331</v>
      </c>
      <c r="AA49" s="111">
        <v>0.83267459864721705</v>
      </c>
    </row>
    <row r="50" spans="1:27" x14ac:dyDescent="0.2">
      <c r="A50" s="83" t="s">
        <v>260</v>
      </c>
      <c r="B50" s="110" t="s">
        <v>49</v>
      </c>
      <c r="C50" s="110">
        <v>17</v>
      </c>
      <c r="D50" s="110" t="s">
        <v>282</v>
      </c>
      <c r="E50" s="111">
        <f t="shared" si="6"/>
        <v>0.33305692234682915</v>
      </c>
      <c r="F50" s="65"/>
      <c r="G50" s="67"/>
      <c r="H50" s="4"/>
      <c r="I50" s="67"/>
      <c r="J50" s="67"/>
      <c r="Q50" s="141" t="s">
        <v>320</v>
      </c>
      <c r="R50" s="142">
        <v>0.85816623707026407</v>
      </c>
      <c r="S50" s="141" t="s">
        <v>371</v>
      </c>
      <c r="W50" s="83" t="s">
        <v>31</v>
      </c>
      <c r="X50" s="110" t="s">
        <v>16</v>
      </c>
      <c r="Y50" s="110">
        <v>15</v>
      </c>
      <c r="Z50" s="110" t="s">
        <v>289</v>
      </c>
      <c r="AA50" s="111">
        <v>0.81254016709511567</v>
      </c>
    </row>
    <row r="51" spans="1:27" x14ac:dyDescent="0.2">
      <c r="A51" s="168" t="s">
        <v>64</v>
      </c>
      <c r="B51" s="169" t="s">
        <v>49</v>
      </c>
      <c r="C51" s="169">
        <v>17</v>
      </c>
      <c r="D51" s="169" t="s">
        <v>288</v>
      </c>
      <c r="E51" s="170">
        <f t="shared" si="6"/>
        <v>1</v>
      </c>
      <c r="F51" s="69"/>
      <c r="H51" s="4"/>
      <c r="I51" s="67"/>
      <c r="J51" s="67"/>
      <c r="Q51" s="141" t="s">
        <v>321</v>
      </c>
      <c r="R51" s="142">
        <v>0.93520619672453054</v>
      </c>
      <c r="S51" s="143" t="s">
        <v>371</v>
      </c>
      <c r="W51" s="83" t="s">
        <v>36</v>
      </c>
      <c r="X51" s="110" t="s">
        <v>28</v>
      </c>
      <c r="Y51" s="110">
        <v>14</v>
      </c>
      <c r="Z51" s="110" t="s">
        <v>297</v>
      </c>
      <c r="AA51" s="111">
        <v>0.80341264723043471</v>
      </c>
    </row>
    <row r="52" spans="1:27" x14ac:dyDescent="0.2">
      <c r="A52" s="79" t="s">
        <v>57</v>
      </c>
      <c r="B52" s="80" t="s">
        <v>49</v>
      </c>
      <c r="C52" s="80">
        <v>17</v>
      </c>
      <c r="D52" s="80" t="s">
        <v>296</v>
      </c>
      <c r="E52" s="101">
        <f t="shared" si="6"/>
        <v>0.7886228860092247</v>
      </c>
      <c r="F52" s="65"/>
      <c r="Q52" s="141" t="s">
        <v>322</v>
      </c>
      <c r="R52" s="142">
        <v>0.99126425624848336</v>
      </c>
      <c r="S52" s="141" t="s">
        <v>371</v>
      </c>
      <c r="W52" s="83" t="s">
        <v>57</v>
      </c>
      <c r="X52" s="110" t="s">
        <v>49</v>
      </c>
      <c r="Y52" s="110">
        <v>13</v>
      </c>
      <c r="Z52" s="110" t="s">
        <v>296</v>
      </c>
      <c r="AA52" s="111">
        <v>0.7886228860092247</v>
      </c>
    </row>
    <row r="53" spans="1:27" x14ac:dyDescent="0.2">
      <c r="A53" s="79" t="s">
        <v>35</v>
      </c>
      <c r="B53" s="80" t="s">
        <v>49</v>
      </c>
      <c r="C53" s="80">
        <v>17</v>
      </c>
      <c r="D53" s="80" t="s">
        <v>293</v>
      </c>
      <c r="E53" s="101">
        <f t="shared" si="6"/>
        <v>1.0292149475019923</v>
      </c>
      <c r="F53" s="65"/>
      <c r="Q53" s="141" t="s">
        <v>323</v>
      </c>
      <c r="R53" s="142">
        <v>0.73349447513812149</v>
      </c>
      <c r="S53" s="141" t="s">
        <v>372</v>
      </c>
      <c r="W53" s="83" t="s">
        <v>263</v>
      </c>
      <c r="X53" s="110" t="s">
        <v>108</v>
      </c>
      <c r="Y53" s="110">
        <v>19</v>
      </c>
      <c r="Z53" s="110" t="s">
        <v>310</v>
      </c>
      <c r="AA53" s="111">
        <v>0.78418126509511765</v>
      </c>
    </row>
    <row r="54" spans="1:27" x14ac:dyDescent="0.2">
      <c r="A54" s="79" t="s">
        <v>51</v>
      </c>
      <c r="B54" s="80" t="s">
        <v>49</v>
      </c>
      <c r="C54" s="80">
        <v>17</v>
      </c>
      <c r="D54" s="80" t="s">
        <v>299</v>
      </c>
      <c r="E54" s="101">
        <f t="shared" si="6"/>
        <v>0.64970550208303401</v>
      </c>
      <c r="F54" s="65"/>
      <c r="Q54" s="141" t="s">
        <v>324</v>
      </c>
      <c r="R54" s="142">
        <v>1</v>
      </c>
      <c r="S54" s="141" t="s">
        <v>371</v>
      </c>
      <c r="W54" s="83" t="s">
        <v>13</v>
      </c>
      <c r="X54" s="110" t="s">
        <v>16</v>
      </c>
      <c r="Y54" s="110">
        <v>15</v>
      </c>
      <c r="Z54" s="110" t="s">
        <v>327</v>
      </c>
      <c r="AA54" s="111">
        <v>0.77444478716841458</v>
      </c>
    </row>
    <row r="55" spans="1:27" x14ac:dyDescent="0.2">
      <c r="A55" s="83" t="s">
        <v>39</v>
      </c>
      <c r="B55" s="80" t="s">
        <v>49</v>
      </c>
      <c r="C55" s="80">
        <v>17</v>
      </c>
      <c r="D55" s="110" t="s">
        <v>302</v>
      </c>
      <c r="E55" s="111">
        <f t="shared" si="6"/>
        <v>0.47637430521244206</v>
      </c>
      <c r="F55" s="65"/>
      <c r="Q55" s="141" t="s">
        <v>325</v>
      </c>
      <c r="R55" s="142">
        <v>0.61841824770837783</v>
      </c>
      <c r="S55" s="143" t="s">
        <v>372</v>
      </c>
      <c r="W55" s="83" t="s">
        <v>21</v>
      </c>
      <c r="X55" s="110" t="s">
        <v>16</v>
      </c>
      <c r="Y55" s="110">
        <v>15</v>
      </c>
      <c r="Z55" s="110" t="s">
        <v>316</v>
      </c>
      <c r="AA55" s="111">
        <v>0.76907329412838532</v>
      </c>
    </row>
    <row r="56" spans="1:27" x14ac:dyDescent="0.2">
      <c r="A56" s="79" t="s">
        <v>58</v>
      </c>
      <c r="B56" s="80" t="s">
        <v>49</v>
      </c>
      <c r="C56" s="80">
        <v>17</v>
      </c>
      <c r="D56" s="80" t="s">
        <v>276</v>
      </c>
      <c r="E56" s="101">
        <f t="shared" si="6"/>
        <v>1</v>
      </c>
      <c r="F56" s="65"/>
      <c r="Q56" s="141" t="s">
        <v>326</v>
      </c>
      <c r="R56" s="142">
        <v>0.99461817608484948</v>
      </c>
      <c r="S56" s="141" t="s">
        <v>371</v>
      </c>
      <c r="W56" s="83" t="s">
        <v>32</v>
      </c>
      <c r="X56" s="110" t="s">
        <v>10</v>
      </c>
      <c r="Y56" s="110">
        <v>16</v>
      </c>
      <c r="Z56" s="110" t="s">
        <v>290</v>
      </c>
      <c r="AA56" s="111">
        <v>0.76510407852428497</v>
      </c>
    </row>
    <row r="57" spans="1:27" x14ac:dyDescent="0.2">
      <c r="A57" s="79" t="s">
        <v>40</v>
      </c>
      <c r="B57" s="80" t="s">
        <v>49</v>
      </c>
      <c r="C57" s="80">
        <v>17</v>
      </c>
      <c r="D57" s="80" t="s">
        <v>311</v>
      </c>
      <c r="E57" s="101">
        <f t="shared" si="6"/>
        <v>0.57845507252191697</v>
      </c>
      <c r="F57" s="65"/>
      <c r="Q57" s="141" t="s">
        <v>327</v>
      </c>
      <c r="R57" s="142">
        <v>0.77444478716841458</v>
      </c>
      <c r="S57" s="143" t="s">
        <v>372</v>
      </c>
      <c r="W57" s="83" t="s">
        <v>52</v>
      </c>
      <c r="X57" s="110" t="s">
        <v>16</v>
      </c>
      <c r="Y57" s="110">
        <v>15</v>
      </c>
      <c r="Z57" s="110" t="s">
        <v>281</v>
      </c>
      <c r="AA57" s="111">
        <v>0.76017780502759058</v>
      </c>
    </row>
    <row r="58" spans="1:27" x14ac:dyDescent="0.2">
      <c r="A58" s="79" t="s">
        <v>22</v>
      </c>
      <c r="B58" s="80" t="s">
        <v>49</v>
      </c>
      <c r="C58" s="80">
        <v>17</v>
      </c>
      <c r="D58" s="80" t="s">
        <v>317</v>
      </c>
      <c r="E58" s="101">
        <f t="shared" si="6"/>
        <v>0.62481029959532464</v>
      </c>
      <c r="F58" s="65"/>
      <c r="Q58" s="141" t="s">
        <v>328</v>
      </c>
      <c r="R58" s="142">
        <v>0.92936836749527552</v>
      </c>
      <c r="S58" s="141" t="s">
        <v>371</v>
      </c>
      <c r="W58" s="83" t="s">
        <v>23</v>
      </c>
      <c r="X58" s="110" t="s">
        <v>16</v>
      </c>
      <c r="Y58" s="110">
        <v>15</v>
      </c>
      <c r="Z58" s="110" t="s">
        <v>323</v>
      </c>
      <c r="AA58" s="111">
        <v>0.73349447513812149</v>
      </c>
    </row>
    <row r="59" spans="1:27" x14ac:dyDescent="0.2">
      <c r="A59" s="81" t="s">
        <v>266</v>
      </c>
      <c r="B59" s="82" t="s">
        <v>56</v>
      </c>
      <c r="C59" s="82">
        <v>16</v>
      </c>
      <c r="D59" s="82" t="s">
        <v>314</v>
      </c>
      <c r="E59" s="102">
        <f t="shared" si="6"/>
        <v>0.99533285779852521</v>
      </c>
      <c r="F59" s="69"/>
      <c r="Q59" s="141" t="s">
        <v>329</v>
      </c>
      <c r="R59" s="142">
        <v>0.66251692368655679</v>
      </c>
      <c r="S59" s="143" t="s">
        <v>372</v>
      </c>
      <c r="W59" s="83" t="s">
        <v>29</v>
      </c>
      <c r="X59" s="110" t="s">
        <v>16</v>
      </c>
      <c r="Y59" s="110">
        <v>15</v>
      </c>
      <c r="Z59" s="110" t="s">
        <v>286</v>
      </c>
      <c r="AA59" s="111">
        <v>0.71562826313957539</v>
      </c>
    </row>
    <row r="60" spans="1:27" x14ac:dyDescent="0.2">
      <c r="A60" s="81" t="s">
        <v>54</v>
      </c>
      <c r="B60" s="82" t="s">
        <v>56</v>
      </c>
      <c r="C60" s="82">
        <v>16</v>
      </c>
      <c r="D60" s="82" t="s">
        <v>326</v>
      </c>
      <c r="E60" s="102">
        <f t="shared" si="6"/>
        <v>0.99461817608484948</v>
      </c>
      <c r="F60" s="69"/>
      <c r="Q60" s="141" t="s">
        <v>330</v>
      </c>
      <c r="R60" s="142">
        <v>0.93843994106691131</v>
      </c>
      <c r="S60" s="141" t="s">
        <v>371</v>
      </c>
      <c r="W60" s="83" t="s">
        <v>48</v>
      </c>
      <c r="X60" s="110" t="s">
        <v>49</v>
      </c>
      <c r="Y60" s="110">
        <v>13</v>
      </c>
      <c r="Z60" s="110" t="s">
        <v>280</v>
      </c>
      <c r="AA60" s="111">
        <v>0.68875112521618576</v>
      </c>
    </row>
    <row r="61" spans="1:27" x14ac:dyDescent="0.2">
      <c r="A61" s="83" t="s">
        <v>42</v>
      </c>
      <c r="B61" s="110" t="s">
        <v>61</v>
      </c>
      <c r="C61" s="110">
        <v>15</v>
      </c>
      <c r="D61" s="110" t="s">
        <v>321</v>
      </c>
      <c r="E61" s="111">
        <f t="shared" si="6"/>
        <v>0.93520619672453054</v>
      </c>
      <c r="F61" s="69"/>
      <c r="Q61" s="141" t="s">
        <v>331</v>
      </c>
      <c r="R61" s="142">
        <v>0.83267459864721705</v>
      </c>
      <c r="S61" s="143" t="s">
        <v>371</v>
      </c>
      <c r="W61" s="83" t="s">
        <v>25</v>
      </c>
      <c r="X61" s="110" t="s">
        <v>16</v>
      </c>
      <c r="Y61" s="110">
        <v>15</v>
      </c>
      <c r="Z61" s="110" t="s">
        <v>329</v>
      </c>
      <c r="AA61" s="111">
        <v>0.66251692368655679</v>
      </c>
    </row>
    <row r="62" spans="1:27" ht="13.5" thickBot="1" x14ac:dyDescent="0.25">
      <c r="A62" s="162" t="s">
        <v>249</v>
      </c>
      <c r="B62" s="163" t="s">
        <v>125</v>
      </c>
      <c r="C62" s="163">
        <v>9</v>
      </c>
      <c r="D62" s="163" t="s">
        <v>295</v>
      </c>
      <c r="E62" s="164">
        <f t="shared" si="6"/>
        <v>0.11951366732775717</v>
      </c>
      <c r="F62" s="69"/>
      <c r="Q62" s="141" t="s">
        <v>332</v>
      </c>
      <c r="R62" s="142">
        <v>0.98872477714287255</v>
      </c>
      <c r="S62" s="141" t="s">
        <v>371</v>
      </c>
      <c r="W62" s="83" t="s">
        <v>51</v>
      </c>
      <c r="X62" s="110" t="s">
        <v>49</v>
      </c>
      <c r="Y62" s="110">
        <v>13</v>
      </c>
      <c r="Z62" s="110" t="s">
        <v>299</v>
      </c>
      <c r="AA62" s="111">
        <v>0.64970550208303401</v>
      </c>
    </row>
    <row r="63" spans="1:27" x14ac:dyDescent="0.2">
      <c r="A63" s="79" t="s">
        <v>474</v>
      </c>
      <c r="B63" s="80" t="s">
        <v>108</v>
      </c>
      <c r="C63" s="80">
        <v>23</v>
      </c>
      <c r="D63" s="80" t="s">
        <v>440</v>
      </c>
      <c r="E63" s="101">
        <f t="shared" si="6"/>
        <v>0.78418126509511765</v>
      </c>
      <c r="F63" s="69"/>
      <c r="Q63" s="141" t="s">
        <v>333</v>
      </c>
      <c r="R63" s="142">
        <v>0.97036252976978032</v>
      </c>
      <c r="S63" s="143" t="s">
        <v>371</v>
      </c>
      <c r="W63" s="83" t="s">
        <v>18</v>
      </c>
      <c r="X63" s="110" t="s">
        <v>10</v>
      </c>
      <c r="Y63" s="110">
        <v>16</v>
      </c>
      <c r="Z63" s="110" t="s">
        <v>86</v>
      </c>
      <c r="AA63" s="111">
        <v>0.63157463237392464</v>
      </c>
    </row>
    <row r="64" spans="1:27" x14ac:dyDescent="0.2">
      <c r="A64" s="79" t="s">
        <v>475</v>
      </c>
      <c r="B64" s="80" t="s">
        <v>2</v>
      </c>
      <c r="C64" s="80">
        <v>21</v>
      </c>
      <c r="D64" s="80" t="s">
        <v>441</v>
      </c>
      <c r="E64" s="101">
        <f t="shared" si="6"/>
        <v>0.89001113183270453</v>
      </c>
      <c r="F64" s="65"/>
      <c r="Q64" s="141" t="s">
        <v>334</v>
      </c>
      <c r="R64" s="142">
        <v>0.98538704581358605</v>
      </c>
      <c r="S64" s="141" t="s">
        <v>371</v>
      </c>
      <c r="W64" s="83" t="s">
        <v>67</v>
      </c>
      <c r="X64" s="110" t="s">
        <v>49</v>
      </c>
      <c r="Y64" s="110">
        <v>13</v>
      </c>
      <c r="Z64" s="110" t="s">
        <v>279</v>
      </c>
      <c r="AA64" s="111">
        <v>0.62875460562079877</v>
      </c>
    </row>
    <row r="65" spans="1:27" x14ac:dyDescent="0.2">
      <c r="A65" s="81" t="s">
        <v>476</v>
      </c>
      <c r="B65" s="82" t="s">
        <v>56</v>
      </c>
      <c r="C65" s="82">
        <v>16</v>
      </c>
      <c r="D65" s="82" t="s">
        <v>442</v>
      </c>
      <c r="E65" s="102">
        <f t="shared" si="6"/>
        <v>0.97036252976978032</v>
      </c>
      <c r="F65" s="69"/>
      <c r="Q65" s="141" t="s">
        <v>335</v>
      </c>
      <c r="R65" s="142">
        <v>0.975461842272901</v>
      </c>
      <c r="S65" s="141" t="s">
        <v>371</v>
      </c>
      <c r="W65" s="83" t="s">
        <v>22</v>
      </c>
      <c r="X65" s="110" t="s">
        <v>49</v>
      </c>
      <c r="Y65" s="110">
        <v>13</v>
      </c>
      <c r="Z65" s="110" t="s">
        <v>317</v>
      </c>
      <c r="AA65" s="111">
        <v>0.62481029959532464</v>
      </c>
    </row>
    <row r="66" spans="1:27" x14ac:dyDescent="0.2">
      <c r="A66" s="83" t="s">
        <v>50</v>
      </c>
      <c r="B66" s="84" t="s">
        <v>373</v>
      </c>
      <c r="C66" s="84"/>
      <c r="D66" s="110" t="s">
        <v>287</v>
      </c>
      <c r="E66" s="111">
        <f t="shared" si="6"/>
        <v>0.99609846555590886</v>
      </c>
      <c r="F66" s="12"/>
      <c r="Q66" s="141" t="s">
        <v>336</v>
      </c>
      <c r="R66" s="142">
        <v>0.91865112788863534</v>
      </c>
      <c r="S66" s="141" t="s">
        <v>371</v>
      </c>
      <c r="W66" s="83" t="s">
        <v>43</v>
      </c>
      <c r="X66" s="110" t="s">
        <v>28</v>
      </c>
      <c r="Y66" s="110">
        <v>14</v>
      </c>
      <c r="Z66" s="110" t="s">
        <v>325</v>
      </c>
      <c r="AA66" s="111">
        <v>0.61841824770837783</v>
      </c>
    </row>
    <row r="67" spans="1:27" ht="13.5" thickBot="1" x14ac:dyDescent="0.25">
      <c r="A67" s="91" t="s">
        <v>76</v>
      </c>
      <c r="B67" s="92" t="s">
        <v>373</v>
      </c>
      <c r="C67" s="92"/>
      <c r="D67" s="92" t="s">
        <v>334</v>
      </c>
      <c r="E67" s="104">
        <f t="shared" si="6"/>
        <v>0.98538704581358605</v>
      </c>
      <c r="F67" s="9"/>
      <c r="Q67" s="141" t="s">
        <v>337</v>
      </c>
      <c r="R67" s="142">
        <v>1</v>
      </c>
      <c r="S67" s="141" t="s">
        <v>371</v>
      </c>
      <c r="W67" s="83" t="s">
        <v>11</v>
      </c>
      <c r="X67" s="110" t="s">
        <v>28</v>
      </c>
      <c r="Y67" s="110">
        <v>14</v>
      </c>
      <c r="Z67" s="110" t="s">
        <v>298</v>
      </c>
      <c r="AA67" s="111">
        <v>0.58646630934150079</v>
      </c>
    </row>
    <row r="68" spans="1:27" x14ac:dyDescent="0.2">
      <c r="A68" s="76" t="s">
        <v>135</v>
      </c>
      <c r="B68" s="78" t="s">
        <v>28</v>
      </c>
      <c r="C68" s="77">
        <f>AVERAGE(C7:C62)</f>
        <v>18.160714285714285</v>
      </c>
      <c r="D68" s="77"/>
      <c r="E68" s="77"/>
      <c r="F68" s="9"/>
      <c r="G68" s="66"/>
      <c r="Q68" s="141" t="s">
        <v>338</v>
      </c>
      <c r="R68" s="142">
        <v>0.94700000000000006</v>
      </c>
      <c r="S68" s="141" t="s">
        <v>371</v>
      </c>
      <c r="W68" s="83" t="s">
        <v>40</v>
      </c>
      <c r="X68" s="110" t="s">
        <v>49</v>
      </c>
      <c r="Y68" s="110">
        <v>13</v>
      </c>
      <c r="Z68" s="110" t="s">
        <v>311</v>
      </c>
      <c r="AA68" s="111">
        <v>0.57845507252191697</v>
      </c>
    </row>
    <row r="69" spans="1:27" x14ac:dyDescent="0.2">
      <c r="A69" s="7"/>
      <c r="B69" s="5"/>
      <c r="F69" s="9"/>
      <c r="Q69" s="141"/>
      <c r="R69" s="142"/>
      <c r="S69" s="141"/>
      <c r="W69" s="83" t="s">
        <v>45</v>
      </c>
      <c r="X69" s="110" t="s">
        <v>28</v>
      </c>
      <c r="Y69" s="110">
        <v>14</v>
      </c>
      <c r="Z69" s="110" t="s">
        <v>319</v>
      </c>
      <c r="AA69" s="111">
        <v>0.5641445718679996</v>
      </c>
    </row>
    <row r="70" spans="1:27" x14ac:dyDescent="0.2">
      <c r="A70" s="7"/>
      <c r="B70" s="5"/>
      <c r="F70" s="14"/>
      <c r="G70" s="66"/>
      <c r="Q70" s="141"/>
      <c r="R70" s="142"/>
      <c r="S70" s="141"/>
      <c r="W70" s="83" t="s">
        <v>370</v>
      </c>
      <c r="X70" s="110" t="s">
        <v>10</v>
      </c>
      <c r="Y70" s="110">
        <v>16</v>
      </c>
      <c r="Z70" s="110" t="s">
        <v>369</v>
      </c>
      <c r="AA70" s="111">
        <v>0.541533003736272</v>
      </c>
    </row>
    <row r="71" spans="1:27" x14ac:dyDescent="0.2">
      <c r="A71" s="85" t="s">
        <v>267</v>
      </c>
      <c r="F71" s="14"/>
      <c r="Q71" s="99"/>
      <c r="R71" s="98"/>
      <c r="S71" s="97"/>
      <c r="W71" s="83" t="s">
        <v>39</v>
      </c>
      <c r="X71" s="110" t="s">
        <v>49</v>
      </c>
      <c r="Y71" s="110">
        <v>13</v>
      </c>
      <c r="Z71" s="110" t="s">
        <v>302</v>
      </c>
      <c r="AA71" s="111">
        <v>0.47637430521244206</v>
      </c>
    </row>
    <row r="72" spans="1:27" x14ac:dyDescent="0.2">
      <c r="A72" s="85" t="s">
        <v>366</v>
      </c>
      <c r="B72" s="133"/>
      <c r="C72" s="134"/>
      <c r="D72" s="134"/>
      <c r="E72" s="134"/>
      <c r="F72" s="14"/>
      <c r="Q72" s="99"/>
      <c r="R72" s="98"/>
      <c r="S72" s="97"/>
      <c r="W72" s="83" t="s">
        <v>12</v>
      </c>
      <c r="X72" s="110" t="s">
        <v>16</v>
      </c>
      <c r="Y72" s="110">
        <v>15</v>
      </c>
      <c r="Z72" s="110" t="s">
        <v>309</v>
      </c>
      <c r="AA72" s="111">
        <v>0.36101059894989318</v>
      </c>
    </row>
    <row r="73" spans="1:27" x14ac:dyDescent="0.2">
      <c r="A73" s="132" t="s">
        <v>356</v>
      </c>
      <c r="B73" s="133"/>
      <c r="C73" s="134"/>
      <c r="D73" s="134"/>
      <c r="E73" s="134"/>
      <c r="F73" s="135"/>
      <c r="Q73" s="99"/>
      <c r="R73" s="98"/>
      <c r="S73" s="97"/>
      <c r="W73" s="83" t="s">
        <v>260</v>
      </c>
      <c r="X73" s="110" t="s">
        <v>49</v>
      </c>
      <c r="Y73" s="110">
        <v>13</v>
      </c>
      <c r="Z73" s="110" t="s">
        <v>282</v>
      </c>
      <c r="AA73" s="111">
        <v>0.33305692234682915</v>
      </c>
    </row>
    <row r="74" spans="1:27" ht="13.5" thickBot="1" x14ac:dyDescent="0.25">
      <c r="A74" s="132" t="s">
        <v>357</v>
      </c>
      <c r="B74" s="133"/>
      <c r="C74" s="134"/>
      <c r="D74" s="134"/>
      <c r="E74" s="134"/>
      <c r="F74" s="135"/>
      <c r="Q74" s="99"/>
      <c r="R74" s="98"/>
      <c r="S74" s="97"/>
      <c r="W74" s="112" t="s">
        <v>249</v>
      </c>
      <c r="X74" s="158" t="s">
        <v>125</v>
      </c>
      <c r="Y74" s="158">
        <v>5</v>
      </c>
      <c r="Z74" s="158" t="s">
        <v>295</v>
      </c>
      <c r="AA74" s="161">
        <v>0.11951366732775717</v>
      </c>
    </row>
    <row r="75" spans="1:27" x14ac:dyDescent="0.2">
      <c r="A75" s="132" t="s">
        <v>358</v>
      </c>
      <c r="D75" s="14"/>
      <c r="E75" s="1"/>
      <c r="F75" s="135"/>
      <c r="Q75" s="99"/>
      <c r="R75" s="98"/>
      <c r="S75" s="97"/>
    </row>
    <row r="76" spans="1:27" x14ac:dyDescent="0.2">
      <c r="A76" s="85" t="s">
        <v>359</v>
      </c>
      <c r="D76" s="14"/>
      <c r="E76" s="1"/>
      <c r="Q76" s="99"/>
      <c r="R76" s="98"/>
      <c r="S76" s="97"/>
    </row>
    <row r="77" spans="1:27" x14ac:dyDescent="0.2">
      <c r="A77" s="85"/>
      <c r="D77" s="14"/>
      <c r="E77" s="1"/>
      <c r="Q77" s="99"/>
      <c r="R77" s="100"/>
      <c r="S77" s="99"/>
    </row>
    <row r="78" spans="1:27" x14ac:dyDescent="0.2">
      <c r="A78" s="85"/>
    </row>
    <row r="79" spans="1:27" x14ac:dyDescent="0.2">
      <c r="A79" s="33"/>
      <c r="E79" s="120"/>
      <c r="F79" s="14"/>
      <c r="G79" s="133"/>
      <c r="W79" s="133"/>
      <c r="X79" s="133"/>
      <c r="Y79" s="133"/>
      <c r="Z79" s="133"/>
      <c r="AA79" s="136"/>
    </row>
    <row r="80" spans="1:27" s="133" customFormat="1" x14ac:dyDescent="0.2">
      <c r="A80" s="1"/>
      <c r="B80" s="1"/>
      <c r="C80" s="4"/>
      <c r="D80" s="4"/>
      <c r="E80" s="120"/>
      <c r="F80" s="1"/>
      <c r="Q80" s="1"/>
      <c r="R80" s="1"/>
      <c r="S80" s="1"/>
      <c r="AA80" s="136"/>
    </row>
    <row r="81" spans="1:27" s="133" customFormat="1" x14ac:dyDescent="0.2">
      <c r="A81" s="1"/>
      <c r="B81" s="1"/>
      <c r="C81" s="4"/>
      <c r="D81" s="4"/>
      <c r="E81" s="121"/>
      <c r="F81" s="1"/>
      <c r="AA81" s="136"/>
    </row>
    <row r="82" spans="1:27" s="133" customFormat="1" x14ac:dyDescent="0.2">
      <c r="A82" s="1"/>
      <c r="B82" s="1"/>
      <c r="C82" s="4"/>
      <c r="D82" s="4"/>
      <c r="E82" s="4"/>
      <c r="F82" s="1"/>
      <c r="G82" s="1"/>
      <c r="W82" s="1"/>
      <c r="X82" s="1"/>
      <c r="Y82" s="1"/>
      <c r="Z82" s="1"/>
      <c r="AA82" s="1"/>
    </row>
    <row r="83" spans="1:27" x14ac:dyDescent="0.2">
      <c r="Q83" s="133"/>
      <c r="R83" s="133"/>
      <c r="S83" s="133"/>
      <c r="AA83" s="1"/>
    </row>
    <row r="84" spans="1:27" x14ac:dyDescent="0.2">
      <c r="AA84" s="1"/>
    </row>
  </sheetData>
  <pageMargins left="0.17" right="0.18" top="0.28000000000000003" bottom="0.17" header="0.3" footer="0.3"/>
  <pageSetup scale="76" fitToWidth="0" orientation="portrait" horizontalDpi="1200" verticalDpi="120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002060"/>
    <pageSetUpPr fitToPage="1"/>
  </sheetPr>
  <dimension ref="A1:AH88"/>
  <sheetViews>
    <sheetView zoomScale="85" zoomScaleNormal="85" workbookViewId="0"/>
  </sheetViews>
  <sheetFormatPr defaultColWidth="9.140625" defaultRowHeight="12.75" outlineLevelCol="1" x14ac:dyDescent="0.2"/>
  <cols>
    <col min="1" max="1" width="35.140625" style="1" customWidth="1"/>
    <col min="2" max="2" width="9.140625" style="1"/>
    <col min="3" max="3" width="9.140625" style="4"/>
    <col min="4" max="4" width="9.140625" style="4" hidden="1" customWidth="1" outlineLevel="1"/>
    <col min="5" max="5" width="12.5703125" style="4" hidden="1" customWidth="1" outlineLevel="1"/>
    <col min="6" max="6" width="9.140625" style="1" collapsed="1"/>
    <col min="7" max="7" width="11.5703125" style="1" customWidth="1"/>
    <col min="8" max="10" width="9.140625" style="1"/>
    <col min="11" max="11" width="11" style="1" bestFit="1" customWidth="1"/>
    <col min="12" max="12" width="4.85546875" style="1" bestFit="1" customWidth="1"/>
    <col min="13" max="16" width="9.140625" style="1"/>
    <col min="17" max="26" width="9.140625" style="1" hidden="1" customWidth="1" outlineLevel="1"/>
    <col min="27" max="27" width="12.5703125" style="107" hidden="1" customWidth="1" outlineLevel="1"/>
    <col min="28" max="33" width="9.140625" style="1" hidden="1" customWidth="1" outlineLevel="1"/>
    <col min="34" max="34" width="9.140625" style="1" collapsed="1"/>
    <col min="35" max="16384" width="9.140625" style="1"/>
  </cols>
  <sheetData>
    <row r="1" spans="1:33" ht="18.75" x14ac:dyDescent="0.3">
      <c r="A1" s="75" t="s">
        <v>385</v>
      </c>
    </row>
    <row r="2" spans="1:33" ht="18.75" x14ac:dyDescent="0.3">
      <c r="A2" s="75"/>
    </row>
    <row r="3" spans="1:33" ht="18.75" x14ac:dyDescent="0.3">
      <c r="A3" s="75"/>
    </row>
    <row r="4" spans="1:33" ht="18.75" x14ac:dyDescent="0.3">
      <c r="A4" s="75"/>
    </row>
    <row r="5" spans="1:33" x14ac:dyDescent="0.2">
      <c r="E5" s="106" t="s">
        <v>339</v>
      </c>
      <c r="Y5" s="4"/>
      <c r="Z5" s="4"/>
      <c r="AA5" s="106" t="s">
        <v>339</v>
      </c>
      <c r="AF5" s="129" t="s">
        <v>354</v>
      </c>
      <c r="AG5" s="128"/>
    </row>
    <row r="6" spans="1:33" x14ac:dyDescent="0.2">
      <c r="A6" s="150" t="s">
        <v>0</v>
      </c>
      <c r="B6" s="151" t="s">
        <v>386</v>
      </c>
      <c r="C6" s="152"/>
      <c r="D6" s="152"/>
      <c r="E6" s="153">
        <v>40543</v>
      </c>
      <c r="W6" s="150" t="s">
        <v>0</v>
      </c>
      <c r="X6" s="151" t="s">
        <v>386</v>
      </c>
      <c r="Y6" s="152"/>
      <c r="Z6" s="152"/>
      <c r="AA6" s="153">
        <v>40543</v>
      </c>
      <c r="AC6" s="108" t="s">
        <v>137</v>
      </c>
      <c r="AD6" s="109"/>
      <c r="AE6" s="109"/>
      <c r="AF6" s="77">
        <f>AVERAGE(Y$13:Y$51)</f>
        <v>14.45945945945946</v>
      </c>
      <c r="AG6" s="126"/>
    </row>
    <row r="7" spans="1:33" ht="13.5" thickBot="1" x14ac:dyDescent="0.25">
      <c r="A7" s="81" t="s">
        <v>6</v>
      </c>
      <c r="B7" s="82" t="s">
        <v>110</v>
      </c>
      <c r="C7" s="82">
        <v>18</v>
      </c>
      <c r="D7" s="82" t="s">
        <v>313</v>
      </c>
      <c r="E7" s="102">
        <f>VLOOKUP($D7,$Q$7:$R$68,2,0)</f>
        <v>1</v>
      </c>
      <c r="F7" s="65"/>
      <c r="G7" s="96" t="s">
        <v>77</v>
      </c>
      <c r="H7" s="96" t="s">
        <v>81</v>
      </c>
      <c r="I7" s="96" t="s">
        <v>82</v>
      </c>
      <c r="N7" s="67"/>
      <c r="O7" s="66"/>
      <c r="Q7" s="141" t="s">
        <v>274</v>
      </c>
      <c r="R7" s="142">
        <v>0.84669359982989578</v>
      </c>
      <c r="S7" s="141" t="s">
        <v>371</v>
      </c>
      <c r="W7" s="165" t="s">
        <v>87</v>
      </c>
      <c r="X7" s="166" t="s">
        <v>10</v>
      </c>
      <c r="Y7" s="166">
        <v>16</v>
      </c>
      <c r="Z7" s="166" t="s">
        <v>304</v>
      </c>
      <c r="AA7" s="167" t="s">
        <v>373</v>
      </c>
      <c r="AC7" s="96" t="s">
        <v>77</v>
      </c>
      <c r="AD7" s="96" t="s">
        <v>81</v>
      </c>
      <c r="AE7" s="96" t="s">
        <v>82</v>
      </c>
      <c r="AG7" s="127"/>
    </row>
    <row r="8" spans="1:33" x14ac:dyDescent="0.2">
      <c r="A8" s="79" t="s">
        <v>7</v>
      </c>
      <c r="B8" s="80" t="s">
        <v>2</v>
      </c>
      <c r="C8" s="80">
        <v>17</v>
      </c>
      <c r="D8" s="80" t="s">
        <v>328</v>
      </c>
      <c r="E8" s="101">
        <f t="shared" ref="E8:E14" si="0">VLOOKUP($D8,$Q$7:$R$68,2,0)</f>
        <v>0.92936836749527552</v>
      </c>
      <c r="F8" s="65"/>
      <c r="G8" s="72" t="s">
        <v>138</v>
      </c>
      <c r="H8" s="86">
        <f>COUNTIF(C$7:C$67,"&gt;16")</f>
        <v>4</v>
      </c>
      <c r="I8" s="87">
        <f>H8/H$14</f>
        <v>6.7796610169491525E-2</v>
      </c>
      <c r="K8" s="66"/>
      <c r="M8" s="86"/>
      <c r="N8" s="87"/>
      <c r="O8" s="67"/>
      <c r="Q8" s="141" t="s">
        <v>275</v>
      </c>
      <c r="R8" s="142">
        <v>0.96680210088197405</v>
      </c>
      <c r="S8" s="141" t="s">
        <v>371</v>
      </c>
      <c r="W8" s="83" t="s">
        <v>5</v>
      </c>
      <c r="X8" s="110" t="s">
        <v>10</v>
      </c>
      <c r="Y8" s="110">
        <v>16</v>
      </c>
      <c r="Z8" s="110" t="s">
        <v>312</v>
      </c>
      <c r="AA8" s="111" t="s">
        <v>373</v>
      </c>
      <c r="AC8" s="72" t="s">
        <v>138</v>
      </c>
      <c r="AD8" s="86">
        <f>COUNTIF(Y$13:Y$51,"&gt;16")</f>
        <v>3</v>
      </c>
      <c r="AE8" s="87">
        <f>AD8/AD$14</f>
        <v>8.1081081081081086E-2</v>
      </c>
      <c r="AG8" s="127"/>
    </row>
    <row r="9" spans="1:33" x14ac:dyDescent="0.2">
      <c r="A9" s="81" t="s">
        <v>3</v>
      </c>
      <c r="B9" s="82" t="s">
        <v>10</v>
      </c>
      <c r="C9" s="82">
        <v>16</v>
      </c>
      <c r="D9" s="82" t="s">
        <v>292</v>
      </c>
      <c r="E9" s="102">
        <f t="shared" si="0"/>
        <v>0.89318320146074259</v>
      </c>
      <c r="F9" s="65"/>
      <c r="G9" s="72" t="s">
        <v>10</v>
      </c>
      <c r="H9" s="86">
        <f>COUNTIF(C$7:C$67,"=16")</f>
        <v>9</v>
      </c>
      <c r="I9" s="87">
        <f t="shared" ref="I9:I14" si="1">H9/H$14</f>
        <v>0.15254237288135594</v>
      </c>
      <c r="K9" s="66"/>
      <c r="M9" s="86"/>
      <c r="N9" s="87"/>
      <c r="O9" s="67"/>
      <c r="Q9" s="141" t="s">
        <v>276</v>
      </c>
      <c r="R9" s="142">
        <v>1</v>
      </c>
      <c r="S9" s="141" t="s">
        <v>371</v>
      </c>
      <c r="W9" s="83" t="s">
        <v>255</v>
      </c>
      <c r="X9" s="110" t="s">
        <v>16</v>
      </c>
      <c r="Y9" s="110">
        <v>15</v>
      </c>
      <c r="Z9" s="110" t="s">
        <v>305</v>
      </c>
      <c r="AA9" s="111" t="s">
        <v>373</v>
      </c>
      <c r="AC9" s="72" t="s">
        <v>10</v>
      </c>
      <c r="AD9" s="86">
        <f>COUNTIF(Y$13:Y$51,"=16")</f>
        <v>6</v>
      </c>
      <c r="AE9" s="87">
        <f t="shared" ref="AE9:AE14" si="2">AD9/AD$14</f>
        <v>0.16216216216216217</v>
      </c>
      <c r="AG9" s="127"/>
    </row>
    <row r="10" spans="1:33" x14ac:dyDescent="0.2">
      <c r="A10" s="81" t="s">
        <v>18</v>
      </c>
      <c r="B10" s="82" t="s">
        <v>10</v>
      </c>
      <c r="C10" s="82">
        <v>16</v>
      </c>
      <c r="D10" s="82" t="s">
        <v>86</v>
      </c>
      <c r="E10" s="102">
        <f t="shared" si="0"/>
        <v>0.63157463237392464</v>
      </c>
      <c r="F10" s="65"/>
      <c r="G10" s="72" t="s">
        <v>16</v>
      </c>
      <c r="H10" s="86">
        <f>COUNTIF(C$7:C$67,"=15")</f>
        <v>15</v>
      </c>
      <c r="I10" s="87">
        <f t="shared" si="1"/>
        <v>0.25423728813559321</v>
      </c>
      <c r="K10" s="66"/>
      <c r="M10" s="86"/>
      <c r="N10" s="87"/>
      <c r="O10" s="67"/>
      <c r="Q10" s="141" t="s">
        <v>277</v>
      </c>
      <c r="R10" s="142">
        <v>0.91042888352305396</v>
      </c>
      <c r="S10" s="141" t="s">
        <v>371</v>
      </c>
      <c r="W10" s="83" t="s">
        <v>256</v>
      </c>
      <c r="X10" s="110" t="s">
        <v>16</v>
      </c>
      <c r="Y10" s="110">
        <v>15</v>
      </c>
      <c r="Z10" s="110" t="s">
        <v>306</v>
      </c>
      <c r="AA10" s="111" t="s">
        <v>373</v>
      </c>
      <c r="AC10" s="72" t="s">
        <v>16</v>
      </c>
      <c r="AD10" s="86">
        <f>COUNTIF(Y$13:Y$51,"=15")</f>
        <v>8</v>
      </c>
      <c r="AE10" s="87">
        <f t="shared" si="2"/>
        <v>0.21621621621621623</v>
      </c>
      <c r="AG10" s="127"/>
    </row>
    <row r="11" spans="1:33" x14ac:dyDescent="0.2">
      <c r="A11" s="81" t="s">
        <v>64</v>
      </c>
      <c r="B11" s="82" t="s">
        <v>10</v>
      </c>
      <c r="C11" s="82">
        <v>16</v>
      </c>
      <c r="D11" s="82" t="s">
        <v>288</v>
      </c>
      <c r="E11" s="102">
        <f t="shared" si="0"/>
        <v>1</v>
      </c>
      <c r="F11" s="65"/>
      <c r="G11" s="72" t="s">
        <v>28</v>
      </c>
      <c r="H11" s="86">
        <f>COUNTIF(C$7:C$67,"=14")</f>
        <v>15</v>
      </c>
      <c r="I11" s="87">
        <f t="shared" si="1"/>
        <v>0.25423728813559321</v>
      </c>
      <c r="K11" s="67"/>
      <c r="L11" s="4"/>
      <c r="M11" s="86"/>
      <c r="N11" s="87"/>
      <c r="O11" s="67"/>
      <c r="Q11" s="141" t="s">
        <v>278</v>
      </c>
      <c r="R11" s="142">
        <v>0.91095138568993894</v>
      </c>
      <c r="S11" s="141" t="s">
        <v>371</v>
      </c>
      <c r="W11" s="83" t="s">
        <v>38</v>
      </c>
      <c r="X11" s="110" t="s">
        <v>28</v>
      </c>
      <c r="Y11" s="110">
        <v>14</v>
      </c>
      <c r="Z11" s="110" t="s">
        <v>300</v>
      </c>
      <c r="AA11" s="111" t="s">
        <v>373</v>
      </c>
      <c r="AC11" s="72" t="s">
        <v>28</v>
      </c>
      <c r="AD11" s="86">
        <f>COUNTIF(Y$13:Y$51,"=14")</f>
        <v>12</v>
      </c>
      <c r="AE11" s="87">
        <f t="shared" si="2"/>
        <v>0.32432432432432434</v>
      </c>
      <c r="AG11" s="127"/>
    </row>
    <row r="12" spans="1:33" x14ac:dyDescent="0.2">
      <c r="A12" s="81" t="s">
        <v>32</v>
      </c>
      <c r="B12" s="82" t="s">
        <v>10</v>
      </c>
      <c r="C12" s="82">
        <v>16</v>
      </c>
      <c r="D12" s="82" t="s">
        <v>290</v>
      </c>
      <c r="E12" s="102">
        <f t="shared" si="0"/>
        <v>0.76510407852428497</v>
      </c>
      <c r="F12" s="65"/>
      <c r="G12" s="72" t="s">
        <v>49</v>
      </c>
      <c r="H12" s="86">
        <f>COUNTIF(C$7:C$67,"=13")</f>
        <v>11</v>
      </c>
      <c r="I12" s="87">
        <f t="shared" si="1"/>
        <v>0.1864406779661017</v>
      </c>
      <c r="M12" s="86"/>
      <c r="N12" s="87"/>
      <c r="Q12" s="141" t="s">
        <v>279</v>
      </c>
      <c r="R12" s="142">
        <v>0.62875460562079877</v>
      </c>
      <c r="S12" s="143" t="s">
        <v>372</v>
      </c>
      <c r="W12" s="83" t="s">
        <v>262</v>
      </c>
      <c r="X12" s="110" t="s">
        <v>49</v>
      </c>
      <c r="Y12" s="110">
        <v>13</v>
      </c>
      <c r="Z12" s="110" t="s">
        <v>185</v>
      </c>
      <c r="AA12" s="111" t="s">
        <v>373</v>
      </c>
      <c r="AC12" s="72" t="s">
        <v>49</v>
      </c>
      <c r="AD12" s="86">
        <f>COUNTIF(Y$13:Y$51,"=13")</f>
        <v>4</v>
      </c>
      <c r="AE12" s="87">
        <f t="shared" si="2"/>
        <v>0.10810810810810811</v>
      </c>
      <c r="AG12" s="127"/>
    </row>
    <row r="13" spans="1:33" ht="13.5" thickBot="1" x14ac:dyDescent="0.25">
      <c r="A13" s="81" t="s">
        <v>19</v>
      </c>
      <c r="B13" s="82" t="s">
        <v>10</v>
      </c>
      <c r="C13" s="82">
        <v>16</v>
      </c>
      <c r="D13" s="82" t="s">
        <v>291</v>
      </c>
      <c r="E13" s="102">
        <f t="shared" si="0"/>
        <v>0.96341849943457658</v>
      </c>
      <c r="F13" s="65"/>
      <c r="G13" s="93" t="s">
        <v>79</v>
      </c>
      <c r="H13" s="94">
        <f>COUNTIF(C$7:C$67,"&lt;13")</f>
        <v>5</v>
      </c>
      <c r="I13" s="95">
        <f t="shared" si="1"/>
        <v>8.4745762711864403E-2</v>
      </c>
      <c r="M13" s="86"/>
      <c r="N13" s="87"/>
      <c r="Q13" s="141" t="s">
        <v>280</v>
      </c>
      <c r="R13" s="142">
        <v>0.68875112521618576</v>
      </c>
      <c r="S13" s="143" t="s">
        <v>372</v>
      </c>
      <c r="W13" s="83" t="s">
        <v>261</v>
      </c>
      <c r="X13" s="110" t="s">
        <v>28</v>
      </c>
      <c r="Y13" s="110">
        <v>14</v>
      </c>
      <c r="Z13" s="110" t="s">
        <v>301</v>
      </c>
      <c r="AA13" s="111">
        <v>1.0379329114785329</v>
      </c>
      <c r="AC13" s="93" t="s">
        <v>79</v>
      </c>
      <c r="AD13" s="94">
        <f>COUNTIF(Y$13:Y$51,"&lt;13")</f>
        <v>4</v>
      </c>
      <c r="AE13" s="95">
        <f t="shared" si="2"/>
        <v>0.10810810810810811</v>
      </c>
      <c r="AG13" s="127"/>
    </row>
    <row r="14" spans="1:33" x14ac:dyDescent="0.2">
      <c r="A14" s="81" t="s">
        <v>370</v>
      </c>
      <c r="B14" s="82" t="s">
        <v>10</v>
      </c>
      <c r="C14" s="82">
        <v>16</v>
      </c>
      <c r="D14" s="82" t="s">
        <v>369</v>
      </c>
      <c r="E14" s="102">
        <f t="shared" si="0"/>
        <v>0.541533003736272</v>
      </c>
      <c r="F14" s="65"/>
      <c r="G14" s="88" t="s">
        <v>80</v>
      </c>
      <c r="H14" s="89">
        <f>SUM(H8:H13)</f>
        <v>59</v>
      </c>
      <c r="I14" s="90">
        <f t="shared" si="1"/>
        <v>1</v>
      </c>
      <c r="M14" s="89"/>
      <c r="N14" s="90"/>
      <c r="Q14" s="141" t="s">
        <v>281</v>
      </c>
      <c r="R14" s="142">
        <v>0.76017780502759058</v>
      </c>
      <c r="S14" s="143" t="s">
        <v>372</v>
      </c>
      <c r="W14" s="83" t="s">
        <v>35</v>
      </c>
      <c r="X14" s="110" t="s">
        <v>49</v>
      </c>
      <c r="Y14" s="110">
        <v>13</v>
      </c>
      <c r="Z14" s="110" t="s">
        <v>293</v>
      </c>
      <c r="AA14" s="111">
        <v>1.0292149475019923</v>
      </c>
      <c r="AC14" s="88" t="s">
        <v>80</v>
      </c>
      <c r="AD14" s="89">
        <f>SUM(AD8:AD13)</f>
        <v>37</v>
      </c>
      <c r="AE14" s="90">
        <f t="shared" si="2"/>
        <v>1</v>
      </c>
      <c r="AG14" s="127"/>
    </row>
    <row r="15" spans="1:33" x14ac:dyDescent="0.2">
      <c r="A15" s="81" t="s">
        <v>14</v>
      </c>
      <c r="B15" s="82" t="s">
        <v>10</v>
      </c>
      <c r="C15" s="82">
        <v>16</v>
      </c>
      <c r="D15" s="82" t="s">
        <v>335</v>
      </c>
      <c r="E15" s="102">
        <f t="shared" ref="E15:E46" si="3">VLOOKUP($D15,$Q$7:$R$68,2,0)</f>
        <v>0.975461842272901</v>
      </c>
      <c r="F15" s="65"/>
      <c r="K15" s="9"/>
      <c r="Q15" s="141" t="s">
        <v>282</v>
      </c>
      <c r="R15" s="142">
        <v>0.33305692234682915</v>
      </c>
      <c r="S15" s="141" t="s">
        <v>86</v>
      </c>
      <c r="W15" s="83" t="s">
        <v>6</v>
      </c>
      <c r="X15" s="110" t="s">
        <v>110</v>
      </c>
      <c r="Y15" s="110">
        <v>18</v>
      </c>
      <c r="Z15" s="110" t="s">
        <v>313</v>
      </c>
      <c r="AA15" s="111">
        <v>1</v>
      </c>
      <c r="AG15" s="127"/>
    </row>
    <row r="16" spans="1:33" x14ac:dyDescent="0.2">
      <c r="A16" s="81" t="s">
        <v>26</v>
      </c>
      <c r="B16" s="82" t="s">
        <v>10</v>
      </c>
      <c r="C16" s="82">
        <v>16</v>
      </c>
      <c r="D16" s="82" t="s">
        <v>336</v>
      </c>
      <c r="E16" s="102">
        <f t="shared" si="3"/>
        <v>0.91865112788863534</v>
      </c>
      <c r="F16" s="65"/>
      <c r="K16" s="9"/>
      <c r="L16" s="4"/>
      <c r="Q16" s="141" t="s">
        <v>283</v>
      </c>
      <c r="R16" s="142">
        <v>0.89001113183270453</v>
      </c>
      <c r="S16" s="143" t="s">
        <v>371</v>
      </c>
      <c r="W16" s="83" t="s">
        <v>64</v>
      </c>
      <c r="X16" s="110" t="s">
        <v>10</v>
      </c>
      <c r="Y16" s="110">
        <v>16</v>
      </c>
      <c r="Z16" s="110" t="s">
        <v>288</v>
      </c>
      <c r="AA16" s="111">
        <v>1</v>
      </c>
      <c r="AG16" s="127"/>
    </row>
    <row r="17" spans="1:33" x14ac:dyDescent="0.2">
      <c r="A17" s="81" t="s">
        <v>258</v>
      </c>
      <c r="B17" s="82" t="s">
        <v>10</v>
      </c>
      <c r="C17" s="82">
        <v>16</v>
      </c>
      <c r="D17" s="82" t="s">
        <v>338</v>
      </c>
      <c r="E17" s="102">
        <f t="shared" si="3"/>
        <v>0.94700000000000006</v>
      </c>
      <c r="F17" s="65"/>
      <c r="K17" s="9"/>
      <c r="L17" s="4"/>
      <c r="Q17" s="141" t="s">
        <v>284</v>
      </c>
      <c r="R17" s="142">
        <v>0.89235399590163933</v>
      </c>
      <c r="S17" s="141" t="s">
        <v>371</v>
      </c>
      <c r="W17" s="83" t="s">
        <v>34</v>
      </c>
      <c r="X17" s="110" t="s">
        <v>28</v>
      </c>
      <c r="Y17" s="110">
        <v>14</v>
      </c>
      <c r="Z17" s="110" t="s">
        <v>294</v>
      </c>
      <c r="AA17" s="111">
        <v>1</v>
      </c>
      <c r="AC17" s="108" t="s">
        <v>139</v>
      </c>
      <c r="AD17" s="109"/>
      <c r="AE17" s="109"/>
      <c r="AF17" s="77">
        <f>AVERAGE(Y$52:Y$70)</f>
        <v>14.578947368421053</v>
      </c>
      <c r="AG17" s="126"/>
    </row>
    <row r="18" spans="1:33" ht="13.5" thickBot="1" x14ac:dyDescent="0.25">
      <c r="A18" s="83" t="s">
        <v>15</v>
      </c>
      <c r="B18" s="80" t="s">
        <v>16</v>
      </c>
      <c r="C18" s="80">
        <v>15</v>
      </c>
      <c r="D18" s="80" t="s">
        <v>277</v>
      </c>
      <c r="E18" s="101">
        <f t="shared" si="3"/>
        <v>0.91042888352305396</v>
      </c>
      <c r="F18" s="65"/>
      <c r="K18" s="9"/>
      <c r="L18" s="4"/>
      <c r="N18" s="4"/>
      <c r="Q18" s="141" t="s">
        <v>285</v>
      </c>
      <c r="R18" s="142">
        <v>0.91199977892108686</v>
      </c>
      <c r="S18" s="141" t="s">
        <v>371</v>
      </c>
      <c r="W18" s="83" t="s">
        <v>24</v>
      </c>
      <c r="X18" s="110" t="s">
        <v>28</v>
      </c>
      <c r="Y18" s="110">
        <v>14</v>
      </c>
      <c r="Z18" s="110" t="s">
        <v>324</v>
      </c>
      <c r="AA18" s="111">
        <v>1</v>
      </c>
      <c r="AC18" s="96" t="s">
        <v>77</v>
      </c>
      <c r="AD18" s="96" t="s">
        <v>81</v>
      </c>
      <c r="AE18" s="96" t="s">
        <v>82</v>
      </c>
      <c r="AG18" s="127"/>
    </row>
    <row r="19" spans="1:33" x14ac:dyDescent="0.2">
      <c r="A19" s="83" t="s">
        <v>17</v>
      </c>
      <c r="B19" s="80" t="s">
        <v>16</v>
      </c>
      <c r="C19" s="80">
        <v>15</v>
      </c>
      <c r="D19" s="80" t="s">
        <v>307</v>
      </c>
      <c r="E19" s="101">
        <f t="shared" si="3"/>
        <v>0.86662573118314323</v>
      </c>
      <c r="F19" s="69"/>
      <c r="K19" s="9"/>
      <c r="L19" s="4"/>
      <c r="N19" s="4"/>
      <c r="Q19" s="141" t="s">
        <v>286</v>
      </c>
      <c r="R19" s="142">
        <v>0.71562826313957539</v>
      </c>
      <c r="S19" s="141" t="s">
        <v>372</v>
      </c>
      <c r="W19" s="83" t="s">
        <v>59</v>
      </c>
      <c r="X19" s="110" t="s">
        <v>28</v>
      </c>
      <c r="Y19" s="110">
        <v>14</v>
      </c>
      <c r="Z19" s="110" t="s">
        <v>337</v>
      </c>
      <c r="AA19" s="111">
        <v>1</v>
      </c>
      <c r="AC19" s="72" t="s">
        <v>138</v>
      </c>
      <c r="AD19" s="86">
        <f>COUNTIF(Y$52:Y$70,"&gt;16")</f>
        <v>1</v>
      </c>
      <c r="AE19" s="87">
        <f>AD19/AD$25</f>
        <v>5.2631578947368418E-2</v>
      </c>
      <c r="AG19" s="127"/>
    </row>
    <row r="20" spans="1:33" x14ac:dyDescent="0.2">
      <c r="A20" s="83" t="s">
        <v>31</v>
      </c>
      <c r="B20" s="80" t="s">
        <v>16</v>
      </c>
      <c r="C20" s="80">
        <v>15</v>
      </c>
      <c r="D20" s="110" t="s">
        <v>289</v>
      </c>
      <c r="E20" s="111">
        <f t="shared" si="3"/>
        <v>0.81254016709511567</v>
      </c>
      <c r="F20" s="65"/>
      <c r="K20" s="9"/>
      <c r="L20" s="4"/>
      <c r="N20" s="4"/>
      <c r="Q20" s="141" t="s">
        <v>287</v>
      </c>
      <c r="R20" s="142">
        <v>0.99609846555590886</v>
      </c>
      <c r="S20" s="143" t="s">
        <v>371</v>
      </c>
      <c r="W20" s="83" t="s">
        <v>58</v>
      </c>
      <c r="X20" s="110" t="s">
        <v>49</v>
      </c>
      <c r="Y20" s="110">
        <v>13</v>
      </c>
      <c r="Z20" s="110" t="s">
        <v>276</v>
      </c>
      <c r="AA20" s="111">
        <v>1</v>
      </c>
      <c r="AC20" s="72" t="s">
        <v>10</v>
      </c>
      <c r="AD20" s="86">
        <f>COUNTIF(Y$52:Y$70,"=16")</f>
        <v>3</v>
      </c>
      <c r="AE20" s="87">
        <f t="shared" ref="AE20:AE25" si="4">AD20/AD$25</f>
        <v>0.15789473684210525</v>
      </c>
      <c r="AG20" s="127"/>
    </row>
    <row r="21" spans="1:33" x14ac:dyDescent="0.2">
      <c r="A21" s="83" t="s">
        <v>254</v>
      </c>
      <c r="B21" s="80" t="s">
        <v>16</v>
      </c>
      <c r="C21" s="80">
        <v>15</v>
      </c>
      <c r="D21" s="80" t="s">
        <v>331</v>
      </c>
      <c r="E21" s="101">
        <f t="shared" si="3"/>
        <v>0.83267459864721705</v>
      </c>
      <c r="F21" s="65"/>
      <c r="Q21" s="141" t="s">
        <v>86</v>
      </c>
      <c r="R21" s="142">
        <v>0.63157463237392464</v>
      </c>
      <c r="S21" s="141" t="s">
        <v>372</v>
      </c>
      <c r="W21" s="83" t="s">
        <v>53</v>
      </c>
      <c r="X21" s="110" t="s">
        <v>16</v>
      </c>
      <c r="Y21" s="110">
        <v>15</v>
      </c>
      <c r="Z21" s="110" t="s">
        <v>318</v>
      </c>
      <c r="AA21" s="111">
        <v>0.99967409016838671</v>
      </c>
      <c r="AC21" s="72" t="s">
        <v>16</v>
      </c>
      <c r="AD21" s="86">
        <f>COUNTIF(Y$52:Y$70,"=15")</f>
        <v>6</v>
      </c>
      <c r="AE21" s="87">
        <f t="shared" si="4"/>
        <v>0.31578947368421051</v>
      </c>
      <c r="AG21" s="127"/>
    </row>
    <row r="22" spans="1:33" x14ac:dyDescent="0.2">
      <c r="A22" s="83" t="s">
        <v>12</v>
      </c>
      <c r="B22" s="80" t="s">
        <v>16</v>
      </c>
      <c r="C22" s="80">
        <v>15</v>
      </c>
      <c r="D22" s="80" t="s">
        <v>309</v>
      </c>
      <c r="E22" s="101">
        <f t="shared" si="3"/>
        <v>0.36101059894989318</v>
      </c>
      <c r="F22" s="65"/>
      <c r="Q22" s="141" t="s">
        <v>288</v>
      </c>
      <c r="R22" s="142">
        <v>1</v>
      </c>
      <c r="S22" s="143" t="s">
        <v>371</v>
      </c>
      <c r="W22" s="83" t="s">
        <v>50</v>
      </c>
      <c r="X22" s="84" t="s">
        <v>373</v>
      </c>
      <c r="Y22" s="84"/>
      <c r="Z22" s="110" t="s">
        <v>287</v>
      </c>
      <c r="AA22" s="111">
        <v>0.99609846555590886</v>
      </c>
      <c r="AC22" s="72" t="s">
        <v>28</v>
      </c>
      <c r="AD22" s="86">
        <f>COUNTIF(Y$52:Y$70,"=14")</f>
        <v>3</v>
      </c>
      <c r="AE22" s="87">
        <f t="shared" si="4"/>
        <v>0.15789473684210525</v>
      </c>
      <c r="AG22" s="127"/>
    </row>
    <row r="23" spans="1:33" x14ac:dyDescent="0.2">
      <c r="A23" s="83" t="s">
        <v>52</v>
      </c>
      <c r="B23" s="80" t="s">
        <v>16</v>
      </c>
      <c r="C23" s="80">
        <v>15</v>
      </c>
      <c r="D23" s="80" t="s">
        <v>281</v>
      </c>
      <c r="E23" s="101">
        <f t="shared" si="3"/>
        <v>0.76017780502759058</v>
      </c>
      <c r="F23" s="65"/>
      <c r="Q23" s="141" t="s">
        <v>289</v>
      </c>
      <c r="R23" s="142">
        <v>0.81254016709511567</v>
      </c>
      <c r="S23" s="141" t="s">
        <v>371</v>
      </c>
      <c r="W23" s="83" t="s">
        <v>66</v>
      </c>
      <c r="X23" s="110" t="s">
        <v>28</v>
      </c>
      <c r="Y23" s="110">
        <v>14</v>
      </c>
      <c r="Z23" s="110" t="s">
        <v>315</v>
      </c>
      <c r="AA23" s="111">
        <v>0.99569209153466032</v>
      </c>
      <c r="AC23" s="72" t="s">
        <v>49</v>
      </c>
      <c r="AD23" s="86">
        <f>COUNTIF(Y$52:Y$70,"=13")</f>
        <v>6</v>
      </c>
      <c r="AE23" s="87">
        <f t="shared" si="4"/>
        <v>0.31578947368421051</v>
      </c>
      <c r="AG23" s="127"/>
    </row>
    <row r="24" spans="1:33" ht="13.5" thickBot="1" x14ac:dyDescent="0.25">
      <c r="A24" s="83" t="s">
        <v>513</v>
      </c>
      <c r="B24" s="80" t="s">
        <v>16</v>
      </c>
      <c r="C24" s="80">
        <v>15</v>
      </c>
      <c r="D24" s="110" t="s">
        <v>512</v>
      </c>
      <c r="E24" s="111">
        <f t="shared" si="3"/>
        <v>0.95294725244456668</v>
      </c>
      <c r="F24" s="65"/>
      <c r="Q24" s="141" t="s">
        <v>290</v>
      </c>
      <c r="R24" s="142">
        <v>0.76510407852428497</v>
      </c>
      <c r="S24" s="141" t="s">
        <v>372</v>
      </c>
      <c r="W24" s="83" t="s">
        <v>266</v>
      </c>
      <c r="X24" s="110" t="s">
        <v>56</v>
      </c>
      <c r="Y24" s="110">
        <v>12</v>
      </c>
      <c r="Z24" s="110" t="s">
        <v>314</v>
      </c>
      <c r="AA24" s="111">
        <v>0.99533285779852521</v>
      </c>
      <c r="AC24" s="93" t="s">
        <v>79</v>
      </c>
      <c r="AD24" s="94">
        <f>COUNTIF(Y$52:Y$70,"&lt;13")</f>
        <v>0</v>
      </c>
      <c r="AE24" s="95">
        <f t="shared" si="4"/>
        <v>0</v>
      </c>
      <c r="AG24" s="127"/>
    </row>
    <row r="25" spans="1:33" x14ac:dyDescent="0.2">
      <c r="A25" s="83" t="s">
        <v>21</v>
      </c>
      <c r="B25" s="80" t="s">
        <v>16</v>
      </c>
      <c r="C25" s="80">
        <v>15</v>
      </c>
      <c r="D25" s="80" t="s">
        <v>316</v>
      </c>
      <c r="E25" s="101">
        <f t="shared" si="3"/>
        <v>0.76907329412838532</v>
      </c>
      <c r="F25" s="69"/>
      <c r="Q25" s="141" t="s">
        <v>291</v>
      </c>
      <c r="R25" s="142">
        <v>0.96341849943457658</v>
      </c>
      <c r="S25" s="143" t="s">
        <v>371</v>
      </c>
      <c r="W25" s="83" t="s">
        <v>54</v>
      </c>
      <c r="X25" s="110" t="s">
        <v>56</v>
      </c>
      <c r="Y25" s="110">
        <v>12</v>
      </c>
      <c r="Z25" s="110" t="s">
        <v>326</v>
      </c>
      <c r="AA25" s="111">
        <v>0.99461817608484948</v>
      </c>
      <c r="AC25" s="88" t="s">
        <v>80</v>
      </c>
      <c r="AD25" s="89">
        <f>SUM(AD19:AD24)</f>
        <v>19</v>
      </c>
      <c r="AE25" s="90">
        <f t="shared" si="4"/>
        <v>1</v>
      </c>
      <c r="AG25" s="127"/>
    </row>
    <row r="26" spans="1:33" x14ac:dyDescent="0.2">
      <c r="A26" s="83" t="s">
        <v>23</v>
      </c>
      <c r="B26" s="110" t="s">
        <v>16</v>
      </c>
      <c r="C26" s="110">
        <v>15</v>
      </c>
      <c r="D26" s="110" t="s">
        <v>323</v>
      </c>
      <c r="E26" s="111">
        <f t="shared" si="3"/>
        <v>0.73349447513812149</v>
      </c>
      <c r="F26" s="65"/>
      <c r="Q26" s="141" t="s">
        <v>292</v>
      </c>
      <c r="R26" s="142">
        <v>0.89318320146074259</v>
      </c>
      <c r="S26" s="141" t="s">
        <v>371</v>
      </c>
      <c r="W26" s="83" t="s">
        <v>41</v>
      </c>
      <c r="X26" s="110" t="s">
        <v>28</v>
      </c>
      <c r="Y26" s="110">
        <v>14</v>
      </c>
      <c r="Z26" s="110" t="s">
        <v>322</v>
      </c>
      <c r="AA26" s="111">
        <v>0.99126425624848336</v>
      </c>
      <c r="AG26" s="127"/>
    </row>
    <row r="27" spans="1:33" x14ac:dyDescent="0.2">
      <c r="A27" s="83" t="s">
        <v>53</v>
      </c>
      <c r="B27" s="80" t="s">
        <v>16</v>
      </c>
      <c r="C27" s="80">
        <v>15</v>
      </c>
      <c r="D27" s="80" t="s">
        <v>318</v>
      </c>
      <c r="E27" s="101">
        <f t="shared" si="3"/>
        <v>0.99967409016838671</v>
      </c>
      <c r="F27" s="65"/>
      <c r="Q27" s="141" t="s">
        <v>293</v>
      </c>
      <c r="R27" s="142">
        <v>1.0292149475019923</v>
      </c>
      <c r="S27" s="141" t="s">
        <v>371</v>
      </c>
      <c r="W27" s="83" t="s">
        <v>75</v>
      </c>
      <c r="X27" s="110" t="s">
        <v>28</v>
      </c>
      <c r="Y27" s="110">
        <v>14</v>
      </c>
      <c r="Z27" s="110" t="s">
        <v>332</v>
      </c>
      <c r="AA27" s="111">
        <v>0.98872477714287255</v>
      </c>
      <c r="AG27" s="127"/>
    </row>
    <row r="28" spans="1:33" x14ac:dyDescent="0.2">
      <c r="A28" s="83" t="s">
        <v>43</v>
      </c>
      <c r="B28" s="80" t="s">
        <v>16</v>
      </c>
      <c r="C28" s="80">
        <v>15</v>
      </c>
      <c r="D28" s="110" t="s">
        <v>325</v>
      </c>
      <c r="E28" s="111">
        <f t="shared" si="3"/>
        <v>0.61841824770837783</v>
      </c>
      <c r="F28" s="65"/>
      <c r="Q28" s="141" t="s">
        <v>294</v>
      </c>
      <c r="R28" s="142">
        <v>1</v>
      </c>
      <c r="S28" s="141" t="s">
        <v>371</v>
      </c>
      <c r="W28" s="83" t="s">
        <v>76</v>
      </c>
      <c r="X28" s="84" t="s">
        <v>373</v>
      </c>
      <c r="Y28" s="84"/>
      <c r="Z28" s="84" t="s">
        <v>334</v>
      </c>
      <c r="AA28" s="103">
        <v>0.98538704581358605</v>
      </c>
      <c r="AC28" s="108" t="s">
        <v>140</v>
      </c>
      <c r="AD28" s="109"/>
      <c r="AE28" s="109"/>
      <c r="AF28" s="77">
        <f>AVERAGE(Y$71:Y$74)</f>
        <v>11.5</v>
      </c>
      <c r="AG28" s="126"/>
    </row>
    <row r="29" spans="1:33" ht="13.5" thickBot="1" x14ac:dyDescent="0.25">
      <c r="A29" s="83" t="s">
        <v>257</v>
      </c>
      <c r="B29" s="80" t="s">
        <v>16</v>
      </c>
      <c r="C29" s="80">
        <v>15</v>
      </c>
      <c r="D29" s="80" t="s">
        <v>320</v>
      </c>
      <c r="E29" s="101">
        <f t="shared" si="3"/>
        <v>0.85816623707026407</v>
      </c>
      <c r="F29" s="65"/>
      <c r="Q29" s="141" t="s">
        <v>295</v>
      </c>
      <c r="R29" s="142">
        <v>0.11951366732775717</v>
      </c>
      <c r="S29" s="141" t="s">
        <v>86</v>
      </c>
      <c r="W29" s="83" t="s">
        <v>20</v>
      </c>
      <c r="X29" s="110" t="s">
        <v>28</v>
      </c>
      <c r="Y29" s="110">
        <v>14</v>
      </c>
      <c r="Z29" s="110" t="s">
        <v>303</v>
      </c>
      <c r="AA29" s="111">
        <v>0.97697589100213744</v>
      </c>
      <c r="AC29" s="96" t="s">
        <v>77</v>
      </c>
      <c r="AD29" s="96" t="s">
        <v>81</v>
      </c>
      <c r="AE29" s="96" t="s">
        <v>82</v>
      </c>
    </row>
    <row r="30" spans="1:33" x14ac:dyDescent="0.2">
      <c r="A30" s="83" t="s">
        <v>13</v>
      </c>
      <c r="B30" s="80" t="s">
        <v>16</v>
      </c>
      <c r="C30" s="80">
        <v>15</v>
      </c>
      <c r="D30" s="80" t="s">
        <v>327</v>
      </c>
      <c r="E30" s="101">
        <f t="shared" si="3"/>
        <v>0.77444478716841458</v>
      </c>
      <c r="F30" s="65"/>
      <c r="Q30" s="141" t="s">
        <v>296</v>
      </c>
      <c r="R30" s="142">
        <v>0.7886228860092247</v>
      </c>
      <c r="S30" s="141" t="s">
        <v>372</v>
      </c>
      <c r="W30" s="83" t="s">
        <v>14</v>
      </c>
      <c r="X30" s="110" t="s">
        <v>10</v>
      </c>
      <c r="Y30" s="110">
        <v>16</v>
      </c>
      <c r="Z30" s="110" t="s">
        <v>335</v>
      </c>
      <c r="AA30" s="111">
        <v>0.975461842272901</v>
      </c>
      <c r="AC30" s="72" t="s">
        <v>138</v>
      </c>
      <c r="AD30" s="86">
        <f>COUNTIF(Y$71:Y$74,"&gt;16")</f>
        <v>0</v>
      </c>
      <c r="AE30" s="87">
        <f>AD30/AD$36</f>
        <v>0</v>
      </c>
    </row>
    <row r="31" spans="1:33" x14ac:dyDescent="0.2">
      <c r="A31" s="83" t="s">
        <v>25</v>
      </c>
      <c r="B31" s="80" t="s">
        <v>16</v>
      </c>
      <c r="C31" s="80">
        <v>15</v>
      </c>
      <c r="D31" s="80" t="s">
        <v>329</v>
      </c>
      <c r="E31" s="101">
        <f t="shared" si="3"/>
        <v>0.66251692368655679</v>
      </c>
      <c r="F31" s="65"/>
      <c r="K31" s="66"/>
      <c r="L31" s="66"/>
      <c r="Q31" s="141" t="s">
        <v>297</v>
      </c>
      <c r="R31" s="142">
        <v>0.80341264723043471</v>
      </c>
      <c r="S31" s="143" t="s">
        <v>371</v>
      </c>
      <c r="W31" s="83" t="s">
        <v>265</v>
      </c>
      <c r="X31" s="110" t="s">
        <v>56</v>
      </c>
      <c r="Y31" s="110">
        <v>12</v>
      </c>
      <c r="Z31" s="110" t="s">
        <v>333</v>
      </c>
      <c r="AA31" s="111">
        <v>0.97036252976978032</v>
      </c>
      <c r="AC31" s="72" t="s">
        <v>10</v>
      </c>
      <c r="AD31" s="86">
        <f>COUNTIF(Y$71:Y$74,"=16")</f>
        <v>0</v>
      </c>
      <c r="AE31" s="87">
        <f t="shared" ref="AE31:AE36" si="5">AD31/AD$36</f>
        <v>0</v>
      </c>
    </row>
    <row r="32" spans="1:33" x14ac:dyDescent="0.2">
      <c r="A32" s="83" t="s">
        <v>62</v>
      </c>
      <c r="B32" s="80" t="s">
        <v>16</v>
      </c>
      <c r="C32" s="80">
        <v>15</v>
      </c>
      <c r="D32" s="110" t="s">
        <v>330</v>
      </c>
      <c r="E32" s="111">
        <f t="shared" si="3"/>
        <v>0.93843994106691131</v>
      </c>
      <c r="F32" s="65"/>
      <c r="L32" s="66"/>
      <c r="Q32" s="141" t="s">
        <v>298</v>
      </c>
      <c r="R32" s="142">
        <v>0.58646630934150079</v>
      </c>
      <c r="S32" s="143" t="s">
        <v>372</v>
      </c>
      <c r="W32" s="83" t="s">
        <v>259</v>
      </c>
      <c r="X32" s="110" t="s">
        <v>28</v>
      </c>
      <c r="Y32" s="110">
        <v>14</v>
      </c>
      <c r="Z32" s="110" t="s">
        <v>275</v>
      </c>
      <c r="AA32" s="111">
        <v>0.96680210088197405</v>
      </c>
      <c r="AC32" s="72" t="s">
        <v>16</v>
      </c>
      <c r="AD32" s="86">
        <f>COUNTIF(Y$71:Y$74,"=15")</f>
        <v>1</v>
      </c>
      <c r="AE32" s="87">
        <f t="shared" si="5"/>
        <v>0.25</v>
      </c>
    </row>
    <row r="33" spans="1:31" x14ac:dyDescent="0.2">
      <c r="A33" s="81" t="s">
        <v>259</v>
      </c>
      <c r="B33" s="82" t="s">
        <v>28</v>
      </c>
      <c r="C33" s="82">
        <v>14</v>
      </c>
      <c r="D33" s="82" t="s">
        <v>275</v>
      </c>
      <c r="E33" s="102">
        <f t="shared" si="3"/>
        <v>0.96680210088197405</v>
      </c>
      <c r="F33" s="65"/>
      <c r="L33" s="66"/>
      <c r="Q33" s="141" t="s">
        <v>299</v>
      </c>
      <c r="R33" s="142">
        <v>0.64970550208303401</v>
      </c>
      <c r="S33" s="143" t="s">
        <v>372</v>
      </c>
      <c r="W33" s="83" t="s">
        <v>19</v>
      </c>
      <c r="X33" s="110" t="s">
        <v>10</v>
      </c>
      <c r="Y33" s="110">
        <v>16</v>
      </c>
      <c r="Z33" s="110" t="s">
        <v>291</v>
      </c>
      <c r="AA33" s="111">
        <v>0.96341849943457658</v>
      </c>
      <c r="AC33" s="72" t="s">
        <v>28</v>
      </c>
      <c r="AD33" s="86">
        <f>COUNTIF(Y$71:Y$74,"=14")</f>
        <v>0</v>
      </c>
      <c r="AE33" s="87">
        <f t="shared" si="5"/>
        <v>0</v>
      </c>
    </row>
    <row r="34" spans="1:31" x14ac:dyDescent="0.2">
      <c r="A34" s="81" t="s">
        <v>55</v>
      </c>
      <c r="B34" s="82" t="s">
        <v>28</v>
      </c>
      <c r="C34" s="82">
        <v>14</v>
      </c>
      <c r="D34" s="82" t="s">
        <v>278</v>
      </c>
      <c r="E34" s="102">
        <f t="shared" si="3"/>
        <v>0.91095138568993894</v>
      </c>
      <c r="F34" s="65"/>
      <c r="H34" s="4"/>
      <c r="I34" s="4"/>
      <c r="L34" s="66"/>
      <c r="Q34" s="141" t="s">
        <v>301</v>
      </c>
      <c r="R34" s="142">
        <v>1.0379329114785329</v>
      </c>
      <c r="S34" s="143" t="s">
        <v>371</v>
      </c>
      <c r="W34" s="83" t="s">
        <v>513</v>
      </c>
      <c r="X34" s="110" t="s">
        <v>16</v>
      </c>
      <c r="Y34" s="110">
        <v>15</v>
      </c>
      <c r="Z34" s="110" t="s">
        <v>512</v>
      </c>
      <c r="AA34" s="111">
        <v>0.95294725244456668</v>
      </c>
      <c r="AC34" s="72" t="s">
        <v>49</v>
      </c>
      <c r="AD34" s="86">
        <f>COUNTIF(Y$71:Y$74,"=13")</f>
        <v>2</v>
      </c>
      <c r="AE34" s="87">
        <f t="shared" si="5"/>
        <v>0.5</v>
      </c>
    </row>
    <row r="35" spans="1:31" ht="13.5" thickBot="1" x14ac:dyDescent="0.25">
      <c r="A35" s="81" t="s">
        <v>29</v>
      </c>
      <c r="B35" s="82" t="s">
        <v>28</v>
      </c>
      <c r="C35" s="82">
        <v>14</v>
      </c>
      <c r="D35" s="82" t="s">
        <v>286</v>
      </c>
      <c r="E35" s="102">
        <f t="shared" si="3"/>
        <v>0.71562826313957539</v>
      </c>
      <c r="F35" s="65"/>
      <c r="G35" s="86" t="s">
        <v>268</v>
      </c>
      <c r="H35" s="4"/>
      <c r="I35" s="4"/>
      <c r="J35" s="4"/>
      <c r="L35" s="67"/>
      <c r="Q35" s="141" t="s">
        <v>302</v>
      </c>
      <c r="R35" s="142">
        <v>0.47637430521244206</v>
      </c>
      <c r="S35" s="141" t="s">
        <v>86</v>
      </c>
      <c r="W35" s="83" t="s">
        <v>258</v>
      </c>
      <c r="X35" s="110" t="s">
        <v>10</v>
      </c>
      <c r="Y35" s="110">
        <v>16</v>
      </c>
      <c r="Z35" s="110" t="s">
        <v>338</v>
      </c>
      <c r="AA35" s="111">
        <v>0.94700000000000006</v>
      </c>
      <c r="AC35" s="93" t="s">
        <v>79</v>
      </c>
      <c r="AD35" s="94">
        <f>COUNTIF(Y$71:Y$74,"&lt;13")</f>
        <v>1</v>
      </c>
      <c r="AE35" s="95">
        <f t="shared" si="5"/>
        <v>0.25</v>
      </c>
    </row>
    <row r="36" spans="1:31" x14ac:dyDescent="0.2">
      <c r="A36" s="81" t="s">
        <v>30</v>
      </c>
      <c r="B36" s="82" t="s">
        <v>28</v>
      </c>
      <c r="C36" s="82">
        <v>14</v>
      </c>
      <c r="D36" s="82" t="s">
        <v>285</v>
      </c>
      <c r="E36" s="102">
        <f t="shared" si="3"/>
        <v>0.91199977892108686</v>
      </c>
      <c r="F36" s="65"/>
      <c r="G36" s="140"/>
      <c r="H36" s="11"/>
      <c r="I36" s="11"/>
      <c r="J36" s="4"/>
      <c r="L36" s="67"/>
      <c r="Q36" s="141" t="s">
        <v>303</v>
      </c>
      <c r="R36" s="142">
        <v>0.97697589100213744</v>
      </c>
      <c r="S36" s="143" t="s">
        <v>371</v>
      </c>
      <c r="W36" s="83" t="s">
        <v>62</v>
      </c>
      <c r="X36" s="110" t="s">
        <v>16</v>
      </c>
      <c r="Y36" s="110">
        <v>15</v>
      </c>
      <c r="Z36" s="110" t="s">
        <v>330</v>
      </c>
      <c r="AA36" s="111">
        <v>0.93843994106691131</v>
      </c>
      <c r="AC36" s="88" t="s">
        <v>80</v>
      </c>
      <c r="AD36" s="89">
        <f>SUM(AD30:AD35)</f>
        <v>4</v>
      </c>
      <c r="AE36" s="90">
        <f t="shared" si="5"/>
        <v>1</v>
      </c>
    </row>
    <row r="37" spans="1:31" x14ac:dyDescent="0.2">
      <c r="A37" s="81" t="s">
        <v>34</v>
      </c>
      <c r="B37" s="82" t="s">
        <v>28</v>
      </c>
      <c r="C37" s="82">
        <v>14</v>
      </c>
      <c r="D37" s="82" t="s">
        <v>294</v>
      </c>
      <c r="E37" s="102">
        <f t="shared" si="3"/>
        <v>1</v>
      </c>
      <c r="F37" s="69"/>
      <c r="H37" s="12"/>
      <c r="I37" s="4"/>
      <c r="J37" s="11"/>
      <c r="Q37" s="141" t="s">
        <v>307</v>
      </c>
      <c r="R37" s="142">
        <v>0.86662573118314323</v>
      </c>
      <c r="S37" s="141" t="s">
        <v>371</v>
      </c>
      <c r="W37" s="83" t="s">
        <v>42</v>
      </c>
      <c r="X37" s="110" t="s">
        <v>61</v>
      </c>
      <c r="Y37" s="110">
        <v>11</v>
      </c>
      <c r="Z37" s="110" t="s">
        <v>321</v>
      </c>
      <c r="AA37" s="111">
        <v>0.93520619672453054</v>
      </c>
    </row>
    <row r="38" spans="1:31" x14ac:dyDescent="0.2">
      <c r="A38" s="81" t="s">
        <v>36</v>
      </c>
      <c r="B38" s="82" t="s">
        <v>28</v>
      </c>
      <c r="C38" s="82">
        <v>14</v>
      </c>
      <c r="D38" s="82" t="s">
        <v>297</v>
      </c>
      <c r="E38" s="102">
        <f t="shared" si="3"/>
        <v>0.80341264723043471</v>
      </c>
      <c r="F38" s="65"/>
      <c r="H38" s="12"/>
      <c r="I38" s="4"/>
      <c r="J38" s="13"/>
      <c r="Q38" s="141" t="s">
        <v>309</v>
      </c>
      <c r="R38" s="142">
        <v>0.36101059894989318</v>
      </c>
      <c r="S38" s="141" t="s">
        <v>86</v>
      </c>
      <c r="W38" s="83" t="s">
        <v>7</v>
      </c>
      <c r="X38" s="110" t="s">
        <v>2</v>
      </c>
      <c r="Y38" s="110">
        <v>17</v>
      </c>
      <c r="Z38" s="110" t="s">
        <v>328</v>
      </c>
      <c r="AA38" s="111">
        <v>0.92936836749527552</v>
      </c>
    </row>
    <row r="39" spans="1:31" x14ac:dyDescent="0.2">
      <c r="A39" s="81" t="s">
        <v>11</v>
      </c>
      <c r="B39" s="82" t="s">
        <v>28</v>
      </c>
      <c r="C39" s="82">
        <v>14</v>
      </c>
      <c r="D39" s="82" t="s">
        <v>298</v>
      </c>
      <c r="E39" s="102">
        <f t="shared" si="3"/>
        <v>0.58646630934150079</v>
      </c>
      <c r="F39" s="65"/>
      <c r="H39" s="12"/>
      <c r="I39" s="4"/>
      <c r="J39" s="13"/>
      <c r="Q39" s="141" t="s">
        <v>310</v>
      </c>
      <c r="R39" s="142">
        <v>0.78418126509511765</v>
      </c>
      <c r="S39" s="141" t="s">
        <v>372</v>
      </c>
      <c r="W39" s="83" t="s">
        <v>26</v>
      </c>
      <c r="X39" s="110" t="s">
        <v>10</v>
      </c>
      <c r="Y39" s="110">
        <v>16</v>
      </c>
      <c r="Z39" s="110" t="s">
        <v>336</v>
      </c>
      <c r="AA39" s="111">
        <v>0.91865112788863534</v>
      </c>
    </row>
    <row r="40" spans="1:31" x14ac:dyDescent="0.2">
      <c r="A40" s="81" t="s">
        <v>261</v>
      </c>
      <c r="B40" s="82" t="s">
        <v>28</v>
      </c>
      <c r="C40" s="82">
        <v>14</v>
      </c>
      <c r="D40" s="82" t="s">
        <v>301</v>
      </c>
      <c r="E40" s="102">
        <f t="shared" si="3"/>
        <v>1.0379329114785329</v>
      </c>
      <c r="F40" s="65"/>
      <c r="H40" s="12"/>
      <c r="I40" s="4"/>
      <c r="J40" s="13"/>
      <c r="Q40" s="141" t="s">
        <v>369</v>
      </c>
      <c r="R40" s="142">
        <v>0.541533003736272</v>
      </c>
      <c r="S40" s="143" t="s">
        <v>372</v>
      </c>
      <c r="W40" s="83" t="s">
        <v>30</v>
      </c>
      <c r="X40" s="110" t="s">
        <v>28</v>
      </c>
      <c r="Y40" s="110">
        <v>14</v>
      </c>
      <c r="Z40" s="110" t="s">
        <v>285</v>
      </c>
      <c r="AA40" s="111">
        <v>0.91199977892108686</v>
      </c>
    </row>
    <row r="41" spans="1:31" x14ac:dyDescent="0.2">
      <c r="A41" s="81" t="s">
        <v>20</v>
      </c>
      <c r="B41" s="82" t="s">
        <v>28</v>
      </c>
      <c r="C41" s="82">
        <v>14</v>
      </c>
      <c r="D41" s="82" t="s">
        <v>303</v>
      </c>
      <c r="E41" s="102">
        <f t="shared" si="3"/>
        <v>0.97697589100213744</v>
      </c>
      <c r="F41" s="69"/>
      <c r="H41" s="12"/>
      <c r="I41" s="4"/>
      <c r="J41" s="13"/>
      <c r="Q41" s="141" t="s">
        <v>311</v>
      </c>
      <c r="R41" s="142">
        <v>0.57845507252191697</v>
      </c>
      <c r="S41" s="143" t="s">
        <v>372</v>
      </c>
      <c r="W41" s="83" t="s">
        <v>55</v>
      </c>
      <c r="X41" s="110" t="s">
        <v>28</v>
      </c>
      <c r="Y41" s="110">
        <v>14</v>
      </c>
      <c r="Z41" s="110" t="s">
        <v>278</v>
      </c>
      <c r="AA41" s="111">
        <v>0.91095138568993894</v>
      </c>
    </row>
    <row r="42" spans="1:31" x14ac:dyDescent="0.2">
      <c r="A42" s="81" t="s">
        <v>66</v>
      </c>
      <c r="B42" s="82" t="s">
        <v>28</v>
      </c>
      <c r="C42" s="82">
        <v>14</v>
      </c>
      <c r="D42" s="82" t="s">
        <v>315</v>
      </c>
      <c r="E42" s="102">
        <f t="shared" si="3"/>
        <v>0.99569209153466032</v>
      </c>
      <c r="F42" s="69"/>
      <c r="H42" s="12"/>
      <c r="I42" s="4"/>
      <c r="J42" s="13"/>
      <c r="Q42" s="141" t="s">
        <v>313</v>
      </c>
      <c r="R42" s="142">
        <v>1</v>
      </c>
      <c r="S42" s="143" t="s">
        <v>371</v>
      </c>
      <c r="W42" s="83" t="s">
        <v>15</v>
      </c>
      <c r="X42" s="110" t="s">
        <v>16</v>
      </c>
      <c r="Y42" s="110">
        <v>15</v>
      </c>
      <c r="Z42" s="110" t="s">
        <v>277</v>
      </c>
      <c r="AA42" s="111">
        <v>0.91042888352305396</v>
      </c>
    </row>
    <row r="43" spans="1:31" x14ac:dyDescent="0.2">
      <c r="A43" s="81" t="s">
        <v>41</v>
      </c>
      <c r="B43" s="82" t="s">
        <v>28</v>
      </c>
      <c r="C43" s="82">
        <v>14</v>
      </c>
      <c r="D43" s="82" t="s">
        <v>322</v>
      </c>
      <c r="E43" s="102">
        <f t="shared" si="3"/>
        <v>0.99126425624848336</v>
      </c>
      <c r="F43" s="65"/>
      <c r="H43" s="4"/>
      <c r="I43" s="4"/>
      <c r="J43" s="4"/>
      <c r="Q43" s="141" t="s">
        <v>512</v>
      </c>
      <c r="R43" s="142">
        <v>0.95294725244456668</v>
      </c>
      <c r="S43" s="143" t="s">
        <v>371</v>
      </c>
      <c r="W43" s="83" t="s">
        <v>3</v>
      </c>
      <c r="X43" s="110" t="s">
        <v>10</v>
      </c>
      <c r="Y43" s="110">
        <v>16</v>
      </c>
      <c r="Z43" s="110" t="s">
        <v>292</v>
      </c>
      <c r="AA43" s="111">
        <v>0.89318320146074259</v>
      </c>
    </row>
    <row r="44" spans="1:31" x14ac:dyDescent="0.2">
      <c r="A44" s="81" t="s">
        <v>24</v>
      </c>
      <c r="B44" s="82" t="s">
        <v>28</v>
      </c>
      <c r="C44" s="82">
        <v>14</v>
      </c>
      <c r="D44" s="82" t="s">
        <v>324</v>
      </c>
      <c r="E44" s="102">
        <f t="shared" si="3"/>
        <v>1</v>
      </c>
      <c r="F44" s="65"/>
      <c r="H44" s="4"/>
      <c r="I44" s="4"/>
      <c r="J44" s="4"/>
      <c r="Q44" s="141" t="s">
        <v>314</v>
      </c>
      <c r="R44" s="142">
        <v>0.99533285779852521</v>
      </c>
      <c r="S44" s="141" t="s">
        <v>371</v>
      </c>
      <c r="W44" s="83" t="s">
        <v>60</v>
      </c>
      <c r="X44" s="110" t="s">
        <v>49</v>
      </c>
      <c r="Y44" s="110">
        <v>13</v>
      </c>
      <c r="Z44" s="110" t="s">
        <v>284</v>
      </c>
      <c r="AA44" s="111">
        <v>0.89235399590163933</v>
      </c>
    </row>
    <row r="45" spans="1:31" x14ac:dyDescent="0.2">
      <c r="A45" s="81" t="s">
        <v>45</v>
      </c>
      <c r="B45" s="82" t="s">
        <v>28</v>
      </c>
      <c r="C45" s="82">
        <v>14</v>
      </c>
      <c r="D45" s="82" t="s">
        <v>319</v>
      </c>
      <c r="E45" s="102">
        <f t="shared" si="3"/>
        <v>0.5641445718679996</v>
      </c>
      <c r="F45" s="69"/>
      <c r="H45" s="4"/>
      <c r="I45" s="4"/>
      <c r="J45" s="4"/>
      <c r="Q45" s="141" t="s">
        <v>315</v>
      </c>
      <c r="R45" s="142">
        <v>0.99569209153466032</v>
      </c>
      <c r="S45" s="141" t="s">
        <v>371</v>
      </c>
      <c r="W45" s="83" t="s">
        <v>264</v>
      </c>
      <c r="X45" s="110" t="s">
        <v>2</v>
      </c>
      <c r="Y45" s="110">
        <v>17</v>
      </c>
      <c r="Z45" s="110" t="s">
        <v>283</v>
      </c>
      <c r="AA45" s="111">
        <v>0.89001113183270453</v>
      </c>
    </row>
    <row r="46" spans="1:31" x14ac:dyDescent="0.2">
      <c r="A46" s="81" t="s">
        <v>75</v>
      </c>
      <c r="B46" s="82" t="s">
        <v>28</v>
      </c>
      <c r="C46" s="82">
        <v>14</v>
      </c>
      <c r="D46" s="82" t="s">
        <v>332</v>
      </c>
      <c r="E46" s="102">
        <f t="shared" si="3"/>
        <v>0.98872477714287255</v>
      </c>
      <c r="F46" s="69"/>
      <c r="G46" s="66"/>
      <c r="J46" s="67"/>
      <c r="Q46" s="141" t="s">
        <v>316</v>
      </c>
      <c r="R46" s="142">
        <v>0.76907329412838532</v>
      </c>
      <c r="S46" s="141" t="s">
        <v>372</v>
      </c>
      <c r="W46" s="83" t="s">
        <v>17</v>
      </c>
      <c r="X46" s="110" t="s">
        <v>16</v>
      </c>
      <c r="Y46" s="110">
        <v>15</v>
      </c>
      <c r="Z46" s="110" t="s">
        <v>307</v>
      </c>
      <c r="AA46" s="111">
        <v>0.86662573118314323</v>
      </c>
    </row>
    <row r="47" spans="1:31" x14ac:dyDescent="0.2">
      <c r="A47" s="81" t="s">
        <v>59</v>
      </c>
      <c r="B47" s="82" t="s">
        <v>28</v>
      </c>
      <c r="C47" s="82">
        <v>14</v>
      </c>
      <c r="D47" s="82" t="s">
        <v>337</v>
      </c>
      <c r="E47" s="102">
        <f t="shared" ref="E47:E67" si="6">VLOOKUP($D47,$Q$7:$R$68,2,0)</f>
        <v>1</v>
      </c>
      <c r="F47" s="69"/>
      <c r="G47" s="66"/>
      <c r="I47" s="66"/>
      <c r="J47" s="66"/>
      <c r="Q47" s="141" t="s">
        <v>317</v>
      </c>
      <c r="R47" s="142">
        <v>0.62481029959532464</v>
      </c>
      <c r="S47" s="141" t="s">
        <v>372</v>
      </c>
      <c r="W47" s="83" t="s">
        <v>257</v>
      </c>
      <c r="X47" s="110" t="s">
        <v>16</v>
      </c>
      <c r="Y47" s="110">
        <v>15</v>
      </c>
      <c r="Z47" s="110" t="s">
        <v>320</v>
      </c>
      <c r="AA47" s="111">
        <v>0.85816623707026407</v>
      </c>
    </row>
    <row r="48" spans="1:31" x14ac:dyDescent="0.2">
      <c r="A48" s="79" t="s">
        <v>9</v>
      </c>
      <c r="B48" s="80" t="s">
        <v>49</v>
      </c>
      <c r="C48" s="80">
        <v>13</v>
      </c>
      <c r="D48" s="80" t="s">
        <v>274</v>
      </c>
      <c r="E48" s="101">
        <f t="shared" si="6"/>
        <v>0.84669359982989578</v>
      </c>
      <c r="F48" s="65"/>
      <c r="G48" s="66"/>
      <c r="I48" s="66"/>
      <c r="J48" s="66"/>
      <c r="Q48" s="141" t="s">
        <v>318</v>
      </c>
      <c r="R48" s="142">
        <v>0.99967409016838671</v>
      </c>
      <c r="S48" s="143" t="s">
        <v>371</v>
      </c>
      <c r="W48" s="83" t="s">
        <v>9</v>
      </c>
      <c r="X48" s="110" t="s">
        <v>49</v>
      </c>
      <c r="Y48" s="110">
        <v>13</v>
      </c>
      <c r="Z48" s="110" t="s">
        <v>274</v>
      </c>
      <c r="AA48" s="111">
        <v>0.84669359982989578</v>
      </c>
    </row>
    <row r="49" spans="1:27" x14ac:dyDescent="0.2">
      <c r="A49" s="79" t="s">
        <v>48</v>
      </c>
      <c r="B49" s="80" t="s">
        <v>49</v>
      </c>
      <c r="C49" s="80">
        <v>13</v>
      </c>
      <c r="D49" s="80" t="s">
        <v>280</v>
      </c>
      <c r="E49" s="101">
        <f t="shared" si="6"/>
        <v>0.68875112521618576</v>
      </c>
      <c r="F49" s="65"/>
      <c r="G49" s="67"/>
      <c r="I49" s="66"/>
      <c r="J49" s="66"/>
      <c r="Q49" s="141" t="s">
        <v>319</v>
      </c>
      <c r="R49" s="142">
        <v>0.5641445718679996</v>
      </c>
      <c r="S49" s="143" t="s">
        <v>372</v>
      </c>
      <c r="W49" s="83" t="s">
        <v>254</v>
      </c>
      <c r="X49" s="110" t="s">
        <v>16</v>
      </c>
      <c r="Y49" s="110">
        <v>15</v>
      </c>
      <c r="Z49" s="110" t="s">
        <v>331</v>
      </c>
      <c r="AA49" s="111">
        <v>0.83267459864721705</v>
      </c>
    </row>
    <row r="50" spans="1:27" x14ac:dyDescent="0.2">
      <c r="A50" s="79" t="s">
        <v>60</v>
      </c>
      <c r="B50" s="80" t="s">
        <v>49</v>
      </c>
      <c r="C50" s="80">
        <v>13</v>
      </c>
      <c r="D50" s="80" t="s">
        <v>284</v>
      </c>
      <c r="E50" s="101">
        <f t="shared" si="6"/>
        <v>0.89235399590163933</v>
      </c>
      <c r="F50" s="65"/>
      <c r="G50" s="67"/>
      <c r="H50" s="4"/>
      <c r="I50" s="67"/>
      <c r="J50" s="67"/>
      <c r="Q50" s="141" t="s">
        <v>320</v>
      </c>
      <c r="R50" s="142">
        <v>0.85816623707026407</v>
      </c>
      <c r="S50" s="141" t="s">
        <v>371</v>
      </c>
      <c r="W50" s="83" t="s">
        <v>31</v>
      </c>
      <c r="X50" s="110" t="s">
        <v>16</v>
      </c>
      <c r="Y50" s="110">
        <v>15</v>
      </c>
      <c r="Z50" s="110" t="s">
        <v>289</v>
      </c>
      <c r="AA50" s="111">
        <v>0.81254016709511567</v>
      </c>
    </row>
    <row r="51" spans="1:27" x14ac:dyDescent="0.2">
      <c r="A51" s="83" t="s">
        <v>260</v>
      </c>
      <c r="B51" s="110" t="s">
        <v>49</v>
      </c>
      <c r="C51" s="110">
        <v>13</v>
      </c>
      <c r="D51" s="110" t="s">
        <v>282</v>
      </c>
      <c r="E51" s="111">
        <f t="shared" si="6"/>
        <v>0.33305692234682915</v>
      </c>
      <c r="F51" s="69"/>
      <c r="H51" s="4"/>
      <c r="I51" s="67"/>
      <c r="J51" s="67"/>
      <c r="Q51" s="141" t="s">
        <v>321</v>
      </c>
      <c r="R51" s="142">
        <v>0.93520619672453054</v>
      </c>
      <c r="S51" s="143" t="s">
        <v>371</v>
      </c>
      <c r="W51" s="83" t="s">
        <v>36</v>
      </c>
      <c r="X51" s="110" t="s">
        <v>28</v>
      </c>
      <c r="Y51" s="110">
        <v>14</v>
      </c>
      <c r="Z51" s="110" t="s">
        <v>297</v>
      </c>
      <c r="AA51" s="111">
        <v>0.80341264723043471</v>
      </c>
    </row>
    <row r="52" spans="1:27" x14ac:dyDescent="0.2">
      <c r="A52" s="79" t="s">
        <v>57</v>
      </c>
      <c r="B52" s="80" t="s">
        <v>49</v>
      </c>
      <c r="C52" s="80">
        <v>13</v>
      </c>
      <c r="D52" s="80" t="s">
        <v>296</v>
      </c>
      <c r="E52" s="101">
        <f t="shared" si="6"/>
        <v>0.7886228860092247</v>
      </c>
      <c r="F52" s="65"/>
      <c r="Q52" s="141" t="s">
        <v>322</v>
      </c>
      <c r="R52" s="142">
        <v>0.99126425624848336</v>
      </c>
      <c r="S52" s="141" t="s">
        <v>371</v>
      </c>
      <c r="W52" s="83" t="s">
        <v>57</v>
      </c>
      <c r="X52" s="110" t="s">
        <v>49</v>
      </c>
      <c r="Y52" s="110">
        <v>13</v>
      </c>
      <c r="Z52" s="110" t="s">
        <v>296</v>
      </c>
      <c r="AA52" s="111">
        <v>0.7886228860092247</v>
      </c>
    </row>
    <row r="53" spans="1:27" x14ac:dyDescent="0.2">
      <c r="A53" s="79" t="s">
        <v>35</v>
      </c>
      <c r="B53" s="80" t="s">
        <v>49</v>
      </c>
      <c r="C53" s="80">
        <v>13</v>
      </c>
      <c r="D53" s="80" t="s">
        <v>293</v>
      </c>
      <c r="E53" s="101">
        <f t="shared" si="6"/>
        <v>1.0292149475019923</v>
      </c>
      <c r="F53" s="65"/>
      <c r="Q53" s="141" t="s">
        <v>323</v>
      </c>
      <c r="R53" s="142">
        <v>0.73349447513812149</v>
      </c>
      <c r="S53" s="141" t="s">
        <v>372</v>
      </c>
      <c r="W53" s="83" t="s">
        <v>263</v>
      </c>
      <c r="X53" s="110" t="s">
        <v>108</v>
      </c>
      <c r="Y53" s="110">
        <v>19</v>
      </c>
      <c r="Z53" s="110" t="s">
        <v>310</v>
      </c>
      <c r="AA53" s="111">
        <v>0.78418126509511765</v>
      </c>
    </row>
    <row r="54" spans="1:27" x14ac:dyDescent="0.2">
      <c r="A54" s="79" t="s">
        <v>51</v>
      </c>
      <c r="B54" s="80" t="s">
        <v>49</v>
      </c>
      <c r="C54" s="80">
        <v>13</v>
      </c>
      <c r="D54" s="80" t="s">
        <v>299</v>
      </c>
      <c r="E54" s="101">
        <f t="shared" si="6"/>
        <v>0.64970550208303401</v>
      </c>
      <c r="F54" s="65"/>
      <c r="Q54" s="141" t="s">
        <v>324</v>
      </c>
      <c r="R54" s="142">
        <v>1</v>
      </c>
      <c r="S54" s="141" t="s">
        <v>371</v>
      </c>
      <c r="W54" s="83" t="s">
        <v>13</v>
      </c>
      <c r="X54" s="110" t="s">
        <v>16</v>
      </c>
      <c r="Y54" s="110">
        <v>15</v>
      </c>
      <c r="Z54" s="110" t="s">
        <v>327</v>
      </c>
      <c r="AA54" s="111">
        <v>0.77444478716841458</v>
      </c>
    </row>
    <row r="55" spans="1:27" x14ac:dyDescent="0.2">
      <c r="A55" s="83" t="s">
        <v>39</v>
      </c>
      <c r="B55" s="80" t="s">
        <v>49</v>
      </c>
      <c r="C55" s="80">
        <v>13</v>
      </c>
      <c r="D55" s="110" t="s">
        <v>302</v>
      </c>
      <c r="E55" s="111">
        <f t="shared" si="6"/>
        <v>0.47637430521244206</v>
      </c>
      <c r="F55" s="65"/>
      <c r="Q55" s="141" t="s">
        <v>325</v>
      </c>
      <c r="R55" s="142">
        <v>0.61841824770837783</v>
      </c>
      <c r="S55" s="143" t="s">
        <v>372</v>
      </c>
      <c r="W55" s="83" t="s">
        <v>21</v>
      </c>
      <c r="X55" s="110" t="s">
        <v>16</v>
      </c>
      <c r="Y55" s="110">
        <v>15</v>
      </c>
      <c r="Z55" s="110" t="s">
        <v>316</v>
      </c>
      <c r="AA55" s="111">
        <v>0.76907329412838532</v>
      </c>
    </row>
    <row r="56" spans="1:27" x14ac:dyDescent="0.2">
      <c r="A56" s="79" t="s">
        <v>58</v>
      </c>
      <c r="B56" s="80" t="s">
        <v>49</v>
      </c>
      <c r="C56" s="80">
        <v>13</v>
      </c>
      <c r="D56" s="80" t="s">
        <v>276</v>
      </c>
      <c r="E56" s="101">
        <f t="shared" si="6"/>
        <v>1</v>
      </c>
      <c r="F56" s="65"/>
      <c r="Q56" s="141" t="s">
        <v>326</v>
      </c>
      <c r="R56" s="142">
        <v>0.99461817608484948</v>
      </c>
      <c r="S56" s="141" t="s">
        <v>371</v>
      </c>
      <c r="W56" s="83" t="s">
        <v>32</v>
      </c>
      <c r="X56" s="110" t="s">
        <v>10</v>
      </c>
      <c r="Y56" s="110">
        <v>16</v>
      </c>
      <c r="Z56" s="110" t="s">
        <v>290</v>
      </c>
      <c r="AA56" s="111">
        <v>0.76510407852428497</v>
      </c>
    </row>
    <row r="57" spans="1:27" x14ac:dyDescent="0.2">
      <c r="A57" s="79" t="s">
        <v>40</v>
      </c>
      <c r="B57" s="80" t="s">
        <v>49</v>
      </c>
      <c r="C57" s="80">
        <v>13</v>
      </c>
      <c r="D57" s="80" t="s">
        <v>311</v>
      </c>
      <c r="E57" s="101">
        <f t="shared" si="6"/>
        <v>0.57845507252191697</v>
      </c>
      <c r="F57" s="65"/>
      <c r="Q57" s="141" t="s">
        <v>327</v>
      </c>
      <c r="R57" s="142">
        <v>0.77444478716841458</v>
      </c>
      <c r="S57" s="143" t="s">
        <v>372</v>
      </c>
      <c r="W57" s="83" t="s">
        <v>52</v>
      </c>
      <c r="X57" s="110" t="s">
        <v>16</v>
      </c>
      <c r="Y57" s="110">
        <v>15</v>
      </c>
      <c r="Z57" s="110" t="s">
        <v>281</v>
      </c>
      <c r="AA57" s="111">
        <v>0.76017780502759058</v>
      </c>
    </row>
    <row r="58" spans="1:27" x14ac:dyDescent="0.2">
      <c r="A58" s="79" t="s">
        <v>22</v>
      </c>
      <c r="B58" s="80" t="s">
        <v>49</v>
      </c>
      <c r="C58" s="80">
        <v>13</v>
      </c>
      <c r="D58" s="80" t="s">
        <v>317</v>
      </c>
      <c r="E58" s="101">
        <f t="shared" si="6"/>
        <v>0.62481029959532464</v>
      </c>
      <c r="F58" s="65"/>
      <c r="Q58" s="141" t="s">
        <v>328</v>
      </c>
      <c r="R58" s="142">
        <v>0.92936836749527552</v>
      </c>
      <c r="S58" s="141" t="s">
        <v>371</v>
      </c>
      <c r="W58" s="83" t="s">
        <v>23</v>
      </c>
      <c r="X58" s="110" t="s">
        <v>16</v>
      </c>
      <c r="Y58" s="110">
        <v>15</v>
      </c>
      <c r="Z58" s="110" t="s">
        <v>323</v>
      </c>
      <c r="AA58" s="111">
        <v>0.73349447513812149</v>
      </c>
    </row>
    <row r="59" spans="1:27" x14ac:dyDescent="0.2">
      <c r="A59" s="81" t="s">
        <v>54</v>
      </c>
      <c r="B59" s="82" t="s">
        <v>56</v>
      </c>
      <c r="C59" s="82">
        <v>12</v>
      </c>
      <c r="D59" s="82" t="s">
        <v>326</v>
      </c>
      <c r="E59" s="102">
        <f t="shared" si="6"/>
        <v>0.99461817608484948</v>
      </c>
      <c r="F59" s="69"/>
      <c r="Q59" s="141" t="s">
        <v>329</v>
      </c>
      <c r="R59" s="142">
        <v>0.66251692368655679</v>
      </c>
      <c r="S59" s="143" t="s">
        <v>372</v>
      </c>
      <c r="W59" s="83" t="s">
        <v>29</v>
      </c>
      <c r="X59" s="110" t="s">
        <v>28</v>
      </c>
      <c r="Y59" s="110">
        <v>14</v>
      </c>
      <c r="Z59" s="110" t="s">
        <v>286</v>
      </c>
      <c r="AA59" s="111">
        <v>0.71562826313957539</v>
      </c>
    </row>
    <row r="60" spans="1:27" x14ac:dyDescent="0.2">
      <c r="A60" s="81" t="s">
        <v>266</v>
      </c>
      <c r="B60" s="82" t="s">
        <v>56</v>
      </c>
      <c r="C60" s="82">
        <v>12</v>
      </c>
      <c r="D60" s="82" t="s">
        <v>314</v>
      </c>
      <c r="E60" s="102">
        <f t="shared" si="6"/>
        <v>0.99533285779852521</v>
      </c>
      <c r="F60" s="69"/>
      <c r="Q60" s="141" t="s">
        <v>330</v>
      </c>
      <c r="R60" s="142">
        <v>0.93843994106691131</v>
      </c>
      <c r="S60" s="141" t="s">
        <v>371</v>
      </c>
      <c r="W60" s="83" t="s">
        <v>48</v>
      </c>
      <c r="X60" s="110" t="s">
        <v>49</v>
      </c>
      <c r="Y60" s="110">
        <v>13</v>
      </c>
      <c r="Z60" s="110" t="s">
        <v>280</v>
      </c>
      <c r="AA60" s="111">
        <v>0.68875112521618576</v>
      </c>
    </row>
    <row r="61" spans="1:27" x14ac:dyDescent="0.2">
      <c r="A61" s="144" t="s">
        <v>42</v>
      </c>
      <c r="B61" s="145" t="s">
        <v>61</v>
      </c>
      <c r="C61" s="145">
        <v>11</v>
      </c>
      <c r="D61" s="145" t="s">
        <v>321</v>
      </c>
      <c r="E61" s="146">
        <f t="shared" si="6"/>
        <v>0.93520619672453054</v>
      </c>
      <c r="F61" s="69"/>
      <c r="Q61" s="141" t="s">
        <v>331</v>
      </c>
      <c r="R61" s="142">
        <v>0.83267459864721705</v>
      </c>
      <c r="S61" s="143" t="s">
        <v>371</v>
      </c>
      <c r="W61" s="83" t="s">
        <v>25</v>
      </c>
      <c r="X61" s="110" t="s">
        <v>16</v>
      </c>
      <c r="Y61" s="110">
        <v>15</v>
      </c>
      <c r="Z61" s="110" t="s">
        <v>329</v>
      </c>
      <c r="AA61" s="111">
        <v>0.66251692368655679</v>
      </c>
    </row>
    <row r="62" spans="1:27" ht="13.5" thickBot="1" x14ac:dyDescent="0.25">
      <c r="A62" s="162" t="s">
        <v>249</v>
      </c>
      <c r="B62" s="163" t="s">
        <v>125</v>
      </c>
      <c r="C62" s="163">
        <v>5</v>
      </c>
      <c r="D62" s="163" t="s">
        <v>295</v>
      </c>
      <c r="E62" s="164">
        <f t="shared" si="6"/>
        <v>0.11951366732775717</v>
      </c>
      <c r="F62" s="69"/>
      <c r="Q62" s="141" t="s">
        <v>332</v>
      </c>
      <c r="R62" s="142">
        <v>0.98872477714287255</v>
      </c>
      <c r="S62" s="141" t="s">
        <v>371</v>
      </c>
      <c r="W62" s="83" t="s">
        <v>51</v>
      </c>
      <c r="X62" s="110" t="s">
        <v>49</v>
      </c>
      <c r="Y62" s="110">
        <v>13</v>
      </c>
      <c r="Z62" s="110" t="s">
        <v>299</v>
      </c>
      <c r="AA62" s="111">
        <v>0.64970550208303401</v>
      </c>
    </row>
    <row r="63" spans="1:27" x14ac:dyDescent="0.2">
      <c r="A63" s="79" t="s">
        <v>263</v>
      </c>
      <c r="B63" s="80" t="s">
        <v>108</v>
      </c>
      <c r="C63" s="80">
        <v>19</v>
      </c>
      <c r="D63" s="80" t="s">
        <v>310</v>
      </c>
      <c r="E63" s="101">
        <f t="shared" si="6"/>
        <v>0.78418126509511765</v>
      </c>
      <c r="F63" s="69"/>
      <c r="Q63" s="141" t="s">
        <v>333</v>
      </c>
      <c r="R63" s="142">
        <v>0.97036252976978032</v>
      </c>
      <c r="S63" s="143" t="s">
        <v>371</v>
      </c>
      <c r="W63" s="83" t="s">
        <v>18</v>
      </c>
      <c r="X63" s="110" t="s">
        <v>10</v>
      </c>
      <c r="Y63" s="110">
        <v>16</v>
      </c>
      <c r="Z63" s="110" t="s">
        <v>86</v>
      </c>
      <c r="AA63" s="111">
        <v>0.63157463237392464</v>
      </c>
    </row>
    <row r="64" spans="1:27" x14ac:dyDescent="0.2">
      <c r="A64" s="79" t="s">
        <v>264</v>
      </c>
      <c r="B64" s="80" t="s">
        <v>2</v>
      </c>
      <c r="C64" s="80">
        <v>17</v>
      </c>
      <c r="D64" s="80" t="s">
        <v>283</v>
      </c>
      <c r="E64" s="101">
        <f t="shared" si="6"/>
        <v>0.89001113183270453</v>
      </c>
      <c r="F64" s="65"/>
      <c r="Q64" s="141" t="s">
        <v>334</v>
      </c>
      <c r="R64" s="142">
        <v>0.98538704581358605</v>
      </c>
      <c r="S64" s="141" t="s">
        <v>371</v>
      </c>
      <c r="W64" s="83" t="s">
        <v>67</v>
      </c>
      <c r="X64" s="110" t="s">
        <v>49</v>
      </c>
      <c r="Y64" s="110">
        <v>13</v>
      </c>
      <c r="Z64" s="110" t="s">
        <v>279</v>
      </c>
      <c r="AA64" s="111">
        <v>0.62875460562079877</v>
      </c>
    </row>
    <row r="65" spans="1:27" x14ac:dyDescent="0.2">
      <c r="A65" s="81" t="s">
        <v>265</v>
      </c>
      <c r="B65" s="82" t="s">
        <v>56</v>
      </c>
      <c r="C65" s="82">
        <v>12</v>
      </c>
      <c r="D65" s="82" t="s">
        <v>333</v>
      </c>
      <c r="E65" s="102">
        <f t="shared" si="6"/>
        <v>0.97036252976978032</v>
      </c>
      <c r="F65" s="69"/>
      <c r="Q65" s="141" t="s">
        <v>335</v>
      </c>
      <c r="R65" s="142">
        <v>0.975461842272901</v>
      </c>
      <c r="S65" s="141" t="s">
        <v>371</v>
      </c>
      <c r="W65" s="83" t="s">
        <v>22</v>
      </c>
      <c r="X65" s="110" t="s">
        <v>49</v>
      </c>
      <c r="Y65" s="110">
        <v>13</v>
      </c>
      <c r="Z65" s="110" t="s">
        <v>317</v>
      </c>
      <c r="AA65" s="111">
        <v>0.62481029959532464</v>
      </c>
    </row>
    <row r="66" spans="1:27" x14ac:dyDescent="0.2">
      <c r="A66" s="83" t="s">
        <v>50</v>
      </c>
      <c r="B66" s="84" t="s">
        <v>373</v>
      </c>
      <c r="C66" s="84"/>
      <c r="D66" s="110" t="s">
        <v>287</v>
      </c>
      <c r="E66" s="111">
        <f t="shared" si="6"/>
        <v>0.99609846555590886</v>
      </c>
      <c r="F66" s="12"/>
      <c r="Q66" s="141" t="s">
        <v>336</v>
      </c>
      <c r="R66" s="142">
        <v>0.91865112788863534</v>
      </c>
      <c r="S66" s="141" t="s">
        <v>371</v>
      </c>
      <c r="W66" s="83" t="s">
        <v>43</v>
      </c>
      <c r="X66" s="110" t="s">
        <v>16</v>
      </c>
      <c r="Y66" s="110">
        <v>15</v>
      </c>
      <c r="Z66" s="110" t="s">
        <v>325</v>
      </c>
      <c r="AA66" s="111">
        <v>0.61841824770837783</v>
      </c>
    </row>
    <row r="67" spans="1:27" ht="13.5" thickBot="1" x14ac:dyDescent="0.25">
      <c r="A67" s="91" t="s">
        <v>76</v>
      </c>
      <c r="B67" s="92" t="s">
        <v>373</v>
      </c>
      <c r="C67" s="92"/>
      <c r="D67" s="92" t="s">
        <v>334</v>
      </c>
      <c r="E67" s="104">
        <f t="shared" si="6"/>
        <v>0.98538704581358605</v>
      </c>
      <c r="F67" s="9"/>
      <c r="Q67" s="141" t="s">
        <v>337</v>
      </c>
      <c r="R67" s="142">
        <v>1</v>
      </c>
      <c r="S67" s="141" t="s">
        <v>371</v>
      </c>
      <c r="W67" s="83" t="s">
        <v>11</v>
      </c>
      <c r="X67" s="110" t="s">
        <v>28</v>
      </c>
      <c r="Y67" s="110">
        <v>14</v>
      </c>
      <c r="Z67" s="110" t="s">
        <v>298</v>
      </c>
      <c r="AA67" s="111">
        <v>0.58646630934150079</v>
      </c>
    </row>
    <row r="68" spans="1:27" x14ac:dyDescent="0.2">
      <c r="A68" s="76" t="s">
        <v>135</v>
      </c>
      <c r="B68" s="78" t="s">
        <v>28</v>
      </c>
      <c r="C68" s="77">
        <f>AVERAGE(C7:C62)</f>
        <v>14.232142857142858</v>
      </c>
      <c r="D68" s="77"/>
      <c r="E68" s="77"/>
      <c r="F68" s="9"/>
      <c r="G68" s="66"/>
      <c r="Q68" s="141" t="s">
        <v>338</v>
      </c>
      <c r="R68" s="142">
        <v>0.94700000000000006</v>
      </c>
      <c r="S68" s="141" t="s">
        <v>371</v>
      </c>
      <c r="W68" s="83" t="s">
        <v>40</v>
      </c>
      <c r="X68" s="110" t="s">
        <v>49</v>
      </c>
      <c r="Y68" s="110">
        <v>13</v>
      </c>
      <c r="Z68" s="110" t="s">
        <v>311</v>
      </c>
      <c r="AA68" s="111">
        <v>0.57845507252191697</v>
      </c>
    </row>
    <row r="69" spans="1:27" x14ac:dyDescent="0.2">
      <c r="A69" s="7"/>
      <c r="B69" s="5"/>
      <c r="F69" s="9"/>
      <c r="Q69" s="141"/>
      <c r="R69" s="142"/>
      <c r="S69" s="141"/>
      <c r="W69" s="83" t="s">
        <v>45</v>
      </c>
      <c r="X69" s="110" t="s">
        <v>28</v>
      </c>
      <c r="Y69" s="110">
        <v>14</v>
      </c>
      <c r="Z69" s="110" t="s">
        <v>319</v>
      </c>
      <c r="AA69" s="111">
        <v>0.5641445718679996</v>
      </c>
    </row>
    <row r="70" spans="1:27" x14ac:dyDescent="0.2">
      <c r="A70" s="7"/>
      <c r="B70" s="5"/>
      <c r="F70" s="14"/>
      <c r="G70" s="66"/>
      <c r="Q70" s="141"/>
      <c r="R70" s="142"/>
      <c r="S70" s="141"/>
      <c r="W70" s="83" t="s">
        <v>370</v>
      </c>
      <c r="X70" s="110" t="s">
        <v>10</v>
      </c>
      <c r="Y70" s="110">
        <v>16</v>
      </c>
      <c r="Z70" s="110" t="s">
        <v>369</v>
      </c>
      <c r="AA70" s="111">
        <v>0.541533003736272</v>
      </c>
    </row>
    <row r="71" spans="1:27" x14ac:dyDescent="0.2">
      <c r="A71" s="85" t="s">
        <v>267</v>
      </c>
      <c r="F71" s="14"/>
      <c r="Q71" s="99"/>
      <c r="R71" s="98"/>
      <c r="S71" s="97"/>
      <c r="W71" s="83" t="s">
        <v>39</v>
      </c>
      <c r="X71" s="110" t="s">
        <v>49</v>
      </c>
      <c r="Y71" s="110">
        <v>13</v>
      </c>
      <c r="Z71" s="110" t="s">
        <v>302</v>
      </c>
      <c r="AA71" s="111">
        <v>0.47637430521244206</v>
      </c>
    </row>
    <row r="72" spans="1:27" x14ac:dyDescent="0.2">
      <c r="A72" s="85" t="s">
        <v>366</v>
      </c>
      <c r="B72" s="133"/>
      <c r="C72" s="134"/>
      <c r="D72" s="134"/>
      <c r="E72" s="134"/>
      <c r="F72" s="14"/>
      <c r="Q72" s="99"/>
      <c r="R72" s="98"/>
      <c r="S72" s="97"/>
      <c r="W72" s="83" t="s">
        <v>12</v>
      </c>
      <c r="X72" s="110" t="s">
        <v>16</v>
      </c>
      <c r="Y72" s="110">
        <v>15</v>
      </c>
      <c r="Z72" s="110" t="s">
        <v>309</v>
      </c>
      <c r="AA72" s="111">
        <v>0.36101059894989318</v>
      </c>
    </row>
    <row r="73" spans="1:27" x14ac:dyDescent="0.2">
      <c r="A73" s="132" t="s">
        <v>356</v>
      </c>
      <c r="B73" s="133"/>
      <c r="C73" s="134"/>
      <c r="D73" s="134"/>
      <c r="E73" s="134"/>
      <c r="F73" s="135"/>
      <c r="Q73" s="99"/>
      <c r="R73" s="98"/>
      <c r="S73" s="97"/>
      <c r="W73" s="83" t="s">
        <v>260</v>
      </c>
      <c r="X73" s="110" t="s">
        <v>49</v>
      </c>
      <c r="Y73" s="110">
        <v>13</v>
      </c>
      <c r="Z73" s="110" t="s">
        <v>282</v>
      </c>
      <c r="AA73" s="111">
        <v>0.33305692234682915</v>
      </c>
    </row>
    <row r="74" spans="1:27" ht="13.5" thickBot="1" x14ac:dyDescent="0.25">
      <c r="A74" s="132" t="s">
        <v>357</v>
      </c>
      <c r="B74" s="133"/>
      <c r="C74" s="134"/>
      <c r="D74" s="134"/>
      <c r="E74" s="134"/>
      <c r="F74" s="135"/>
      <c r="Q74" s="99"/>
      <c r="R74" s="98"/>
      <c r="S74" s="97"/>
      <c r="W74" s="112" t="s">
        <v>249</v>
      </c>
      <c r="X74" s="158" t="s">
        <v>125</v>
      </c>
      <c r="Y74" s="158">
        <v>5</v>
      </c>
      <c r="Z74" s="158" t="s">
        <v>295</v>
      </c>
      <c r="AA74" s="161">
        <v>0.11951366732775717</v>
      </c>
    </row>
    <row r="75" spans="1:27" x14ac:dyDescent="0.2">
      <c r="A75" s="132" t="s">
        <v>358</v>
      </c>
      <c r="D75" s="14"/>
      <c r="E75" s="1"/>
      <c r="F75" s="135"/>
      <c r="Q75" s="99"/>
      <c r="R75" s="98"/>
      <c r="S75" s="97"/>
    </row>
    <row r="76" spans="1:27" x14ac:dyDescent="0.2">
      <c r="A76" s="85" t="s">
        <v>359</v>
      </c>
      <c r="D76" s="14"/>
      <c r="E76" s="1"/>
      <c r="Q76" s="99"/>
      <c r="R76" s="98"/>
      <c r="S76" s="97"/>
    </row>
    <row r="77" spans="1:27" x14ac:dyDescent="0.2">
      <c r="A77" s="85"/>
      <c r="D77" s="14"/>
      <c r="E77" s="1"/>
      <c r="Q77" s="99"/>
      <c r="R77" s="100"/>
      <c r="S77" s="99"/>
    </row>
    <row r="78" spans="1:27" x14ac:dyDescent="0.2">
      <c r="A78" s="85"/>
    </row>
    <row r="79" spans="1:27" x14ac:dyDescent="0.2">
      <c r="A79" s="33"/>
      <c r="E79" s="120"/>
      <c r="F79" s="14"/>
      <c r="G79" s="133"/>
      <c r="W79" s="133"/>
      <c r="X79" s="133"/>
      <c r="Y79" s="133"/>
      <c r="Z79" s="133"/>
      <c r="AA79" s="136"/>
    </row>
    <row r="80" spans="1:27" s="133" customFormat="1" x14ac:dyDescent="0.2">
      <c r="A80" s="1"/>
      <c r="B80" s="1"/>
      <c r="C80" s="4"/>
      <c r="D80" s="4"/>
      <c r="E80" s="120"/>
      <c r="F80" s="1"/>
      <c r="Q80" s="1"/>
      <c r="R80" s="1"/>
      <c r="S80" s="1"/>
      <c r="AA80" s="136"/>
    </row>
    <row r="81" spans="1:27" s="133" customFormat="1" x14ac:dyDescent="0.2">
      <c r="AA81" s="136"/>
    </row>
    <row r="82" spans="1:27" s="133" customFormat="1" x14ac:dyDescent="0.2">
      <c r="A82" s="1"/>
      <c r="B82" s="1"/>
      <c r="C82" s="4"/>
      <c r="D82" s="4"/>
      <c r="E82" s="4"/>
      <c r="F82" s="1"/>
      <c r="G82" s="1"/>
      <c r="W82" s="1"/>
      <c r="X82" s="1"/>
      <c r="Y82" s="1"/>
      <c r="Z82" s="1"/>
      <c r="AA82" s="1"/>
    </row>
    <row r="83" spans="1:27" x14ac:dyDescent="0.2">
      <c r="Q83" s="133"/>
      <c r="R83" s="133"/>
      <c r="S83" s="133"/>
      <c r="AA83" s="1"/>
    </row>
    <row r="84" spans="1:27" x14ac:dyDescent="0.2">
      <c r="AA84" s="1"/>
    </row>
    <row r="88" spans="1:27" x14ac:dyDescent="0.2">
      <c r="E88" s="121"/>
    </row>
  </sheetData>
  <pageMargins left="0.17" right="0.18" top="0.28000000000000003" bottom="0.17" header="0.3" footer="0.3"/>
  <pageSetup scale="76" fitToWidth="0" orientation="portrait" horizontalDpi="1200" verticalDpi="120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rgb="FF002060"/>
    <pageSetUpPr fitToPage="1"/>
  </sheetPr>
  <dimension ref="A1:AH88"/>
  <sheetViews>
    <sheetView zoomScale="85" zoomScaleNormal="85" workbookViewId="0"/>
  </sheetViews>
  <sheetFormatPr defaultColWidth="9.140625" defaultRowHeight="12.75" outlineLevelCol="1" x14ac:dyDescent="0.2"/>
  <cols>
    <col min="1" max="1" width="35.140625" style="1" customWidth="1"/>
    <col min="2" max="2" width="9.140625" style="1"/>
    <col min="3" max="3" width="9.140625" style="4"/>
    <col min="4" max="4" width="9.140625" style="4" hidden="1" customWidth="1" outlineLevel="1"/>
    <col min="5" max="5" width="12.5703125" style="4" hidden="1" customWidth="1" outlineLevel="1"/>
    <col min="6" max="6" width="9.140625" style="1" collapsed="1"/>
    <col min="7" max="7" width="11.5703125" style="1" customWidth="1"/>
    <col min="8" max="10" width="9.140625" style="1"/>
    <col min="11" max="11" width="11" style="1" bestFit="1" customWidth="1"/>
    <col min="12" max="12" width="4.85546875" style="1" bestFit="1" customWidth="1"/>
    <col min="13" max="16" width="9.140625" style="1"/>
    <col min="17" max="26" width="9.140625" style="1" hidden="1" customWidth="1" outlineLevel="1"/>
    <col min="27" max="27" width="12.5703125" style="107" hidden="1" customWidth="1" outlineLevel="1"/>
    <col min="28" max="33" width="9.140625" style="1" hidden="1" customWidth="1" outlineLevel="1"/>
    <col min="34" max="34" width="9.140625" style="1" collapsed="1"/>
    <col min="35" max="16384" width="9.140625" style="1"/>
  </cols>
  <sheetData>
    <row r="1" spans="1:33" ht="18.75" x14ac:dyDescent="0.3">
      <c r="A1" s="75" t="s">
        <v>382</v>
      </c>
    </row>
    <row r="2" spans="1:33" ht="18.75" x14ac:dyDescent="0.3">
      <c r="A2" s="75"/>
    </row>
    <row r="3" spans="1:33" ht="18.75" x14ac:dyDescent="0.3">
      <c r="A3" s="75"/>
    </row>
    <row r="4" spans="1:33" ht="18.75" x14ac:dyDescent="0.3">
      <c r="A4" s="75"/>
    </row>
    <row r="5" spans="1:33" x14ac:dyDescent="0.2">
      <c r="E5" s="106" t="s">
        <v>339</v>
      </c>
      <c r="Y5" s="4"/>
      <c r="Z5" s="4"/>
      <c r="AA5" s="106" t="s">
        <v>339</v>
      </c>
      <c r="AF5" s="129" t="s">
        <v>354</v>
      </c>
      <c r="AG5" s="128"/>
    </row>
    <row r="6" spans="1:33" x14ac:dyDescent="0.2">
      <c r="A6" s="150" t="s">
        <v>0</v>
      </c>
      <c r="B6" s="151" t="s">
        <v>383</v>
      </c>
      <c r="C6" s="152"/>
      <c r="D6" s="152"/>
      <c r="E6" s="153">
        <v>40543</v>
      </c>
      <c r="W6" s="150" t="s">
        <v>0</v>
      </c>
      <c r="X6" s="151" t="s">
        <v>383</v>
      </c>
      <c r="Y6" s="152"/>
      <c r="Z6" s="152"/>
      <c r="AA6" s="153">
        <v>40543</v>
      </c>
      <c r="AC6" s="108" t="s">
        <v>137</v>
      </c>
      <c r="AD6" s="109"/>
      <c r="AE6" s="109"/>
      <c r="AF6" s="77">
        <f>AVERAGE(Y$13:Y$51)</f>
        <v>14.432432432432432</v>
      </c>
      <c r="AG6" s="126"/>
    </row>
    <row r="7" spans="1:33" ht="13.5" thickBot="1" x14ac:dyDescent="0.25">
      <c r="A7" s="81" t="s">
        <v>6</v>
      </c>
      <c r="B7" s="82" t="s">
        <v>110</v>
      </c>
      <c r="C7" s="82">
        <v>18</v>
      </c>
      <c r="D7" s="82" t="s">
        <v>313</v>
      </c>
      <c r="E7" s="102">
        <f t="shared" ref="E7:E14" si="0">VLOOKUP($D7,$Q$7:$R$68,2,0)</f>
        <v>1</v>
      </c>
      <c r="F7" s="65"/>
      <c r="G7" s="96" t="s">
        <v>77</v>
      </c>
      <c r="H7" s="96" t="s">
        <v>81</v>
      </c>
      <c r="I7" s="96" t="s">
        <v>82</v>
      </c>
      <c r="N7" s="67"/>
      <c r="O7" s="66"/>
      <c r="Q7" s="141" t="s">
        <v>274</v>
      </c>
      <c r="R7" s="142">
        <v>0.84669359982989578</v>
      </c>
      <c r="S7" s="141" t="s">
        <v>371</v>
      </c>
      <c r="W7" s="165" t="s">
        <v>87</v>
      </c>
      <c r="X7" s="166" t="s">
        <v>10</v>
      </c>
      <c r="Y7" s="166">
        <v>16</v>
      </c>
      <c r="Z7" s="166" t="s">
        <v>304</v>
      </c>
      <c r="AA7" s="167" t="s">
        <v>373</v>
      </c>
      <c r="AC7" s="96" t="s">
        <v>77</v>
      </c>
      <c r="AD7" s="96" t="s">
        <v>81</v>
      </c>
      <c r="AE7" s="96" t="s">
        <v>82</v>
      </c>
      <c r="AG7" s="127"/>
    </row>
    <row r="8" spans="1:33" x14ac:dyDescent="0.2">
      <c r="A8" s="79" t="s">
        <v>7</v>
      </c>
      <c r="B8" s="80" t="s">
        <v>2</v>
      </c>
      <c r="C8" s="80">
        <v>17</v>
      </c>
      <c r="D8" s="80" t="s">
        <v>328</v>
      </c>
      <c r="E8" s="101">
        <f t="shared" si="0"/>
        <v>0.92936836749527552</v>
      </c>
      <c r="F8" s="65"/>
      <c r="G8" s="72" t="s">
        <v>138</v>
      </c>
      <c r="H8" s="86">
        <f>COUNTIF(C$7:C$67,"&gt;16")</f>
        <v>4</v>
      </c>
      <c r="I8" s="87">
        <f>H8/H$14</f>
        <v>6.7796610169491525E-2</v>
      </c>
      <c r="K8" s="66"/>
      <c r="M8" s="66"/>
      <c r="N8" s="66"/>
      <c r="O8" s="67"/>
      <c r="Q8" s="141" t="s">
        <v>275</v>
      </c>
      <c r="R8" s="142">
        <v>0.96680210088197405</v>
      </c>
      <c r="S8" s="141" t="s">
        <v>371</v>
      </c>
      <c r="W8" s="83" t="s">
        <v>5</v>
      </c>
      <c r="X8" s="110" t="s">
        <v>10</v>
      </c>
      <c r="Y8" s="110">
        <v>16</v>
      </c>
      <c r="Z8" s="110" t="s">
        <v>312</v>
      </c>
      <c r="AA8" s="111" t="s">
        <v>373</v>
      </c>
      <c r="AC8" s="72" t="s">
        <v>138</v>
      </c>
      <c r="AD8" s="86">
        <f>COUNTIF(Y$13:Y$51,"&gt;16")</f>
        <v>3</v>
      </c>
      <c r="AE8" s="87">
        <f>AD8/AD$14</f>
        <v>8.1081081081081086E-2</v>
      </c>
      <c r="AG8" s="127"/>
    </row>
    <row r="9" spans="1:33" x14ac:dyDescent="0.2">
      <c r="A9" s="81" t="s">
        <v>3</v>
      </c>
      <c r="B9" s="82" t="s">
        <v>10</v>
      </c>
      <c r="C9" s="82">
        <v>16</v>
      </c>
      <c r="D9" s="82" t="s">
        <v>292</v>
      </c>
      <c r="E9" s="102">
        <f t="shared" si="0"/>
        <v>0.89318320146074259</v>
      </c>
      <c r="F9" s="65"/>
      <c r="G9" s="72" t="s">
        <v>10</v>
      </c>
      <c r="H9" s="86">
        <f>COUNTIF(C$7:C$67,"=16")</f>
        <v>9</v>
      </c>
      <c r="I9" s="87">
        <f t="shared" ref="I9:I14" si="1">H9/H$14</f>
        <v>0.15254237288135594</v>
      </c>
      <c r="K9" s="66"/>
      <c r="M9" s="66"/>
      <c r="N9" s="66"/>
      <c r="O9" s="67"/>
      <c r="Q9" s="141" t="s">
        <v>276</v>
      </c>
      <c r="R9" s="142">
        <v>1</v>
      </c>
      <c r="S9" s="141" t="s">
        <v>371</v>
      </c>
      <c r="W9" s="83" t="s">
        <v>255</v>
      </c>
      <c r="X9" s="110" t="s">
        <v>16</v>
      </c>
      <c r="Y9" s="110">
        <v>15</v>
      </c>
      <c r="Z9" s="110" t="s">
        <v>305</v>
      </c>
      <c r="AA9" s="111" t="s">
        <v>373</v>
      </c>
      <c r="AC9" s="72" t="s">
        <v>10</v>
      </c>
      <c r="AD9" s="86">
        <f>COUNTIF(Y$13:Y$51,"=16")</f>
        <v>6</v>
      </c>
      <c r="AE9" s="87">
        <f t="shared" ref="AE9:AE14" si="2">AD9/AD$14</f>
        <v>0.16216216216216217</v>
      </c>
      <c r="AG9" s="127"/>
    </row>
    <row r="10" spans="1:33" x14ac:dyDescent="0.2">
      <c r="A10" s="81" t="s">
        <v>18</v>
      </c>
      <c r="B10" s="82" t="s">
        <v>10</v>
      </c>
      <c r="C10" s="82">
        <v>16</v>
      </c>
      <c r="D10" s="82" t="s">
        <v>86</v>
      </c>
      <c r="E10" s="102">
        <f t="shared" si="0"/>
        <v>0.63157463237392464</v>
      </c>
      <c r="F10" s="65"/>
      <c r="G10" s="72" t="s">
        <v>16</v>
      </c>
      <c r="H10" s="86">
        <f>COUNTIF(C$7:C$67,"=15")</f>
        <v>15</v>
      </c>
      <c r="I10" s="87">
        <f t="shared" si="1"/>
        <v>0.25423728813559321</v>
      </c>
      <c r="K10" s="66"/>
      <c r="M10" s="66"/>
      <c r="N10" s="66"/>
      <c r="O10" s="67"/>
      <c r="Q10" s="141" t="s">
        <v>277</v>
      </c>
      <c r="R10" s="142">
        <v>0.91042888352305396</v>
      </c>
      <c r="S10" s="141" t="s">
        <v>371</v>
      </c>
      <c r="W10" s="83" t="s">
        <v>256</v>
      </c>
      <c r="X10" s="110" t="s">
        <v>16</v>
      </c>
      <c r="Y10" s="110">
        <v>15</v>
      </c>
      <c r="Z10" s="110" t="s">
        <v>306</v>
      </c>
      <c r="AA10" s="111" t="s">
        <v>373</v>
      </c>
      <c r="AC10" s="72" t="s">
        <v>16</v>
      </c>
      <c r="AD10" s="86">
        <f>COUNTIF(Y$13:Y$51,"=15")</f>
        <v>8</v>
      </c>
      <c r="AE10" s="87">
        <f t="shared" si="2"/>
        <v>0.21621621621621623</v>
      </c>
      <c r="AG10" s="127"/>
    </row>
    <row r="11" spans="1:33" x14ac:dyDescent="0.2">
      <c r="A11" s="81" t="s">
        <v>64</v>
      </c>
      <c r="B11" s="82" t="s">
        <v>10</v>
      </c>
      <c r="C11" s="82">
        <v>16</v>
      </c>
      <c r="D11" s="82" t="s">
        <v>288</v>
      </c>
      <c r="E11" s="102">
        <f t="shared" si="0"/>
        <v>1</v>
      </c>
      <c r="F11" s="65"/>
      <c r="G11" s="72" t="s">
        <v>28</v>
      </c>
      <c r="H11" s="86">
        <f>COUNTIF(C$7:C$67,"=14")</f>
        <v>15</v>
      </c>
      <c r="I11" s="87">
        <f t="shared" si="1"/>
        <v>0.25423728813559321</v>
      </c>
      <c r="K11" s="67"/>
      <c r="L11" s="4"/>
      <c r="M11" s="67"/>
      <c r="N11" s="67"/>
      <c r="O11" s="67"/>
      <c r="Q11" s="141" t="s">
        <v>278</v>
      </c>
      <c r="R11" s="142">
        <v>0.91095138568993894</v>
      </c>
      <c r="S11" s="141" t="s">
        <v>371</v>
      </c>
      <c r="W11" s="83" t="s">
        <v>38</v>
      </c>
      <c r="X11" s="110" t="s">
        <v>28</v>
      </c>
      <c r="Y11" s="110">
        <v>14</v>
      </c>
      <c r="Z11" s="110" t="s">
        <v>300</v>
      </c>
      <c r="AA11" s="111" t="s">
        <v>373</v>
      </c>
      <c r="AC11" s="72" t="s">
        <v>28</v>
      </c>
      <c r="AD11" s="86">
        <f>COUNTIF(Y$13:Y$51,"=14")</f>
        <v>12</v>
      </c>
      <c r="AE11" s="87">
        <f t="shared" si="2"/>
        <v>0.32432432432432434</v>
      </c>
      <c r="AG11" s="127"/>
    </row>
    <row r="12" spans="1:33" x14ac:dyDescent="0.2">
      <c r="A12" s="81" t="s">
        <v>32</v>
      </c>
      <c r="B12" s="82" t="s">
        <v>10</v>
      </c>
      <c r="C12" s="82">
        <v>16</v>
      </c>
      <c r="D12" s="82" t="s">
        <v>290</v>
      </c>
      <c r="E12" s="102">
        <f t="shared" si="0"/>
        <v>0.76510407852428497</v>
      </c>
      <c r="F12" s="65"/>
      <c r="G12" s="72" t="s">
        <v>49</v>
      </c>
      <c r="H12" s="86">
        <f>COUNTIF(C$7:C$67,"=13")</f>
        <v>11</v>
      </c>
      <c r="I12" s="87">
        <f t="shared" si="1"/>
        <v>0.1864406779661017</v>
      </c>
      <c r="Q12" s="141" t="s">
        <v>279</v>
      </c>
      <c r="R12" s="142">
        <v>0.62875460562079877</v>
      </c>
      <c r="S12" s="143" t="s">
        <v>372</v>
      </c>
      <c r="W12" s="83" t="s">
        <v>262</v>
      </c>
      <c r="X12" s="110" t="s">
        <v>49</v>
      </c>
      <c r="Y12" s="110">
        <v>13</v>
      </c>
      <c r="Z12" s="110" t="s">
        <v>185</v>
      </c>
      <c r="AA12" s="111" t="s">
        <v>373</v>
      </c>
      <c r="AC12" s="72" t="s">
        <v>49</v>
      </c>
      <c r="AD12" s="86">
        <f>COUNTIF(Y$13:Y$51,"=13")</f>
        <v>4</v>
      </c>
      <c r="AE12" s="87">
        <f t="shared" si="2"/>
        <v>0.10810810810810811</v>
      </c>
      <c r="AG12" s="127"/>
    </row>
    <row r="13" spans="1:33" ht="13.5" thickBot="1" x14ac:dyDescent="0.25">
      <c r="A13" s="81" t="s">
        <v>19</v>
      </c>
      <c r="B13" s="82" t="s">
        <v>10</v>
      </c>
      <c r="C13" s="82">
        <v>16</v>
      </c>
      <c r="D13" s="82" t="s">
        <v>291</v>
      </c>
      <c r="E13" s="102">
        <f t="shared" si="0"/>
        <v>0.96341849943457658</v>
      </c>
      <c r="F13" s="65"/>
      <c r="G13" s="93" t="s">
        <v>79</v>
      </c>
      <c r="H13" s="94">
        <f>COUNTIF(C$7:C$67,"&lt;13")</f>
        <v>5</v>
      </c>
      <c r="I13" s="95">
        <f t="shared" si="1"/>
        <v>8.4745762711864403E-2</v>
      </c>
      <c r="Q13" s="141" t="s">
        <v>280</v>
      </c>
      <c r="R13" s="142">
        <v>0.68875112521618576</v>
      </c>
      <c r="S13" s="143" t="s">
        <v>372</v>
      </c>
      <c r="W13" s="83" t="s">
        <v>261</v>
      </c>
      <c r="X13" s="110" t="s">
        <v>28</v>
      </c>
      <c r="Y13" s="110">
        <v>14</v>
      </c>
      <c r="Z13" s="110" t="s">
        <v>301</v>
      </c>
      <c r="AA13" s="111">
        <v>1.0379329114785329</v>
      </c>
      <c r="AC13" s="93" t="s">
        <v>79</v>
      </c>
      <c r="AD13" s="94">
        <f>COUNTIF(Y$13:Y$51,"&lt;13")</f>
        <v>4</v>
      </c>
      <c r="AE13" s="95">
        <f t="shared" si="2"/>
        <v>0.10810810810810811</v>
      </c>
      <c r="AG13" s="127"/>
    </row>
    <row r="14" spans="1:33" x14ac:dyDescent="0.2">
      <c r="A14" s="81" t="s">
        <v>370</v>
      </c>
      <c r="B14" s="82" t="s">
        <v>10</v>
      </c>
      <c r="C14" s="82">
        <v>16</v>
      </c>
      <c r="D14" s="82" t="s">
        <v>369</v>
      </c>
      <c r="E14" s="102">
        <f t="shared" si="0"/>
        <v>0.541533003736272</v>
      </c>
      <c r="F14" s="65"/>
      <c r="G14" s="88" t="s">
        <v>80</v>
      </c>
      <c r="H14" s="89">
        <f>SUM(H8:H13)</f>
        <v>59</v>
      </c>
      <c r="I14" s="90">
        <f t="shared" si="1"/>
        <v>1</v>
      </c>
      <c r="Q14" s="141" t="s">
        <v>281</v>
      </c>
      <c r="R14" s="142">
        <v>0.76017780502759058</v>
      </c>
      <c r="S14" s="143" t="s">
        <v>372</v>
      </c>
      <c r="W14" s="83" t="s">
        <v>35</v>
      </c>
      <c r="X14" s="110" t="s">
        <v>49</v>
      </c>
      <c r="Y14" s="110">
        <v>13</v>
      </c>
      <c r="Z14" s="110" t="s">
        <v>293</v>
      </c>
      <c r="AA14" s="111">
        <v>1.0292149475019923</v>
      </c>
      <c r="AC14" s="88" t="s">
        <v>80</v>
      </c>
      <c r="AD14" s="89">
        <f>SUM(AD8:AD13)</f>
        <v>37</v>
      </c>
      <c r="AE14" s="90">
        <f t="shared" si="2"/>
        <v>1</v>
      </c>
      <c r="AG14" s="127"/>
    </row>
    <row r="15" spans="1:33" x14ac:dyDescent="0.2">
      <c r="A15" s="81" t="s">
        <v>14</v>
      </c>
      <c r="B15" s="82" t="s">
        <v>10</v>
      </c>
      <c r="C15" s="82">
        <v>16</v>
      </c>
      <c r="D15" s="82" t="s">
        <v>335</v>
      </c>
      <c r="E15" s="102">
        <f t="shared" ref="E15:E46" si="3">VLOOKUP($D15,$Q$7:$R$68,2,0)</f>
        <v>0.975461842272901</v>
      </c>
      <c r="F15" s="65"/>
      <c r="K15" s="9"/>
      <c r="Q15" s="141" t="s">
        <v>282</v>
      </c>
      <c r="R15" s="142">
        <v>0.33305692234682915</v>
      </c>
      <c r="S15" s="141" t="s">
        <v>86</v>
      </c>
      <c r="W15" s="83" t="s">
        <v>6</v>
      </c>
      <c r="X15" s="110" t="s">
        <v>110</v>
      </c>
      <c r="Y15" s="110">
        <v>18</v>
      </c>
      <c r="Z15" s="110" t="s">
        <v>313</v>
      </c>
      <c r="AA15" s="111">
        <v>1</v>
      </c>
      <c r="AG15" s="127"/>
    </row>
    <row r="16" spans="1:33" x14ac:dyDescent="0.2">
      <c r="A16" s="144" t="s">
        <v>26</v>
      </c>
      <c r="B16" s="145" t="s">
        <v>10</v>
      </c>
      <c r="C16" s="145">
        <v>16</v>
      </c>
      <c r="D16" s="145" t="s">
        <v>336</v>
      </c>
      <c r="E16" s="146">
        <f t="shared" si="3"/>
        <v>0.91865112788863534</v>
      </c>
      <c r="F16" s="65"/>
      <c r="K16" s="9"/>
      <c r="L16" s="4"/>
      <c r="Q16" s="141" t="s">
        <v>283</v>
      </c>
      <c r="R16" s="142">
        <v>0.89001113183270453</v>
      </c>
      <c r="S16" s="143" t="s">
        <v>371</v>
      </c>
      <c r="W16" s="83" t="s">
        <v>64</v>
      </c>
      <c r="X16" s="110" t="s">
        <v>10</v>
      </c>
      <c r="Y16" s="110">
        <v>16</v>
      </c>
      <c r="Z16" s="110" t="s">
        <v>288</v>
      </c>
      <c r="AA16" s="111">
        <v>1</v>
      </c>
      <c r="AG16" s="127"/>
    </row>
    <row r="17" spans="1:33" x14ac:dyDescent="0.2">
      <c r="A17" s="81" t="s">
        <v>258</v>
      </c>
      <c r="B17" s="82" t="s">
        <v>10</v>
      </c>
      <c r="C17" s="82">
        <v>16</v>
      </c>
      <c r="D17" s="82" t="s">
        <v>338</v>
      </c>
      <c r="E17" s="102">
        <f t="shared" si="3"/>
        <v>0.94700000000000006</v>
      </c>
      <c r="F17" s="65"/>
      <c r="K17" s="9"/>
      <c r="L17" s="4"/>
      <c r="Q17" s="141" t="s">
        <v>284</v>
      </c>
      <c r="R17" s="142">
        <v>0.89235399590163933</v>
      </c>
      <c r="S17" s="141" t="s">
        <v>371</v>
      </c>
      <c r="W17" s="83" t="s">
        <v>34</v>
      </c>
      <c r="X17" s="110" t="s">
        <v>28</v>
      </c>
      <c r="Y17" s="110">
        <v>14</v>
      </c>
      <c r="Z17" s="110" t="s">
        <v>294</v>
      </c>
      <c r="AA17" s="111">
        <v>1</v>
      </c>
      <c r="AC17" s="108" t="s">
        <v>139</v>
      </c>
      <c r="AD17" s="109"/>
      <c r="AE17" s="109"/>
      <c r="AF17" s="77">
        <f>AVERAGE(Y$52:Y$70)</f>
        <v>14.578947368421053</v>
      </c>
      <c r="AG17" s="126"/>
    </row>
    <row r="18" spans="1:33" ht="13.5" thickBot="1" x14ac:dyDescent="0.25">
      <c r="A18" s="83" t="s">
        <v>15</v>
      </c>
      <c r="B18" s="80" t="s">
        <v>16</v>
      </c>
      <c r="C18" s="80">
        <v>15</v>
      </c>
      <c r="D18" s="80" t="s">
        <v>277</v>
      </c>
      <c r="E18" s="101">
        <f t="shared" si="3"/>
        <v>0.91042888352305396</v>
      </c>
      <c r="F18" s="65"/>
      <c r="K18" s="9"/>
      <c r="L18" s="4"/>
      <c r="N18" s="4"/>
      <c r="Q18" s="141" t="s">
        <v>285</v>
      </c>
      <c r="R18" s="142">
        <v>0.91199977892108686</v>
      </c>
      <c r="S18" s="141" t="s">
        <v>371</v>
      </c>
      <c r="W18" s="83" t="s">
        <v>24</v>
      </c>
      <c r="X18" s="110" t="s">
        <v>28</v>
      </c>
      <c r="Y18" s="110">
        <v>14</v>
      </c>
      <c r="Z18" s="110" t="s">
        <v>324</v>
      </c>
      <c r="AA18" s="111">
        <v>1</v>
      </c>
      <c r="AC18" s="96" t="s">
        <v>77</v>
      </c>
      <c r="AD18" s="96" t="s">
        <v>81</v>
      </c>
      <c r="AE18" s="96" t="s">
        <v>82</v>
      </c>
      <c r="AG18" s="127"/>
    </row>
    <row r="19" spans="1:33" x14ac:dyDescent="0.2">
      <c r="A19" s="83" t="s">
        <v>17</v>
      </c>
      <c r="B19" s="80" t="s">
        <v>16</v>
      </c>
      <c r="C19" s="80">
        <v>15</v>
      </c>
      <c r="D19" s="80" t="s">
        <v>307</v>
      </c>
      <c r="E19" s="101">
        <f t="shared" si="3"/>
        <v>0.86662573118314323</v>
      </c>
      <c r="F19" s="69"/>
      <c r="K19" s="9"/>
      <c r="L19" s="4"/>
      <c r="N19" s="4"/>
      <c r="Q19" s="141" t="s">
        <v>286</v>
      </c>
      <c r="R19" s="142">
        <v>0.71562826313957539</v>
      </c>
      <c r="S19" s="141" t="s">
        <v>372</v>
      </c>
      <c r="W19" s="83" t="s">
        <v>59</v>
      </c>
      <c r="X19" s="110" t="s">
        <v>28</v>
      </c>
      <c r="Y19" s="110">
        <v>14</v>
      </c>
      <c r="Z19" s="110" t="s">
        <v>337</v>
      </c>
      <c r="AA19" s="111">
        <v>1</v>
      </c>
      <c r="AC19" s="72" t="s">
        <v>138</v>
      </c>
      <c r="AD19" s="86">
        <f>COUNTIF(Y$52:Y$70,"&gt;16")</f>
        <v>1</v>
      </c>
      <c r="AE19" s="87">
        <f>AD19/AD$25</f>
        <v>5.2631578947368418E-2</v>
      </c>
      <c r="AG19" s="127"/>
    </row>
    <row r="20" spans="1:33" x14ac:dyDescent="0.2">
      <c r="A20" s="83" t="s">
        <v>31</v>
      </c>
      <c r="B20" s="80" t="s">
        <v>16</v>
      </c>
      <c r="C20" s="80">
        <v>15</v>
      </c>
      <c r="D20" s="110" t="s">
        <v>289</v>
      </c>
      <c r="E20" s="111">
        <f t="shared" si="3"/>
        <v>0.81254016709511567</v>
      </c>
      <c r="F20" s="65"/>
      <c r="K20" s="9"/>
      <c r="L20" s="4"/>
      <c r="N20" s="4"/>
      <c r="Q20" s="141" t="s">
        <v>287</v>
      </c>
      <c r="R20" s="142">
        <v>0.99609846555590886</v>
      </c>
      <c r="S20" s="143" t="s">
        <v>371</v>
      </c>
      <c r="W20" s="83" t="s">
        <v>58</v>
      </c>
      <c r="X20" s="110" t="s">
        <v>49</v>
      </c>
      <c r="Y20" s="110">
        <v>13</v>
      </c>
      <c r="Z20" s="110" t="s">
        <v>276</v>
      </c>
      <c r="AA20" s="111">
        <v>1</v>
      </c>
      <c r="AC20" s="72" t="s">
        <v>10</v>
      </c>
      <c r="AD20" s="86">
        <f>COUNTIF(Y$52:Y$70,"=16")</f>
        <v>3</v>
      </c>
      <c r="AE20" s="87">
        <f t="shared" ref="AE20:AE25" si="4">AD20/AD$25</f>
        <v>0.15789473684210525</v>
      </c>
      <c r="AG20" s="127"/>
    </row>
    <row r="21" spans="1:33" x14ac:dyDescent="0.2">
      <c r="A21" s="83" t="s">
        <v>254</v>
      </c>
      <c r="B21" s="80" t="s">
        <v>16</v>
      </c>
      <c r="C21" s="80">
        <v>15</v>
      </c>
      <c r="D21" s="80" t="s">
        <v>331</v>
      </c>
      <c r="E21" s="101">
        <f t="shared" si="3"/>
        <v>0.83267459864721705</v>
      </c>
      <c r="F21" s="65"/>
      <c r="Q21" s="141" t="s">
        <v>86</v>
      </c>
      <c r="R21" s="142">
        <v>0.63157463237392464</v>
      </c>
      <c r="S21" s="141" t="s">
        <v>372</v>
      </c>
      <c r="W21" s="83" t="s">
        <v>53</v>
      </c>
      <c r="X21" s="110" t="s">
        <v>16</v>
      </c>
      <c r="Y21" s="110">
        <v>15</v>
      </c>
      <c r="Z21" s="110" t="s">
        <v>318</v>
      </c>
      <c r="AA21" s="111">
        <v>0.99967409016838671</v>
      </c>
      <c r="AC21" s="72" t="s">
        <v>16</v>
      </c>
      <c r="AD21" s="86">
        <f>COUNTIF(Y$52:Y$70,"=15")</f>
        <v>6</v>
      </c>
      <c r="AE21" s="87">
        <f t="shared" si="4"/>
        <v>0.31578947368421051</v>
      </c>
      <c r="AG21" s="127"/>
    </row>
    <row r="22" spans="1:33" x14ac:dyDescent="0.2">
      <c r="A22" s="83" t="s">
        <v>12</v>
      </c>
      <c r="B22" s="80" t="s">
        <v>16</v>
      </c>
      <c r="C22" s="80">
        <v>15</v>
      </c>
      <c r="D22" s="80" t="s">
        <v>309</v>
      </c>
      <c r="E22" s="101">
        <f t="shared" si="3"/>
        <v>0.36101059894989318</v>
      </c>
      <c r="F22" s="65"/>
      <c r="Q22" s="141" t="s">
        <v>288</v>
      </c>
      <c r="R22" s="142">
        <v>1</v>
      </c>
      <c r="S22" s="143" t="s">
        <v>371</v>
      </c>
      <c r="W22" s="83" t="s">
        <v>50</v>
      </c>
      <c r="X22" s="84" t="s">
        <v>373</v>
      </c>
      <c r="Y22" s="84"/>
      <c r="Z22" s="110" t="s">
        <v>287</v>
      </c>
      <c r="AA22" s="111">
        <v>0.99609846555590886</v>
      </c>
      <c r="AC22" s="72" t="s">
        <v>28</v>
      </c>
      <c r="AD22" s="86">
        <f>COUNTIF(Y$52:Y$70,"=14")</f>
        <v>3</v>
      </c>
      <c r="AE22" s="87">
        <f t="shared" si="4"/>
        <v>0.15789473684210525</v>
      </c>
      <c r="AG22" s="127"/>
    </row>
    <row r="23" spans="1:33" x14ac:dyDescent="0.2">
      <c r="A23" s="83" t="s">
        <v>52</v>
      </c>
      <c r="B23" s="80" t="s">
        <v>16</v>
      </c>
      <c r="C23" s="80">
        <v>15</v>
      </c>
      <c r="D23" s="80" t="s">
        <v>281</v>
      </c>
      <c r="E23" s="101">
        <f t="shared" si="3"/>
        <v>0.76017780502759058</v>
      </c>
      <c r="F23" s="65"/>
      <c r="Q23" s="141" t="s">
        <v>289</v>
      </c>
      <c r="R23" s="142">
        <v>0.81254016709511567</v>
      </c>
      <c r="S23" s="141" t="s">
        <v>371</v>
      </c>
      <c r="W23" s="83" t="s">
        <v>66</v>
      </c>
      <c r="X23" s="110" t="s">
        <v>28</v>
      </c>
      <c r="Y23" s="110">
        <v>14</v>
      </c>
      <c r="Z23" s="110" t="s">
        <v>315</v>
      </c>
      <c r="AA23" s="111">
        <v>0.99569209153466032</v>
      </c>
      <c r="AC23" s="72" t="s">
        <v>49</v>
      </c>
      <c r="AD23" s="86">
        <f>COUNTIF(Y$52:Y$70,"=13")</f>
        <v>6</v>
      </c>
      <c r="AE23" s="87">
        <f t="shared" si="4"/>
        <v>0.31578947368421051</v>
      </c>
      <c r="AG23" s="127"/>
    </row>
    <row r="24" spans="1:33" ht="13.5" thickBot="1" x14ac:dyDescent="0.25">
      <c r="A24" s="144" t="s">
        <v>513</v>
      </c>
      <c r="B24" s="145" t="s">
        <v>16</v>
      </c>
      <c r="C24" s="145">
        <v>15</v>
      </c>
      <c r="D24" s="145" t="s">
        <v>512</v>
      </c>
      <c r="E24" s="146">
        <f t="shared" si="3"/>
        <v>0.95294725244456668</v>
      </c>
      <c r="F24" s="65"/>
      <c r="Q24" s="141" t="s">
        <v>290</v>
      </c>
      <c r="R24" s="142">
        <v>0.76510407852428497</v>
      </c>
      <c r="S24" s="141" t="s">
        <v>372</v>
      </c>
      <c r="W24" s="83" t="s">
        <v>266</v>
      </c>
      <c r="X24" s="110" t="s">
        <v>56</v>
      </c>
      <c r="Y24" s="110">
        <v>12</v>
      </c>
      <c r="Z24" s="110" t="s">
        <v>314</v>
      </c>
      <c r="AA24" s="111">
        <v>0.99533285779852521</v>
      </c>
      <c r="AC24" s="93" t="s">
        <v>79</v>
      </c>
      <c r="AD24" s="94">
        <f>COUNTIF(Y$52:Y$70,"&lt;13")</f>
        <v>0</v>
      </c>
      <c r="AE24" s="95">
        <f t="shared" si="4"/>
        <v>0</v>
      </c>
      <c r="AG24" s="127"/>
    </row>
    <row r="25" spans="1:33" x14ac:dyDescent="0.2">
      <c r="A25" s="83" t="s">
        <v>21</v>
      </c>
      <c r="B25" s="80" t="s">
        <v>16</v>
      </c>
      <c r="C25" s="80">
        <v>15</v>
      </c>
      <c r="D25" s="80" t="s">
        <v>316</v>
      </c>
      <c r="E25" s="101">
        <f t="shared" si="3"/>
        <v>0.76907329412838532</v>
      </c>
      <c r="F25" s="65"/>
      <c r="Q25" s="141" t="s">
        <v>291</v>
      </c>
      <c r="R25" s="142">
        <v>0.96341849943457658</v>
      </c>
      <c r="S25" s="143" t="s">
        <v>371</v>
      </c>
      <c r="W25" s="83" t="s">
        <v>54</v>
      </c>
      <c r="X25" s="110" t="s">
        <v>56</v>
      </c>
      <c r="Y25" s="110">
        <v>12</v>
      </c>
      <c r="Z25" s="110" t="s">
        <v>326</v>
      </c>
      <c r="AA25" s="111">
        <v>0.99461817608484948</v>
      </c>
      <c r="AC25" s="88" t="s">
        <v>80</v>
      </c>
      <c r="AD25" s="89">
        <f>SUM(AD19:AD24)</f>
        <v>19</v>
      </c>
      <c r="AE25" s="90">
        <f t="shared" si="4"/>
        <v>1</v>
      </c>
      <c r="AG25" s="127"/>
    </row>
    <row r="26" spans="1:33" x14ac:dyDescent="0.2">
      <c r="A26" s="83" t="s">
        <v>23</v>
      </c>
      <c r="B26" s="110" t="s">
        <v>16</v>
      </c>
      <c r="C26" s="110">
        <v>15</v>
      </c>
      <c r="D26" s="110" t="s">
        <v>323</v>
      </c>
      <c r="E26" s="111">
        <f t="shared" si="3"/>
        <v>0.73349447513812149</v>
      </c>
      <c r="F26" s="65"/>
      <c r="Q26" s="141" t="s">
        <v>292</v>
      </c>
      <c r="R26" s="142">
        <v>0.89318320146074259</v>
      </c>
      <c r="S26" s="141" t="s">
        <v>371</v>
      </c>
      <c r="W26" s="83" t="s">
        <v>41</v>
      </c>
      <c r="X26" s="110" t="s">
        <v>28</v>
      </c>
      <c r="Y26" s="110">
        <v>14</v>
      </c>
      <c r="Z26" s="110" t="s">
        <v>322</v>
      </c>
      <c r="AA26" s="111">
        <v>0.99126425624848336</v>
      </c>
      <c r="AG26" s="127"/>
    </row>
    <row r="27" spans="1:33" x14ac:dyDescent="0.2">
      <c r="A27" s="83" t="s">
        <v>53</v>
      </c>
      <c r="B27" s="80" t="s">
        <v>16</v>
      </c>
      <c r="C27" s="80">
        <v>15</v>
      </c>
      <c r="D27" s="80" t="s">
        <v>318</v>
      </c>
      <c r="E27" s="101">
        <f t="shared" si="3"/>
        <v>0.99967409016838671</v>
      </c>
      <c r="F27" s="69"/>
      <c r="Q27" s="141" t="s">
        <v>293</v>
      </c>
      <c r="R27" s="142">
        <v>1.0292149475019923</v>
      </c>
      <c r="S27" s="141" t="s">
        <v>371</v>
      </c>
      <c r="W27" s="83" t="s">
        <v>75</v>
      </c>
      <c r="X27" s="110" t="s">
        <v>28</v>
      </c>
      <c r="Y27" s="110">
        <v>14</v>
      </c>
      <c r="Z27" s="110" t="s">
        <v>332</v>
      </c>
      <c r="AA27" s="111">
        <v>0.98872477714287255</v>
      </c>
      <c r="AG27" s="127"/>
    </row>
    <row r="28" spans="1:33" x14ac:dyDescent="0.2">
      <c r="A28" s="83" t="s">
        <v>43</v>
      </c>
      <c r="B28" s="80" t="s">
        <v>16</v>
      </c>
      <c r="C28" s="80">
        <v>15</v>
      </c>
      <c r="D28" s="110" t="s">
        <v>325</v>
      </c>
      <c r="E28" s="111">
        <f t="shared" si="3"/>
        <v>0.61841824770837783</v>
      </c>
      <c r="F28" s="65"/>
      <c r="Q28" s="141" t="s">
        <v>294</v>
      </c>
      <c r="R28" s="142">
        <v>1</v>
      </c>
      <c r="S28" s="141" t="s">
        <v>371</v>
      </c>
      <c r="W28" s="83" t="s">
        <v>76</v>
      </c>
      <c r="X28" s="84" t="s">
        <v>373</v>
      </c>
      <c r="Y28" s="84"/>
      <c r="Z28" s="84" t="s">
        <v>334</v>
      </c>
      <c r="AA28" s="103">
        <v>0.98538704581358605</v>
      </c>
      <c r="AC28" s="108" t="s">
        <v>140</v>
      </c>
      <c r="AD28" s="109"/>
      <c r="AE28" s="109"/>
      <c r="AF28" s="77">
        <f>AVERAGE(Y$71:Y$74)</f>
        <v>11.5</v>
      </c>
      <c r="AG28" s="126"/>
    </row>
    <row r="29" spans="1:33" ht="13.5" thickBot="1" x14ac:dyDescent="0.25">
      <c r="A29" s="83" t="s">
        <v>257</v>
      </c>
      <c r="B29" s="80" t="s">
        <v>16</v>
      </c>
      <c r="C29" s="80">
        <v>15</v>
      </c>
      <c r="D29" s="80" t="s">
        <v>320</v>
      </c>
      <c r="E29" s="101">
        <f t="shared" si="3"/>
        <v>0.85816623707026407</v>
      </c>
      <c r="F29" s="65"/>
      <c r="Q29" s="141" t="s">
        <v>295</v>
      </c>
      <c r="R29" s="142">
        <v>0.11951366732775717</v>
      </c>
      <c r="S29" s="141" t="s">
        <v>86</v>
      </c>
      <c r="W29" s="83" t="s">
        <v>20</v>
      </c>
      <c r="X29" s="110" t="s">
        <v>28</v>
      </c>
      <c r="Y29" s="110">
        <v>14</v>
      </c>
      <c r="Z29" s="110" t="s">
        <v>303</v>
      </c>
      <c r="AA29" s="111">
        <v>0.97697589100213744</v>
      </c>
      <c r="AC29" s="96" t="s">
        <v>77</v>
      </c>
      <c r="AD29" s="96" t="s">
        <v>81</v>
      </c>
      <c r="AE29" s="96" t="s">
        <v>82</v>
      </c>
    </row>
    <row r="30" spans="1:33" x14ac:dyDescent="0.2">
      <c r="A30" s="83" t="s">
        <v>13</v>
      </c>
      <c r="B30" s="80" t="s">
        <v>16</v>
      </c>
      <c r="C30" s="80">
        <v>15</v>
      </c>
      <c r="D30" s="80" t="s">
        <v>327</v>
      </c>
      <c r="E30" s="101">
        <f t="shared" si="3"/>
        <v>0.77444478716841458</v>
      </c>
      <c r="F30" s="65"/>
      <c r="Q30" s="141" t="s">
        <v>296</v>
      </c>
      <c r="R30" s="142">
        <v>0.7886228860092247</v>
      </c>
      <c r="S30" s="141" t="s">
        <v>372</v>
      </c>
      <c r="W30" s="83" t="s">
        <v>14</v>
      </c>
      <c r="X30" s="110" t="s">
        <v>10</v>
      </c>
      <c r="Y30" s="110">
        <v>16</v>
      </c>
      <c r="Z30" s="110" t="s">
        <v>335</v>
      </c>
      <c r="AA30" s="111">
        <v>0.975461842272901</v>
      </c>
      <c r="AC30" s="72" t="s">
        <v>138</v>
      </c>
      <c r="AD30" s="86">
        <f>COUNTIF(Y$71:Y$74,"&gt;16")</f>
        <v>0</v>
      </c>
      <c r="AE30" s="87">
        <f>AD30/AD$36</f>
        <v>0</v>
      </c>
    </row>
    <row r="31" spans="1:33" x14ac:dyDescent="0.2">
      <c r="A31" s="83" t="s">
        <v>25</v>
      </c>
      <c r="B31" s="80" t="s">
        <v>16</v>
      </c>
      <c r="C31" s="80">
        <v>15</v>
      </c>
      <c r="D31" s="80" t="s">
        <v>329</v>
      </c>
      <c r="E31" s="101">
        <f t="shared" si="3"/>
        <v>0.66251692368655679</v>
      </c>
      <c r="F31" s="65"/>
      <c r="K31" s="66"/>
      <c r="L31" s="66"/>
      <c r="Q31" s="141" t="s">
        <v>297</v>
      </c>
      <c r="R31" s="142">
        <v>0.80341264723043471</v>
      </c>
      <c r="S31" s="143" t="s">
        <v>371</v>
      </c>
      <c r="W31" s="83" t="s">
        <v>265</v>
      </c>
      <c r="X31" s="110" t="s">
        <v>56</v>
      </c>
      <c r="Y31" s="110">
        <v>12</v>
      </c>
      <c r="Z31" s="110" t="s">
        <v>333</v>
      </c>
      <c r="AA31" s="111">
        <v>0.97036252976978032</v>
      </c>
      <c r="AC31" s="72" t="s">
        <v>10</v>
      </c>
      <c r="AD31" s="86">
        <f>COUNTIF(Y$71:Y$74,"=16")</f>
        <v>0</v>
      </c>
      <c r="AE31" s="87">
        <f t="shared" ref="AE31:AE36" si="5">AD31/AD$36</f>
        <v>0</v>
      </c>
    </row>
    <row r="32" spans="1:33" x14ac:dyDescent="0.2">
      <c r="A32" s="144" t="s">
        <v>62</v>
      </c>
      <c r="B32" s="145" t="s">
        <v>16</v>
      </c>
      <c r="C32" s="145">
        <v>15</v>
      </c>
      <c r="D32" s="145" t="s">
        <v>330</v>
      </c>
      <c r="E32" s="146">
        <f t="shared" si="3"/>
        <v>0.93843994106691131</v>
      </c>
      <c r="F32" s="65"/>
      <c r="L32" s="66"/>
      <c r="Q32" s="141" t="s">
        <v>298</v>
      </c>
      <c r="R32" s="142">
        <v>0.58646630934150079</v>
      </c>
      <c r="S32" s="143" t="s">
        <v>372</v>
      </c>
      <c r="W32" s="83" t="s">
        <v>259</v>
      </c>
      <c r="X32" s="110" t="s">
        <v>28</v>
      </c>
      <c r="Y32" s="110">
        <v>14</v>
      </c>
      <c r="Z32" s="110" t="s">
        <v>275</v>
      </c>
      <c r="AA32" s="111">
        <v>0.96680210088197405</v>
      </c>
      <c r="AC32" s="72" t="s">
        <v>16</v>
      </c>
      <c r="AD32" s="86">
        <f>COUNTIF(Y$71:Y$74,"=15")</f>
        <v>1</v>
      </c>
      <c r="AE32" s="87">
        <f t="shared" si="5"/>
        <v>0.25</v>
      </c>
    </row>
    <row r="33" spans="1:31" x14ac:dyDescent="0.2">
      <c r="A33" s="81" t="s">
        <v>259</v>
      </c>
      <c r="B33" s="82" t="s">
        <v>28</v>
      </c>
      <c r="C33" s="82">
        <v>14</v>
      </c>
      <c r="D33" s="82" t="s">
        <v>275</v>
      </c>
      <c r="E33" s="102">
        <f t="shared" si="3"/>
        <v>0.96680210088197405</v>
      </c>
      <c r="F33" s="65"/>
      <c r="L33" s="66"/>
      <c r="Q33" s="141" t="s">
        <v>299</v>
      </c>
      <c r="R33" s="142">
        <v>0.64970550208303401</v>
      </c>
      <c r="S33" s="143" t="s">
        <v>372</v>
      </c>
      <c r="W33" s="83" t="s">
        <v>19</v>
      </c>
      <c r="X33" s="110" t="s">
        <v>10</v>
      </c>
      <c r="Y33" s="110">
        <v>16</v>
      </c>
      <c r="Z33" s="110" t="s">
        <v>291</v>
      </c>
      <c r="AA33" s="111">
        <v>0.96341849943457658</v>
      </c>
      <c r="AC33" s="72" t="s">
        <v>28</v>
      </c>
      <c r="AD33" s="86">
        <f>COUNTIF(Y$71:Y$74,"=14")</f>
        <v>0</v>
      </c>
      <c r="AE33" s="87">
        <f t="shared" si="5"/>
        <v>0</v>
      </c>
    </row>
    <row r="34" spans="1:31" x14ac:dyDescent="0.2">
      <c r="A34" s="81" t="s">
        <v>55</v>
      </c>
      <c r="B34" s="82" t="s">
        <v>28</v>
      </c>
      <c r="C34" s="82">
        <v>14</v>
      </c>
      <c r="D34" s="82" t="s">
        <v>278</v>
      </c>
      <c r="E34" s="102">
        <f t="shared" si="3"/>
        <v>0.91095138568993894</v>
      </c>
      <c r="F34" s="65"/>
      <c r="H34" s="4"/>
      <c r="I34" s="4"/>
      <c r="L34" s="66"/>
      <c r="Q34" s="141" t="s">
        <v>301</v>
      </c>
      <c r="R34" s="142">
        <v>1.0379329114785329</v>
      </c>
      <c r="S34" s="143" t="s">
        <v>371</v>
      </c>
      <c r="W34" s="83" t="s">
        <v>513</v>
      </c>
      <c r="X34" s="110" t="s">
        <v>16</v>
      </c>
      <c r="Y34" s="110">
        <v>15</v>
      </c>
      <c r="Z34" s="110" t="s">
        <v>512</v>
      </c>
      <c r="AA34" s="111">
        <v>0.95294725244456668</v>
      </c>
      <c r="AC34" s="72" t="s">
        <v>49</v>
      </c>
      <c r="AD34" s="86">
        <f>COUNTIF(Y$71:Y$74,"=13")</f>
        <v>2</v>
      </c>
      <c r="AE34" s="87">
        <f t="shared" si="5"/>
        <v>0.5</v>
      </c>
    </row>
    <row r="35" spans="1:31" ht="13.5" thickBot="1" x14ac:dyDescent="0.25">
      <c r="A35" s="81" t="s">
        <v>29</v>
      </c>
      <c r="B35" s="82" t="s">
        <v>28</v>
      </c>
      <c r="C35" s="82">
        <v>14</v>
      </c>
      <c r="D35" s="82" t="s">
        <v>286</v>
      </c>
      <c r="E35" s="102">
        <f t="shared" si="3"/>
        <v>0.71562826313957539</v>
      </c>
      <c r="F35" s="65"/>
      <c r="G35" s="86" t="s">
        <v>268</v>
      </c>
      <c r="H35" s="4"/>
      <c r="I35" s="4"/>
      <c r="J35" s="4"/>
      <c r="L35" s="67"/>
      <c r="Q35" s="141" t="s">
        <v>302</v>
      </c>
      <c r="R35" s="142">
        <v>0.47637430521244206</v>
      </c>
      <c r="S35" s="141" t="s">
        <v>86</v>
      </c>
      <c r="W35" s="83" t="s">
        <v>258</v>
      </c>
      <c r="X35" s="110" t="s">
        <v>10</v>
      </c>
      <c r="Y35" s="110">
        <v>16</v>
      </c>
      <c r="Z35" s="110" t="s">
        <v>338</v>
      </c>
      <c r="AA35" s="111">
        <v>0.94700000000000006</v>
      </c>
      <c r="AC35" s="93" t="s">
        <v>79</v>
      </c>
      <c r="AD35" s="94">
        <f>COUNTIF(Y$71:Y$74,"&lt;13")</f>
        <v>1</v>
      </c>
      <c r="AE35" s="95">
        <f t="shared" si="5"/>
        <v>0.25</v>
      </c>
    </row>
    <row r="36" spans="1:31" x14ac:dyDescent="0.2">
      <c r="A36" s="81" t="s">
        <v>30</v>
      </c>
      <c r="B36" s="82" t="s">
        <v>28</v>
      </c>
      <c r="C36" s="82">
        <v>14</v>
      </c>
      <c r="D36" s="82" t="s">
        <v>285</v>
      </c>
      <c r="E36" s="102">
        <f t="shared" si="3"/>
        <v>0.91199977892108686</v>
      </c>
      <c r="F36" s="65"/>
      <c r="G36" s="140"/>
      <c r="H36" s="11"/>
      <c r="I36" s="11"/>
      <c r="J36" s="4"/>
      <c r="L36" s="67"/>
      <c r="Q36" s="141" t="s">
        <v>303</v>
      </c>
      <c r="R36" s="142">
        <v>0.97697589100213744</v>
      </c>
      <c r="S36" s="143" t="s">
        <v>371</v>
      </c>
      <c r="W36" s="83" t="s">
        <v>62</v>
      </c>
      <c r="X36" s="110" t="s">
        <v>16</v>
      </c>
      <c r="Y36" s="110">
        <v>15</v>
      </c>
      <c r="Z36" s="110" t="s">
        <v>330</v>
      </c>
      <c r="AA36" s="111">
        <v>0.93843994106691131</v>
      </c>
      <c r="AC36" s="88" t="s">
        <v>80</v>
      </c>
      <c r="AD36" s="89">
        <f>SUM(AD30:AD35)</f>
        <v>4</v>
      </c>
      <c r="AE36" s="90">
        <f t="shared" si="5"/>
        <v>1</v>
      </c>
    </row>
    <row r="37" spans="1:31" x14ac:dyDescent="0.2">
      <c r="A37" s="81" t="s">
        <v>34</v>
      </c>
      <c r="B37" s="82" t="s">
        <v>28</v>
      </c>
      <c r="C37" s="82">
        <v>14</v>
      </c>
      <c r="D37" s="82" t="s">
        <v>294</v>
      </c>
      <c r="E37" s="102">
        <f t="shared" si="3"/>
        <v>1</v>
      </c>
      <c r="F37" s="65"/>
      <c r="H37" s="12"/>
      <c r="I37" s="4"/>
      <c r="J37" s="11"/>
      <c r="Q37" s="141" t="s">
        <v>307</v>
      </c>
      <c r="R37" s="142">
        <v>0.86662573118314323</v>
      </c>
      <c r="S37" s="141" t="s">
        <v>371</v>
      </c>
      <c r="W37" s="83" t="s">
        <v>42</v>
      </c>
      <c r="X37" s="110" t="s">
        <v>65</v>
      </c>
      <c r="Y37" s="110">
        <v>10</v>
      </c>
      <c r="Z37" s="110" t="s">
        <v>321</v>
      </c>
      <c r="AA37" s="111">
        <v>0.93520619672453054</v>
      </c>
    </row>
    <row r="38" spans="1:31" x14ac:dyDescent="0.2">
      <c r="A38" s="81" t="s">
        <v>36</v>
      </c>
      <c r="B38" s="82" t="s">
        <v>28</v>
      </c>
      <c r="C38" s="82">
        <v>14</v>
      </c>
      <c r="D38" s="82" t="s">
        <v>297</v>
      </c>
      <c r="E38" s="102">
        <f t="shared" si="3"/>
        <v>0.80341264723043471</v>
      </c>
      <c r="F38" s="65"/>
      <c r="H38" s="12"/>
      <c r="I38" s="4"/>
      <c r="J38" s="13"/>
      <c r="Q38" s="141" t="s">
        <v>309</v>
      </c>
      <c r="R38" s="142">
        <v>0.36101059894989318</v>
      </c>
      <c r="S38" s="141" t="s">
        <v>86</v>
      </c>
      <c r="W38" s="83" t="s">
        <v>7</v>
      </c>
      <c r="X38" s="110" t="s">
        <v>2</v>
      </c>
      <c r="Y38" s="110">
        <v>17</v>
      </c>
      <c r="Z38" s="110" t="s">
        <v>328</v>
      </c>
      <c r="AA38" s="111">
        <v>0.92936836749527552</v>
      </c>
    </row>
    <row r="39" spans="1:31" x14ac:dyDescent="0.2">
      <c r="A39" s="81" t="s">
        <v>11</v>
      </c>
      <c r="B39" s="82" t="s">
        <v>28</v>
      </c>
      <c r="C39" s="82">
        <v>14</v>
      </c>
      <c r="D39" s="82" t="s">
        <v>298</v>
      </c>
      <c r="E39" s="102">
        <f t="shared" si="3"/>
        <v>0.58646630934150079</v>
      </c>
      <c r="F39" s="69"/>
      <c r="H39" s="12"/>
      <c r="I39" s="4"/>
      <c r="J39" s="13"/>
      <c r="Q39" s="141" t="s">
        <v>310</v>
      </c>
      <c r="R39" s="142">
        <v>0.78418126509511765</v>
      </c>
      <c r="S39" s="141" t="s">
        <v>372</v>
      </c>
      <c r="W39" s="83" t="s">
        <v>26</v>
      </c>
      <c r="X39" s="110" t="s">
        <v>10</v>
      </c>
      <c r="Y39" s="110">
        <v>16</v>
      </c>
      <c r="Z39" s="110" t="s">
        <v>336</v>
      </c>
      <c r="AA39" s="111">
        <v>0.91865112788863534</v>
      </c>
    </row>
    <row r="40" spans="1:31" x14ac:dyDescent="0.2">
      <c r="A40" s="81" t="s">
        <v>261</v>
      </c>
      <c r="B40" s="82" t="s">
        <v>28</v>
      </c>
      <c r="C40" s="82">
        <v>14</v>
      </c>
      <c r="D40" s="82" t="s">
        <v>301</v>
      </c>
      <c r="E40" s="102">
        <f t="shared" si="3"/>
        <v>1.0379329114785329</v>
      </c>
      <c r="F40" s="65"/>
      <c r="H40" s="12"/>
      <c r="I40" s="4"/>
      <c r="J40" s="13"/>
      <c r="Q40" s="141" t="s">
        <v>369</v>
      </c>
      <c r="R40" s="142">
        <v>0.541533003736272</v>
      </c>
      <c r="S40" s="143" t="s">
        <v>372</v>
      </c>
      <c r="W40" s="83" t="s">
        <v>30</v>
      </c>
      <c r="X40" s="110" t="s">
        <v>28</v>
      </c>
      <c r="Y40" s="110">
        <v>14</v>
      </c>
      <c r="Z40" s="110" t="s">
        <v>285</v>
      </c>
      <c r="AA40" s="111">
        <v>0.91199977892108686</v>
      </c>
    </row>
    <row r="41" spans="1:31" x14ac:dyDescent="0.2">
      <c r="A41" s="81" t="s">
        <v>20</v>
      </c>
      <c r="B41" s="82" t="s">
        <v>28</v>
      </c>
      <c r="C41" s="82">
        <v>14</v>
      </c>
      <c r="D41" s="82" t="s">
        <v>303</v>
      </c>
      <c r="E41" s="102">
        <f t="shared" si="3"/>
        <v>0.97697589100213744</v>
      </c>
      <c r="F41" s="65"/>
      <c r="H41" s="12"/>
      <c r="I41" s="4"/>
      <c r="J41" s="13"/>
      <c r="Q41" s="141" t="s">
        <v>311</v>
      </c>
      <c r="R41" s="142">
        <v>0.57845507252191697</v>
      </c>
      <c r="S41" s="143" t="s">
        <v>372</v>
      </c>
      <c r="W41" s="83" t="s">
        <v>55</v>
      </c>
      <c r="X41" s="110" t="s">
        <v>28</v>
      </c>
      <c r="Y41" s="110">
        <v>14</v>
      </c>
      <c r="Z41" s="110" t="s">
        <v>278</v>
      </c>
      <c r="AA41" s="111">
        <v>0.91095138568993894</v>
      </c>
    </row>
    <row r="42" spans="1:31" x14ac:dyDescent="0.2">
      <c r="A42" s="81" t="s">
        <v>66</v>
      </c>
      <c r="B42" s="82" t="s">
        <v>28</v>
      </c>
      <c r="C42" s="82">
        <v>14</v>
      </c>
      <c r="D42" s="82" t="s">
        <v>315</v>
      </c>
      <c r="E42" s="102">
        <f t="shared" si="3"/>
        <v>0.99569209153466032</v>
      </c>
      <c r="F42" s="69"/>
      <c r="H42" s="12"/>
      <c r="I42" s="4"/>
      <c r="J42" s="13"/>
      <c r="Q42" s="141" t="s">
        <v>313</v>
      </c>
      <c r="R42" s="142">
        <v>1</v>
      </c>
      <c r="S42" s="143" t="s">
        <v>371</v>
      </c>
      <c r="W42" s="83" t="s">
        <v>15</v>
      </c>
      <c r="X42" s="110" t="s">
        <v>16</v>
      </c>
      <c r="Y42" s="110">
        <v>15</v>
      </c>
      <c r="Z42" s="110" t="s">
        <v>277</v>
      </c>
      <c r="AA42" s="111">
        <v>0.91042888352305396</v>
      </c>
    </row>
    <row r="43" spans="1:31" x14ac:dyDescent="0.2">
      <c r="A43" s="144" t="s">
        <v>41</v>
      </c>
      <c r="B43" s="145" t="s">
        <v>28</v>
      </c>
      <c r="C43" s="145">
        <v>14</v>
      </c>
      <c r="D43" s="145" t="s">
        <v>322</v>
      </c>
      <c r="E43" s="146">
        <f t="shared" si="3"/>
        <v>0.99126425624848336</v>
      </c>
      <c r="F43" s="65"/>
      <c r="H43" s="4"/>
      <c r="I43" s="4"/>
      <c r="J43" s="4"/>
      <c r="Q43" s="141" t="s">
        <v>512</v>
      </c>
      <c r="R43" s="142">
        <v>0.95294725244456668</v>
      </c>
      <c r="S43" s="143" t="s">
        <v>371</v>
      </c>
      <c r="W43" s="83" t="s">
        <v>3</v>
      </c>
      <c r="X43" s="110" t="s">
        <v>10</v>
      </c>
      <c r="Y43" s="110">
        <v>16</v>
      </c>
      <c r="Z43" s="110" t="s">
        <v>292</v>
      </c>
      <c r="AA43" s="111">
        <v>0.89318320146074259</v>
      </c>
    </row>
    <row r="44" spans="1:31" x14ac:dyDescent="0.2">
      <c r="A44" s="81" t="s">
        <v>24</v>
      </c>
      <c r="B44" s="82" t="s">
        <v>28</v>
      </c>
      <c r="C44" s="82">
        <v>14</v>
      </c>
      <c r="D44" s="82" t="s">
        <v>324</v>
      </c>
      <c r="E44" s="102">
        <f t="shared" si="3"/>
        <v>1</v>
      </c>
      <c r="F44" s="65"/>
      <c r="H44" s="4"/>
      <c r="I44" s="4"/>
      <c r="J44" s="4"/>
      <c r="Q44" s="141" t="s">
        <v>314</v>
      </c>
      <c r="R44" s="142">
        <v>0.99533285779852521</v>
      </c>
      <c r="S44" s="141" t="s">
        <v>371</v>
      </c>
      <c r="W44" s="83" t="s">
        <v>60</v>
      </c>
      <c r="X44" s="110" t="s">
        <v>49</v>
      </c>
      <c r="Y44" s="110">
        <v>13</v>
      </c>
      <c r="Z44" s="110" t="s">
        <v>284</v>
      </c>
      <c r="AA44" s="111">
        <v>0.89235399590163933</v>
      </c>
    </row>
    <row r="45" spans="1:31" x14ac:dyDescent="0.2">
      <c r="A45" s="81" t="s">
        <v>45</v>
      </c>
      <c r="B45" s="82" t="s">
        <v>28</v>
      </c>
      <c r="C45" s="82">
        <v>14</v>
      </c>
      <c r="D45" s="82" t="s">
        <v>319</v>
      </c>
      <c r="E45" s="102">
        <f t="shared" si="3"/>
        <v>0.5641445718679996</v>
      </c>
      <c r="F45" s="69"/>
      <c r="H45" s="4"/>
      <c r="I45" s="4"/>
      <c r="J45" s="4"/>
      <c r="Q45" s="141" t="s">
        <v>315</v>
      </c>
      <c r="R45" s="142">
        <v>0.99569209153466032</v>
      </c>
      <c r="S45" s="141" t="s">
        <v>371</v>
      </c>
      <c r="W45" s="83" t="s">
        <v>264</v>
      </c>
      <c r="X45" s="110" t="s">
        <v>2</v>
      </c>
      <c r="Y45" s="110">
        <v>17</v>
      </c>
      <c r="Z45" s="110" t="s">
        <v>283</v>
      </c>
      <c r="AA45" s="111">
        <v>0.89001113183270453</v>
      </c>
    </row>
    <row r="46" spans="1:31" x14ac:dyDescent="0.2">
      <c r="A46" s="81" t="s">
        <v>75</v>
      </c>
      <c r="B46" s="82" t="s">
        <v>28</v>
      </c>
      <c r="C46" s="82">
        <v>14</v>
      </c>
      <c r="D46" s="82" t="s">
        <v>332</v>
      </c>
      <c r="E46" s="102">
        <f t="shared" si="3"/>
        <v>0.98872477714287255</v>
      </c>
      <c r="F46" s="69"/>
      <c r="G46" s="66"/>
      <c r="J46" s="67"/>
      <c r="Q46" s="141" t="s">
        <v>316</v>
      </c>
      <c r="R46" s="142">
        <v>0.76907329412838532</v>
      </c>
      <c r="S46" s="141" t="s">
        <v>372</v>
      </c>
      <c r="W46" s="83" t="s">
        <v>17</v>
      </c>
      <c r="X46" s="110" t="s">
        <v>16</v>
      </c>
      <c r="Y46" s="110">
        <v>15</v>
      </c>
      <c r="Z46" s="110" t="s">
        <v>307</v>
      </c>
      <c r="AA46" s="111">
        <v>0.86662573118314323</v>
      </c>
    </row>
    <row r="47" spans="1:31" x14ac:dyDescent="0.2">
      <c r="A47" s="81" t="s">
        <v>59</v>
      </c>
      <c r="B47" s="82" t="s">
        <v>28</v>
      </c>
      <c r="C47" s="82">
        <v>14</v>
      </c>
      <c r="D47" s="82" t="s">
        <v>337</v>
      </c>
      <c r="E47" s="102">
        <f t="shared" ref="E47:E67" si="6">VLOOKUP($D47,$Q$7:$R$68,2,0)</f>
        <v>1</v>
      </c>
      <c r="F47" s="69"/>
      <c r="G47" s="66"/>
      <c r="I47" s="66"/>
      <c r="J47" s="66"/>
      <c r="Q47" s="141" t="s">
        <v>317</v>
      </c>
      <c r="R47" s="142">
        <v>0.62481029959532464</v>
      </c>
      <c r="S47" s="141" t="s">
        <v>372</v>
      </c>
      <c r="W47" s="83" t="s">
        <v>257</v>
      </c>
      <c r="X47" s="110" t="s">
        <v>16</v>
      </c>
      <c r="Y47" s="110">
        <v>15</v>
      </c>
      <c r="Z47" s="110" t="s">
        <v>320</v>
      </c>
      <c r="AA47" s="111">
        <v>0.85816623707026407</v>
      </c>
    </row>
    <row r="48" spans="1:31" x14ac:dyDescent="0.2">
      <c r="A48" s="79" t="s">
        <v>9</v>
      </c>
      <c r="B48" s="80" t="s">
        <v>49</v>
      </c>
      <c r="C48" s="80">
        <v>13</v>
      </c>
      <c r="D48" s="80" t="s">
        <v>274</v>
      </c>
      <c r="E48" s="101">
        <f t="shared" si="6"/>
        <v>0.84669359982989578</v>
      </c>
      <c r="F48" s="65"/>
      <c r="G48" s="66"/>
      <c r="I48" s="66"/>
      <c r="J48" s="66"/>
      <c r="Q48" s="141" t="s">
        <v>318</v>
      </c>
      <c r="R48" s="142">
        <v>0.99967409016838671</v>
      </c>
      <c r="S48" s="143" t="s">
        <v>371</v>
      </c>
      <c r="W48" s="83" t="s">
        <v>9</v>
      </c>
      <c r="X48" s="110" t="s">
        <v>49</v>
      </c>
      <c r="Y48" s="110">
        <v>13</v>
      </c>
      <c r="Z48" s="110" t="s">
        <v>274</v>
      </c>
      <c r="AA48" s="111">
        <v>0.84669359982989578</v>
      </c>
    </row>
    <row r="49" spans="1:27" x14ac:dyDescent="0.2">
      <c r="A49" s="79" t="s">
        <v>48</v>
      </c>
      <c r="B49" s="80" t="s">
        <v>49</v>
      </c>
      <c r="C49" s="80">
        <v>13</v>
      </c>
      <c r="D49" s="80" t="s">
        <v>280</v>
      </c>
      <c r="E49" s="101">
        <f t="shared" si="6"/>
        <v>0.68875112521618576</v>
      </c>
      <c r="F49" s="65"/>
      <c r="G49" s="67"/>
      <c r="I49" s="66"/>
      <c r="J49" s="66"/>
      <c r="Q49" s="141" t="s">
        <v>319</v>
      </c>
      <c r="R49" s="142">
        <v>0.5641445718679996</v>
      </c>
      <c r="S49" s="143" t="s">
        <v>372</v>
      </c>
      <c r="W49" s="83" t="s">
        <v>254</v>
      </c>
      <c r="X49" s="110" t="s">
        <v>16</v>
      </c>
      <c r="Y49" s="110">
        <v>15</v>
      </c>
      <c r="Z49" s="110" t="s">
        <v>331</v>
      </c>
      <c r="AA49" s="111">
        <v>0.83267459864721705</v>
      </c>
    </row>
    <row r="50" spans="1:27" x14ac:dyDescent="0.2">
      <c r="A50" s="79" t="s">
        <v>60</v>
      </c>
      <c r="B50" s="80" t="s">
        <v>49</v>
      </c>
      <c r="C50" s="80">
        <v>13</v>
      </c>
      <c r="D50" s="80" t="s">
        <v>284</v>
      </c>
      <c r="E50" s="101">
        <f t="shared" si="6"/>
        <v>0.89235399590163933</v>
      </c>
      <c r="F50" s="65"/>
      <c r="G50" s="67"/>
      <c r="H50" s="4"/>
      <c r="I50" s="67"/>
      <c r="J50" s="67"/>
      <c r="Q50" s="141" t="s">
        <v>320</v>
      </c>
      <c r="R50" s="142">
        <v>0.85816623707026407</v>
      </c>
      <c r="S50" s="141" t="s">
        <v>371</v>
      </c>
      <c r="W50" s="83" t="s">
        <v>31</v>
      </c>
      <c r="X50" s="110" t="s">
        <v>16</v>
      </c>
      <c r="Y50" s="110">
        <v>15</v>
      </c>
      <c r="Z50" s="110" t="s">
        <v>289</v>
      </c>
      <c r="AA50" s="111">
        <v>0.81254016709511567</v>
      </c>
    </row>
    <row r="51" spans="1:27" x14ac:dyDescent="0.2">
      <c r="A51" s="83" t="s">
        <v>260</v>
      </c>
      <c r="B51" s="110" t="s">
        <v>49</v>
      </c>
      <c r="C51" s="110">
        <v>13</v>
      </c>
      <c r="D51" s="110" t="s">
        <v>282</v>
      </c>
      <c r="E51" s="111">
        <f t="shared" si="6"/>
        <v>0.33305692234682915</v>
      </c>
      <c r="F51" s="69"/>
      <c r="H51" s="4"/>
      <c r="I51" s="67"/>
      <c r="J51" s="67"/>
      <c r="Q51" s="141" t="s">
        <v>321</v>
      </c>
      <c r="R51" s="142">
        <v>0.93520619672453054</v>
      </c>
      <c r="S51" s="143" t="s">
        <v>371</v>
      </c>
      <c r="W51" s="83" t="s">
        <v>36</v>
      </c>
      <c r="X51" s="110" t="s">
        <v>28</v>
      </c>
      <c r="Y51" s="110">
        <v>14</v>
      </c>
      <c r="Z51" s="110" t="s">
        <v>297</v>
      </c>
      <c r="AA51" s="111">
        <v>0.80341264723043471</v>
      </c>
    </row>
    <row r="52" spans="1:27" x14ac:dyDescent="0.2">
      <c r="A52" s="79" t="s">
        <v>57</v>
      </c>
      <c r="B52" s="80" t="s">
        <v>49</v>
      </c>
      <c r="C52" s="80">
        <v>13</v>
      </c>
      <c r="D52" s="80" t="s">
        <v>296</v>
      </c>
      <c r="E52" s="101">
        <f t="shared" si="6"/>
        <v>0.7886228860092247</v>
      </c>
      <c r="F52" s="65"/>
      <c r="Q52" s="141" t="s">
        <v>322</v>
      </c>
      <c r="R52" s="142">
        <v>0.99126425624848336</v>
      </c>
      <c r="S52" s="141" t="s">
        <v>371</v>
      </c>
      <c r="W52" s="83" t="s">
        <v>57</v>
      </c>
      <c r="X52" s="110" t="s">
        <v>49</v>
      </c>
      <c r="Y52" s="110">
        <v>13</v>
      </c>
      <c r="Z52" s="110" t="s">
        <v>296</v>
      </c>
      <c r="AA52" s="111">
        <v>0.7886228860092247</v>
      </c>
    </row>
    <row r="53" spans="1:27" x14ac:dyDescent="0.2">
      <c r="A53" s="79" t="s">
        <v>35</v>
      </c>
      <c r="B53" s="80" t="s">
        <v>49</v>
      </c>
      <c r="C53" s="80">
        <v>13</v>
      </c>
      <c r="D53" s="80" t="s">
        <v>293</v>
      </c>
      <c r="E53" s="101">
        <f t="shared" si="6"/>
        <v>1.0292149475019923</v>
      </c>
      <c r="F53" s="65"/>
      <c r="Q53" s="141" t="s">
        <v>323</v>
      </c>
      <c r="R53" s="142">
        <v>0.73349447513812149</v>
      </c>
      <c r="S53" s="141" t="s">
        <v>372</v>
      </c>
      <c r="W53" s="83" t="s">
        <v>263</v>
      </c>
      <c r="X53" s="110" t="s">
        <v>108</v>
      </c>
      <c r="Y53" s="110">
        <v>19</v>
      </c>
      <c r="Z53" s="110" t="s">
        <v>310</v>
      </c>
      <c r="AA53" s="111">
        <v>0.78418126509511765</v>
      </c>
    </row>
    <row r="54" spans="1:27" x14ac:dyDescent="0.2">
      <c r="A54" s="79" t="s">
        <v>51</v>
      </c>
      <c r="B54" s="80" t="s">
        <v>49</v>
      </c>
      <c r="C54" s="80">
        <v>13</v>
      </c>
      <c r="D54" s="80" t="s">
        <v>299</v>
      </c>
      <c r="E54" s="101">
        <f t="shared" si="6"/>
        <v>0.64970550208303401</v>
      </c>
      <c r="F54" s="65"/>
      <c r="Q54" s="141" t="s">
        <v>324</v>
      </c>
      <c r="R54" s="142">
        <v>1</v>
      </c>
      <c r="S54" s="141" t="s">
        <v>371</v>
      </c>
      <c r="W54" s="83" t="s">
        <v>13</v>
      </c>
      <c r="X54" s="110" t="s">
        <v>16</v>
      </c>
      <c r="Y54" s="110">
        <v>15</v>
      </c>
      <c r="Z54" s="110" t="s">
        <v>327</v>
      </c>
      <c r="AA54" s="111">
        <v>0.77444478716841458</v>
      </c>
    </row>
    <row r="55" spans="1:27" x14ac:dyDescent="0.2">
      <c r="A55" s="83" t="s">
        <v>39</v>
      </c>
      <c r="B55" s="80" t="s">
        <v>49</v>
      </c>
      <c r="C55" s="80">
        <v>13</v>
      </c>
      <c r="D55" s="110" t="s">
        <v>302</v>
      </c>
      <c r="E55" s="111">
        <f t="shared" si="6"/>
        <v>0.47637430521244206</v>
      </c>
      <c r="F55" s="65"/>
      <c r="Q55" s="141" t="s">
        <v>325</v>
      </c>
      <c r="R55" s="142">
        <v>0.61841824770837783</v>
      </c>
      <c r="S55" s="143" t="s">
        <v>372</v>
      </c>
      <c r="W55" s="83" t="s">
        <v>21</v>
      </c>
      <c r="X55" s="110" t="s">
        <v>16</v>
      </c>
      <c r="Y55" s="110">
        <v>15</v>
      </c>
      <c r="Z55" s="110" t="s">
        <v>316</v>
      </c>
      <c r="AA55" s="111">
        <v>0.76907329412838532</v>
      </c>
    </row>
    <row r="56" spans="1:27" x14ac:dyDescent="0.2">
      <c r="A56" s="79" t="s">
        <v>58</v>
      </c>
      <c r="B56" s="80" t="s">
        <v>49</v>
      </c>
      <c r="C56" s="80">
        <v>13</v>
      </c>
      <c r="D56" s="80" t="s">
        <v>276</v>
      </c>
      <c r="E56" s="101">
        <f t="shared" si="6"/>
        <v>1</v>
      </c>
      <c r="F56" s="65"/>
      <c r="Q56" s="141" t="s">
        <v>326</v>
      </c>
      <c r="R56" s="142">
        <v>0.99461817608484948</v>
      </c>
      <c r="S56" s="141" t="s">
        <v>371</v>
      </c>
      <c r="W56" s="83" t="s">
        <v>32</v>
      </c>
      <c r="X56" s="110" t="s">
        <v>10</v>
      </c>
      <c r="Y56" s="110">
        <v>16</v>
      </c>
      <c r="Z56" s="110" t="s">
        <v>290</v>
      </c>
      <c r="AA56" s="111">
        <v>0.76510407852428497</v>
      </c>
    </row>
    <row r="57" spans="1:27" x14ac:dyDescent="0.2">
      <c r="A57" s="79" t="s">
        <v>40</v>
      </c>
      <c r="B57" s="80" t="s">
        <v>49</v>
      </c>
      <c r="C57" s="80">
        <v>13</v>
      </c>
      <c r="D57" s="80" t="s">
        <v>311</v>
      </c>
      <c r="E57" s="101">
        <f t="shared" si="6"/>
        <v>0.57845507252191697</v>
      </c>
      <c r="F57" s="65"/>
      <c r="Q57" s="141" t="s">
        <v>327</v>
      </c>
      <c r="R57" s="142">
        <v>0.77444478716841458</v>
      </c>
      <c r="S57" s="143" t="s">
        <v>372</v>
      </c>
      <c r="W57" s="83" t="s">
        <v>52</v>
      </c>
      <c r="X57" s="110" t="s">
        <v>16</v>
      </c>
      <c r="Y57" s="110">
        <v>15</v>
      </c>
      <c r="Z57" s="110" t="s">
        <v>281</v>
      </c>
      <c r="AA57" s="111">
        <v>0.76017780502759058</v>
      </c>
    </row>
    <row r="58" spans="1:27" x14ac:dyDescent="0.2">
      <c r="A58" s="79" t="s">
        <v>22</v>
      </c>
      <c r="B58" s="80" t="s">
        <v>49</v>
      </c>
      <c r="C58" s="80">
        <v>13</v>
      </c>
      <c r="D58" s="80" t="s">
        <v>317</v>
      </c>
      <c r="E58" s="101">
        <f t="shared" si="6"/>
        <v>0.62481029959532464</v>
      </c>
      <c r="F58" s="65"/>
      <c r="Q58" s="141" t="s">
        <v>328</v>
      </c>
      <c r="R58" s="142">
        <v>0.92936836749527552</v>
      </c>
      <c r="S58" s="141" t="s">
        <v>371</v>
      </c>
      <c r="W58" s="83" t="s">
        <v>23</v>
      </c>
      <c r="X58" s="110" t="s">
        <v>16</v>
      </c>
      <c r="Y58" s="110">
        <v>15</v>
      </c>
      <c r="Z58" s="110" t="s">
        <v>323</v>
      </c>
      <c r="AA58" s="111">
        <v>0.73349447513812149</v>
      </c>
    </row>
    <row r="59" spans="1:27" x14ac:dyDescent="0.2">
      <c r="A59" s="81" t="s">
        <v>54</v>
      </c>
      <c r="B59" s="82" t="s">
        <v>56</v>
      </c>
      <c r="C59" s="82">
        <v>12</v>
      </c>
      <c r="D59" s="82" t="s">
        <v>326</v>
      </c>
      <c r="E59" s="102">
        <f t="shared" si="6"/>
        <v>0.99461817608484948</v>
      </c>
      <c r="F59" s="69"/>
      <c r="Q59" s="141" t="s">
        <v>329</v>
      </c>
      <c r="R59" s="142">
        <v>0.66251692368655679</v>
      </c>
      <c r="S59" s="143" t="s">
        <v>372</v>
      </c>
      <c r="W59" s="83" t="s">
        <v>29</v>
      </c>
      <c r="X59" s="110" t="s">
        <v>28</v>
      </c>
      <c r="Y59" s="110">
        <v>14</v>
      </c>
      <c r="Z59" s="110" t="s">
        <v>286</v>
      </c>
      <c r="AA59" s="111">
        <v>0.71562826313957539</v>
      </c>
    </row>
    <row r="60" spans="1:27" x14ac:dyDescent="0.2">
      <c r="A60" s="81" t="s">
        <v>266</v>
      </c>
      <c r="B60" s="82" t="s">
        <v>56</v>
      </c>
      <c r="C60" s="82">
        <v>12</v>
      </c>
      <c r="D60" s="82" t="s">
        <v>314</v>
      </c>
      <c r="E60" s="102">
        <f t="shared" si="6"/>
        <v>0.99533285779852521</v>
      </c>
      <c r="F60" s="69"/>
      <c r="Q60" s="141" t="s">
        <v>330</v>
      </c>
      <c r="R60" s="142">
        <v>0.93843994106691131</v>
      </c>
      <c r="S60" s="141" t="s">
        <v>371</v>
      </c>
      <c r="W60" s="83" t="s">
        <v>48</v>
      </c>
      <c r="X60" s="110" t="s">
        <v>49</v>
      </c>
      <c r="Y60" s="110">
        <v>13</v>
      </c>
      <c r="Z60" s="110" t="s">
        <v>280</v>
      </c>
      <c r="AA60" s="111">
        <v>0.68875112521618576</v>
      </c>
    </row>
    <row r="61" spans="1:27" x14ac:dyDescent="0.2">
      <c r="A61" s="81" t="s">
        <v>42</v>
      </c>
      <c r="B61" s="82" t="s">
        <v>65</v>
      </c>
      <c r="C61" s="82">
        <v>10</v>
      </c>
      <c r="D61" s="82" t="s">
        <v>321</v>
      </c>
      <c r="E61" s="102">
        <f t="shared" si="6"/>
        <v>0.93520619672453054</v>
      </c>
      <c r="F61" s="69"/>
      <c r="Q61" s="141" t="s">
        <v>331</v>
      </c>
      <c r="R61" s="142">
        <v>0.83267459864721705</v>
      </c>
      <c r="S61" s="143" t="s">
        <v>371</v>
      </c>
      <c r="W61" s="83" t="s">
        <v>25</v>
      </c>
      <c r="X61" s="110" t="s">
        <v>16</v>
      </c>
      <c r="Y61" s="110">
        <v>15</v>
      </c>
      <c r="Z61" s="110" t="s">
        <v>329</v>
      </c>
      <c r="AA61" s="111">
        <v>0.66251692368655679</v>
      </c>
    </row>
    <row r="62" spans="1:27" ht="13.5" thickBot="1" x14ac:dyDescent="0.25">
      <c r="A62" s="211" t="s">
        <v>249</v>
      </c>
      <c r="B62" s="212" t="s">
        <v>125</v>
      </c>
      <c r="C62" s="212">
        <v>5</v>
      </c>
      <c r="D62" s="212" t="s">
        <v>295</v>
      </c>
      <c r="E62" s="213">
        <f t="shared" si="6"/>
        <v>0.11951366732775717</v>
      </c>
      <c r="F62" s="69"/>
      <c r="Q62" s="141" t="s">
        <v>332</v>
      </c>
      <c r="R62" s="142">
        <v>0.98872477714287255</v>
      </c>
      <c r="S62" s="141" t="s">
        <v>371</v>
      </c>
      <c r="W62" s="83" t="s">
        <v>51</v>
      </c>
      <c r="X62" s="110" t="s">
        <v>49</v>
      </c>
      <c r="Y62" s="110">
        <v>13</v>
      </c>
      <c r="Z62" s="110" t="s">
        <v>299</v>
      </c>
      <c r="AA62" s="111">
        <v>0.64970550208303401</v>
      </c>
    </row>
    <row r="63" spans="1:27" x14ac:dyDescent="0.2">
      <c r="A63" s="79" t="s">
        <v>263</v>
      </c>
      <c r="B63" s="80" t="s">
        <v>108</v>
      </c>
      <c r="C63" s="80">
        <v>19</v>
      </c>
      <c r="D63" s="80" t="s">
        <v>310</v>
      </c>
      <c r="E63" s="101">
        <f t="shared" si="6"/>
        <v>0.78418126509511765</v>
      </c>
      <c r="F63" s="69"/>
      <c r="Q63" s="141" t="s">
        <v>333</v>
      </c>
      <c r="R63" s="142">
        <v>0.97036252976978032</v>
      </c>
      <c r="S63" s="143" t="s">
        <v>371</v>
      </c>
      <c r="W63" s="83" t="s">
        <v>18</v>
      </c>
      <c r="X63" s="110" t="s">
        <v>10</v>
      </c>
      <c r="Y63" s="110">
        <v>16</v>
      </c>
      <c r="Z63" s="110" t="s">
        <v>86</v>
      </c>
      <c r="AA63" s="111">
        <v>0.63157463237392464</v>
      </c>
    </row>
    <row r="64" spans="1:27" x14ac:dyDescent="0.2">
      <c r="A64" s="79" t="s">
        <v>264</v>
      </c>
      <c r="B64" s="80" t="s">
        <v>2</v>
      </c>
      <c r="C64" s="80">
        <v>17</v>
      </c>
      <c r="D64" s="80" t="s">
        <v>283</v>
      </c>
      <c r="E64" s="101">
        <f t="shared" si="6"/>
        <v>0.89001113183270453</v>
      </c>
      <c r="F64" s="65"/>
      <c r="Q64" s="141" t="s">
        <v>334</v>
      </c>
      <c r="R64" s="142">
        <v>0.98538704581358605</v>
      </c>
      <c r="S64" s="141" t="s">
        <v>371</v>
      </c>
      <c r="W64" s="83" t="s">
        <v>67</v>
      </c>
      <c r="X64" s="110" t="s">
        <v>49</v>
      </c>
      <c r="Y64" s="110">
        <v>13</v>
      </c>
      <c r="Z64" s="110" t="s">
        <v>279</v>
      </c>
      <c r="AA64" s="111">
        <v>0.62875460562079877</v>
      </c>
    </row>
    <row r="65" spans="1:27" x14ac:dyDescent="0.2">
      <c r="A65" s="81" t="s">
        <v>265</v>
      </c>
      <c r="B65" s="82" t="s">
        <v>56</v>
      </c>
      <c r="C65" s="82">
        <v>12</v>
      </c>
      <c r="D65" s="82" t="s">
        <v>333</v>
      </c>
      <c r="E65" s="102">
        <f t="shared" si="6"/>
        <v>0.97036252976978032</v>
      </c>
      <c r="F65" s="69"/>
      <c r="Q65" s="141" t="s">
        <v>335</v>
      </c>
      <c r="R65" s="142">
        <v>0.975461842272901</v>
      </c>
      <c r="S65" s="141" t="s">
        <v>371</v>
      </c>
      <c r="W65" s="83" t="s">
        <v>22</v>
      </c>
      <c r="X65" s="110" t="s">
        <v>49</v>
      </c>
      <c r="Y65" s="110">
        <v>13</v>
      </c>
      <c r="Z65" s="110" t="s">
        <v>317</v>
      </c>
      <c r="AA65" s="111">
        <v>0.62481029959532464</v>
      </c>
    </row>
    <row r="66" spans="1:27" x14ac:dyDescent="0.2">
      <c r="A66" s="83" t="s">
        <v>50</v>
      </c>
      <c r="B66" s="84" t="s">
        <v>373</v>
      </c>
      <c r="C66" s="84"/>
      <c r="D66" s="110" t="s">
        <v>287</v>
      </c>
      <c r="E66" s="111">
        <f t="shared" si="6"/>
        <v>0.99609846555590886</v>
      </c>
      <c r="F66" s="12"/>
      <c r="Q66" s="141" t="s">
        <v>336</v>
      </c>
      <c r="R66" s="142">
        <v>0.91865112788863534</v>
      </c>
      <c r="S66" s="141" t="s">
        <v>371</v>
      </c>
      <c r="W66" s="83" t="s">
        <v>43</v>
      </c>
      <c r="X66" s="110" t="s">
        <v>16</v>
      </c>
      <c r="Y66" s="110">
        <v>15</v>
      </c>
      <c r="Z66" s="110" t="s">
        <v>325</v>
      </c>
      <c r="AA66" s="111">
        <v>0.61841824770837783</v>
      </c>
    </row>
    <row r="67" spans="1:27" ht="13.5" thickBot="1" x14ac:dyDescent="0.25">
      <c r="A67" s="91" t="s">
        <v>76</v>
      </c>
      <c r="B67" s="92" t="s">
        <v>373</v>
      </c>
      <c r="C67" s="92"/>
      <c r="D67" s="92" t="s">
        <v>334</v>
      </c>
      <c r="E67" s="104">
        <f t="shared" si="6"/>
        <v>0.98538704581358605</v>
      </c>
      <c r="F67" s="9"/>
      <c r="Q67" s="141" t="s">
        <v>337</v>
      </c>
      <c r="R67" s="142">
        <v>1</v>
      </c>
      <c r="S67" s="141" t="s">
        <v>371</v>
      </c>
      <c r="W67" s="83" t="s">
        <v>11</v>
      </c>
      <c r="X67" s="110" t="s">
        <v>28</v>
      </c>
      <c r="Y67" s="110">
        <v>14</v>
      </c>
      <c r="Z67" s="110" t="s">
        <v>298</v>
      </c>
      <c r="AA67" s="111">
        <v>0.58646630934150079</v>
      </c>
    </row>
    <row r="68" spans="1:27" x14ac:dyDescent="0.2">
      <c r="A68" s="76" t="s">
        <v>135</v>
      </c>
      <c r="B68" s="78" t="s">
        <v>28</v>
      </c>
      <c r="C68" s="77">
        <f>AVERAGE(C7:C62)</f>
        <v>14.214285714285714</v>
      </c>
      <c r="D68" s="77"/>
      <c r="E68" s="77"/>
      <c r="F68" s="9"/>
      <c r="G68" s="66"/>
      <c r="Q68" s="141" t="s">
        <v>338</v>
      </c>
      <c r="R68" s="142">
        <v>0.94700000000000006</v>
      </c>
      <c r="S68" s="141" t="s">
        <v>371</v>
      </c>
      <c r="W68" s="83" t="s">
        <v>40</v>
      </c>
      <c r="X68" s="110" t="s">
        <v>49</v>
      </c>
      <c r="Y68" s="110">
        <v>13</v>
      </c>
      <c r="Z68" s="110" t="s">
        <v>311</v>
      </c>
      <c r="AA68" s="111">
        <v>0.57845507252191697</v>
      </c>
    </row>
    <row r="69" spans="1:27" x14ac:dyDescent="0.2">
      <c r="A69" s="7"/>
      <c r="B69" s="5"/>
      <c r="F69" s="9"/>
      <c r="Q69" s="141"/>
      <c r="R69" s="142"/>
      <c r="S69" s="141"/>
      <c r="W69" s="83" t="s">
        <v>45</v>
      </c>
      <c r="X69" s="110" t="s">
        <v>28</v>
      </c>
      <c r="Y69" s="110">
        <v>14</v>
      </c>
      <c r="Z69" s="110" t="s">
        <v>319</v>
      </c>
      <c r="AA69" s="111">
        <v>0.5641445718679996</v>
      </c>
    </row>
    <row r="70" spans="1:27" x14ac:dyDescent="0.2">
      <c r="A70" s="7"/>
      <c r="B70" s="5"/>
      <c r="F70" s="14"/>
      <c r="G70" s="66"/>
      <c r="Q70" s="141"/>
      <c r="R70" s="142"/>
      <c r="S70" s="141"/>
      <c r="W70" s="83" t="s">
        <v>370</v>
      </c>
      <c r="X70" s="110" t="s">
        <v>10</v>
      </c>
      <c r="Y70" s="110">
        <v>16</v>
      </c>
      <c r="Z70" s="110" t="s">
        <v>369</v>
      </c>
      <c r="AA70" s="111">
        <v>0.541533003736272</v>
      </c>
    </row>
    <row r="71" spans="1:27" x14ac:dyDescent="0.2">
      <c r="A71" s="85" t="s">
        <v>267</v>
      </c>
      <c r="F71" s="14"/>
      <c r="Q71" s="99"/>
      <c r="R71" s="98"/>
      <c r="S71" s="97"/>
      <c r="W71" s="83" t="s">
        <v>39</v>
      </c>
      <c r="X71" s="110" t="s">
        <v>49</v>
      </c>
      <c r="Y71" s="110">
        <v>13</v>
      </c>
      <c r="Z71" s="110" t="s">
        <v>302</v>
      </c>
      <c r="AA71" s="111">
        <v>0.47637430521244206</v>
      </c>
    </row>
    <row r="72" spans="1:27" x14ac:dyDescent="0.2">
      <c r="A72" s="85" t="s">
        <v>366</v>
      </c>
      <c r="B72" s="133"/>
      <c r="C72" s="134"/>
      <c r="D72" s="134"/>
      <c r="E72" s="134"/>
      <c r="F72" s="14"/>
      <c r="Q72" s="99"/>
      <c r="R72" s="98"/>
      <c r="S72" s="97"/>
      <c r="W72" s="83" t="s">
        <v>12</v>
      </c>
      <c r="X72" s="110" t="s">
        <v>16</v>
      </c>
      <c r="Y72" s="110">
        <v>15</v>
      </c>
      <c r="Z72" s="110" t="s">
        <v>309</v>
      </c>
      <c r="AA72" s="111">
        <v>0.36101059894989318</v>
      </c>
    </row>
    <row r="73" spans="1:27" x14ac:dyDescent="0.2">
      <c r="A73" s="132" t="s">
        <v>356</v>
      </c>
      <c r="B73" s="133"/>
      <c r="C73" s="134"/>
      <c r="D73" s="134"/>
      <c r="E73" s="134"/>
      <c r="F73" s="135"/>
      <c r="Q73" s="99"/>
      <c r="R73" s="98"/>
      <c r="S73" s="97"/>
      <c r="W73" s="83" t="s">
        <v>260</v>
      </c>
      <c r="X73" s="110" t="s">
        <v>49</v>
      </c>
      <c r="Y73" s="110">
        <v>13</v>
      </c>
      <c r="Z73" s="110" t="s">
        <v>282</v>
      </c>
      <c r="AA73" s="111">
        <v>0.33305692234682915</v>
      </c>
    </row>
    <row r="74" spans="1:27" ht="13.5" thickBot="1" x14ac:dyDescent="0.25">
      <c r="A74" s="132" t="s">
        <v>357</v>
      </c>
      <c r="B74" s="133"/>
      <c r="C74" s="134"/>
      <c r="D74" s="134"/>
      <c r="E74" s="134"/>
      <c r="F74" s="135"/>
      <c r="Q74" s="99"/>
      <c r="R74" s="98"/>
      <c r="S74" s="97"/>
      <c r="W74" s="112" t="s">
        <v>249</v>
      </c>
      <c r="X74" s="158" t="s">
        <v>125</v>
      </c>
      <c r="Y74" s="158">
        <v>5</v>
      </c>
      <c r="Z74" s="158" t="s">
        <v>295</v>
      </c>
      <c r="AA74" s="161">
        <v>0.11951366732775717</v>
      </c>
    </row>
    <row r="75" spans="1:27" x14ac:dyDescent="0.2">
      <c r="A75" s="132" t="s">
        <v>358</v>
      </c>
      <c r="D75" s="14"/>
      <c r="E75" s="1"/>
      <c r="F75" s="135"/>
      <c r="Q75" s="99"/>
      <c r="R75" s="98"/>
      <c r="S75" s="97"/>
    </row>
    <row r="76" spans="1:27" x14ac:dyDescent="0.2">
      <c r="A76" s="85" t="s">
        <v>359</v>
      </c>
      <c r="D76" s="14"/>
      <c r="E76" s="1"/>
      <c r="Q76" s="99"/>
      <c r="R76" s="98"/>
      <c r="S76" s="97"/>
    </row>
    <row r="77" spans="1:27" x14ac:dyDescent="0.2">
      <c r="A77" s="85"/>
      <c r="D77" s="14"/>
      <c r="E77" s="1"/>
      <c r="Q77" s="99"/>
      <c r="R77" s="100"/>
      <c r="S77" s="99"/>
    </row>
    <row r="78" spans="1:27" x14ac:dyDescent="0.2">
      <c r="A78" s="85"/>
    </row>
    <row r="79" spans="1:27" x14ac:dyDescent="0.2">
      <c r="A79" s="33"/>
      <c r="E79" s="120"/>
      <c r="F79" s="14"/>
      <c r="G79" s="133"/>
      <c r="W79" s="133"/>
      <c r="X79" s="133"/>
      <c r="Y79" s="133"/>
      <c r="Z79" s="133"/>
      <c r="AA79" s="136"/>
    </row>
    <row r="80" spans="1:27" s="133" customFormat="1" x14ac:dyDescent="0.2">
      <c r="A80" s="1"/>
      <c r="B80" s="1"/>
      <c r="C80" s="4"/>
      <c r="D80" s="4"/>
      <c r="E80" s="4"/>
      <c r="F80" s="1"/>
      <c r="Q80" s="1"/>
      <c r="R80" s="1"/>
      <c r="S80" s="1"/>
      <c r="AA80" s="136"/>
    </row>
    <row r="81" spans="1:27" s="133" customFormat="1" x14ac:dyDescent="0.2">
      <c r="AA81" s="136"/>
    </row>
    <row r="82" spans="1:27" s="133" customFormat="1" x14ac:dyDescent="0.2">
      <c r="A82" s="1"/>
      <c r="B82" s="1"/>
      <c r="C82" s="4"/>
      <c r="D82" s="4"/>
      <c r="E82" s="4"/>
      <c r="F82" s="1"/>
      <c r="G82" s="1"/>
      <c r="W82" s="1"/>
      <c r="X82" s="1"/>
      <c r="Y82" s="1"/>
      <c r="Z82" s="1"/>
      <c r="AA82" s="1"/>
    </row>
    <row r="83" spans="1:27" x14ac:dyDescent="0.2">
      <c r="Q83" s="133"/>
      <c r="R83" s="133"/>
      <c r="S83" s="133"/>
      <c r="AA83" s="1"/>
    </row>
    <row r="84" spans="1:27" x14ac:dyDescent="0.2">
      <c r="AA84" s="1"/>
    </row>
    <row r="87" spans="1:27" x14ac:dyDescent="0.2">
      <c r="E87" s="120"/>
    </row>
    <row r="88" spans="1:27" x14ac:dyDescent="0.2">
      <c r="E88" s="121"/>
    </row>
  </sheetData>
  <pageMargins left="0.17" right="0.18" top="0.28000000000000003" bottom="0.17" header="0.3" footer="0.3"/>
  <pageSetup scale="76" fitToWidth="0" orientation="portrait" horizontalDpi="1200" verticalDpi="120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rgb="FF002060"/>
    <pageSetUpPr fitToPage="1"/>
  </sheetPr>
  <dimension ref="A1:AH84"/>
  <sheetViews>
    <sheetView zoomScale="85" zoomScaleNormal="85" workbookViewId="0"/>
  </sheetViews>
  <sheetFormatPr defaultColWidth="9.140625" defaultRowHeight="12.75" outlineLevelCol="1" x14ac:dyDescent="0.2"/>
  <cols>
    <col min="1" max="1" width="35.140625" style="1" customWidth="1"/>
    <col min="2" max="2" width="9.140625" style="1"/>
    <col min="3" max="3" width="9.140625" style="4"/>
    <col min="4" max="4" width="9.140625" style="4" hidden="1" customWidth="1" outlineLevel="1"/>
    <col min="5" max="5" width="12.5703125" style="4" hidden="1" customWidth="1" outlineLevel="1"/>
    <col min="6" max="6" width="9.140625" style="1" collapsed="1"/>
    <col min="7" max="7" width="11.5703125" style="1" customWidth="1"/>
    <col min="8" max="10" width="9.140625" style="1"/>
    <col min="11" max="11" width="11" style="1" bestFit="1" customWidth="1"/>
    <col min="12" max="12" width="4.85546875" style="1" bestFit="1" customWidth="1"/>
    <col min="13" max="16" width="9.140625" style="1"/>
    <col min="17" max="26" width="9.140625" style="1" hidden="1" customWidth="1" outlineLevel="1"/>
    <col min="27" max="27" width="12.5703125" style="107" hidden="1" customWidth="1" outlineLevel="1"/>
    <col min="28" max="33" width="9.140625" style="1" hidden="1" customWidth="1" outlineLevel="1"/>
    <col min="34" max="34" width="9.140625" style="1" collapsed="1"/>
    <col min="35" max="16384" width="9.140625" style="1"/>
  </cols>
  <sheetData>
    <row r="1" spans="1:33" ht="18.75" x14ac:dyDescent="0.3">
      <c r="A1" s="75" t="s">
        <v>379</v>
      </c>
    </row>
    <row r="2" spans="1:33" ht="18.75" x14ac:dyDescent="0.3">
      <c r="A2" s="75"/>
    </row>
    <row r="3" spans="1:33" ht="18.75" x14ac:dyDescent="0.3">
      <c r="A3" s="75"/>
    </row>
    <row r="4" spans="1:33" ht="18.75" x14ac:dyDescent="0.3">
      <c r="A4" s="75"/>
    </row>
    <row r="5" spans="1:33" x14ac:dyDescent="0.2">
      <c r="E5" s="106" t="s">
        <v>339</v>
      </c>
      <c r="Y5" s="4"/>
      <c r="Z5" s="4"/>
      <c r="AA5" s="106" t="s">
        <v>339</v>
      </c>
      <c r="AF5" s="129" t="s">
        <v>354</v>
      </c>
      <c r="AG5" s="128"/>
    </row>
    <row r="6" spans="1:33" x14ac:dyDescent="0.2">
      <c r="A6" s="150" t="s">
        <v>0</v>
      </c>
      <c r="B6" s="151" t="s">
        <v>380</v>
      </c>
      <c r="C6" s="152"/>
      <c r="D6" s="152"/>
      <c r="E6" s="153">
        <v>40543</v>
      </c>
      <c r="W6" s="150" t="s">
        <v>0</v>
      </c>
      <c r="X6" s="151" t="s">
        <v>380</v>
      </c>
      <c r="Y6" s="152"/>
      <c r="Z6" s="152"/>
      <c r="AA6" s="153">
        <v>40543</v>
      </c>
      <c r="AC6" s="108" t="s">
        <v>137</v>
      </c>
      <c r="AD6" s="109"/>
      <c r="AE6" s="109"/>
      <c r="AF6" s="77">
        <f>AVERAGE(Y$13:Y$51)</f>
        <v>14.324324324324325</v>
      </c>
      <c r="AG6" s="126"/>
    </row>
    <row r="7" spans="1:33" ht="13.5" thickBot="1" x14ac:dyDescent="0.25">
      <c r="A7" s="81" t="s">
        <v>6</v>
      </c>
      <c r="B7" s="82" t="s">
        <v>110</v>
      </c>
      <c r="C7" s="82">
        <v>18</v>
      </c>
      <c r="D7" s="82" t="s">
        <v>313</v>
      </c>
      <c r="E7" s="102">
        <f t="shared" ref="E7:E14" si="0">VLOOKUP($D7,$Q$7:$R$68,2,0)</f>
        <v>1</v>
      </c>
      <c r="F7" s="65"/>
      <c r="G7" s="96" t="s">
        <v>77</v>
      </c>
      <c r="H7" s="96" t="s">
        <v>81</v>
      </c>
      <c r="I7" s="96" t="s">
        <v>82</v>
      </c>
      <c r="N7" s="67"/>
      <c r="O7" s="66"/>
      <c r="Q7" s="141" t="s">
        <v>274</v>
      </c>
      <c r="R7" s="142">
        <v>0.84669359982989578</v>
      </c>
      <c r="S7" s="141" t="s">
        <v>371</v>
      </c>
      <c r="W7" s="81" t="s">
        <v>87</v>
      </c>
      <c r="X7" s="82" t="s">
        <v>10</v>
      </c>
      <c r="Y7" s="82">
        <v>16</v>
      </c>
      <c r="Z7" s="82" t="s">
        <v>304</v>
      </c>
      <c r="AA7" s="102" t="s">
        <v>373</v>
      </c>
      <c r="AC7" s="96" t="s">
        <v>77</v>
      </c>
      <c r="AD7" s="96" t="s">
        <v>81</v>
      </c>
      <c r="AE7" s="96" t="s">
        <v>82</v>
      </c>
      <c r="AG7" s="127"/>
    </row>
    <row r="8" spans="1:33" x14ac:dyDescent="0.2">
      <c r="A8" s="79" t="s">
        <v>7</v>
      </c>
      <c r="B8" s="80" t="s">
        <v>2</v>
      </c>
      <c r="C8" s="80">
        <v>17</v>
      </c>
      <c r="D8" s="80" t="s">
        <v>328</v>
      </c>
      <c r="E8" s="101">
        <f t="shared" si="0"/>
        <v>0.92936836749527552</v>
      </c>
      <c r="F8" s="65"/>
      <c r="G8" s="72" t="s">
        <v>138</v>
      </c>
      <c r="H8" s="86">
        <f>COUNTIF(C$7:C$67,"&gt;16")</f>
        <v>4</v>
      </c>
      <c r="I8" s="87">
        <f>H8/H$14</f>
        <v>6.7796610169491525E-2</v>
      </c>
      <c r="K8" s="66"/>
      <c r="M8" s="66"/>
      <c r="N8" s="66"/>
      <c r="O8" s="67"/>
      <c r="Q8" s="141" t="s">
        <v>275</v>
      </c>
      <c r="R8" s="142">
        <v>0.96680210088197405</v>
      </c>
      <c r="S8" s="141" t="s">
        <v>371</v>
      </c>
      <c r="W8" s="81" t="s">
        <v>5</v>
      </c>
      <c r="X8" s="82" t="s">
        <v>10</v>
      </c>
      <c r="Y8" s="82">
        <v>16</v>
      </c>
      <c r="Z8" s="82" t="s">
        <v>312</v>
      </c>
      <c r="AA8" s="102" t="s">
        <v>373</v>
      </c>
      <c r="AC8" s="72" t="s">
        <v>138</v>
      </c>
      <c r="AD8" s="86">
        <f>COUNTIF(Y$13:Y$51,"&gt;16")</f>
        <v>3</v>
      </c>
      <c r="AE8" s="87">
        <f>AD8/AD$14</f>
        <v>8.1081081081081086E-2</v>
      </c>
      <c r="AG8" s="127"/>
    </row>
    <row r="9" spans="1:33" x14ac:dyDescent="0.2">
      <c r="A9" s="81" t="s">
        <v>3</v>
      </c>
      <c r="B9" s="82" t="s">
        <v>10</v>
      </c>
      <c r="C9" s="82">
        <v>16</v>
      </c>
      <c r="D9" s="82" t="s">
        <v>292</v>
      </c>
      <c r="E9" s="102">
        <f t="shared" si="0"/>
        <v>0.89318320146074259</v>
      </c>
      <c r="F9" s="65"/>
      <c r="G9" s="72" t="s">
        <v>10</v>
      </c>
      <c r="H9" s="86">
        <f>COUNTIF(C$7:C$67,"=16")</f>
        <v>8</v>
      </c>
      <c r="I9" s="87">
        <f t="shared" ref="I9:I14" si="1">H9/H$14</f>
        <v>0.13559322033898305</v>
      </c>
      <c r="K9" s="66"/>
      <c r="M9" s="66"/>
      <c r="N9" s="66"/>
      <c r="O9" s="67"/>
      <c r="Q9" s="141" t="s">
        <v>276</v>
      </c>
      <c r="R9" s="142">
        <v>1</v>
      </c>
      <c r="S9" s="141" t="s">
        <v>371</v>
      </c>
      <c r="W9" s="83" t="s">
        <v>255</v>
      </c>
      <c r="X9" s="80" t="s">
        <v>16</v>
      </c>
      <c r="Y9" s="80">
        <v>15</v>
      </c>
      <c r="Z9" s="80" t="s">
        <v>305</v>
      </c>
      <c r="AA9" s="101" t="s">
        <v>373</v>
      </c>
      <c r="AC9" s="72" t="s">
        <v>10</v>
      </c>
      <c r="AD9" s="86">
        <f>COUNTIF(Y$13:Y$51,"=16")</f>
        <v>5</v>
      </c>
      <c r="AE9" s="87">
        <f t="shared" ref="AE9:AE14" si="2">AD9/AD$14</f>
        <v>0.13513513513513514</v>
      </c>
      <c r="AG9" s="127"/>
    </row>
    <row r="10" spans="1:33" x14ac:dyDescent="0.2">
      <c r="A10" s="81" t="s">
        <v>18</v>
      </c>
      <c r="B10" s="82" t="s">
        <v>10</v>
      </c>
      <c r="C10" s="82">
        <v>16</v>
      </c>
      <c r="D10" s="82" t="s">
        <v>86</v>
      </c>
      <c r="E10" s="102">
        <f t="shared" si="0"/>
        <v>0.63157463237392464</v>
      </c>
      <c r="F10" s="65"/>
      <c r="G10" s="72" t="s">
        <v>16</v>
      </c>
      <c r="H10" s="86">
        <f>COUNTIF(C$7:C$67,"=15")</f>
        <v>14</v>
      </c>
      <c r="I10" s="87">
        <f t="shared" si="1"/>
        <v>0.23728813559322035</v>
      </c>
      <c r="K10" s="66"/>
      <c r="M10" s="66"/>
      <c r="N10" s="66"/>
      <c r="O10" s="67"/>
      <c r="Q10" s="141" t="s">
        <v>277</v>
      </c>
      <c r="R10" s="142">
        <v>0.91042888352305396</v>
      </c>
      <c r="S10" s="141" t="s">
        <v>371</v>
      </c>
      <c r="W10" s="83" t="s">
        <v>256</v>
      </c>
      <c r="X10" s="80" t="s">
        <v>16</v>
      </c>
      <c r="Y10" s="80">
        <v>15</v>
      </c>
      <c r="Z10" s="80" t="s">
        <v>306</v>
      </c>
      <c r="AA10" s="101" t="s">
        <v>373</v>
      </c>
      <c r="AC10" s="72" t="s">
        <v>16</v>
      </c>
      <c r="AD10" s="86">
        <f>COUNTIF(Y$13:Y$51,"=15")</f>
        <v>7</v>
      </c>
      <c r="AE10" s="87">
        <f t="shared" si="2"/>
        <v>0.1891891891891892</v>
      </c>
      <c r="AG10" s="127"/>
    </row>
    <row r="11" spans="1:33" x14ac:dyDescent="0.2">
      <c r="A11" s="81" t="s">
        <v>64</v>
      </c>
      <c r="B11" s="82" t="s">
        <v>10</v>
      </c>
      <c r="C11" s="82">
        <v>16</v>
      </c>
      <c r="D11" s="82" t="s">
        <v>288</v>
      </c>
      <c r="E11" s="102">
        <f t="shared" si="0"/>
        <v>1</v>
      </c>
      <c r="F11" s="65"/>
      <c r="G11" s="72" t="s">
        <v>28</v>
      </c>
      <c r="H11" s="86">
        <f>COUNTIF(C$7:C$67,"=14")</f>
        <v>16</v>
      </c>
      <c r="I11" s="87">
        <f t="shared" si="1"/>
        <v>0.2711864406779661</v>
      </c>
      <c r="K11" s="67"/>
      <c r="L11" s="4"/>
      <c r="M11" s="67"/>
      <c r="N11" s="67"/>
      <c r="O11" s="67"/>
      <c r="Q11" s="141" t="s">
        <v>278</v>
      </c>
      <c r="R11" s="142">
        <v>0.91095138568993894</v>
      </c>
      <c r="S11" s="141" t="s">
        <v>371</v>
      </c>
      <c r="W11" s="81" t="s">
        <v>38</v>
      </c>
      <c r="X11" s="82" t="s">
        <v>28</v>
      </c>
      <c r="Y11" s="82">
        <v>14</v>
      </c>
      <c r="Z11" s="82" t="s">
        <v>300</v>
      </c>
      <c r="AA11" s="102" t="s">
        <v>373</v>
      </c>
      <c r="AC11" s="72" t="s">
        <v>28</v>
      </c>
      <c r="AD11" s="86">
        <f>COUNTIF(Y$13:Y$51,"=14")</f>
        <v>13</v>
      </c>
      <c r="AE11" s="87">
        <f t="shared" si="2"/>
        <v>0.35135135135135137</v>
      </c>
      <c r="AG11" s="127"/>
    </row>
    <row r="12" spans="1:33" x14ac:dyDescent="0.2">
      <c r="A12" s="81" t="s">
        <v>32</v>
      </c>
      <c r="B12" s="82" t="s">
        <v>10</v>
      </c>
      <c r="C12" s="82">
        <v>16</v>
      </c>
      <c r="D12" s="82" t="s">
        <v>290</v>
      </c>
      <c r="E12" s="102">
        <f t="shared" si="0"/>
        <v>0.76510407852428497</v>
      </c>
      <c r="F12" s="65"/>
      <c r="G12" s="72" t="s">
        <v>49</v>
      </c>
      <c r="H12" s="86">
        <f>COUNTIF(C$7:C$67,"=13")</f>
        <v>12</v>
      </c>
      <c r="I12" s="87">
        <f t="shared" si="1"/>
        <v>0.20338983050847459</v>
      </c>
      <c r="Q12" s="141" t="s">
        <v>279</v>
      </c>
      <c r="R12" s="142">
        <v>0.62875460562079877</v>
      </c>
      <c r="S12" s="143" t="s">
        <v>372</v>
      </c>
      <c r="W12" s="79" t="s">
        <v>262</v>
      </c>
      <c r="X12" s="80" t="s">
        <v>49</v>
      </c>
      <c r="Y12" s="80">
        <v>13</v>
      </c>
      <c r="Z12" s="80" t="s">
        <v>185</v>
      </c>
      <c r="AA12" s="101" t="s">
        <v>373</v>
      </c>
      <c r="AC12" s="72" t="s">
        <v>49</v>
      </c>
      <c r="AD12" s="86">
        <f>COUNTIF(Y$13:Y$51,"=13")</f>
        <v>5</v>
      </c>
      <c r="AE12" s="87">
        <f t="shared" si="2"/>
        <v>0.13513513513513514</v>
      </c>
      <c r="AG12" s="127"/>
    </row>
    <row r="13" spans="1:33" ht="13.5" thickBot="1" x14ac:dyDescent="0.25">
      <c r="A13" s="81" t="s">
        <v>19</v>
      </c>
      <c r="B13" s="82" t="s">
        <v>10</v>
      </c>
      <c r="C13" s="82">
        <v>16</v>
      </c>
      <c r="D13" s="82" t="s">
        <v>291</v>
      </c>
      <c r="E13" s="102">
        <f t="shared" si="0"/>
        <v>0.96341849943457658</v>
      </c>
      <c r="F13" s="65"/>
      <c r="G13" s="93" t="s">
        <v>79</v>
      </c>
      <c r="H13" s="94">
        <f>COUNTIF(C$7:C$67,"&lt;13")</f>
        <v>5</v>
      </c>
      <c r="I13" s="95">
        <f t="shared" si="1"/>
        <v>8.4745762711864403E-2</v>
      </c>
      <c r="Q13" s="141" t="s">
        <v>280</v>
      </c>
      <c r="R13" s="142">
        <v>0.68875112521618576</v>
      </c>
      <c r="S13" s="143" t="s">
        <v>372</v>
      </c>
      <c r="W13" s="81" t="s">
        <v>261</v>
      </c>
      <c r="X13" s="82" t="s">
        <v>28</v>
      </c>
      <c r="Y13" s="82">
        <v>14</v>
      </c>
      <c r="Z13" s="82" t="s">
        <v>301</v>
      </c>
      <c r="AA13" s="102">
        <v>1.0379329114785329</v>
      </c>
      <c r="AC13" s="93" t="s">
        <v>79</v>
      </c>
      <c r="AD13" s="94">
        <f>COUNTIF(Y$13:Y$51,"&lt;13")</f>
        <v>4</v>
      </c>
      <c r="AE13" s="95">
        <f t="shared" si="2"/>
        <v>0.10810810810810811</v>
      </c>
      <c r="AG13" s="127"/>
    </row>
    <row r="14" spans="1:33" x14ac:dyDescent="0.2">
      <c r="A14" s="81" t="s">
        <v>370</v>
      </c>
      <c r="B14" s="82" t="s">
        <v>10</v>
      </c>
      <c r="C14" s="82">
        <v>16</v>
      </c>
      <c r="D14" s="82" t="s">
        <v>369</v>
      </c>
      <c r="E14" s="102">
        <f t="shared" si="0"/>
        <v>0.541533003736272</v>
      </c>
      <c r="F14" s="65"/>
      <c r="G14" s="88" t="s">
        <v>80</v>
      </c>
      <c r="H14" s="89">
        <f>SUM(H8:H13)</f>
        <v>59</v>
      </c>
      <c r="I14" s="90">
        <f t="shared" si="1"/>
        <v>1</v>
      </c>
      <c r="Q14" s="141" t="s">
        <v>281</v>
      </c>
      <c r="R14" s="142">
        <v>0.76017780502759058</v>
      </c>
      <c r="S14" s="143" t="s">
        <v>372</v>
      </c>
      <c r="W14" s="79" t="s">
        <v>35</v>
      </c>
      <c r="X14" s="80" t="s">
        <v>49</v>
      </c>
      <c r="Y14" s="80">
        <v>13</v>
      </c>
      <c r="Z14" s="80" t="s">
        <v>293</v>
      </c>
      <c r="AA14" s="101">
        <v>1.0292149475019923</v>
      </c>
      <c r="AC14" s="88" t="s">
        <v>80</v>
      </c>
      <c r="AD14" s="89">
        <f>SUM(AD8:AD13)</f>
        <v>37</v>
      </c>
      <c r="AE14" s="90">
        <f t="shared" si="2"/>
        <v>1</v>
      </c>
      <c r="AG14" s="127"/>
    </row>
    <row r="15" spans="1:33" x14ac:dyDescent="0.2">
      <c r="A15" s="81" t="s">
        <v>14</v>
      </c>
      <c r="B15" s="82" t="s">
        <v>10</v>
      </c>
      <c r="C15" s="82">
        <v>16</v>
      </c>
      <c r="D15" s="82" t="s">
        <v>335</v>
      </c>
      <c r="E15" s="102">
        <f t="shared" ref="E15:E46" si="3">VLOOKUP($D15,$Q$7:$R$68,2,0)</f>
        <v>0.975461842272901</v>
      </c>
      <c r="F15" s="65"/>
      <c r="K15" s="9"/>
      <c r="Q15" s="141" t="s">
        <v>282</v>
      </c>
      <c r="R15" s="142">
        <v>0.33305692234682915</v>
      </c>
      <c r="S15" s="141" t="s">
        <v>86</v>
      </c>
      <c r="W15" s="81" t="s">
        <v>6</v>
      </c>
      <c r="X15" s="82" t="s">
        <v>110</v>
      </c>
      <c r="Y15" s="82">
        <v>18</v>
      </c>
      <c r="Z15" s="82" t="s">
        <v>313</v>
      </c>
      <c r="AA15" s="102">
        <v>1</v>
      </c>
      <c r="AG15" s="127"/>
    </row>
    <row r="16" spans="1:33" x14ac:dyDescent="0.2">
      <c r="A16" s="81" t="s">
        <v>258</v>
      </c>
      <c r="B16" s="82" t="s">
        <v>10</v>
      </c>
      <c r="C16" s="82">
        <v>16</v>
      </c>
      <c r="D16" s="82" t="s">
        <v>338</v>
      </c>
      <c r="E16" s="102">
        <f t="shared" si="3"/>
        <v>0.94700000000000006</v>
      </c>
      <c r="F16" s="65"/>
      <c r="K16" s="9"/>
      <c r="L16" s="4"/>
      <c r="Q16" s="141" t="s">
        <v>283</v>
      </c>
      <c r="R16" s="142">
        <v>0.89001113183270453</v>
      </c>
      <c r="S16" s="143" t="s">
        <v>371</v>
      </c>
      <c r="W16" s="81" t="s">
        <v>64</v>
      </c>
      <c r="X16" s="82" t="s">
        <v>10</v>
      </c>
      <c r="Y16" s="82">
        <v>16</v>
      </c>
      <c r="Z16" s="82" t="s">
        <v>288</v>
      </c>
      <c r="AA16" s="102">
        <v>1</v>
      </c>
      <c r="AG16" s="127"/>
    </row>
    <row r="17" spans="1:33" x14ac:dyDescent="0.2">
      <c r="A17" s="83" t="s">
        <v>15</v>
      </c>
      <c r="B17" s="80" t="s">
        <v>16</v>
      </c>
      <c r="C17" s="80">
        <v>15</v>
      </c>
      <c r="D17" s="80" t="s">
        <v>277</v>
      </c>
      <c r="E17" s="101">
        <f t="shared" si="3"/>
        <v>0.91042888352305396</v>
      </c>
      <c r="F17" s="65"/>
      <c r="K17" s="9"/>
      <c r="L17" s="4"/>
      <c r="Q17" s="141" t="s">
        <v>284</v>
      </c>
      <c r="R17" s="142">
        <v>0.89235399590163933</v>
      </c>
      <c r="S17" s="141" t="s">
        <v>371</v>
      </c>
      <c r="W17" s="81" t="s">
        <v>34</v>
      </c>
      <c r="X17" s="82" t="s">
        <v>28</v>
      </c>
      <c r="Y17" s="82">
        <v>14</v>
      </c>
      <c r="Z17" s="82" t="s">
        <v>294</v>
      </c>
      <c r="AA17" s="102">
        <v>1</v>
      </c>
      <c r="AC17" s="108" t="s">
        <v>139</v>
      </c>
      <c r="AD17" s="109"/>
      <c r="AE17" s="109"/>
      <c r="AF17" s="77">
        <f>AVERAGE(Y$52:Y$70)</f>
        <v>14.578947368421053</v>
      </c>
      <c r="AG17" s="126"/>
    </row>
    <row r="18" spans="1:33" ht="13.5" thickBot="1" x14ac:dyDescent="0.25">
      <c r="A18" s="83" t="s">
        <v>17</v>
      </c>
      <c r="B18" s="80" t="s">
        <v>16</v>
      </c>
      <c r="C18" s="80">
        <v>15</v>
      </c>
      <c r="D18" s="80" t="s">
        <v>307</v>
      </c>
      <c r="E18" s="101">
        <f t="shared" si="3"/>
        <v>0.86662573118314323</v>
      </c>
      <c r="F18" s="65"/>
      <c r="K18" s="9"/>
      <c r="L18" s="4"/>
      <c r="N18" s="4"/>
      <c r="Q18" s="141" t="s">
        <v>285</v>
      </c>
      <c r="R18" s="142">
        <v>0.91199977892108686</v>
      </c>
      <c r="S18" s="141" t="s">
        <v>371</v>
      </c>
      <c r="W18" s="81" t="s">
        <v>24</v>
      </c>
      <c r="X18" s="82" t="s">
        <v>28</v>
      </c>
      <c r="Y18" s="82">
        <v>14</v>
      </c>
      <c r="Z18" s="82" t="s">
        <v>324</v>
      </c>
      <c r="AA18" s="102">
        <v>1</v>
      </c>
      <c r="AC18" s="96" t="s">
        <v>77</v>
      </c>
      <c r="AD18" s="96" t="s">
        <v>81</v>
      </c>
      <c r="AE18" s="96" t="s">
        <v>82</v>
      </c>
      <c r="AG18" s="127"/>
    </row>
    <row r="19" spans="1:33" x14ac:dyDescent="0.2">
      <c r="A19" s="83" t="s">
        <v>31</v>
      </c>
      <c r="B19" s="80" t="s">
        <v>16</v>
      </c>
      <c r="C19" s="80">
        <v>15</v>
      </c>
      <c r="D19" s="110" t="s">
        <v>289</v>
      </c>
      <c r="E19" s="111">
        <f t="shared" si="3"/>
        <v>0.81254016709511567</v>
      </c>
      <c r="F19" s="69"/>
      <c r="K19" s="9"/>
      <c r="L19" s="4"/>
      <c r="N19" s="4"/>
      <c r="Q19" s="141" t="s">
        <v>286</v>
      </c>
      <c r="R19" s="142">
        <v>0.71562826313957539</v>
      </c>
      <c r="S19" s="141" t="s">
        <v>372</v>
      </c>
      <c r="W19" s="81" t="s">
        <v>59</v>
      </c>
      <c r="X19" s="82" t="s">
        <v>28</v>
      </c>
      <c r="Y19" s="82">
        <v>14</v>
      </c>
      <c r="Z19" s="82" t="s">
        <v>337</v>
      </c>
      <c r="AA19" s="102">
        <v>1</v>
      </c>
      <c r="AC19" s="72" t="s">
        <v>138</v>
      </c>
      <c r="AD19" s="86">
        <f>COUNTIF(Y$52:Y$70,"&gt;16")</f>
        <v>1</v>
      </c>
      <c r="AE19" s="87">
        <f>AD19/AD$25</f>
        <v>5.2631578947368418E-2</v>
      </c>
      <c r="AG19" s="127"/>
    </row>
    <row r="20" spans="1:33" x14ac:dyDescent="0.2">
      <c r="A20" s="83" t="s">
        <v>254</v>
      </c>
      <c r="B20" s="80" t="s">
        <v>16</v>
      </c>
      <c r="C20" s="80">
        <v>15</v>
      </c>
      <c r="D20" s="80" t="s">
        <v>331</v>
      </c>
      <c r="E20" s="101">
        <f t="shared" si="3"/>
        <v>0.83267459864721705</v>
      </c>
      <c r="F20" s="65"/>
      <c r="K20" s="9"/>
      <c r="L20" s="4"/>
      <c r="N20" s="4"/>
      <c r="Q20" s="141" t="s">
        <v>287</v>
      </c>
      <c r="R20" s="142">
        <v>0.99609846555590886</v>
      </c>
      <c r="S20" s="143" t="s">
        <v>371</v>
      </c>
      <c r="W20" s="79" t="s">
        <v>58</v>
      </c>
      <c r="X20" s="80" t="s">
        <v>49</v>
      </c>
      <c r="Y20" s="80">
        <v>13</v>
      </c>
      <c r="Z20" s="80" t="s">
        <v>276</v>
      </c>
      <c r="AA20" s="101">
        <v>1</v>
      </c>
      <c r="AC20" s="72" t="s">
        <v>10</v>
      </c>
      <c r="AD20" s="86">
        <f>COUNTIF(Y$52:Y$70,"=16")</f>
        <v>3</v>
      </c>
      <c r="AE20" s="87">
        <f t="shared" ref="AE20:AE25" si="4">AD20/AD$25</f>
        <v>0.15789473684210525</v>
      </c>
      <c r="AG20" s="127"/>
    </row>
    <row r="21" spans="1:33" x14ac:dyDescent="0.2">
      <c r="A21" s="83" t="s">
        <v>12</v>
      </c>
      <c r="B21" s="80" t="s">
        <v>16</v>
      </c>
      <c r="C21" s="80">
        <v>15</v>
      </c>
      <c r="D21" s="80" t="s">
        <v>309</v>
      </c>
      <c r="E21" s="101">
        <f t="shared" si="3"/>
        <v>0.36101059894989318</v>
      </c>
      <c r="F21" s="65"/>
      <c r="Q21" s="141" t="s">
        <v>86</v>
      </c>
      <c r="R21" s="142">
        <v>0.63157463237392464</v>
      </c>
      <c r="S21" s="141" t="s">
        <v>372</v>
      </c>
      <c r="W21" s="83" t="s">
        <v>53</v>
      </c>
      <c r="X21" s="80" t="s">
        <v>16</v>
      </c>
      <c r="Y21" s="80">
        <v>15</v>
      </c>
      <c r="Z21" s="80" t="s">
        <v>318</v>
      </c>
      <c r="AA21" s="101">
        <v>0.99967409016838671</v>
      </c>
      <c r="AC21" s="72" t="s">
        <v>16</v>
      </c>
      <c r="AD21" s="86">
        <f>COUNTIF(Y$52:Y$70,"=15")</f>
        <v>6</v>
      </c>
      <c r="AE21" s="87">
        <f t="shared" si="4"/>
        <v>0.31578947368421051</v>
      </c>
      <c r="AG21" s="127"/>
    </row>
    <row r="22" spans="1:33" x14ac:dyDescent="0.2">
      <c r="A22" s="83" t="s">
        <v>52</v>
      </c>
      <c r="B22" s="80" t="s">
        <v>16</v>
      </c>
      <c r="C22" s="80">
        <v>15</v>
      </c>
      <c r="D22" s="80" t="s">
        <v>281</v>
      </c>
      <c r="E22" s="101">
        <f t="shared" si="3"/>
        <v>0.76017780502759058</v>
      </c>
      <c r="F22" s="65"/>
      <c r="Q22" s="141" t="s">
        <v>288</v>
      </c>
      <c r="R22" s="142">
        <v>1</v>
      </c>
      <c r="S22" s="143" t="s">
        <v>371</v>
      </c>
      <c r="W22" s="83" t="s">
        <v>50</v>
      </c>
      <c r="X22" s="84" t="s">
        <v>373</v>
      </c>
      <c r="Y22" s="84"/>
      <c r="Z22" s="110" t="s">
        <v>287</v>
      </c>
      <c r="AA22" s="111">
        <v>0.99609846555590886</v>
      </c>
      <c r="AC22" s="72" t="s">
        <v>28</v>
      </c>
      <c r="AD22" s="86">
        <f>COUNTIF(Y$52:Y$70,"=14")</f>
        <v>3</v>
      </c>
      <c r="AE22" s="87">
        <f t="shared" si="4"/>
        <v>0.15789473684210525</v>
      </c>
      <c r="AG22" s="127"/>
    </row>
    <row r="23" spans="1:33" x14ac:dyDescent="0.2">
      <c r="A23" s="83" t="s">
        <v>21</v>
      </c>
      <c r="B23" s="80" t="s">
        <v>16</v>
      </c>
      <c r="C23" s="80">
        <v>15</v>
      </c>
      <c r="D23" s="80" t="s">
        <v>316</v>
      </c>
      <c r="E23" s="101">
        <f t="shared" si="3"/>
        <v>0.76907329412838532</v>
      </c>
      <c r="F23" s="65"/>
      <c r="Q23" s="141" t="s">
        <v>289</v>
      </c>
      <c r="R23" s="142">
        <v>0.81254016709511567</v>
      </c>
      <c r="S23" s="141" t="s">
        <v>371</v>
      </c>
      <c r="W23" s="81" t="s">
        <v>66</v>
      </c>
      <c r="X23" s="82" t="s">
        <v>28</v>
      </c>
      <c r="Y23" s="82">
        <v>14</v>
      </c>
      <c r="Z23" s="82" t="s">
        <v>315</v>
      </c>
      <c r="AA23" s="102">
        <v>0.99569209153466032</v>
      </c>
      <c r="AC23" s="72" t="s">
        <v>49</v>
      </c>
      <c r="AD23" s="86">
        <f>COUNTIF(Y$52:Y$70,"=13")</f>
        <v>6</v>
      </c>
      <c r="AE23" s="87">
        <f t="shared" si="4"/>
        <v>0.31578947368421051</v>
      </c>
      <c r="AG23" s="127"/>
    </row>
    <row r="24" spans="1:33" ht="13.5" thickBot="1" x14ac:dyDescent="0.25">
      <c r="A24" s="83" t="s">
        <v>23</v>
      </c>
      <c r="B24" s="110" t="s">
        <v>16</v>
      </c>
      <c r="C24" s="110">
        <v>15</v>
      </c>
      <c r="D24" s="110" t="s">
        <v>323</v>
      </c>
      <c r="E24" s="111">
        <f t="shared" si="3"/>
        <v>0.73349447513812149</v>
      </c>
      <c r="F24" s="65"/>
      <c r="Q24" s="141" t="s">
        <v>290</v>
      </c>
      <c r="R24" s="142">
        <v>0.76510407852428497</v>
      </c>
      <c r="S24" s="141" t="s">
        <v>372</v>
      </c>
      <c r="W24" s="144" t="s">
        <v>266</v>
      </c>
      <c r="X24" s="145" t="s">
        <v>56</v>
      </c>
      <c r="Y24" s="145">
        <v>12</v>
      </c>
      <c r="Z24" s="145" t="s">
        <v>314</v>
      </c>
      <c r="AA24" s="146">
        <v>0.99533285779852521</v>
      </c>
      <c r="AC24" s="93" t="s">
        <v>79</v>
      </c>
      <c r="AD24" s="94">
        <f>COUNTIF(Y$52:Y$70,"&lt;13")</f>
        <v>0</v>
      </c>
      <c r="AE24" s="95">
        <f t="shared" si="4"/>
        <v>0</v>
      </c>
      <c r="AG24" s="127"/>
    </row>
    <row r="25" spans="1:33" x14ac:dyDescent="0.2">
      <c r="A25" s="83" t="s">
        <v>53</v>
      </c>
      <c r="B25" s="80" t="s">
        <v>16</v>
      </c>
      <c r="C25" s="80">
        <v>15</v>
      </c>
      <c r="D25" s="80" t="s">
        <v>318</v>
      </c>
      <c r="E25" s="101">
        <f t="shared" si="3"/>
        <v>0.99967409016838671</v>
      </c>
      <c r="F25" s="65"/>
      <c r="Q25" s="141" t="s">
        <v>291</v>
      </c>
      <c r="R25" s="142">
        <v>0.96341849943457658</v>
      </c>
      <c r="S25" s="143" t="s">
        <v>371</v>
      </c>
      <c r="W25" s="81" t="s">
        <v>54</v>
      </c>
      <c r="X25" s="82" t="s">
        <v>56</v>
      </c>
      <c r="Y25" s="82">
        <v>12</v>
      </c>
      <c r="Z25" s="82" t="s">
        <v>326</v>
      </c>
      <c r="AA25" s="102">
        <v>0.99461817608484948</v>
      </c>
      <c r="AC25" s="88" t="s">
        <v>80</v>
      </c>
      <c r="AD25" s="89">
        <f>SUM(AD19:AD24)</f>
        <v>19</v>
      </c>
      <c r="AE25" s="90">
        <f t="shared" si="4"/>
        <v>1</v>
      </c>
      <c r="AG25" s="127"/>
    </row>
    <row r="26" spans="1:33" x14ac:dyDescent="0.2">
      <c r="A26" s="83" t="s">
        <v>43</v>
      </c>
      <c r="B26" s="80" t="s">
        <v>16</v>
      </c>
      <c r="C26" s="80">
        <v>15</v>
      </c>
      <c r="D26" s="110" t="s">
        <v>325</v>
      </c>
      <c r="E26" s="111">
        <f t="shared" si="3"/>
        <v>0.61841824770837783</v>
      </c>
      <c r="F26" s="65"/>
      <c r="Q26" s="141" t="s">
        <v>292</v>
      </c>
      <c r="R26" s="142">
        <v>0.89318320146074259</v>
      </c>
      <c r="S26" s="141" t="s">
        <v>371</v>
      </c>
      <c r="W26" s="79" t="s">
        <v>41</v>
      </c>
      <c r="X26" s="80" t="s">
        <v>49</v>
      </c>
      <c r="Y26" s="80">
        <v>13</v>
      </c>
      <c r="Z26" s="80" t="s">
        <v>322</v>
      </c>
      <c r="AA26" s="101">
        <v>0.99126425624848336</v>
      </c>
      <c r="AG26" s="127"/>
    </row>
    <row r="27" spans="1:33" x14ac:dyDescent="0.2">
      <c r="A27" s="83" t="s">
        <v>257</v>
      </c>
      <c r="B27" s="80" t="s">
        <v>16</v>
      </c>
      <c r="C27" s="80">
        <v>15</v>
      </c>
      <c r="D27" s="80" t="s">
        <v>320</v>
      </c>
      <c r="E27" s="101">
        <f t="shared" si="3"/>
        <v>0.85816623707026407</v>
      </c>
      <c r="F27" s="69"/>
      <c r="Q27" s="141" t="s">
        <v>293</v>
      </c>
      <c r="R27" s="142">
        <v>1.0292149475019923</v>
      </c>
      <c r="S27" s="141" t="s">
        <v>371</v>
      </c>
      <c r="W27" s="81" t="s">
        <v>75</v>
      </c>
      <c r="X27" s="82" t="s">
        <v>28</v>
      </c>
      <c r="Y27" s="82">
        <v>14</v>
      </c>
      <c r="Z27" s="82" t="s">
        <v>332</v>
      </c>
      <c r="AA27" s="102">
        <v>0.98872477714287255</v>
      </c>
      <c r="AG27" s="127"/>
    </row>
    <row r="28" spans="1:33" x14ac:dyDescent="0.2">
      <c r="A28" s="83" t="s">
        <v>13</v>
      </c>
      <c r="B28" s="80" t="s">
        <v>16</v>
      </c>
      <c r="C28" s="80">
        <v>15</v>
      </c>
      <c r="D28" s="80" t="s">
        <v>327</v>
      </c>
      <c r="E28" s="101">
        <f t="shared" si="3"/>
        <v>0.77444478716841458</v>
      </c>
      <c r="F28" s="65"/>
      <c r="Q28" s="141" t="s">
        <v>294</v>
      </c>
      <c r="R28" s="142">
        <v>1</v>
      </c>
      <c r="S28" s="141" t="s">
        <v>371</v>
      </c>
      <c r="W28" s="79" t="s">
        <v>76</v>
      </c>
      <c r="X28" s="84" t="s">
        <v>373</v>
      </c>
      <c r="Y28" s="84"/>
      <c r="Z28" s="84" t="s">
        <v>334</v>
      </c>
      <c r="AA28" s="103">
        <v>0.98538704581358605</v>
      </c>
      <c r="AC28" s="108" t="s">
        <v>140</v>
      </c>
      <c r="AD28" s="109"/>
      <c r="AE28" s="109"/>
      <c r="AF28" s="77">
        <f>AVERAGE(Y$71:Y$74)</f>
        <v>11.75</v>
      </c>
      <c r="AG28" s="126"/>
    </row>
    <row r="29" spans="1:33" ht="13.5" thickBot="1" x14ac:dyDescent="0.25">
      <c r="A29" s="83" t="s">
        <v>25</v>
      </c>
      <c r="B29" s="80" t="s">
        <v>16</v>
      </c>
      <c r="C29" s="80">
        <v>15</v>
      </c>
      <c r="D29" s="80" t="s">
        <v>329</v>
      </c>
      <c r="E29" s="101">
        <f t="shared" si="3"/>
        <v>0.66251692368655679</v>
      </c>
      <c r="F29" s="65"/>
      <c r="Q29" s="141" t="s">
        <v>295</v>
      </c>
      <c r="R29" s="142">
        <v>0.11951366732775717</v>
      </c>
      <c r="S29" s="141" t="s">
        <v>86</v>
      </c>
      <c r="W29" s="81" t="s">
        <v>20</v>
      </c>
      <c r="X29" s="82" t="s">
        <v>28</v>
      </c>
      <c r="Y29" s="82">
        <v>14</v>
      </c>
      <c r="Z29" s="82" t="s">
        <v>303</v>
      </c>
      <c r="AA29" s="102">
        <v>0.97697589100213744</v>
      </c>
      <c r="AC29" s="96" t="s">
        <v>77</v>
      </c>
      <c r="AD29" s="96" t="s">
        <v>81</v>
      </c>
      <c r="AE29" s="96" t="s">
        <v>82</v>
      </c>
    </row>
    <row r="30" spans="1:33" x14ac:dyDescent="0.2">
      <c r="A30" s="83" t="s">
        <v>26</v>
      </c>
      <c r="B30" s="80" t="s">
        <v>16</v>
      </c>
      <c r="C30" s="80">
        <v>15</v>
      </c>
      <c r="D30" s="80" t="s">
        <v>336</v>
      </c>
      <c r="E30" s="101">
        <f t="shared" si="3"/>
        <v>0.91865112788863534</v>
      </c>
      <c r="F30" s="65"/>
      <c r="Q30" s="141" t="s">
        <v>296</v>
      </c>
      <c r="R30" s="142">
        <v>0.7886228860092247</v>
      </c>
      <c r="S30" s="141" t="s">
        <v>372</v>
      </c>
      <c r="W30" s="81" t="s">
        <v>14</v>
      </c>
      <c r="X30" s="82" t="s">
        <v>10</v>
      </c>
      <c r="Y30" s="82">
        <v>16</v>
      </c>
      <c r="Z30" s="82" t="s">
        <v>335</v>
      </c>
      <c r="AA30" s="102">
        <v>0.975461842272901</v>
      </c>
      <c r="AC30" s="72" t="s">
        <v>138</v>
      </c>
      <c r="AD30" s="86">
        <f>COUNTIF(Y$71:Y$74,"&gt;16")</f>
        <v>0</v>
      </c>
      <c r="AE30" s="87">
        <f>AD30/AD$36</f>
        <v>0</v>
      </c>
    </row>
    <row r="31" spans="1:33" x14ac:dyDescent="0.2">
      <c r="A31" s="81" t="s">
        <v>259</v>
      </c>
      <c r="B31" s="82" t="s">
        <v>28</v>
      </c>
      <c r="C31" s="82">
        <v>14</v>
      </c>
      <c r="D31" s="82" t="s">
        <v>275</v>
      </c>
      <c r="E31" s="102">
        <f t="shared" si="3"/>
        <v>0.96680210088197405</v>
      </c>
      <c r="F31" s="65"/>
      <c r="K31" s="66"/>
      <c r="L31" s="66"/>
      <c r="Q31" s="141" t="s">
        <v>297</v>
      </c>
      <c r="R31" s="142">
        <v>0.80341264723043471</v>
      </c>
      <c r="S31" s="143" t="s">
        <v>371</v>
      </c>
      <c r="W31" s="81" t="s">
        <v>265</v>
      </c>
      <c r="X31" s="82" t="s">
        <v>56</v>
      </c>
      <c r="Y31" s="82">
        <v>12</v>
      </c>
      <c r="Z31" s="82" t="s">
        <v>333</v>
      </c>
      <c r="AA31" s="102">
        <v>0.97036252976978032</v>
      </c>
      <c r="AC31" s="72" t="s">
        <v>10</v>
      </c>
      <c r="AD31" s="86">
        <f>COUNTIF(Y$71:Y$74,"=16")</f>
        <v>0</v>
      </c>
      <c r="AE31" s="87">
        <f t="shared" ref="AE31:AE36" si="5">AD31/AD$36</f>
        <v>0</v>
      </c>
    </row>
    <row r="32" spans="1:33" x14ac:dyDescent="0.2">
      <c r="A32" s="144" t="s">
        <v>55</v>
      </c>
      <c r="B32" s="145" t="s">
        <v>28</v>
      </c>
      <c r="C32" s="145">
        <v>14</v>
      </c>
      <c r="D32" s="145" t="s">
        <v>278</v>
      </c>
      <c r="E32" s="146">
        <f t="shared" si="3"/>
        <v>0.91095138568993894</v>
      </c>
      <c r="F32" s="65"/>
      <c r="L32" s="66"/>
      <c r="Q32" s="141" t="s">
        <v>298</v>
      </c>
      <c r="R32" s="142">
        <v>0.58646630934150079</v>
      </c>
      <c r="S32" s="143" t="s">
        <v>372</v>
      </c>
      <c r="W32" s="81" t="s">
        <v>259</v>
      </c>
      <c r="X32" s="82" t="s">
        <v>28</v>
      </c>
      <c r="Y32" s="82">
        <v>14</v>
      </c>
      <c r="Z32" s="82" t="s">
        <v>275</v>
      </c>
      <c r="AA32" s="102">
        <v>0.96680210088197405</v>
      </c>
      <c r="AC32" s="72" t="s">
        <v>16</v>
      </c>
      <c r="AD32" s="86">
        <f>COUNTIF(Y$71:Y$74,"=15")</f>
        <v>1</v>
      </c>
      <c r="AE32" s="87">
        <f t="shared" si="5"/>
        <v>0.25</v>
      </c>
    </row>
    <row r="33" spans="1:31" x14ac:dyDescent="0.2">
      <c r="A33" s="81" t="s">
        <v>29</v>
      </c>
      <c r="B33" s="82" t="s">
        <v>28</v>
      </c>
      <c r="C33" s="82">
        <v>14</v>
      </c>
      <c r="D33" s="82" t="s">
        <v>286</v>
      </c>
      <c r="E33" s="102">
        <f t="shared" si="3"/>
        <v>0.71562826313957539</v>
      </c>
      <c r="F33" s="65"/>
      <c r="L33" s="66"/>
      <c r="Q33" s="141" t="s">
        <v>299</v>
      </c>
      <c r="R33" s="142">
        <v>0.64970550208303401</v>
      </c>
      <c r="S33" s="143" t="s">
        <v>372</v>
      </c>
      <c r="W33" s="81" t="s">
        <v>19</v>
      </c>
      <c r="X33" s="82" t="s">
        <v>10</v>
      </c>
      <c r="Y33" s="82">
        <v>16</v>
      </c>
      <c r="Z33" s="82" t="s">
        <v>291</v>
      </c>
      <c r="AA33" s="102">
        <v>0.96341849943457658</v>
      </c>
      <c r="AC33" s="72" t="s">
        <v>28</v>
      </c>
      <c r="AD33" s="86">
        <f>COUNTIF(Y$71:Y$74,"=14")</f>
        <v>0</v>
      </c>
      <c r="AE33" s="87">
        <f t="shared" si="5"/>
        <v>0</v>
      </c>
    </row>
    <row r="34" spans="1:31" x14ac:dyDescent="0.2">
      <c r="A34" s="81" t="s">
        <v>30</v>
      </c>
      <c r="B34" s="82" t="s">
        <v>28</v>
      </c>
      <c r="C34" s="82">
        <v>14</v>
      </c>
      <c r="D34" s="82" t="s">
        <v>285</v>
      </c>
      <c r="E34" s="102">
        <f t="shared" si="3"/>
        <v>0.91199977892108686</v>
      </c>
      <c r="F34" s="65"/>
      <c r="H34" s="4"/>
      <c r="I34" s="4"/>
      <c r="L34" s="66"/>
      <c r="Q34" s="141" t="s">
        <v>301</v>
      </c>
      <c r="R34" s="142">
        <v>1.0379329114785329</v>
      </c>
      <c r="S34" s="143" t="s">
        <v>371</v>
      </c>
      <c r="W34" s="81" t="s">
        <v>513</v>
      </c>
      <c r="X34" s="82" t="s">
        <v>28</v>
      </c>
      <c r="Y34" s="82">
        <v>14</v>
      </c>
      <c r="Z34" s="82" t="s">
        <v>512</v>
      </c>
      <c r="AA34" s="102">
        <v>0.95294725244456668</v>
      </c>
      <c r="AC34" s="72" t="s">
        <v>49</v>
      </c>
      <c r="AD34" s="86">
        <f>COUNTIF(Y$71:Y$74,"=13")</f>
        <v>2</v>
      </c>
      <c r="AE34" s="87">
        <f t="shared" si="5"/>
        <v>0.5</v>
      </c>
    </row>
    <row r="35" spans="1:31" ht="13.5" thickBot="1" x14ac:dyDescent="0.25">
      <c r="A35" s="81" t="s">
        <v>34</v>
      </c>
      <c r="B35" s="82" t="s">
        <v>28</v>
      </c>
      <c r="C35" s="82">
        <v>14</v>
      </c>
      <c r="D35" s="82" t="s">
        <v>294</v>
      </c>
      <c r="E35" s="102">
        <f t="shared" si="3"/>
        <v>1</v>
      </c>
      <c r="F35" s="65"/>
      <c r="G35" s="86" t="s">
        <v>268</v>
      </c>
      <c r="H35" s="4"/>
      <c r="I35" s="4"/>
      <c r="J35" s="4"/>
      <c r="L35" s="67"/>
      <c r="Q35" s="141" t="s">
        <v>302</v>
      </c>
      <c r="R35" s="142">
        <v>0.47637430521244206</v>
      </c>
      <c r="S35" s="141" t="s">
        <v>86</v>
      </c>
      <c r="W35" s="81" t="s">
        <v>258</v>
      </c>
      <c r="X35" s="82" t="s">
        <v>10</v>
      </c>
      <c r="Y35" s="82">
        <v>16</v>
      </c>
      <c r="Z35" s="82" t="s">
        <v>338</v>
      </c>
      <c r="AA35" s="102">
        <v>0.94700000000000006</v>
      </c>
      <c r="AC35" s="93" t="s">
        <v>79</v>
      </c>
      <c r="AD35" s="94">
        <f>COUNTIF(Y$71:Y$74,"&lt;13")</f>
        <v>1</v>
      </c>
      <c r="AE35" s="95">
        <f t="shared" si="5"/>
        <v>0.25</v>
      </c>
    </row>
    <row r="36" spans="1:31" x14ac:dyDescent="0.2">
      <c r="A36" s="81" t="s">
        <v>36</v>
      </c>
      <c r="B36" s="82" t="s">
        <v>28</v>
      </c>
      <c r="C36" s="82">
        <v>14</v>
      </c>
      <c r="D36" s="82" t="s">
        <v>297</v>
      </c>
      <c r="E36" s="102">
        <f t="shared" si="3"/>
        <v>0.80341264723043471</v>
      </c>
      <c r="F36" s="65"/>
      <c r="G36" s="140"/>
      <c r="H36" s="11"/>
      <c r="I36" s="11"/>
      <c r="J36" s="4"/>
      <c r="L36" s="67"/>
      <c r="Q36" s="141" t="s">
        <v>303</v>
      </c>
      <c r="R36" s="142">
        <v>0.97697589100213744</v>
      </c>
      <c r="S36" s="143" t="s">
        <v>371</v>
      </c>
      <c r="W36" s="81" t="s">
        <v>62</v>
      </c>
      <c r="X36" s="82" t="s">
        <v>28</v>
      </c>
      <c r="Y36" s="82">
        <v>14</v>
      </c>
      <c r="Z36" s="82" t="s">
        <v>330</v>
      </c>
      <c r="AA36" s="102">
        <v>0.93843994106691131</v>
      </c>
      <c r="AC36" s="88" t="s">
        <v>80</v>
      </c>
      <c r="AD36" s="89">
        <f>SUM(AD30:AD35)</f>
        <v>4</v>
      </c>
      <c r="AE36" s="90">
        <f t="shared" si="5"/>
        <v>1</v>
      </c>
    </row>
    <row r="37" spans="1:31" x14ac:dyDescent="0.2">
      <c r="A37" s="81" t="s">
        <v>11</v>
      </c>
      <c r="B37" s="82" t="s">
        <v>28</v>
      </c>
      <c r="C37" s="82">
        <v>14</v>
      </c>
      <c r="D37" s="82" t="s">
        <v>298</v>
      </c>
      <c r="E37" s="102">
        <f t="shared" si="3"/>
        <v>0.58646630934150079</v>
      </c>
      <c r="F37" s="65"/>
      <c r="H37" s="12"/>
      <c r="I37" s="4"/>
      <c r="J37" s="11"/>
      <c r="Q37" s="141" t="s">
        <v>307</v>
      </c>
      <c r="R37" s="142">
        <v>0.86662573118314323</v>
      </c>
      <c r="S37" s="141" t="s">
        <v>371</v>
      </c>
      <c r="W37" s="81" t="s">
        <v>42</v>
      </c>
      <c r="X37" s="82" t="s">
        <v>65</v>
      </c>
      <c r="Y37" s="82">
        <v>10</v>
      </c>
      <c r="Z37" s="82" t="s">
        <v>321</v>
      </c>
      <c r="AA37" s="102">
        <v>0.93520619672453054</v>
      </c>
    </row>
    <row r="38" spans="1:31" x14ac:dyDescent="0.2">
      <c r="A38" s="81" t="s">
        <v>261</v>
      </c>
      <c r="B38" s="82" t="s">
        <v>28</v>
      </c>
      <c r="C38" s="82">
        <v>14</v>
      </c>
      <c r="D38" s="82" t="s">
        <v>301</v>
      </c>
      <c r="E38" s="102">
        <f t="shared" si="3"/>
        <v>1.0379329114785329</v>
      </c>
      <c r="F38" s="65"/>
      <c r="H38" s="12"/>
      <c r="I38" s="4"/>
      <c r="J38" s="13"/>
      <c r="Q38" s="141" t="s">
        <v>309</v>
      </c>
      <c r="R38" s="142">
        <v>0.36101059894989318</v>
      </c>
      <c r="S38" s="141" t="s">
        <v>86</v>
      </c>
      <c r="W38" s="79" t="s">
        <v>7</v>
      </c>
      <c r="X38" s="80" t="s">
        <v>2</v>
      </c>
      <c r="Y38" s="80">
        <v>17</v>
      </c>
      <c r="Z38" s="80" t="s">
        <v>328</v>
      </c>
      <c r="AA38" s="101">
        <v>0.92936836749527552</v>
      </c>
    </row>
    <row r="39" spans="1:31" x14ac:dyDescent="0.2">
      <c r="A39" s="81" t="s">
        <v>20</v>
      </c>
      <c r="B39" s="82" t="s">
        <v>28</v>
      </c>
      <c r="C39" s="82">
        <v>14</v>
      </c>
      <c r="D39" s="82" t="s">
        <v>303</v>
      </c>
      <c r="E39" s="102">
        <f t="shared" si="3"/>
        <v>0.97697589100213744</v>
      </c>
      <c r="F39" s="65"/>
      <c r="H39" s="12"/>
      <c r="I39" s="4"/>
      <c r="J39" s="13"/>
      <c r="Q39" s="141" t="s">
        <v>310</v>
      </c>
      <c r="R39" s="142">
        <v>0.78418126509511765</v>
      </c>
      <c r="S39" s="141" t="s">
        <v>372</v>
      </c>
      <c r="W39" s="83" t="s">
        <v>26</v>
      </c>
      <c r="X39" s="80" t="s">
        <v>16</v>
      </c>
      <c r="Y39" s="80">
        <v>15</v>
      </c>
      <c r="Z39" s="80" t="s">
        <v>336</v>
      </c>
      <c r="AA39" s="101">
        <v>0.91865112788863534</v>
      </c>
    </row>
    <row r="40" spans="1:31" x14ac:dyDescent="0.2">
      <c r="A40" s="81" t="s">
        <v>513</v>
      </c>
      <c r="B40" s="82" t="s">
        <v>28</v>
      </c>
      <c r="C40" s="82">
        <v>14</v>
      </c>
      <c r="D40" s="82" t="s">
        <v>512</v>
      </c>
      <c r="E40" s="102">
        <f t="shared" si="3"/>
        <v>0.95294725244456668</v>
      </c>
      <c r="F40" s="65"/>
      <c r="H40" s="12"/>
      <c r="I40" s="4"/>
      <c r="J40" s="13"/>
      <c r="Q40" s="141" t="s">
        <v>369</v>
      </c>
      <c r="R40" s="142">
        <v>0.541533003736272</v>
      </c>
      <c r="S40" s="143" t="s">
        <v>372</v>
      </c>
      <c r="W40" s="81" t="s">
        <v>30</v>
      </c>
      <c r="X40" s="82" t="s">
        <v>28</v>
      </c>
      <c r="Y40" s="82">
        <v>14</v>
      </c>
      <c r="Z40" s="82" t="s">
        <v>285</v>
      </c>
      <c r="AA40" s="102">
        <v>0.91199977892108686</v>
      </c>
    </row>
    <row r="41" spans="1:31" x14ac:dyDescent="0.2">
      <c r="A41" s="81" t="s">
        <v>66</v>
      </c>
      <c r="B41" s="82" t="s">
        <v>28</v>
      </c>
      <c r="C41" s="82">
        <v>14</v>
      </c>
      <c r="D41" s="82" t="s">
        <v>315</v>
      </c>
      <c r="E41" s="102">
        <f t="shared" si="3"/>
        <v>0.99569209153466032</v>
      </c>
      <c r="F41" s="69"/>
      <c r="H41" s="12"/>
      <c r="I41" s="4"/>
      <c r="J41" s="13"/>
      <c r="Q41" s="141" t="s">
        <v>311</v>
      </c>
      <c r="R41" s="142">
        <v>0.57845507252191697</v>
      </c>
      <c r="S41" s="143" t="s">
        <v>372</v>
      </c>
      <c r="W41" s="144" t="s">
        <v>55</v>
      </c>
      <c r="X41" s="145" t="s">
        <v>28</v>
      </c>
      <c r="Y41" s="145">
        <v>14</v>
      </c>
      <c r="Z41" s="145" t="s">
        <v>278</v>
      </c>
      <c r="AA41" s="146">
        <v>0.91095138568993894</v>
      </c>
    </row>
    <row r="42" spans="1:31" x14ac:dyDescent="0.2">
      <c r="A42" s="81" t="s">
        <v>24</v>
      </c>
      <c r="B42" s="82" t="s">
        <v>28</v>
      </c>
      <c r="C42" s="82">
        <v>14</v>
      </c>
      <c r="D42" s="82" t="s">
        <v>324</v>
      </c>
      <c r="E42" s="102">
        <f t="shared" si="3"/>
        <v>1</v>
      </c>
      <c r="F42" s="69"/>
      <c r="H42" s="12"/>
      <c r="I42" s="4"/>
      <c r="J42" s="13"/>
      <c r="Q42" s="141" t="s">
        <v>313</v>
      </c>
      <c r="R42" s="142">
        <v>1</v>
      </c>
      <c r="S42" s="143" t="s">
        <v>371</v>
      </c>
      <c r="W42" s="83" t="s">
        <v>15</v>
      </c>
      <c r="X42" s="80" t="s">
        <v>16</v>
      </c>
      <c r="Y42" s="80">
        <v>15</v>
      </c>
      <c r="Z42" s="80" t="s">
        <v>277</v>
      </c>
      <c r="AA42" s="101">
        <v>0.91042888352305396</v>
      </c>
    </row>
    <row r="43" spans="1:31" x14ac:dyDescent="0.2">
      <c r="A43" s="81" t="s">
        <v>45</v>
      </c>
      <c r="B43" s="82" t="s">
        <v>28</v>
      </c>
      <c r="C43" s="82">
        <v>14</v>
      </c>
      <c r="D43" s="82" t="s">
        <v>319</v>
      </c>
      <c r="E43" s="102">
        <f t="shared" si="3"/>
        <v>0.5641445718679996</v>
      </c>
      <c r="F43" s="65"/>
      <c r="H43" s="4"/>
      <c r="I43" s="4"/>
      <c r="J43" s="4"/>
      <c r="Q43" s="141" t="s">
        <v>512</v>
      </c>
      <c r="R43" s="142">
        <v>0.95294725244456668</v>
      </c>
      <c r="S43" s="143" t="s">
        <v>371</v>
      </c>
      <c r="W43" s="81" t="s">
        <v>3</v>
      </c>
      <c r="X43" s="82" t="s">
        <v>10</v>
      </c>
      <c r="Y43" s="82">
        <v>16</v>
      </c>
      <c r="Z43" s="82" t="s">
        <v>292</v>
      </c>
      <c r="AA43" s="102">
        <v>0.89318320146074259</v>
      </c>
    </row>
    <row r="44" spans="1:31" x14ac:dyDescent="0.2">
      <c r="A44" s="81" t="s">
        <v>62</v>
      </c>
      <c r="B44" s="82" t="s">
        <v>28</v>
      </c>
      <c r="C44" s="82">
        <v>14</v>
      </c>
      <c r="D44" s="82" t="s">
        <v>330</v>
      </c>
      <c r="E44" s="102">
        <f t="shared" si="3"/>
        <v>0.93843994106691131</v>
      </c>
      <c r="F44" s="65"/>
      <c r="H44" s="4"/>
      <c r="I44" s="4"/>
      <c r="J44" s="4"/>
      <c r="Q44" s="141" t="s">
        <v>314</v>
      </c>
      <c r="R44" s="142">
        <v>0.99533285779852521</v>
      </c>
      <c r="S44" s="141" t="s">
        <v>371</v>
      </c>
      <c r="W44" s="79" t="s">
        <v>60</v>
      </c>
      <c r="X44" s="80" t="s">
        <v>49</v>
      </c>
      <c r="Y44" s="80">
        <v>13</v>
      </c>
      <c r="Z44" s="80" t="s">
        <v>284</v>
      </c>
      <c r="AA44" s="101">
        <v>0.89235399590163933</v>
      </c>
    </row>
    <row r="45" spans="1:31" x14ac:dyDescent="0.2">
      <c r="A45" s="81" t="s">
        <v>75</v>
      </c>
      <c r="B45" s="82" t="s">
        <v>28</v>
      </c>
      <c r="C45" s="82">
        <v>14</v>
      </c>
      <c r="D45" s="82" t="s">
        <v>332</v>
      </c>
      <c r="E45" s="102">
        <f t="shared" si="3"/>
        <v>0.98872477714287255</v>
      </c>
      <c r="F45" s="69"/>
      <c r="H45" s="4"/>
      <c r="I45" s="4"/>
      <c r="J45" s="4"/>
      <c r="Q45" s="141" t="s">
        <v>315</v>
      </c>
      <c r="R45" s="142">
        <v>0.99569209153466032</v>
      </c>
      <c r="S45" s="141" t="s">
        <v>371</v>
      </c>
      <c r="W45" s="79" t="s">
        <v>264</v>
      </c>
      <c r="X45" s="80" t="s">
        <v>2</v>
      </c>
      <c r="Y45" s="80">
        <v>17</v>
      </c>
      <c r="Z45" s="80" t="s">
        <v>283</v>
      </c>
      <c r="AA45" s="101">
        <v>0.89001113183270453</v>
      </c>
    </row>
    <row r="46" spans="1:31" x14ac:dyDescent="0.2">
      <c r="A46" s="81" t="s">
        <v>59</v>
      </c>
      <c r="B46" s="82" t="s">
        <v>28</v>
      </c>
      <c r="C46" s="82">
        <v>14</v>
      </c>
      <c r="D46" s="82" t="s">
        <v>337</v>
      </c>
      <c r="E46" s="102">
        <f t="shared" si="3"/>
        <v>1</v>
      </c>
      <c r="F46" s="69"/>
      <c r="G46" s="66"/>
      <c r="J46" s="67"/>
      <c r="Q46" s="141" t="s">
        <v>316</v>
      </c>
      <c r="R46" s="142">
        <v>0.76907329412838532</v>
      </c>
      <c r="S46" s="141" t="s">
        <v>372</v>
      </c>
      <c r="W46" s="83" t="s">
        <v>17</v>
      </c>
      <c r="X46" s="80" t="s">
        <v>16</v>
      </c>
      <c r="Y46" s="80">
        <v>15</v>
      </c>
      <c r="Z46" s="80" t="s">
        <v>307</v>
      </c>
      <c r="AA46" s="101">
        <v>0.86662573118314323</v>
      </c>
    </row>
    <row r="47" spans="1:31" x14ac:dyDescent="0.2">
      <c r="A47" s="79" t="s">
        <v>9</v>
      </c>
      <c r="B47" s="80" t="s">
        <v>49</v>
      </c>
      <c r="C47" s="80">
        <v>13</v>
      </c>
      <c r="D47" s="80" t="s">
        <v>274</v>
      </c>
      <c r="E47" s="101">
        <f t="shared" ref="E47:E67" si="6">VLOOKUP($D47,$Q$7:$R$68,2,0)</f>
        <v>0.84669359982989578</v>
      </c>
      <c r="F47" s="69"/>
      <c r="G47" s="66"/>
      <c r="I47" s="66"/>
      <c r="J47" s="66"/>
      <c r="Q47" s="141" t="s">
        <v>317</v>
      </c>
      <c r="R47" s="142">
        <v>0.62481029959532464</v>
      </c>
      <c r="S47" s="141" t="s">
        <v>372</v>
      </c>
      <c r="W47" s="83" t="s">
        <v>257</v>
      </c>
      <c r="X47" s="80" t="s">
        <v>16</v>
      </c>
      <c r="Y47" s="80">
        <v>15</v>
      </c>
      <c r="Z47" s="80" t="s">
        <v>320</v>
      </c>
      <c r="AA47" s="101">
        <v>0.85816623707026407</v>
      </c>
    </row>
    <row r="48" spans="1:31" x14ac:dyDescent="0.2">
      <c r="A48" s="79" t="s">
        <v>48</v>
      </c>
      <c r="B48" s="80" t="s">
        <v>49</v>
      </c>
      <c r="C48" s="80">
        <v>13</v>
      </c>
      <c r="D48" s="80" t="s">
        <v>280</v>
      </c>
      <c r="E48" s="101">
        <f t="shared" si="6"/>
        <v>0.68875112521618576</v>
      </c>
      <c r="F48" s="65"/>
      <c r="G48" s="66"/>
      <c r="I48" s="66"/>
      <c r="J48" s="66"/>
      <c r="Q48" s="141" t="s">
        <v>318</v>
      </c>
      <c r="R48" s="142">
        <v>0.99967409016838671</v>
      </c>
      <c r="S48" s="143" t="s">
        <v>371</v>
      </c>
      <c r="W48" s="79" t="s">
        <v>9</v>
      </c>
      <c r="X48" s="80" t="s">
        <v>49</v>
      </c>
      <c r="Y48" s="80">
        <v>13</v>
      </c>
      <c r="Z48" s="80" t="s">
        <v>274</v>
      </c>
      <c r="AA48" s="101">
        <v>0.84669359982989578</v>
      </c>
    </row>
    <row r="49" spans="1:27" x14ac:dyDescent="0.2">
      <c r="A49" s="79" t="s">
        <v>60</v>
      </c>
      <c r="B49" s="80" t="s">
        <v>49</v>
      </c>
      <c r="C49" s="80">
        <v>13</v>
      </c>
      <c r="D49" s="80" t="s">
        <v>284</v>
      </c>
      <c r="E49" s="101">
        <f t="shared" si="6"/>
        <v>0.89235399590163933</v>
      </c>
      <c r="F49" s="65"/>
      <c r="G49" s="67"/>
      <c r="I49" s="66"/>
      <c r="J49" s="66"/>
      <c r="Q49" s="141" t="s">
        <v>319</v>
      </c>
      <c r="R49" s="142">
        <v>0.5641445718679996</v>
      </c>
      <c r="S49" s="143" t="s">
        <v>372</v>
      </c>
      <c r="W49" s="83" t="s">
        <v>254</v>
      </c>
      <c r="X49" s="80" t="s">
        <v>16</v>
      </c>
      <c r="Y49" s="80">
        <v>15</v>
      </c>
      <c r="Z49" s="80" t="s">
        <v>331</v>
      </c>
      <c r="AA49" s="101">
        <v>0.83267459864721705</v>
      </c>
    </row>
    <row r="50" spans="1:27" x14ac:dyDescent="0.2">
      <c r="A50" s="83" t="s">
        <v>260</v>
      </c>
      <c r="B50" s="110" t="s">
        <v>49</v>
      </c>
      <c r="C50" s="110">
        <v>13</v>
      </c>
      <c r="D50" s="110" t="s">
        <v>282</v>
      </c>
      <c r="E50" s="111">
        <f t="shared" si="6"/>
        <v>0.33305692234682915</v>
      </c>
      <c r="F50" s="65"/>
      <c r="G50" s="67"/>
      <c r="H50" s="4"/>
      <c r="I50" s="67"/>
      <c r="J50" s="67"/>
      <c r="Q50" s="141" t="s">
        <v>320</v>
      </c>
      <c r="R50" s="142">
        <v>0.85816623707026407</v>
      </c>
      <c r="S50" s="141" t="s">
        <v>371</v>
      </c>
      <c r="W50" s="83" t="s">
        <v>31</v>
      </c>
      <c r="X50" s="80" t="s">
        <v>16</v>
      </c>
      <c r="Y50" s="80">
        <v>15</v>
      </c>
      <c r="Z50" s="110" t="s">
        <v>289</v>
      </c>
      <c r="AA50" s="111">
        <v>0.81254016709511567</v>
      </c>
    </row>
    <row r="51" spans="1:27" x14ac:dyDescent="0.2">
      <c r="A51" s="79" t="s">
        <v>57</v>
      </c>
      <c r="B51" s="80" t="s">
        <v>49</v>
      </c>
      <c r="C51" s="80">
        <v>13</v>
      </c>
      <c r="D51" s="80" t="s">
        <v>296</v>
      </c>
      <c r="E51" s="101">
        <f t="shared" si="6"/>
        <v>0.7886228860092247</v>
      </c>
      <c r="F51" s="65"/>
      <c r="H51" s="4"/>
      <c r="I51" s="67"/>
      <c r="J51" s="67"/>
      <c r="Q51" s="141" t="s">
        <v>321</v>
      </c>
      <c r="R51" s="142">
        <v>0.93520619672453054</v>
      </c>
      <c r="S51" s="143" t="s">
        <v>371</v>
      </c>
      <c r="W51" s="81" t="s">
        <v>36</v>
      </c>
      <c r="X51" s="82" t="s">
        <v>28</v>
      </c>
      <c r="Y51" s="82">
        <v>14</v>
      </c>
      <c r="Z51" s="82" t="s">
        <v>297</v>
      </c>
      <c r="AA51" s="102">
        <v>0.80341264723043471</v>
      </c>
    </row>
    <row r="52" spans="1:27" x14ac:dyDescent="0.2">
      <c r="A52" s="79" t="s">
        <v>35</v>
      </c>
      <c r="B52" s="80" t="s">
        <v>49</v>
      </c>
      <c r="C52" s="80">
        <v>13</v>
      </c>
      <c r="D52" s="80" t="s">
        <v>293</v>
      </c>
      <c r="E52" s="101">
        <f t="shared" si="6"/>
        <v>1.0292149475019923</v>
      </c>
      <c r="F52" s="65"/>
      <c r="Q52" s="141" t="s">
        <v>322</v>
      </c>
      <c r="R52" s="142">
        <v>0.99126425624848336</v>
      </c>
      <c r="S52" s="141" t="s">
        <v>371</v>
      </c>
      <c r="W52" s="79" t="s">
        <v>57</v>
      </c>
      <c r="X52" s="80" t="s">
        <v>49</v>
      </c>
      <c r="Y52" s="80">
        <v>13</v>
      </c>
      <c r="Z52" s="80" t="s">
        <v>296</v>
      </c>
      <c r="AA52" s="101">
        <v>0.7886228860092247</v>
      </c>
    </row>
    <row r="53" spans="1:27" x14ac:dyDescent="0.2">
      <c r="A53" s="79" t="s">
        <v>51</v>
      </c>
      <c r="B53" s="80" t="s">
        <v>49</v>
      </c>
      <c r="C53" s="80">
        <v>13</v>
      </c>
      <c r="D53" s="80" t="s">
        <v>299</v>
      </c>
      <c r="E53" s="101">
        <f t="shared" si="6"/>
        <v>0.64970550208303401</v>
      </c>
      <c r="F53" s="65"/>
      <c r="Q53" s="141" t="s">
        <v>323</v>
      </c>
      <c r="R53" s="142">
        <v>0.73349447513812149</v>
      </c>
      <c r="S53" s="141" t="s">
        <v>372</v>
      </c>
      <c r="W53" s="79" t="s">
        <v>263</v>
      </c>
      <c r="X53" s="80" t="s">
        <v>108</v>
      </c>
      <c r="Y53" s="80">
        <v>19</v>
      </c>
      <c r="Z53" s="80" t="s">
        <v>310</v>
      </c>
      <c r="AA53" s="101">
        <v>0.78418126509511765</v>
      </c>
    </row>
    <row r="54" spans="1:27" x14ac:dyDescent="0.2">
      <c r="A54" s="83" t="s">
        <v>39</v>
      </c>
      <c r="B54" s="80" t="s">
        <v>49</v>
      </c>
      <c r="C54" s="80">
        <v>13</v>
      </c>
      <c r="D54" s="110" t="s">
        <v>302</v>
      </c>
      <c r="E54" s="111">
        <f t="shared" si="6"/>
        <v>0.47637430521244206</v>
      </c>
      <c r="F54" s="65"/>
      <c r="Q54" s="141" t="s">
        <v>324</v>
      </c>
      <c r="R54" s="142">
        <v>1</v>
      </c>
      <c r="S54" s="141" t="s">
        <v>371</v>
      </c>
      <c r="W54" s="83" t="s">
        <v>13</v>
      </c>
      <c r="X54" s="80" t="s">
        <v>16</v>
      </c>
      <c r="Y54" s="80">
        <v>15</v>
      </c>
      <c r="Z54" s="80" t="s">
        <v>327</v>
      </c>
      <c r="AA54" s="101">
        <v>0.77444478716841458</v>
      </c>
    </row>
    <row r="55" spans="1:27" x14ac:dyDescent="0.2">
      <c r="A55" s="79" t="s">
        <v>58</v>
      </c>
      <c r="B55" s="80" t="s">
        <v>49</v>
      </c>
      <c r="C55" s="80">
        <v>13</v>
      </c>
      <c r="D55" s="80" t="s">
        <v>276</v>
      </c>
      <c r="E55" s="101">
        <f t="shared" si="6"/>
        <v>1</v>
      </c>
      <c r="F55" s="65"/>
      <c r="Q55" s="141" t="s">
        <v>325</v>
      </c>
      <c r="R55" s="142">
        <v>0.61841824770837783</v>
      </c>
      <c r="S55" s="143" t="s">
        <v>372</v>
      </c>
      <c r="W55" s="83" t="s">
        <v>21</v>
      </c>
      <c r="X55" s="80" t="s">
        <v>16</v>
      </c>
      <c r="Y55" s="80">
        <v>15</v>
      </c>
      <c r="Z55" s="80" t="s">
        <v>316</v>
      </c>
      <c r="AA55" s="101">
        <v>0.76907329412838532</v>
      </c>
    </row>
    <row r="56" spans="1:27" x14ac:dyDescent="0.2">
      <c r="A56" s="79" t="s">
        <v>40</v>
      </c>
      <c r="B56" s="80" t="s">
        <v>49</v>
      </c>
      <c r="C56" s="80">
        <v>13</v>
      </c>
      <c r="D56" s="80" t="s">
        <v>311</v>
      </c>
      <c r="E56" s="101">
        <f t="shared" si="6"/>
        <v>0.57845507252191697</v>
      </c>
      <c r="F56" s="65"/>
      <c r="Q56" s="141" t="s">
        <v>326</v>
      </c>
      <c r="R56" s="142">
        <v>0.99461817608484948</v>
      </c>
      <c r="S56" s="141" t="s">
        <v>371</v>
      </c>
      <c r="W56" s="81" t="s">
        <v>32</v>
      </c>
      <c r="X56" s="82" t="s">
        <v>10</v>
      </c>
      <c r="Y56" s="82">
        <v>16</v>
      </c>
      <c r="Z56" s="82" t="s">
        <v>290</v>
      </c>
      <c r="AA56" s="102">
        <v>0.76510407852428497</v>
      </c>
    </row>
    <row r="57" spans="1:27" x14ac:dyDescent="0.2">
      <c r="A57" s="79" t="s">
        <v>22</v>
      </c>
      <c r="B57" s="80" t="s">
        <v>49</v>
      </c>
      <c r="C57" s="80">
        <v>13</v>
      </c>
      <c r="D57" s="80" t="s">
        <v>317</v>
      </c>
      <c r="E57" s="101">
        <f t="shared" si="6"/>
        <v>0.62481029959532464</v>
      </c>
      <c r="F57" s="65"/>
      <c r="Q57" s="141" t="s">
        <v>327</v>
      </c>
      <c r="R57" s="142">
        <v>0.77444478716841458</v>
      </c>
      <c r="S57" s="143" t="s">
        <v>372</v>
      </c>
      <c r="W57" s="83" t="s">
        <v>52</v>
      </c>
      <c r="X57" s="80" t="s">
        <v>16</v>
      </c>
      <c r="Y57" s="80">
        <v>15</v>
      </c>
      <c r="Z57" s="80" t="s">
        <v>281</v>
      </c>
      <c r="AA57" s="101">
        <v>0.76017780502759058</v>
      </c>
    </row>
    <row r="58" spans="1:27" x14ac:dyDescent="0.2">
      <c r="A58" s="79" t="s">
        <v>41</v>
      </c>
      <c r="B58" s="80" t="s">
        <v>49</v>
      </c>
      <c r="C58" s="80">
        <v>13</v>
      </c>
      <c r="D58" s="80" t="s">
        <v>322</v>
      </c>
      <c r="E58" s="101">
        <f t="shared" si="6"/>
        <v>0.99126425624848336</v>
      </c>
      <c r="F58" s="65"/>
      <c r="Q58" s="141" t="s">
        <v>328</v>
      </c>
      <c r="R58" s="142">
        <v>0.92936836749527552</v>
      </c>
      <c r="S58" s="141" t="s">
        <v>371</v>
      </c>
      <c r="W58" s="83" t="s">
        <v>23</v>
      </c>
      <c r="X58" s="110" t="s">
        <v>16</v>
      </c>
      <c r="Y58" s="110">
        <v>15</v>
      </c>
      <c r="Z58" s="110" t="s">
        <v>323</v>
      </c>
      <c r="AA58" s="111">
        <v>0.73349447513812149</v>
      </c>
    </row>
    <row r="59" spans="1:27" x14ac:dyDescent="0.2">
      <c r="A59" s="81" t="s">
        <v>54</v>
      </c>
      <c r="B59" s="82" t="s">
        <v>56</v>
      </c>
      <c r="C59" s="82">
        <v>12</v>
      </c>
      <c r="D59" s="82" t="s">
        <v>326</v>
      </c>
      <c r="E59" s="102">
        <f t="shared" si="6"/>
        <v>0.99461817608484948</v>
      </c>
      <c r="F59" s="69"/>
      <c r="Q59" s="141" t="s">
        <v>329</v>
      </c>
      <c r="R59" s="142">
        <v>0.66251692368655679</v>
      </c>
      <c r="S59" s="143" t="s">
        <v>372</v>
      </c>
      <c r="W59" s="81" t="s">
        <v>29</v>
      </c>
      <c r="X59" s="82" t="s">
        <v>28</v>
      </c>
      <c r="Y59" s="82">
        <v>14</v>
      </c>
      <c r="Z59" s="82" t="s">
        <v>286</v>
      </c>
      <c r="AA59" s="102">
        <v>0.71562826313957539</v>
      </c>
    </row>
    <row r="60" spans="1:27" x14ac:dyDescent="0.2">
      <c r="A60" s="144" t="s">
        <v>266</v>
      </c>
      <c r="B60" s="145" t="s">
        <v>56</v>
      </c>
      <c r="C60" s="145">
        <v>12</v>
      </c>
      <c r="D60" s="145" t="s">
        <v>314</v>
      </c>
      <c r="E60" s="146">
        <f t="shared" si="6"/>
        <v>0.99533285779852521</v>
      </c>
      <c r="F60" s="69"/>
      <c r="Q60" s="141" t="s">
        <v>330</v>
      </c>
      <c r="R60" s="142">
        <v>0.93843994106691131</v>
      </c>
      <c r="S60" s="141" t="s">
        <v>371</v>
      </c>
      <c r="W60" s="79" t="s">
        <v>48</v>
      </c>
      <c r="X60" s="80" t="s">
        <v>49</v>
      </c>
      <c r="Y60" s="80">
        <v>13</v>
      </c>
      <c r="Z60" s="80" t="s">
        <v>280</v>
      </c>
      <c r="AA60" s="101">
        <v>0.68875112521618576</v>
      </c>
    </row>
    <row r="61" spans="1:27" x14ac:dyDescent="0.2">
      <c r="A61" s="81" t="s">
        <v>42</v>
      </c>
      <c r="B61" s="82" t="s">
        <v>65</v>
      </c>
      <c r="C61" s="82">
        <v>10</v>
      </c>
      <c r="D61" s="82" t="s">
        <v>321</v>
      </c>
      <c r="E61" s="102">
        <f t="shared" si="6"/>
        <v>0.93520619672453054</v>
      </c>
      <c r="F61" s="69"/>
      <c r="Q61" s="141" t="s">
        <v>331</v>
      </c>
      <c r="R61" s="142">
        <v>0.83267459864721705</v>
      </c>
      <c r="S61" s="143" t="s">
        <v>371</v>
      </c>
      <c r="W61" s="83" t="s">
        <v>25</v>
      </c>
      <c r="X61" s="80" t="s">
        <v>16</v>
      </c>
      <c r="Y61" s="80">
        <v>15</v>
      </c>
      <c r="Z61" s="80" t="s">
        <v>329</v>
      </c>
      <c r="AA61" s="101">
        <v>0.66251692368655679</v>
      </c>
    </row>
    <row r="62" spans="1:27" ht="13.5" thickBot="1" x14ac:dyDescent="0.25">
      <c r="A62" s="162" t="s">
        <v>249</v>
      </c>
      <c r="B62" s="163" t="s">
        <v>123</v>
      </c>
      <c r="C62" s="163">
        <v>6</v>
      </c>
      <c r="D62" s="163" t="s">
        <v>295</v>
      </c>
      <c r="E62" s="164">
        <f t="shared" si="6"/>
        <v>0.11951366732775717</v>
      </c>
      <c r="F62" s="69"/>
      <c r="Q62" s="141" t="s">
        <v>332</v>
      </c>
      <c r="R62" s="142">
        <v>0.98872477714287255</v>
      </c>
      <c r="S62" s="141" t="s">
        <v>371</v>
      </c>
      <c r="W62" s="79" t="s">
        <v>51</v>
      </c>
      <c r="X62" s="80" t="s">
        <v>49</v>
      </c>
      <c r="Y62" s="80">
        <v>13</v>
      </c>
      <c r="Z62" s="80" t="s">
        <v>299</v>
      </c>
      <c r="AA62" s="101">
        <v>0.64970550208303401</v>
      </c>
    </row>
    <row r="63" spans="1:27" x14ac:dyDescent="0.2">
      <c r="A63" s="79" t="s">
        <v>263</v>
      </c>
      <c r="B63" s="80" t="s">
        <v>108</v>
      </c>
      <c r="C63" s="80">
        <v>19</v>
      </c>
      <c r="D63" s="80" t="s">
        <v>310</v>
      </c>
      <c r="E63" s="101">
        <f t="shared" si="6"/>
        <v>0.78418126509511765</v>
      </c>
      <c r="F63" s="69"/>
      <c r="Q63" s="141" t="s">
        <v>333</v>
      </c>
      <c r="R63" s="142">
        <v>0.97036252976978032</v>
      </c>
      <c r="S63" s="143" t="s">
        <v>371</v>
      </c>
      <c r="W63" s="81" t="s">
        <v>18</v>
      </c>
      <c r="X63" s="82" t="s">
        <v>10</v>
      </c>
      <c r="Y63" s="82">
        <v>16</v>
      </c>
      <c r="Z63" s="82" t="s">
        <v>86</v>
      </c>
      <c r="AA63" s="102">
        <v>0.63157463237392464</v>
      </c>
    </row>
    <row r="64" spans="1:27" x14ac:dyDescent="0.2">
      <c r="A64" s="79" t="s">
        <v>264</v>
      </c>
      <c r="B64" s="80" t="s">
        <v>2</v>
      </c>
      <c r="C64" s="80">
        <v>17</v>
      </c>
      <c r="D64" s="80" t="s">
        <v>283</v>
      </c>
      <c r="E64" s="101">
        <f t="shared" si="6"/>
        <v>0.89001113183270453</v>
      </c>
      <c r="F64" s="65"/>
      <c r="Q64" s="141" t="s">
        <v>334</v>
      </c>
      <c r="R64" s="142">
        <v>0.98538704581358605</v>
      </c>
      <c r="S64" s="141" t="s">
        <v>371</v>
      </c>
      <c r="W64" s="79" t="s">
        <v>67</v>
      </c>
      <c r="X64" s="80" t="s">
        <v>49</v>
      </c>
      <c r="Y64" s="80">
        <v>13</v>
      </c>
      <c r="Z64" s="80" t="s">
        <v>279</v>
      </c>
      <c r="AA64" s="101">
        <v>0.62875460562079877</v>
      </c>
    </row>
    <row r="65" spans="1:27" x14ac:dyDescent="0.2">
      <c r="A65" s="81" t="s">
        <v>265</v>
      </c>
      <c r="B65" s="82" t="s">
        <v>56</v>
      </c>
      <c r="C65" s="82">
        <v>12</v>
      </c>
      <c r="D65" s="82" t="s">
        <v>333</v>
      </c>
      <c r="E65" s="102">
        <f t="shared" si="6"/>
        <v>0.97036252976978032</v>
      </c>
      <c r="F65" s="69"/>
      <c r="Q65" s="141" t="s">
        <v>335</v>
      </c>
      <c r="R65" s="142">
        <v>0.975461842272901</v>
      </c>
      <c r="S65" s="141" t="s">
        <v>371</v>
      </c>
      <c r="W65" s="79" t="s">
        <v>22</v>
      </c>
      <c r="X65" s="80" t="s">
        <v>49</v>
      </c>
      <c r="Y65" s="80">
        <v>13</v>
      </c>
      <c r="Z65" s="80" t="s">
        <v>317</v>
      </c>
      <c r="AA65" s="101">
        <v>0.62481029959532464</v>
      </c>
    </row>
    <row r="66" spans="1:27" x14ac:dyDescent="0.2">
      <c r="A66" s="83" t="s">
        <v>50</v>
      </c>
      <c r="B66" s="84" t="s">
        <v>373</v>
      </c>
      <c r="C66" s="84"/>
      <c r="D66" s="110" t="s">
        <v>287</v>
      </c>
      <c r="E66" s="111">
        <f t="shared" si="6"/>
        <v>0.99609846555590886</v>
      </c>
      <c r="F66" s="12"/>
      <c r="Q66" s="141" t="s">
        <v>336</v>
      </c>
      <c r="R66" s="142">
        <v>0.91865112788863534</v>
      </c>
      <c r="S66" s="141" t="s">
        <v>371</v>
      </c>
      <c r="W66" s="83" t="s">
        <v>43</v>
      </c>
      <c r="X66" s="80" t="s">
        <v>16</v>
      </c>
      <c r="Y66" s="80">
        <v>15</v>
      </c>
      <c r="Z66" s="110" t="s">
        <v>325</v>
      </c>
      <c r="AA66" s="111">
        <v>0.61841824770837783</v>
      </c>
    </row>
    <row r="67" spans="1:27" ht="13.5" thickBot="1" x14ac:dyDescent="0.25">
      <c r="A67" s="91" t="s">
        <v>76</v>
      </c>
      <c r="B67" s="92" t="s">
        <v>373</v>
      </c>
      <c r="C67" s="92"/>
      <c r="D67" s="92" t="s">
        <v>334</v>
      </c>
      <c r="E67" s="104">
        <f t="shared" si="6"/>
        <v>0.98538704581358605</v>
      </c>
      <c r="F67" s="9"/>
      <c r="Q67" s="141" t="s">
        <v>337</v>
      </c>
      <c r="R67" s="142">
        <v>1</v>
      </c>
      <c r="S67" s="141" t="s">
        <v>371</v>
      </c>
      <c r="W67" s="81" t="s">
        <v>11</v>
      </c>
      <c r="X67" s="82" t="s">
        <v>28</v>
      </c>
      <c r="Y67" s="82">
        <v>14</v>
      </c>
      <c r="Z67" s="82" t="s">
        <v>298</v>
      </c>
      <c r="AA67" s="102">
        <v>0.58646630934150079</v>
      </c>
    </row>
    <row r="68" spans="1:27" x14ac:dyDescent="0.2">
      <c r="A68" s="76" t="s">
        <v>135</v>
      </c>
      <c r="B68" s="78" t="s">
        <v>28</v>
      </c>
      <c r="C68" s="77">
        <f>AVERAGE(C7:C62)</f>
        <v>14.160714285714286</v>
      </c>
      <c r="D68" s="77"/>
      <c r="E68" s="77"/>
      <c r="F68" s="9"/>
      <c r="G68" s="66"/>
      <c r="Q68" s="141" t="s">
        <v>338</v>
      </c>
      <c r="R68" s="142">
        <v>0.94700000000000006</v>
      </c>
      <c r="S68" s="141" t="s">
        <v>371</v>
      </c>
      <c r="W68" s="79" t="s">
        <v>40</v>
      </c>
      <c r="X68" s="80" t="s">
        <v>49</v>
      </c>
      <c r="Y68" s="80">
        <v>13</v>
      </c>
      <c r="Z68" s="80" t="s">
        <v>311</v>
      </c>
      <c r="AA68" s="101">
        <v>0.57845507252191697</v>
      </c>
    </row>
    <row r="69" spans="1:27" ht="13.5" thickBot="1" x14ac:dyDescent="0.25">
      <c r="A69" s="7"/>
      <c r="B69" s="5"/>
      <c r="F69" s="9"/>
      <c r="Q69" s="141"/>
      <c r="R69" s="142"/>
      <c r="S69" s="141"/>
      <c r="W69" s="154" t="s">
        <v>45</v>
      </c>
      <c r="X69" s="156" t="s">
        <v>28</v>
      </c>
      <c r="Y69" s="156">
        <v>14</v>
      </c>
      <c r="Z69" s="156" t="s">
        <v>319</v>
      </c>
      <c r="AA69" s="159">
        <v>0.5641445718679996</v>
      </c>
    </row>
    <row r="70" spans="1:27" x14ac:dyDescent="0.2">
      <c r="A70" s="7"/>
      <c r="B70" s="5"/>
      <c r="F70" s="14"/>
      <c r="G70" s="66"/>
      <c r="Q70" s="141"/>
      <c r="R70" s="142"/>
      <c r="S70" s="141"/>
      <c r="W70" s="81" t="s">
        <v>370</v>
      </c>
      <c r="X70" s="82" t="s">
        <v>10</v>
      </c>
      <c r="Y70" s="82">
        <v>16</v>
      </c>
      <c r="Z70" s="82" t="s">
        <v>369</v>
      </c>
      <c r="AA70" s="102">
        <v>0.541533003736272</v>
      </c>
    </row>
    <row r="71" spans="1:27" x14ac:dyDescent="0.2">
      <c r="A71" s="85" t="s">
        <v>267</v>
      </c>
      <c r="F71" s="14"/>
      <c r="Q71" s="99"/>
      <c r="R71" s="98"/>
      <c r="S71" s="97"/>
      <c r="W71" s="83" t="s">
        <v>39</v>
      </c>
      <c r="X71" s="80" t="s">
        <v>49</v>
      </c>
      <c r="Y71" s="80">
        <v>13</v>
      </c>
      <c r="Z71" s="110" t="s">
        <v>302</v>
      </c>
      <c r="AA71" s="111">
        <v>0.47637430521244206</v>
      </c>
    </row>
    <row r="72" spans="1:27" x14ac:dyDescent="0.2">
      <c r="A72" s="85" t="s">
        <v>366</v>
      </c>
      <c r="B72" s="133"/>
      <c r="C72" s="134"/>
      <c r="D72" s="134"/>
      <c r="E72" s="134"/>
      <c r="F72" s="14"/>
      <c r="Q72" s="99"/>
      <c r="R72" s="98"/>
      <c r="S72" s="97"/>
      <c r="W72" s="83" t="s">
        <v>12</v>
      </c>
      <c r="X72" s="80" t="s">
        <v>16</v>
      </c>
      <c r="Y72" s="80">
        <v>15</v>
      </c>
      <c r="Z72" s="80" t="s">
        <v>309</v>
      </c>
      <c r="AA72" s="101">
        <v>0.36101059894989318</v>
      </c>
    </row>
    <row r="73" spans="1:27" x14ac:dyDescent="0.2">
      <c r="A73" s="132" t="s">
        <v>356</v>
      </c>
      <c r="B73" s="133"/>
      <c r="C73" s="134"/>
      <c r="D73" s="134"/>
      <c r="E73" s="134"/>
      <c r="F73" s="135"/>
      <c r="Q73" s="99"/>
      <c r="R73" s="98"/>
      <c r="S73" s="97"/>
      <c r="W73" s="83" t="s">
        <v>260</v>
      </c>
      <c r="X73" s="110" t="s">
        <v>49</v>
      </c>
      <c r="Y73" s="110">
        <v>13</v>
      </c>
      <c r="Z73" s="110" t="s">
        <v>282</v>
      </c>
      <c r="AA73" s="111">
        <v>0.33305692234682915</v>
      </c>
    </row>
    <row r="74" spans="1:27" ht="13.5" thickBot="1" x14ac:dyDescent="0.25">
      <c r="A74" s="132" t="s">
        <v>357</v>
      </c>
      <c r="B74" s="133"/>
      <c r="C74" s="134"/>
      <c r="D74" s="134"/>
      <c r="E74" s="134"/>
      <c r="F74" s="135"/>
      <c r="Q74" s="99"/>
      <c r="R74" s="98"/>
      <c r="S74" s="97"/>
      <c r="W74" s="112" t="s">
        <v>249</v>
      </c>
      <c r="X74" s="158" t="s">
        <v>123</v>
      </c>
      <c r="Y74" s="158">
        <v>6</v>
      </c>
      <c r="Z74" s="158" t="s">
        <v>295</v>
      </c>
      <c r="AA74" s="161">
        <v>0.11951366732775717</v>
      </c>
    </row>
    <row r="75" spans="1:27" x14ac:dyDescent="0.2">
      <c r="A75" s="132" t="s">
        <v>358</v>
      </c>
      <c r="D75" s="14"/>
      <c r="E75" s="1"/>
      <c r="F75" s="135"/>
      <c r="Q75" s="99"/>
      <c r="R75" s="98"/>
      <c r="S75" s="97"/>
    </row>
    <row r="76" spans="1:27" x14ac:dyDescent="0.2">
      <c r="A76" s="85" t="s">
        <v>359</v>
      </c>
      <c r="D76" s="14"/>
      <c r="E76" s="1"/>
      <c r="Q76" s="99"/>
      <c r="R76" s="98"/>
      <c r="S76" s="97"/>
    </row>
    <row r="77" spans="1:27" x14ac:dyDescent="0.2">
      <c r="A77" s="85"/>
      <c r="D77" s="14"/>
      <c r="E77" s="1"/>
      <c r="Q77" s="99"/>
      <c r="R77" s="100"/>
      <c r="S77" s="99"/>
    </row>
    <row r="78" spans="1:27" x14ac:dyDescent="0.2">
      <c r="A78" s="85"/>
    </row>
    <row r="79" spans="1:27" x14ac:dyDescent="0.2">
      <c r="A79" s="33"/>
      <c r="E79" s="120"/>
      <c r="F79" s="14"/>
      <c r="G79" s="133"/>
      <c r="W79" s="133"/>
      <c r="X79" s="133"/>
      <c r="Y79" s="133"/>
      <c r="Z79" s="133"/>
      <c r="AA79" s="136"/>
    </row>
    <row r="80" spans="1:27" s="133" customFormat="1" x14ac:dyDescent="0.2">
      <c r="Q80" s="1"/>
      <c r="R80" s="1"/>
      <c r="S80" s="1"/>
      <c r="AA80" s="136"/>
    </row>
    <row r="81" spans="1:27" s="133" customFormat="1" x14ac:dyDescent="0.2">
      <c r="AA81" s="136"/>
    </row>
    <row r="82" spans="1:27" s="133" customFormat="1" x14ac:dyDescent="0.2">
      <c r="A82" s="1"/>
      <c r="B82" s="1"/>
      <c r="C82" s="4"/>
      <c r="D82" s="4"/>
      <c r="E82" s="120"/>
      <c r="F82" s="1"/>
      <c r="G82" s="1"/>
      <c r="W82" s="1"/>
      <c r="X82" s="1"/>
      <c r="Y82" s="1"/>
      <c r="Z82" s="1"/>
      <c r="AA82" s="1"/>
    </row>
    <row r="83" spans="1:27" x14ac:dyDescent="0.2">
      <c r="E83" s="121"/>
      <c r="Q83" s="133"/>
      <c r="R83" s="133"/>
      <c r="S83" s="133"/>
      <c r="AA83" s="1"/>
    </row>
    <row r="84" spans="1:27" x14ac:dyDescent="0.2">
      <c r="AA84" s="1"/>
    </row>
  </sheetData>
  <pageMargins left="0.17" right="0.18" top="0.28000000000000003" bottom="0.17" header="0.3" footer="0.3"/>
  <pageSetup scale="76" fitToWidth="0" orientation="portrait" horizontalDpi="1200" verticalDpi="1200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>
    <tabColor rgb="FF0070C0"/>
    <pageSetUpPr fitToPage="1"/>
  </sheetPr>
  <dimension ref="A1:AH88"/>
  <sheetViews>
    <sheetView zoomScale="85" zoomScaleNormal="85" workbookViewId="0"/>
  </sheetViews>
  <sheetFormatPr defaultColWidth="9.140625" defaultRowHeight="12.75" outlineLevelCol="1" x14ac:dyDescent="0.2"/>
  <cols>
    <col min="1" max="1" width="35.140625" style="1" customWidth="1"/>
    <col min="2" max="2" width="9.140625" style="1"/>
    <col min="3" max="3" width="9.140625" style="4"/>
    <col min="4" max="4" width="9.140625" style="4" hidden="1" customWidth="1" outlineLevel="1"/>
    <col min="5" max="5" width="12.5703125" style="4" hidden="1" customWidth="1" outlineLevel="1"/>
    <col min="6" max="6" width="9.140625" style="1" collapsed="1"/>
    <col min="7" max="7" width="11.5703125" style="1" customWidth="1"/>
    <col min="8" max="10" width="9.140625" style="1"/>
    <col min="11" max="11" width="11" style="1" bestFit="1" customWidth="1"/>
    <col min="12" max="12" width="4.85546875" style="1" bestFit="1" customWidth="1"/>
    <col min="13" max="16" width="9.140625" style="1"/>
    <col min="17" max="26" width="9.140625" style="1" hidden="1" customWidth="1" outlineLevel="1"/>
    <col min="27" max="27" width="12.5703125" style="107" hidden="1" customWidth="1" outlineLevel="1"/>
    <col min="28" max="33" width="9.140625" style="1" hidden="1" customWidth="1" outlineLevel="1"/>
    <col min="34" max="34" width="9.140625" style="1" collapsed="1"/>
    <col min="35" max="16384" width="9.140625" style="1"/>
  </cols>
  <sheetData>
    <row r="1" spans="1:33" ht="18.75" x14ac:dyDescent="0.3">
      <c r="A1" s="75" t="s">
        <v>376</v>
      </c>
    </row>
    <row r="2" spans="1:33" ht="18.75" x14ac:dyDescent="0.3">
      <c r="A2" s="75"/>
    </row>
    <row r="3" spans="1:33" ht="18.75" x14ac:dyDescent="0.3">
      <c r="A3" s="75"/>
    </row>
    <row r="4" spans="1:33" ht="18.75" x14ac:dyDescent="0.3">
      <c r="A4" s="75"/>
    </row>
    <row r="5" spans="1:33" x14ac:dyDescent="0.2">
      <c r="E5" s="106" t="s">
        <v>339</v>
      </c>
      <c r="Y5" s="4"/>
      <c r="Z5" s="4"/>
      <c r="AA5" s="106" t="s">
        <v>339</v>
      </c>
      <c r="AF5" s="129" t="s">
        <v>354</v>
      </c>
      <c r="AG5" s="128" t="s">
        <v>360</v>
      </c>
    </row>
    <row r="6" spans="1:33" x14ac:dyDescent="0.2">
      <c r="A6" s="150" t="s">
        <v>0</v>
      </c>
      <c r="B6" s="151" t="s">
        <v>377</v>
      </c>
      <c r="C6" s="152"/>
      <c r="D6" s="152"/>
      <c r="E6" s="153">
        <v>40178</v>
      </c>
      <c r="W6" s="150" t="s">
        <v>0</v>
      </c>
      <c r="X6" s="151" t="s">
        <v>377</v>
      </c>
      <c r="Y6" s="152"/>
      <c r="Z6" s="152"/>
      <c r="AA6" s="153">
        <v>40178</v>
      </c>
      <c r="AC6" s="108" t="s">
        <v>137</v>
      </c>
      <c r="AD6" s="109"/>
      <c r="AE6" s="109"/>
      <c r="AF6" s="77">
        <f>AVERAGE(Y$13:Y$49)</f>
        <v>14.257142857142858</v>
      </c>
      <c r="AG6" s="126">
        <f>AF6-Credit_2009Q4!AF6</f>
        <v>5.7142857142858716E-2</v>
      </c>
    </row>
    <row r="7" spans="1:33" ht="13.5" thickBot="1" x14ac:dyDescent="0.25">
      <c r="A7" s="81" t="s">
        <v>6</v>
      </c>
      <c r="B7" s="82" t="s">
        <v>110</v>
      </c>
      <c r="C7" s="82">
        <v>18</v>
      </c>
      <c r="D7" s="82" t="s">
        <v>313</v>
      </c>
      <c r="E7" s="102">
        <f t="shared" ref="E7:E14" si="0">VLOOKUP($D7,$Q$7:$R$69,2,0)</f>
        <v>0.99706741779950658</v>
      </c>
      <c r="F7" s="65"/>
      <c r="G7" s="96" t="s">
        <v>77</v>
      </c>
      <c r="H7" s="96" t="s">
        <v>81</v>
      </c>
      <c r="I7" s="96" t="s">
        <v>82</v>
      </c>
      <c r="N7" s="67"/>
      <c r="O7" s="66"/>
      <c r="Q7" s="141" t="s">
        <v>274</v>
      </c>
      <c r="R7" s="142">
        <v>0.82576712904581762</v>
      </c>
      <c r="S7" s="141" t="s">
        <v>371</v>
      </c>
      <c r="W7" s="81" t="s">
        <v>87</v>
      </c>
      <c r="X7" s="82" t="s">
        <v>10</v>
      </c>
      <c r="Y7" s="82">
        <v>16</v>
      </c>
      <c r="Z7" s="82" t="s">
        <v>304</v>
      </c>
      <c r="AA7" s="102" t="s">
        <v>373</v>
      </c>
      <c r="AC7" s="96" t="s">
        <v>77</v>
      </c>
      <c r="AD7" s="96" t="s">
        <v>81</v>
      </c>
      <c r="AE7" s="96" t="s">
        <v>82</v>
      </c>
      <c r="AG7" s="127"/>
    </row>
    <row r="8" spans="1:33" x14ac:dyDescent="0.2">
      <c r="A8" s="79" t="s">
        <v>7</v>
      </c>
      <c r="B8" s="80" t="s">
        <v>2</v>
      </c>
      <c r="C8" s="80">
        <v>17</v>
      </c>
      <c r="D8" s="80" t="s">
        <v>328</v>
      </c>
      <c r="E8" s="101">
        <f t="shared" si="0"/>
        <v>0.93000422702993502</v>
      </c>
      <c r="F8" s="65"/>
      <c r="G8" s="72" t="s">
        <v>138</v>
      </c>
      <c r="H8" s="86">
        <f>COUNTIF(C$7:C$74,"&gt;16")</f>
        <v>4</v>
      </c>
      <c r="I8" s="87">
        <f>H8/H$14</f>
        <v>6.0606060606060608E-2</v>
      </c>
      <c r="K8" s="66"/>
      <c r="M8" s="66"/>
      <c r="N8" s="66"/>
      <c r="O8" s="67"/>
      <c r="Q8" s="141" t="s">
        <v>275</v>
      </c>
      <c r="R8" s="142">
        <v>0.97067096880946468</v>
      </c>
      <c r="S8" s="141" t="s">
        <v>371</v>
      </c>
      <c r="W8" s="81" t="s">
        <v>5</v>
      </c>
      <c r="X8" s="82" t="s">
        <v>10</v>
      </c>
      <c r="Y8" s="82">
        <v>16</v>
      </c>
      <c r="Z8" s="82" t="s">
        <v>312</v>
      </c>
      <c r="AA8" s="102" t="s">
        <v>373</v>
      </c>
      <c r="AC8" s="72" t="s">
        <v>138</v>
      </c>
      <c r="AD8" s="86">
        <f>COUNTIF(Y$13:Y$49,"&gt;16")</f>
        <v>3</v>
      </c>
      <c r="AE8" s="87">
        <f>AD8/AD$14</f>
        <v>8.5714285714285715E-2</v>
      </c>
      <c r="AG8" s="127"/>
    </row>
    <row r="9" spans="1:33" x14ac:dyDescent="0.2">
      <c r="A9" s="81" t="s">
        <v>3</v>
      </c>
      <c r="B9" s="82" t="s">
        <v>10</v>
      </c>
      <c r="C9" s="82">
        <v>16</v>
      </c>
      <c r="D9" s="82" t="s">
        <v>292</v>
      </c>
      <c r="E9" s="102">
        <f t="shared" si="0"/>
        <v>0.89410444897115693</v>
      </c>
      <c r="F9" s="65"/>
      <c r="G9" s="72" t="s">
        <v>10</v>
      </c>
      <c r="H9" s="86">
        <f>COUNTIF(C$7:C$74,"=16")</f>
        <v>10</v>
      </c>
      <c r="I9" s="87">
        <f t="shared" ref="I9:I14" si="1">H9/H$14</f>
        <v>0.15151515151515152</v>
      </c>
      <c r="K9" s="66"/>
      <c r="M9" s="66"/>
      <c r="N9" s="66"/>
      <c r="O9" s="67"/>
      <c r="Q9" s="141" t="s">
        <v>276</v>
      </c>
      <c r="R9" s="142">
        <v>1</v>
      </c>
      <c r="S9" s="141" t="s">
        <v>371</v>
      </c>
      <c r="W9" s="83" t="s">
        <v>255</v>
      </c>
      <c r="X9" s="80" t="s">
        <v>16</v>
      </c>
      <c r="Y9" s="80">
        <v>15</v>
      </c>
      <c r="Z9" s="80" t="s">
        <v>305</v>
      </c>
      <c r="AA9" s="101" t="s">
        <v>373</v>
      </c>
      <c r="AC9" s="72" t="s">
        <v>10</v>
      </c>
      <c r="AD9" s="86">
        <f>COUNTIF(Y$13:Y$49,"=16")</f>
        <v>5</v>
      </c>
      <c r="AE9" s="87">
        <f t="shared" ref="AE9:AE14" si="2">AD9/AD$14</f>
        <v>0.14285714285714285</v>
      </c>
      <c r="AG9" s="127"/>
    </row>
    <row r="10" spans="1:33" x14ac:dyDescent="0.2">
      <c r="A10" s="81" t="s">
        <v>18</v>
      </c>
      <c r="B10" s="82" t="s">
        <v>10</v>
      </c>
      <c r="C10" s="82">
        <v>16</v>
      </c>
      <c r="D10" s="82" t="s">
        <v>86</v>
      </c>
      <c r="E10" s="102">
        <f t="shared" si="0"/>
        <v>0.58142655748172922</v>
      </c>
      <c r="F10" s="65"/>
      <c r="G10" s="72" t="s">
        <v>16</v>
      </c>
      <c r="H10" s="86">
        <f>COUNTIF(C$7:C$74,"=15")</f>
        <v>16</v>
      </c>
      <c r="I10" s="87">
        <f t="shared" si="1"/>
        <v>0.24242424242424243</v>
      </c>
      <c r="K10" s="66"/>
      <c r="M10" s="66"/>
      <c r="N10" s="66"/>
      <c r="O10" s="67"/>
      <c r="Q10" s="141" t="s">
        <v>277</v>
      </c>
      <c r="R10" s="142">
        <v>0.91262379340604238</v>
      </c>
      <c r="S10" s="141" t="s">
        <v>371</v>
      </c>
      <c r="W10" s="83" t="s">
        <v>256</v>
      </c>
      <c r="X10" s="80" t="s">
        <v>16</v>
      </c>
      <c r="Y10" s="80">
        <v>15</v>
      </c>
      <c r="Z10" s="80" t="s">
        <v>306</v>
      </c>
      <c r="AA10" s="101" t="s">
        <v>373</v>
      </c>
      <c r="AC10" s="72" t="s">
        <v>16</v>
      </c>
      <c r="AD10" s="86">
        <f>COUNTIF(Y$13:Y$49,"=15")</f>
        <v>6</v>
      </c>
      <c r="AE10" s="87">
        <f t="shared" si="2"/>
        <v>0.17142857142857143</v>
      </c>
      <c r="AG10" s="127"/>
    </row>
    <row r="11" spans="1:33" x14ac:dyDescent="0.2">
      <c r="A11" s="81" t="s">
        <v>64</v>
      </c>
      <c r="B11" s="82" t="s">
        <v>10</v>
      </c>
      <c r="C11" s="82">
        <v>16</v>
      </c>
      <c r="D11" s="82" t="s">
        <v>288</v>
      </c>
      <c r="E11" s="102">
        <f t="shared" si="0"/>
        <v>1</v>
      </c>
      <c r="F11" s="65"/>
      <c r="G11" s="72" t="s">
        <v>28</v>
      </c>
      <c r="H11" s="86">
        <f>COUNTIF(C$7:C$74,"=14")</f>
        <v>16</v>
      </c>
      <c r="I11" s="87">
        <f t="shared" si="1"/>
        <v>0.24242424242424243</v>
      </c>
      <c r="K11" s="67"/>
      <c r="L11" s="4"/>
      <c r="M11" s="67"/>
      <c r="N11" s="67"/>
      <c r="O11" s="67"/>
      <c r="Q11" s="141" t="s">
        <v>278</v>
      </c>
      <c r="R11" s="142">
        <v>0.9427287640364086</v>
      </c>
      <c r="S11" s="141" t="s">
        <v>371</v>
      </c>
      <c r="W11" s="81" t="s">
        <v>38</v>
      </c>
      <c r="X11" s="82" t="s">
        <v>28</v>
      </c>
      <c r="Y11" s="82">
        <v>14</v>
      </c>
      <c r="Z11" s="82" t="s">
        <v>300</v>
      </c>
      <c r="AA11" s="102" t="s">
        <v>373</v>
      </c>
      <c r="AC11" s="72" t="s">
        <v>28</v>
      </c>
      <c r="AD11" s="86">
        <f>COUNTIF(Y$13:Y$49,"=14")</f>
        <v>11</v>
      </c>
      <c r="AE11" s="87">
        <f t="shared" si="2"/>
        <v>0.31428571428571428</v>
      </c>
      <c r="AG11" s="127"/>
    </row>
    <row r="12" spans="1:33" x14ac:dyDescent="0.2">
      <c r="A12" s="81" t="s">
        <v>32</v>
      </c>
      <c r="B12" s="82" t="s">
        <v>10</v>
      </c>
      <c r="C12" s="82">
        <v>16</v>
      </c>
      <c r="D12" s="82" t="s">
        <v>290</v>
      </c>
      <c r="E12" s="102">
        <f t="shared" si="0"/>
        <v>0.7497019635343618</v>
      </c>
      <c r="F12" s="65"/>
      <c r="G12" s="72" t="s">
        <v>49</v>
      </c>
      <c r="H12" s="86">
        <f>COUNTIF(C$7:C$74,"=13")</f>
        <v>15</v>
      </c>
      <c r="I12" s="87">
        <f t="shared" si="1"/>
        <v>0.22727272727272727</v>
      </c>
      <c r="Q12" s="141" t="s">
        <v>279</v>
      </c>
      <c r="R12" s="142">
        <v>0.62875460562079877</v>
      </c>
      <c r="S12" s="143" t="s">
        <v>372</v>
      </c>
      <c r="W12" s="79" t="s">
        <v>262</v>
      </c>
      <c r="X12" s="80" t="s">
        <v>49</v>
      </c>
      <c r="Y12" s="80">
        <v>13</v>
      </c>
      <c r="Z12" s="80" t="s">
        <v>185</v>
      </c>
      <c r="AA12" s="101" t="s">
        <v>373</v>
      </c>
      <c r="AC12" s="72" t="s">
        <v>49</v>
      </c>
      <c r="AD12" s="86">
        <f>COUNTIF(Y$13:Y$49,"=13")</f>
        <v>6</v>
      </c>
      <c r="AE12" s="87">
        <f t="shared" si="2"/>
        <v>0.17142857142857143</v>
      </c>
      <c r="AG12" s="127"/>
    </row>
    <row r="13" spans="1:33" ht="13.5" thickBot="1" x14ac:dyDescent="0.25">
      <c r="A13" s="81" t="s">
        <v>19</v>
      </c>
      <c r="B13" s="82" t="s">
        <v>10</v>
      </c>
      <c r="C13" s="82">
        <v>16</v>
      </c>
      <c r="D13" s="82" t="s">
        <v>291</v>
      </c>
      <c r="E13" s="102">
        <f t="shared" si="0"/>
        <v>0.96341849943457658</v>
      </c>
      <c r="F13" s="65"/>
      <c r="G13" s="93" t="s">
        <v>79</v>
      </c>
      <c r="H13" s="94">
        <f>COUNTIF(C$7:C$74,"&lt;13")</f>
        <v>5</v>
      </c>
      <c r="I13" s="95">
        <f t="shared" si="1"/>
        <v>7.575757575757576E-2</v>
      </c>
      <c r="Q13" s="141" t="s">
        <v>280</v>
      </c>
      <c r="R13" s="142">
        <v>0.70643925978729205</v>
      </c>
      <c r="S13" s="143" t="s">
        <v>372</v>
      </c>
      <c r="W13" s="81" t="s">
        <v>261</v>
      </c>
      <c r="X13" s="82" t="s">
        <v>28</v>
      </c>
      <c r="Y13" s="82">
        <v>14</v>
      </c>
      <c r="Z13" s="82" t="s">
        <v>301</v>
      </c>
      <c r="AA13" s="102">
        <v>1.0333026830763428</v>
      </c>
      <c r="AC13" s="93" t="s">
        <v>79</v>
      </c>
      <c r="AD13" s="94">
        <f>COUNTIF(Y$13:Y$49,"&lt;13")</f>
        <v>4</v>
      </c>
      <c r="AE13" s="95">
        <f t="shared" si="2"/>
        <v>0.11428571428571428</v>
      </c>
      <c r="AG13" s="127"/>
    </row>
    <row r="14" spans="1:33" x14ac:dyDescent="0.2">
      <c r="A14" s="81" t="s">
        <v>370</v>
      </c>
      <c r="B14" s="82" t="s">
        <v>10</v>
      </c>
      <c r="C14" s="82">
        <v>16</v>
      </c>
      <c r="D14" s="82" t="s">
        <v>369</v>
      </c>
      <c r="E14" s="102">
        <f t="shared" si="0"/>
        <v>0.55330389203021169</v>
      </c>
      <c r="F14" s="65"/>
      <c r="G14" s="88" t="s">
        <v>80</v>
      </c>
      <c r="H14" s="89">
        <f>SUM(H8:H13)</f>
        <v>66</v>
      </c>
      <c r="I14" s="90">
        <f t="shared" si="1"/>
        <v>1</v>
      </c>
      <c r="Q14" s="141" t="s">
        <v>281</v>
      </c>
      <c r="R14" s="142">
        <v>0.7469877361024081</v>
      </c>
      <c r="S14" s="141" t="s">
        <v>372</v>
      </c>
      <c r="W14" s="79" t="s">
        <v>35</v>
      </c>
      <c r="X14" s="80" t="s">
        <v>49</v>
      </c>
      <c r="Y14" s="80">
        <v>13</v>
      </c>
      <c r="Z14" s="80" t="s">
        <v>293</v>
      </c>
      <c r="AA14" s="101">
        <v>1.0293089747728885</v>
      </c>
      <c r="AC14" s="88" t="s">
        <v>80</v>
      </c>
      <c r="AD14" s="89">
        <f>SUM(AD8:AD13)</f>
        <v>35</v>
      </c>
      <c r="AE14" s="90">
        <f t="shared" si="2"/>
        <v>1</v>
      </c>
      <c r="AG14" s="127"/>
    </row>
    <row r="15" spans="1:33" x14ac:dyDescent="0.2">
      <c r="A15" s="81" t="s">
        <v>87</v>
      </c>
      <c r="B15" s="82" t="s">
        <v>10</v>
      </c>
      <c r="C15" s="82">
        <v>16</v>
      </c>
      <c r="D15" s="82" t="s">
        <v>304</v>
      </c>
      <c r="E15" s="102" t="s">
        <v>373</v>
      </c>
      <c r="F15" s="69"/>
      <c r="K15" s="9"/>
      <c r="Q15" s="141" t="s">
        <v>282</v>
      </c>
      <c r="R15" s="142">
        <v>0.27216238256230779</v>
      </c>
      <c r="S15" s="143" t="s">
        <v>86</v>
      </c>
      <c r="W15" s="81" t="s">
        <v>64</v>
      </c>
      <c r="X15" s="82" t="s">
        <v>10</v>
      </c>
      <c r="Y15" s="82">
        <v>16</v>
      </c>
      <c r="Z15" s="82" t="s">
        <v>288</v>
      </c>
      <c r="AA15" s="102">
        <v>1</v>
      </c>
      <c r="AG15" s="127"/>
    </row>
    <row r="16" spans="1:33" x14ac:dyDescent="0.2">
      <c r="A16" s="81" t="s">
        <v>5</v>
      </c>
      <c r="B16" s="82" t="s">
        <v>10</v>
      </c>
      <c r="C16" s="82">
        <v>16</v>
      </c>
      <c r="D16" s="82" t="s">
        <v>312</v>
      </c>
      <c r="E16" s="102" t="s">
        <v>373</v>
      </c>
      <c r="F16" s="65"/>
      <c r="K16" s="9"/>
      <c r="L16" s="4"/>
      <c r="Q16" s="141" t="s">
        <v>283</v>
      </c>
      <c r="R16" s="142">
        <v>0.87497195036407094</v>
      </c>
      <c r="S16" s="141" t="s">
        <v>371</v>
      </c>
      <c r="W16" s="81" t="s">
        <v>34</v>
      </c>
      <c r="X16" s="82" t="s">
        <v>28</v>
      </c>
      <c r="Y16" s="82">
        <v>14</v>
      </c>
      <c r="Z16" s="82" t="s">
        <v>294</v>
      </c>
      <c r="AA16" s="102">
        <v>1</v>
      </c>
      <c r="AG16" s="127"/>
    </row>
    <row r="17" spans="1:33" x14ac:dyDescent="0.2">
      <c r="A17" s="81" t="s">
        <v>14</v>
      </c>
      <c r="B17" s="82" t="s">
        <v>10</v>
      </c>
      <c r="C17" s="82">
        <v>16</v>
      </c>
      <c r="D17" s="82" t="s">
        <v>335</v>
      </c>
      <c r="E17" s="102">
        <f t="shared" ref="E17:E22" si="3">VLOOKUP($D17,$Q$7:$R$69,2,0)</f>
        <v>0.96644084643352246</v>
      </c>
      <c r="F17" s="65"/>
      <c r="K17" s="9"/>
      <c r="L17" s="4"/>
      <c r="Q17" s="141" t="s">
        <v>284</v>
      </c>
      <c r="R17" s="142">
        <v>0.90135028841111697</v>
      </c>
      <c r="S17" s="141" t="s">
        <v>371</v>
      </c>
      <c r="W17" s="81" t="s">
        <v>24</v>
      </c>
      <c r="X17" s="82" t="s">
        <v>28</v>
      </c>
      <c r="Y17" s="82">
        <v>14</v>
      </c>
      <c r="Z17" s="82" t="s">
        <v>324</v>
      </c>
      <c r="AA17" s="102">
        <v>1</v>
      </c>
      <c r="AC17" s="108" t="s">
        <v>139</v>
      </c>
      <c r="AD17" s="109"/>
      <c r="AE17" s="109"/>
      <c r="AF17" s="77">
        <f>AVERAGE(Y$50:Y$69)</f>
        <v>14.55</v>
      </c>
      <c r="AG17" s="126">
        <f>AF17-Credit_2009Q4!AF17</f>
        <v>-4.9999999999998934E-2</v>
      </c>
    </row>
    <row r="18" spans="1:33" ht="13.5" thickBot="1" x14ac:dyDescent="0.25">
      <c r="A18" s="81" t="s">
        <v>258</v>
      </c>
      <c r="B18" s="82" t="s">
        <v>10</v>
      </c>
      <c r="C18" s="82">
        <v>16</v>
      </c>
      <c r="D18" s="82" t="s">
        <v>338</v>
      </c>
      <c r="E18" s="102">
        <f t="shared" si="3"/>
        <v>0.94699999999999995</v>
      </c>
      <c r="F18" s="65"/>
      <c r="K18" s="9"/>
      <c r="L18" s="4"/>
      <c r="N18" s="4"/>
      <c r="Q18" s="141" t="s">
        <v>285</v>
      </c>
      <c r="R18" s="142">
        <v>0.91044690077830015</v>
      </c>
      <c r="S18" s="141" t="s">
        <v>371</v>
      </c>
      <c r="W18" s="81" t="s">
        <v>59</v>
      </c>
      <c r="X18" s="82" t="s">
        <v>28</v>
      </c>
      <c r="Y18" s="82">
        <v>14</v>
      </c>
      <c r="Z18" s="82" t="s">
        <v>337</v>
      </c>
      <c r="AA18" s="102">
        <v>1</v>
      </c>
      <c r="AC18" s="96" t="s">
        <v>77</v>
      </c>
      <c r="AD18" s="96" t="s">
        <v>81</v>
      </c>
      <c r="AE18" s="96" t="s">
        <v>82</v>
      </c>
      <c r="AG18" s="127"/>
    </row>
    <row r="19" spans="1:33" x14ac:dyDescent="0.2">
      <c r="A19" s="83" t="s">
        <v>15</v>
      </c>
      <c r="B19" s="80" t="s">
        <v>16</v>
      </c>
      <c r="C19" s="80">
        <v>15</v>
      </c>
      <c r="D19" s="80" t="s">
        <v>277</v>
      </c>
      <c r="E19" s="101">
        <f t="shared" si="3"/>
        <v>0.91262379340604238</v>
      </c>
      <c r="F19" s="65"/>
      <c r="K19" s="9"/>
      <c r="L19" s="4"/>
      <c r="N19" s="4"/>
      <c r="Q19" s="141" t="s">
        <v>286</v>
      </c>
      <c r="R19" s="142">
        <v>0.72270267536539723</v>
      </c>
      <c r="S19" s="143" t="s">
        <v>372</v>
      </c>
      <c r="W19" s="79" t="s">
        <v>58</v>
      </c>
      <c r="X19" s="80" t="s">
        <v>49</v>
      </c>
      <c r="Y19" s="80">
        <v>13</v>
      </c>
      <c r="Z19" s="80" t="s">
        <v>276</v>
      </c>
      <c r="AA19" s="101">
        <v>1</v>
      </c>
      <c r="AC19" s="72" t="s">
        <v>138</v>
      </c>
      <c r="AD19" s="86">
        <f>COUNTIF(Y$50:Y$69,"&gt;16")</f>
        <v>1</v>
      </c>
      <c r="AE19" s="87">
        <f>AD19/AD$14</f>
        <v>2.8571428571428571E-2</v>
      </c>
      <c r="AG19" s="127"/>
    </row>
    <row r="20" spans="1:33" x14ac:dyDescent="0.2">
      <c r="A20" s="83" t="s">
        <v>17</v>
      </c>
      <c r="B20" s="80" t="s">
        <v>16</v>
      </c>
      <c r="C20" s="80">
        <v>15</v>
      </c>
      <c r="D20" s="80" t="s">
        <v>307</v>
      </c>
      <c r="E20" s="101">
        <f t="shared" si="3"/>
        <v>0.84890438247011957</v>
      </c>
      <c r="F20" s="65"/>
      <c r="K20" s="9"/>
      <c r="L20" s="4"/>
      <c r="N20" s="4"/>
      <c r="Q20" s="141" t="s">
        <v>287</v>
      </c>
      <c r="R20" s="142">
        <v>0.99675869094774683</v>
      </c>
      <c r="S20" s="141" t="s">
        <v>371</v>
      </c>
      <c r="W20" s="83" t="s">
        <v>53</v>
      </c>
      <c r="X20" s="80" t="s">
        <v>16</v>
      </c>
      <c r="Y20" s="80">
        <v>15</v>
      </c>
      <c r="Z20" s="80" t="s">
        <v>318</v>
      </c>
      <c r="AA20" s="101">
        <v>0.99967400162999187</v>
      </c>
      <c r="AC20" s="72" t="s">
        <v>10</v>
      </c>
      <c r="AD20" s="86">
        <f>COUNTIF(Y$50:Y$69,"=16")</f>
        <v>3</v>
      </c>
      <c r="AE20" s="87">
        <f t="shared" ref="AE20:AE25" si="4">AD20/AD$14</f>
        <v>8.5714285714285715E-2</v>
      </c>
      <c r="AG20" s="127"/>
    </row>
    <row r="21" spans="1:33" x14ac:dyDescent="0.2">
      <c r="A21" s="83" t="s">
        <v>31</v>
      </c>
      <c r="B21" s="80" t="s">
        <v>16</v>
      </c>
      <c r="C21" s="80">
        <v>15</v>
      </c>
      <c r="D21" s="110" t="s">
        <v>289</v>
      </c>
      <c r="E21" s="111">
        <f t="shared" si="3"/>
        <v>0.81467245298615421</v>
      </c>
      <c r="F21" s="69"/>
      <c r="Q21" s="141" t="s">
        <v>86</v>
      </c>
      <c r="R21" s="142">
        <v>0.58142655748172922</v>
      </c>
      <c r="S21" s="143" t="s">
        <v>372</v>
      </c>
      <c r="W21" s="79" t="s">
        <v>266</v>
      </c>
      <c r="X21" s="80" t="s">
        <v>61</v>
      </c>
      <c r="Y21" s="80">
        <v>11</v>
      </c>
      <c r="Z21" s="80" t="s">
        <v>314</v>
      </c>
      <c r="AA21" s="101">
        <v>0.99872589064335693</v>
      </c>
      <c r="AC21" s="72" t="s">
        <v>16</v>
      </c>
      <c r="AD21" s="86">
        <f>COUNTIF(Y$50:Y$69,"=15")</f>
        <v>6</v>
      </c>
      <c r="AE21" s="87">
        <f t="shared" si="4"/>
        <v>0.17142857142857143</v>
      </c>
      <c r="AG21" s="127"/>
    </row>
    <row r="22" spans="1:33" x14ac:dyDescent="0.2">
      <c r="A22" s="83" t="s">
        <v>254</v>
      </c>
      <c r="B22" s="80" t="s">
        <v>16</v>
      </c>
      <c r="C22" s="80">
        <v>15</v>
      </c>
      <c r="D22" s="80" t="s">
        <v>331</v>
      </c>
      <c r="E22" s="101">
        <f t="shared" si="3"/>
        <v>0.66731657086909912</v>
      </c>
      <c r="F22" s="65"/>
      <c r="Q22" s="141" t="s">
        <v>288</v>
      </c>
      <c r="R22" s="142">
        <v>1</v>
      </c>
      <c r="S22" s="141" t="s">
        <v>371</v>
      </c>
      <c r="W22" s="81" t="s">
        <v>6</v>
      </c>
      <c r="X22" s="82" t="s">
        <v>110</v>
      </c>
      <c r="Y22" s="82">
        <v>18</v>
      </c>
      <c r="Z22" s="82" t="s">
        <v>313</v>
      </c>
      <c r="AA22" s="102">
        <v>0.99706741779950658</v>
      </c>
      <c r="AC22" s="72" t="s">
        <v>28</v>
      </c>
      <c r="AD22" s="86">
        <f>COUNTIF(Y$50:Y$69,"=14")</f>
        <v>4</v>
      </c>
      <c r="AE22" s="87">
        <f t="shared" si="4"/>
        <v>0.11428571428571428</v>
      </c>
      <c r="AG22" s="127"/>
    </row>
    <row r="23" spans="1:33" x14ac:dyDescent="0.2">
      <c r="A23" s="83" t="s">
        <v>255</v>
      </c>
      <c r="B23" s="80" t="s">
        <v>16</v>
      </c>
      <c r="C23" s="80">
        <v>15</v>
      </c>
      <c r="D23" s="80" t="s">
        <v>305</v>
      </c>
      <c r="E23" s="101" t="s">
        <v>373</v>
      </c>
      <c r="F23" s="65"/>
      <c r="Q23" s="141" t="s">
        <v>289</v>
      </c>
      <c r="R23" s="142">
        <v>0.81467245298615421</v>
      </c>
      <c r="S23" s="141" t="s">
        <v>371</v>
      </c>
      <c r="W23" s="83" t="s">
        <v>50</v>
      </c>
      <c r="X23" s="84" t="s">
        <v>373</v>
      </c>
      <c r="Y23" s="84"/>
      <c r="Z23" s="110" t="s">
        <v>287</v>
      </c>
      <c r="AA23" s="111">
        <v>0.99675869094774683</v>
      </c>
      <c r="AC23" s="72" t="s">
        <v>49</v>
      </c>
      <c r="AD23" s="86">
        <f>COUNTIF(Y$50:Y$69,"=13")</f>
        <v>6</v>
      </c>
      <c r="AE23" s="87">
        <f t="shared" si="4"/>
        <v>0.17142857142857143</v>
      </c>
      <c r="AG23" s="127"/>
    </row>
    <row r="24" spans="1:33" ht="13.5" thickBot="1" x14ac:dyDescent="0.25">
      <c r="A24" s="83" t="s">
        <v>256</v>
      </c>
      <c r="B24" s="80" t="s">
        <v>16</v>
      </c>
      <c r="C24" s="80">
        <v>15</v>
      </c>
      <c r="D24" s="80" t="s">
        <v>306</v>
      </c>
      <c r="E24" s="101" t="s">
        <v>373</v>
      </c>
      <c r="F24" s="65"/>
      <c r="Q24" s="141" t="s">
        <v>290</v>
      </c>
      <c r="R24" s="142">
        <v>0.7497019635343618</v>
      </c>
      <c r="S24" s="143" t="s">
        <v>372</v>
      </c>
      <c r="W24" s="81" t="s">
        <v>66</v>
      </c>
      <c r="X24" s="82" t="s">
        <v>28</v>
      </c>
      <c r="Y24" s="82">
        <v>14</v>
      </c>
      <c r="Z24" s="82" t="s">
        <v>315</v>
      </c>
      <c r="AA24" s="102">
        <v>0.99458022018280356</v>
      </c>
      <c r="AC24" s="93" t="s">
        <v>79</v>
      </c>
      <c r="AD24" s="94">
        <f>COUNTIF(Y$50:Y$69,"&lt;13")</f>
        <v>0</v>
      </c>
      <c r="AE24" s="95">
        <f t="shared" si="4"/>
        <v>0</v>
      </c>
      <c r="AG24" s="127"/>
    </row>
    <row r="25" spans="1:33" x14ac:dyDescent="0.2">
      <c r="A25" s="83" t="s">
        <v>12</v>
      </c>
      <c r="B25" s="80" t="s">
        <v>16</v>
      </c>
      <c r="C25" s="80">
        <v>15</v>
      </c>
      <c r="D25" s="80" t="s">
        <v>309</v>
      </c>
      <c r="E25" s="101">
        <f t="shared" ref="E25:E41" si="5">VLOOKUP($D25,$Q$7:$R$69,2,0)</f>
        <v>0.36017814864816144</v>
      </c>
      <c r="F25" s="65"/>
      <c r="Q25" s="141" t="s">
        <v>291</v>
      </c>
      <c r="R25" s="142">
        <v>0.96341849943457658</v>
      </c>
      <c r="S25" s="141" t="s">
        <v>371</v>
      </c>
      <c r="W25" s="81" t="s">
        <v>54</v>
      </c>
      <c r="X25" s="82" t="s">
        <v>56</v>
      </c>
      <c r="Y25" s="82">
        <v>12</v>
      </c>
      <c r="Z25" s="82" t="s">
        <v>326</v>
      </c>
      <c r="AA25" s="102">
        <v>0.99417211067658851</v>
      </c>
      <c r="AC25" s="88" t="s">
        <v>80</v>
      </c>
      <c r="AD25" s="89">
        <f>SUM(AD19:AD24)</f>
        <v>20</v>
      </c>
      <c r="AE25" s="90">
        <f t="shared" si="4"/>
        <v>0.5714285714285714</v>
      </c>
      <c r="AG25" s="127"/>
    </row>
    <row r="26" spans="1:33" x14ac:dyDescent="0.2">
      <c r="A26" s="83" t="s">
        <v>52</v>
      </c>
      <c r="B26" s="80" t="s">
        <v>16</v>
      </c>
      <c r="C26" s="80">
        <v>15</v>
      </c>
      <c r="D26" s="80" t="s">
        <v>281</v>
      </c>
      <c r="E26" s="101">
        <f t="shared" si="5"/>
        <v>0.7469877361024081</v>
      </c>
      <c r="F26" s="65"/>
      <c r="Q26" s="141" t="s">
        <v>292</v>
      </c>
      <c r="R26" s="142">
        <v>0.89410444897115693</v>
      </c>
      <c r="S26" s="141" t="s">
        <v>371</v>
      </c>
      <c r="W26" s="81" t="s">
        <v>75</v>
      </c>
      <c r="X26" s="82" t="s">
        <v>28</v>
      </c>
      <c r="Y26" s="82">
        <v>14</v>
      </c>
      <c r="Z26" s="82" t="s">
        <v>332</v>
      </c>
      <c r="AA26" s="102">
        <v>0.9915841495030967</v>
      </c>
      <c r="AG26" s="127"/>
    </row>
    <row r="27" spans="1:33" x14ac:dyDescent="0.2">
      <c r="A27" s="83" t="s">
        <v>21</v>
      </c>
      <c r="B27" s="80" t="s">
        <v>16</v>
      </c>
      <c r="C27" s="80">
        <v>15</v>
      </c>
      <c r="D27" s="80" t="s">
        <v>316</v>
      </c>
      <c r="E27" s="101">
        <f t="shared" si="5"/>
        <v>0.75386351438754873</v>
      </c>
      <c r="F27" s="65"/>
      <c r="Q27" s="141" t="s">
        <v>293</v>
      </c>
      <c r="R27" s="142">
        <v>1.0293089747728885</v>
      </c>
      <c r="S27" s="141" t="s">
        <v>371</v>
      </c>
      <c r="W27" s="79" t="s">
        <v>76</v>
      </c>
      <c r="X27" s="84" t="s">
        <v>373</v>
      </c>
      <c r="Y27" s="84"/>
      <c r="Z27" s="84" t="s">
        <v>334</v>
      </c>
      <c r="AA27" s="103">
        <v>0.98634859349145065</v>
      </c>
      <c r="AG27" s="127"/>
    </row>
    <row r="28" spans="1:33" x14ac:dyDescent="0.2">
      <c r="A28" s="83" t="s">
        <v>23</v>
      </c>
      <c r="B28" s="110" t="s">
        <v>16</v>
      </c>
      <c r="C28" s="110">
        <v>15</v>
      </c>
      <c r="D28" s="110" t="s">
        <v>323</v>
      </c>
      <c r="E28" s="111">
        <f>VLOOKUP($D28,$Q$7:$R$69,2,0)</f>
        <v>0.64890043729006908</v>
      </c>
      <c r="F28" s="65"/>
      <c r="Q28" s="141" t="s">
        <v>294</v>
      </c>
      <c r="R28" s="142">
        <v>1</v>
      </c>
      <c r="S28" s="141" t="s">
        <v>371</v>
      </c>
      <c r="W28" s="79" t="s">
        <v>41</v>
      </c>
      <c r="X28" s="80" t="s">
        <v>49</v>
      </c>
      <c r="Y28" s="80">
        <v>13</v>
      </c>
      <c r="Z28" s="80" t="s">
        <v>322</v>
      </c>
      <c r="AA28" s="101">
        <v>0.97501693766937669</v>
      </c>
      <c r="AC28" s="108" t="s">
        <v>140</v>
      </c>
      <c r="AD28" s="109"/>
      <c r="AE28" s="109"/>
      <c r="AF28" s="77">
        <f>AVERAGE(Y$70:Y$74)</f>
        <v>12.4</v>
      </c>
      <c r="AG28" s="126">
        <f>AF28-Credit_2009Q4!AF28</f>
        <v>-0.19999999999999929</v>
      </c>
    </row>
    <row r="29" spans="1:33" ht="13.5" thickBot="1" x14ac:dyDescent="0.25">
      <c r="A29" s="83" t="s">
        <v>53</v>
      </c>
      <c r="B29" s="80" t="s">
        <v>16</v>
      </c>
      <c r="C29" s="80">
        <v>15</v>
      </c>
      <c r="D29" s="80" t="s">
        <v>318</v>
      </c>
      <c r="E29" s="101">
        <f t="shared" si="5"/>
        <v>0.99967400162999187</v>
      </c>
      <c r="F29" s="69"/>
      <c r="Q29" s="141" t="s">
        <v>295</v>
      </c>
      <c r="R29" s="142">
        <v>0.27230062686467099</v>
      </c>
      <c r="S29" s="141" t="s">
        <v>86</v>
      </c>
      <c r="W29" s="81" t="s">
        <v>259</v>
      </c>
      <c r="X29" s="82" t="s">
        <v>28</v>
      </c>
      <c r="Y29" s="82">
        <v>14</v>
      </c>
      <c r="Z29" s="82" t="s">
        <v>275</v>
      </c>
      <c r="AA29" s="102">
        <v>0.97067096880946468</v>
      </c>
      <c r="AC29" s="96" t="s">
        <v>77</v>
      </c>
      <c r="AD29" s="96" t="s">
        <v>81</v>
      </c>
      <c r="AE29" s="96" t="s">
        <v>82</v>
      </c>
    </row>
    <row r="30" spans="1:33" x14ac:dyDescent="0.2">
      <c r="A30" s="83" t="s">
        <v>43</v>
      </c>
      <c r="B30" s="80" t="s">
        <v>16</v>
      </c>
      <c r="C30" s="80">
        <v>15</v>
      </c>
      <c r="D30" s="110" t="s">
        <v>325</v>
      </c>
      <c r="E30" s="111">
        <f>VLOOKUP($D30,$Q$7:$R$69,2,0)</f>
        <v>0.42404692082111439</v>
      </c>
      <c r="F30" s="65"/>
      <c r="Q30" s="141" t="s">
        <v>296</v>
      </c>
      <c r="R30" s="142">
        <v>0.78356336260978665</v>
      </c>
      <c r="S30" s="143" t="s">
        <v>372</v>
      </c>
      <c r="W30" s="83" t="s">
        <v>265</v>
      </c>
      <c r="X30" s="110" t="s">
        <v>56</v>
      </c>
      <c r="Y30" s="110">
        <v>12</v>
      </c>
      <c r="Z30" s="110" t="s">
        <v>333</v>
      </c>
      <c r="AA30" s="111">
        <v>0.97028603165787286</v>
      </c>
      <c r="AC30" s="72" t="s">
        <v>138</v>
      </c>
      <c r="AD30" s="86">
        <f>COUNTIF(Y$70:Y$74,"&gt;16")</f>
        <v>0</v>
      </c>
      <c r="AE30" s="87">
        <f>AD30/AD$14</f>
        <v>0</v>
      </c>
    </row>
    <row r="31" spans="1:33" x14ac:dyDescent="0.2">
      <c r="A31" s="83" t="s">
        <v>257</v>
      </c>
      <c r="B31" s="80" t="s">
        <v>16</v>
      </c>
      <c r="C31" s="80">
        <v>15</v>
      </c>
      <c r="D31" s="80" t="s">
        <v>320</v>
      </c>
      <c r="E31" s="101">
        <f t="shared" si="5"/>
        <v>0.85164553720066594</v>
      </c>
      <c r="F31" s="65"/>
      <c r="K31" s="66"/>
      <c r="L31" s="66"/>
      <c r="Q31" s="141" t="s">
        <v>297</v>
      </c>
      <c r="R31" s="142">
        <v>0.79472908539599674</v>
      </c>
      <c r="S31" s="143" t="s">
        <v>372</v>
      </c>
      <c r="W31" s="81" t="s">
        <v>14</v>
      </c>
      <c r="X31" s="82" t="s">
        <v>10</v>
      </c>
      <c r="Y31" s="82">
        <v>16</v>
      </c>
      <c r="Z31" s="82" t="s">
        <v>335</v>
      </c>
      <c r="AA31" s="102">
        <v>0.96644084643352246</v>
      </c>
      <c r="AC31" s="72" t="s">
        <v>10</v>
      </c>
      <c r="AD31" s="86">
        <f>COUNTIF(Y$70:Y$74,"=16")</f>
        <v>0</v>
      </c>
      <c r="AE31" s="87">
        <f t="shared" ref="AE31:AE36" si="6">AD31/AD$14</f>
        <v>0</v>
      </c>
    </row>
    <row r="32" spans="1:33" x14ac:dyDescent="0.2">
      <c r="A32" s="83" t="s">
        <v>13</v>
      </c>
      <c r="B32" s="80" t="s">
        <v>16</v>
      </c>
      <c r="C32" s="80">
        <v>15</v>
      </c>
      <c r="D32" s="80" t="s">
        <v>327</v>
      </c>
      <c r="E32" s="101">
        <f t="shared" si="5"/>
        <v>0.77327600463039525</v>
      </c>
      <c r="F32" s="65"/>
      <c r="L32" s="66"/>
      <c r="Q32" s="141" t="s">
        <v>298</v>
      </c>
      <c r="R32" s="142">
        <v>0.60422936152907691</v>
      </c>
      <c r="S32" s="143" t="s">
        <v>372</v>
      </c>
      <c r="W32" s="81" t="s">
        <v>19</v>
      </c>
      <c r="X32" s="82" t="s">
        <v>10</v>
      </c>
      <c r="Y32" s="82">
        <v>16</v>
      </c>
      <c r="Z32" s="82" t="s">
        <v>291</v>
      </c>
      <c r="AA32" s="102">
        <v>0.96341849943457658</v>
      </c>
      <c r="AC32" s="72" t="s">
        <v>16</v>
      </c>
      <c r="AD32" s="86">
        <f>COUNTIF(Y$70:Y$74,"=15")</f>
        <v>2</v>
      </c>
      <c r="AE32" s="87">
        <f t="shared" si="6"/>
        <v>5.7142857142857141E-2</v>
      </c>
    </row>
    <row r="33" spans="1:31" x14ac:dyDescent="0.2">
      <c r="A33" s="83" t="s">
        <v>25</v>
      </c>
      <c r="B33" s="80" t="s">
        <v>16</v>
      </c>
      <c r="C33" s="80">
        <v>15</v>
      </c>
      <c r="D33" s="80" t="s">
        <v>329</v>
      </c>
      <c r="E33" s="101">
        <f t="shared" si="5"/>
        <v>0.614337822671156</v>
      </c>
      <c r="F33" s="65"/>
      <c r="L33" s="66"/>
      <c r="Q33" s="141" t="s">
        <v>299</v>
      </c>
      <c r="R33" s="142">
        <v>0.66983442164179108</v>
      </c>
      <c r="S33" s="143" t="s">
        <v>372</v>
      </c>
      <c r="W33" s="81" t="s">
        <v>513</v>
      </c>
      <c r="X33" s="82" t="s">
        <v>28</v>
      </c>
      <c r="Y33" s="82">
        <v>14</v>
      </c>
      <c r="Z33" s="82" t="s">
        <v>512</v>
      </c>
      <c r="AA33" s="102">
        <v>0.9619710194413027</v>
      </c>
      <c r="AC33" s="72" t="s">
        <v>28</v>
      </c>
      <c r="AD33" s="86">
        <f>COUNTIF(Y$70:Y$74,"=14")</f>
        <v>0</v>
      </c>
      <c r="AE33" s="87">
        <f t="shared" si="6"/>
        <v>0</v>
      </c>
    </row>
    <row r="34" spans="1:31" x14ac:dyDescent="0.2">
      <c r="A34" s="83" t="s">
        <v>26</v>
      </c>
      <c r="B34" s="80" t="s">
        <v>16</v>
      </c>
      <c r="C34" s="80">
        <v>15</v>
      </c>
      <c r="D34" s="80" t="s">
        <v>336</v>
      </c>
      <c r="E34" s="101">
        <f t="shared" si="5"/>
        <v>0.84932154135723226</v>
      </c>
      <c r="F34" s="65"/>
      <c r="H34" s="4"/>
      <c r="I34" s="4"/>
      <c r="L34" s="66"/>
      <c r="Q34" s="141" t="s">
        <v>301</v>
      </c>
      <c r="R34" s="142">
        <v>1.0333026830763428</v>
      </c>
      <c r="S34" s="141" t="s">
        <v>371</v>
      </c>
      <c r="W34" s="81" t="s">
        <v>20</v>
      </c>
      <c r="X34" s="82" t="s">
        <v>28</v>
      </c>
      <c r="Y34" s="82">
        <v>14</v>
      </c>
      <c r="Z34" s="82" t="s">
        <v>303</v>
      </c>
      <c r="AA34" s="102">
        <v>0.96099371344273887</v>
      </c>
      <c r="AC34" s="72" t="s">
        <v>49</v>
      </c>
      <c r="AD34" s="86">
        <f>COUNTIF(Y$70:Y$74,"=13")</f>
        <v>2</v>
      </c>
      <c r="AE34" s="87">
        <f t="shared" si="6"/>
        <v>5.7142857142857141E-2</v>
      </c>
    </row>
    <row r="35" spans="1:31" ht="13.5" thickBot="1" x14ac:dyDescent="0.25">
      <c r="A35" s="81" t="s">
        <v>259</v>
      </c>
      <c r="B35" s="82" t="s">
        <v>28</v>
      </c>
      <c r="C35" s="82">
        <v>14</v>
      </c>
      <c r="D35" s="82" t="s">
        <v>275</v>
      </c>
      <c r="E35" s="102">
        <f t="shared" si="5"/>
        <v>0.97067096880946468</v>
      </c>
      <c r="F35" s="65"/>
      <c r="G35" s="86" t="s">
        <v>268</v>
      </c>
      <c r="H35" s="4"/>
      <c r="I35" s="4"/>
      <c r="J35" s="4"/>
      <c r="L35" s="67"/>
      <c r="Q35" s="141" t="s">
        <v>302</v>
      </c>
      <c r="R35" s="142">
        <v>0.44575810739314115</v>
      </c>
      <c r="S35" s="143" t="s">
        <v>86</v>
      </c>
      <c r="W35" s="81" t="s">
        <v>258</v>
      </c>
      <c r="X35" s="82" t="s">
        <v>10</v>
      </c>
      <c r="Y35" s="82">
        <v>16</v>
      </c>
      <c r="Z35" s="82" t="s">
        <v>338</v>
      </c>
      <c r="AA35" s="102">
        <v>0.94699999999999995</v>
      </c>
      <c r="AC35" s="93" t="s">
        <v>79</v>
      </c>
      <c r="AD35" s="94">
        <f>COUNTIF(Y$70:Y$74,"&lt;13")</f>
        <v>1</v>
      </c>
      <c r="AE35" s="95">
        <f t="shared" si="6"/>
        <v>2.8571428571428571E-2</v>
      </c>
    </row>
    <row r="36" spans="1:31" x14ac:dyDescent="0.2">
      <c r="A36" s="81" t="s">
        <v>29</v>
      </c>
      <c r="B36" s="82" t="s">
        <v>28</v>
      </c>
      <c r="C36" s="82">
        <v>14</v>
      </c>
      <c r="D36" s="82" t="s">
        <v>286</v>
      </c>
      <c r="E36" s="102">
        <f t="shared" si="5"/>
        <v>0.72270267536539723</v>
      </c>
      <c r="F36" s="65"/>
      <c r="G36" s="140"/>
      <c r="H36" s="11"/>
      <c r="I36" s="11"/>
      <c r="J36" s="4"/>
      <c r="L36" s="67"/>
      <c r="Q36" s="141" t="s">
        <v>303</v>
      </c>
      <c r="R36" s="142">
        <v>0.96099371344273887</v>
      </c>
      <c r="S36" s="141" t="s">
        <v>371</v>
      </c>
      <c r="W36" s="79" t="s">
        <v>55</v>
      </c>
      <c r="X36" s="80" t="s">
        <v>49</v>
      </c>
      <c r="Y36" s="80">
        <v>13</v>
      </c>
      <c r="Z36" s="80" t="s">
        <v>278</v>
      </c>
      <c r="AA36" s="101">
        <v>0.9427287640364086</v>
      </c>
      <c r="AC36" s="88" t="s">
        <v>80</v>
      </c>
      <c r="AD36" s="89">
        <f>SUM(AD30:AD35)</f>
        <v>5</v>
      </c>
      <c r="AE36" s="90">
        <f t="shared" si="6"/>
        <v>0.14285714285714285</v>
      </c>
    </row>
    <row r="37" spans="1:31" x14ac:dyDescent="0.2">
      <c r="A37" s="81" t="s">
        <v>30</v>
      </c>
      <c r="B37" s="82" t="s">
        <v>28</v>
      </c>
      <c r="C37" s="82">
        <v>14</v>
      </c>
      <c r="D37" s="82" t="s">
        <v>285</v>
      </c>
      <c r="E37" s="102">
        <f t="shared" si="5"/>
        <v>0.91044690077830015</v>
      </c>
      <c r="F37" s="65"/>
      <c r="H37" s="12"/>
      <c r="I37" s="4"/>
      <c r="J37" s="11"/>
      <c r="Q37" s="141" t="s">
        <v>307</v>
      </c>
      <c r="R37" s="142">
        <v>0.84890438247011957</v>
      </c>
      <c r="S37" s="141" t="s">
        <v>371</v>
      </c>
      <c r="W37" s="79" t="s">
        <v>7</v>
      </c>
      <c r="X37" s="80" t="s">
        <v>2</v>
      </c>
      <c r="Y37" s="80">
        <v>17</v>
      </c>
      <c r="Z37" s="80" t="s">
        <v>328</v>
      </c>
      <c r="AA37" s="101">
        <v>0.93000422702993502</v>
      </c>
    </row>
    <row r="38" spans="1:31" x14ac:dyDescent="0.2">
      <c r="A38" s="81" t="s">
        <v>34</v>
      </c>
      <c r="B38" s="82" t="s">
        <v>28</v>
      </c>
      <c r="C38" s="82">
        <v>14</v>
      </c>
      <c r="D38" s="82" t="s">
        <v>294</v>
      </c>
      <c r="E38" s="102">
        <f t="shared" si="5"/>
        <v>1</v>
      </c>
      <c r="F38" s="65"/>
      <c r="H38" s="12"/>
      <c r="I38" s="4"/>
      <c r="J38" s="13"/>
      <c r="Q38" s="141" t="s">
        <v>308</v>
      </c>
      <c r="R38" s="142">
        <v>0.98237685298627964</v>
      </c>
      <c r="S38" s="141" t="s">
        <v>371</v>
      </c>
      <c r="W38" s="83" t="s">
        <v>15</v>
      </c>
      <c r="X38" s="80" t="s">
        <v>16</v>
      </c>
      <c r="Y38" s="80">
        <v>15</v>
      </c>
      <c r="Z38" s="80" t="s">
        <v>277</v>
      </c>
      <c r="AA38" s="101">
        <v>0.91262379340604238</v>
      </c>
    </row>
    <row r="39" spans="1:31" x14ac:dyDescent="0.2">
      <c r="A39" s="81" t="s">
        <v>36</v>
      </c>
      <c r="B39" s="82" t="s">
        <v>28</v>
      </c>
      <c r="C39" s="82">
        <v>14</v>
      </c>
      <c r="D39" s="82" t="s">
        <v>297</v>
      </c>
      <c r="E39" s="102">
        <f t="shared" si="5"/>
        <v>0.79472908539599674</v>
      </c>
      <c r="F39" s="65"/>
      <c r="H39" s="12"/>
      <c r="I39" s="4"/>
      <c r="J39" s="13"/>
      <c r="Q39" s="141" t="s">
        <v>309</v>
      </c>
      <c r="R39" s="142">
        <v>0.36017814864816144</v>
      </c>
      <c r="S39" s="143" t="s">
        <v>86</v>
      </c>
      <c r="W39" s="81" t="s">
        <v>30</v>
      </c>
      <c r="X39" s="82" t="s">
        <v>28</v>
      </c>
      <c r="Y39" s="82">
        <v>14</v>
      </c>
      <c r="Z39" s="82" t="s">
        <v>285</v>
      </c>
      <c r="AA39" s="102">
        <v>0.91044690077830015</v>
      </c>
    </row>
    <row r="40" spans="1:31" x14ac:dyDescent="0.2">
      <c r="A40" s="81" t="s">
        <v>11</v>
      </c>
      <c r="B40" s="82" t="s">
        <v>28</v>
      </c>
      <c r="C40" s="82">
        <v>14</v>
      </c>
      <c r="D40" s="82" t="s">
        <v>298</v>
      </c>
      <c r="E40" s="102">
        <f t="shared" si="5"/>
        <v>0.60422936152907691</v>
      </c>
      <c r="F40" s="65"/>
      <c r="H40" s="12"/>
      <c r="I40" s="4"/>
      <c r="J40" s="13"/>
      <c r="Q40" s="141" t="s">
        <v>310</v>
      </c>
      <c r="R40" s="142">
        <v>0.77794419936265724</v>
      </c>
      <c r="S40" s="143" t="s">
        <v>372</v>
      </c>
      <c r="W40" s="81" t="s">
        <v>62</v>
      </c>
      <c r="X40" s="82" t="s">
        <v>28</v>
      </c>
      <c r="Y40" s="82">
        <v>14</v>
      </c>
      <c r="Z40" s="82" t="s">
        <v>330</v>
      </c>
      <c r="AA40" s="102">
        <v>0.90975829351063098</v>
      </c>
    </row>
    <row r="41" spans="1:31" x14ac:dyDescent="0.2">
      <c r="A41" s="81" t="s">
        <v>261</v>
      </c>
      <c r="B41" s="82" t="s">
        <v>28</v>
      </c>
      <c r="C41" s="82">
        <v>14</v>
      </c>
      <c r="D41" s="82" t="s">
        <v>301</v>
      </c>
      <c r="E41" s="102">
        <f t="shared" si="5"/>
        <v>1.0333026830763428</v>
      </c>
      <c r="F41" s="69"/>
      <c r="H41" s="12"/>
      <c r="I41" s="4"/>
      <c r="J41" s="13"/>
      <c r="Q41" s="141" t="s">
        <v>369</v>
      </c>
      <c r="R41" s="142">
        <v>0.55330389203021169</v>
      </c>
      <c r="S41" s="143" t="s">
        <v>372</v>
      </c>
      <c r="W41" s="79" t="s">
        <v>60</v>
      </c>
      <c r="X41" s="80" t="s">
        <v>49</v>
      </c>
      <c r="Y41" s="80">
        <v>13</v>
      </c>
      <c r="Z41" s="80" t="s">
        <v>284</v>
      </c>
      <c r="AA41" s="101">
        <v>0.90135028841111697</v>
      </c>
    </row>
    <row r="42" spans="1:31" x14ac:dyDescent="0.2">
      <c r="A42" s="81" t="s">
        <v>38</v>
      </c>
      <c r="B42" s="82" t="s">
        <v>28</v>
      </c>
      <c r="C42" s="82">
        <v>14</v>
      </c>
      <c r="D42" s="82" t="s">
        <v>300</v>
      </c>
      <c r="E42" s="102" t="s">
        <v>373</v>
      </c>
      <c r="F42" s="65"/>
      <c r="H42" s="12"/>
      <c r="I42" s="4"/>
      <c r="J42" s="13"/>
      <c r="Q42" s="141" t="s">
        <v>311</v>
      </c>
      <c r="R42" s="142">
        <v>0.58034319753835939</v>
      </c>
      <c r="S42" s="143" t="s">
        <v>372</v>
      </c>
      <c r="W42" s="81" t="s">
        <v>3</v>
      </c>
      <c r="X42" s="82" t="s">
        <v>10</v>
      </c>
      <c r="Y42" s="82">
        <v>16</v>
      </c>
      <c r="Z42" s="82" t="s">
        <v>292</v>
      </c>
      <c r="AA42" s="102">
        <v>0.89410444897115693</v>
      </c>
    </row>
    <row r="43" spans="1:31" x14ac:dyDescent="0.2">
      <c r="A43" s="81" t="s">
        <v>20</v>
      </c>
      <c r="B43" s="82" t="s">
        <v>28</v>
      </c>
      <c r="C43" s="82">
        <v>14</v>
      </c>
      <c r="D43" s="82" t="s">
        <v>303</v>
      </c>
      <c r="E43" s="102">
        <f t="shared" ref="E43:E56" si="7">VLOOKUP($D43,$Q$7:$R$69,2,0)</f>
        <v>0.96099371344273887</v>
      </c>
      <c r="F43" s="65"/>
      <c r="H43" s="4"/>
      <c r="I43" s="4"/>
      <c r="J43" s="4"/>
      <c r="Q43" s="141" t="s">
        <v>313</v>
      </c>
      <c r="R43" s="142">
        <v>0.99706741779950658</v>
      </c>
      <c r="S43" s="141" t="s">
        <v>371</v>
      </c>
      <c r="W43" s="81" t="s">
        <v>42</v>
      </c>
      <c r="X43" s="82" t="s">
        <v>65</v>
      </c>
      <c r="Y43" s="82">
        <v>10</v>
      </c>
      <c r="Z43" s="82" t="s">
        <v>321</v>
      </c>
      <c r="AA43" s="102">
        <v>0.89259170051200387</v>
      </c>
    </row>
    <row r="44" spans="1:31" x14ac:dyDescent="0.2">
      <c r="A44" s="81" t="s">
        <v>513</v>
      </c>
      <c r="B44" s="82" t="s">
        <v>28</v>
      </c>
      <c r="C44" s="82">
        <v>14</v>
      </c>
      <c r="D44" s="82" t="s">
        <v>512</v>
      </c>
      <c r="E44" s="102">
        <f t="shared" si="7"/>
        <v>0.9619710194413027</v>
      </c>
      <c r="F44" s="65"/>
      <c r="H44" s="4"/>
      <c r="I44" s="4"/>
      <c r="J44" s="4"/>
      <c r="Q44" s="141" t="s">
        <v>512</v>
      </c>
      <c r="R44" s="142">
        <v>0.9619710194413027</v>
      </c>
      <c r="S44" s="141" t="s">
        <v>371</v>
      </c>
      <c r="W44" s="79" t="s">
        <v>264</v>
      </c>
      <c r="X44" s="80" t="s">
        <v>2</v>
      </c>
      <c r="Y44" s="80">
        <v>17</v>
      </c>
      <c r="Z44" s="80" t="s">
        <v>283</v>
      </c>
      <c r="AA44" s="101">
        <v>0.87497195036407094</v>
      </c>
    </row>
    <row r="45" spans="1:31" x14ac:dyDescent="0.2">
      <c r="A45" s="81" t="s">
        <v>66</v>
      </c>
      <c r="B45" s="82" t="s">
        <v>28</v>
      </c>
      <c r="C45" s="82">
        <v>14</v>
      </c>
      <c r="D45" s="82" t="s">
        <v>315</v>
      </c>
      <c r="E45" s="102">
        <f t="shared" si="7"/>
        <v>0.99458022018280356</v>
      </c>
      <c r="F45" s="65"/>
      <c r="H45" s="4"/>
      <c r="I45" s="4"/>
      <c r="J45" s="4"/>
      <c r="Q45" s="141" t="s">
        <v>314</v>
      </c>
      <c r="R45" s="142">
        <v>0.99872589064335693</v>
      </c>
      <c r="S45" s="141" t="s">
        <v>371</v>
      </c>
      <c r="W45" s="83" t="s">
        <v>257</v>
      </c>
      <c r="X45" s="80" t="s">
        <v>16</v>
      </c>
      <c r="Y45" s="80">
        <v>15</v>
      </c>
      <c r="Z45" s="80" t="s">
        <v>320</v>
      </c>
      <c r="AA45" s="101">
        <v>0.85164553720066594</v>
      </c>
    </row>
    <row r="46" spans="1:31" x14ac:dyDescent="0.2">
      <c r="A46" s="81" t="s">
        <v>24</v>
      </c>
      <c r="B46" s="82" t="s">
        <v>28</v>
      </c>
      <c r="C46" s="82">
        <v>14</v>
      </c>
      <c r="D46" s="82" t="s">
        <v>324</v>
      </c>
      <c r="E46" s="102">
        <f t="shared" si="7"/>
        <v>1</v>
      </c>
      <c r="F46" s="69"/>
      <c r="G46" s="66"/>
      <c r="J46" s="67"/>
      <c r="Q46" s="141" t="s">
        <v>315</v>
      </c>
      <c r="R46" s="142">
        <v>0.99458022018280356</v>
      </c>
      <c r="S46" s="141" t="s">
        <v>371</v>
      </c>
      <c r="W46" s="83" t="s">
        <v>26</v>
      </c>
      <c r="X46" s="80" t="s">
        <v>16</v>
      </c>
      <c r="Y46" s="80">
        <v>15</v>
      </c>
      <c r="Z46" s="80" t="s">
        <v>336</v>
      </c>
      <c r="AA46" s="101">
        <v>0.84932154135723226</v>
      </c>
    </row>
    <row r="47" spans="1:31" x14ac:dyDescent="0.2">
      <c r="A47" s="81" t="s">
        <v>45</v>
      </c>
      <c r="B47" s="82" t="s">
        <v>28</v>
      </c>
      <c r="C47" s="82">
        <v>14</v>
      </c>
      <c r="D47" s="82" t="s">
        <v>319</v>
      </c>
      <c r="E47" s="102">
        <f t="shared" si="7"/>
        <v>0.57546119039331711</v>
      </c>
      <c r="F47" s="69"/>
      <c r="G47" s="66"/>
      <c r="I47" s="66"/>
      <c r="J47" s="66"/>
      <c r="Q47" s="141" t="s">
        <v>316</v>
      </c>
      <c r="R47" s="142">
        <v>0.75386351438754873</v>
      </c>
      <c r="S47" s="143" t="s">
        <v>372</v>
      </c>
      <c r="W47" s="83" t="s">
        <v>17</v>
      </c>
      <c r="X47" s="80" t="s">
        <v>16</v>
      </c>
      <c r="Y47" s="80">
        <v>15</v>
      </c>
      <c r="Z47" s="80" t="s">
        <v>307</v>
      </c>
      <c r="AA47" s="101">
        <v>0.84890438247011957</v>
      </c>
    </row>
    <row r="48" spans="1:31" x14ac:dyDescent="0.2">
      <c r="A48" s="81" t="s">
        <v>62</v>
      </c>
      <c r="B48" s="82" t="s">
        <v>28</v>
      </c>
      <c r="C48" s="82">
        <v>14</v>
      </c>
      <c r="D48" s="82" t="s">
        <v>330</v>
      </c>
      <c r="E48" s="102">
        <f t="shared" si="7"/>
        <v>0.90975829351063098</v>
      </c>
      <c r="F48" s="65"/>
      <c r="G48" s="66"/>
      <c r="I48" s="66"/>
      <c r="J48" s="66"/>
      <c r="Q48" s="141" t="s">
        <v>317</v>
      </c>
      <c r="R48" s="142">
        <v>0.63819230650865855</v>
      </c>
      <c r="S48" s="143" t="s">
        <v>372</v>
      </c>
      <c r="W48" s="79" t="s">
        <v>9</v>
      </c>
      <c r="X48" s="80" t="s">
        <v>49</v>
      </c>
      <c r="Y48" s="80">
        <v>13</v>
      </c>
      <c r="Z48" s="80" t="s">
        <v>274</v>
      </c>
      <c r="AA48" s="101">
        <v>0.82576712904581762</v>
      </c>
    </row>
    <row r="49" spans="1:27" x14ac:dyDescent="0.2">
      <c r="A49" s="81" t="s">
        <v>75</v>
      </c>
      <c r="B49" s="82" t="s">
        <v>28</v>
      </c>
      <c r="C49" s="82">
        <v>14</v>
      </c>
      <c r="D49" s="82" t="s">
        <v>332</v>
      </c>
      <c r="E49" s="102">
        <f t="shared" si="7"/>
        <v>0.9915841495030967</v>
      </c>
      <c r="F49" s="65"/>
      <c r="G49" s="67"/>
      <c r="I49" s="66"/>
      <c r="J49" s="66"/>
      <c r="Q49" s="141" t="s">
        <v>318</v>
      </c>
      <c r="R49" s="142">
        <v>0.99967400162999187</v>
      </c>
      <c r="S49" s="141" t="s">
        <v>371</v>
      </c>
      <c r="W49" s="83" t="s">
        <v>31</v>
      </c>
      <c r="X49" s="80" t="s">
        <v>16</v>
      </c>
      <c r="Y49" s="80">
        <v>15</v>
      </c>
      <c r="Z49" s="110" t="s">
        <v>289</v>
      </c>
      <c r="AA49" s="111">
        <v>0.81467245298615421</v>
      </c>
    </row>
    <row r="50" spans="1:27" x14ac:dyDescent="0.2">
      <c r="A50" s="81" t="s">
        <v>59</v>
      </c>
      <c r="B50" s="82" t="s">
        <v>28</v>
      </c>
      <c r="C50" s="82">
        <v>14</v>
      </c>
      <c r="D50" s="82" t="s">
        <v>337</v>
      </c>
      <c r="E50" s="102">
        <f t="shared" si="7"/>
        <v>1</v>
      </c>
      <c r="F50" s="69"/>
      <c r="G50" s="67"/>
      <c r="H50" s="4"/>
      <c r="I50" s="67"/>
      <c r="J50" s="67"/>
      <c r="Q50" s="141" t="s">
        <v>319</v>
      </c>
      <c r="R50" s="142">
        <v>0.57546119039331711</v>
      </c>
      <c r="S50" s="143" t="s">
        <v>372</v>
      </c>
      <c r="W50" s="81" t="s">
        <v>36</v>
      </c>
      <c r="X50" s="82" t="s">
        <v>28</v>
      </c>
      <c r="Y50" s="82">
        <v>14</v>
      </c>
      <c r="Z50" s="82" t="s">
        <v>297</v>
      </c>
      <c r="AA50" s="102">
        <v>0.79472908539599674</v>
      </c>
    </row>
    <row r="51" spans="1:27" x14ac:dyDescent="0.2">
      <c r="A51" s="79" t="s">
        <v>67</v>
      </c>
      <c r="B51" s="80" t="s">
        <v>49</v>
      </c>
      <c r="C51" s="80">
        <v>13</v>
      </c>
      <c r="D51" s="80" t="s">
        <v>279</v>
      </c>
      <c r="E51" s="101">
        <f t="shared" si="7"/>
        <v>0.62875460562079877</v>
      </c>
      <c r="F51" s="69"/>
      <c r="H51" s="4"/>
      <c r="I51" s="67"/>
      <c r="J51" s="67"/>
      <c r="Q51" s="141" t="s">
        <v>320</v>
      </c>
      <c r="R51" s="142">
        <v>0.85164553720066594</v>
      </c>
      <c r="S51" s="141" t="s">
        <v>371</v>
      </c>
      <c r="W51" s="79" t="s">
        <v>57</v>
      </c>
      <c r="X51" s="80" t="s">
        <v>49</v>
      </c>
      <c r="Y51" s="80">
        <v>13</v>
      </c>
      <c r="Z51" s="80" t="s">
        <v>296</v>
      </c>
      <c r="AA51" s="101">
        <v>0.78356336260978665</v>
      </c>
    </row>
    <row r="52" spans="1:27" x14ac:dyDescent="0.2">
      <c r="A52" s="79" t="s">
        <v>9</v>
      </c>
      <c r="B52" s="80" t="s">
        <v>49</v>
      </c>
      <c r="C52" s="80">
        <v>13</v>
      </c>
      <c r="D52" s="80" t="s">
        <v>274</v>
      </c>
      <c r="E52" s="101">
        <f t="shared" si="7"/>
        <v>0.82576712904581762</v>
      </c>
      <c r="F52" s="69"/>
      <c r="Q52" s="141" t="s">
        <v>321</v>
      </c>
      <c r="R52" s="142">
        <v>0.89259170051200387</v>
      </c>
      <c r="S52" s="141" t="s">
        <v>371</v>
      </c>
      <c r="W52" s="79" t="s">
        <v>263</v>
      </c>
      <c r="X52" s="80" t="s">
        <v>108</v>
      </c>
      <c r="Y52" s="80">
        <v>19</v>
      </c>
      <c r="Z52" s="80" t="s">
        <v>310</v>
      </c>
      <c r="AA52" s="101">
        <v>0.77794419936265724</v>
      </c>
    </row>
    <row r="53" spans="1:27" x14ac:dyDescent="0.2">
      <c r="A53" s="79" t="s">
        <v>55</v>
      </c>
      <c r="B53" s="80" t="s">
        <v>49</v>
      </c>
      <c r="C53" s="80">
        <v>13</v>
      </c>
      <c r="D53" s="80" t="s">
        <v>278</v>
      </c>
      <c r="E53" s="101">
        <f t="shared" si="7"/>
        <v>0.9427287640364086</v>
      </c>
      <c r="F53" s="69"/>
      <c r="Q53" s="141" t="s">
        <v>322</v>
      </c>
      <c r="R53" s="142">
        <v>0.97501693766937669</v>
      </c>
      <c r="S53" s="141" t="s">
        <v>371</v>
      </c>
      <c r="W53" s="83" t="s">
        <v>13</v>
      </c>
      <c r="X53" s="80" t="s">
        <v>16</v>
      </c>
      <c r="Y53" s="80">
        <v>15</v>
      </c>
      <c r="Z53" s="80" t="s">
        <v>327</v>
      </c>
      <c r="AA53" s="101">
        <v>0.77327600463039525</v>
      </c>
    </row>
    <row r="54" spans="1:27" x14ac:dyDescent="0.2">
      <c r="A54" s="79" t="s">
        <v>48</v>
      </c>
      <c r="B54" s="80" t="s">
        <v>49</v>
      </c>
      <c r="C54" s="80">
        <v>13</v>
      </c>
      <c r="D54" s="80" t="s">
        <v>280</v>
      </c>
      <c r="E54" s="101">
        <f t="shared" si="7"/>
        <v>0.70643925978729205</v>
      </c>
      <c r="F54" s="65"/>
      <c r="Q54" s="141" t="s">
        <v>323</v>
      </c>
      <c r="R54" s="142">
        <v>0.64890043729006908</v>
      </c>
      <c r="S54" s="143" t="s">
        <v>372</v>
      </c>
      <c r="W54" s="83" t="s">
        <v>21</v>
      </c>
      <c r="X54" s="80" t="s">
        <v>16</v>
      </c>
      <c r="Y54" s="80">
        <v>15</v>
      </c>
      <c r="Z54" s="80" t="s">
        <v>316</v>
      </c>
      <c r="AA54" s="101">
        <v>0.75386351438754873</v>
      </c>
    </row>
    <row r="55" spans="1:27" x14ac:dyDescent="0.2">
      <c r="A55" s="79" t="s">
        <v>60</v>
      </c>
      <c r="B55" s="80" t="s">
        <v>49</v>
      </c>
      <c r="C55" s="80">
        <v>13</v>
      </c>
      <c r="D55" s="80" t="s">
        <v>284</v>
      </c>
      <c r="E55" s="101">
        <f t="shared" si="7"/>
        <v>0.90135028841111697</v>
      </c>
      <c r="F55" s="65"/>
      <c r="Q55" s="141" t="s">
        <v>324</v>
      </c>
      <c r="R55" s="142">
        <v>1</v>
      </c>
      <c r="S55" s="141" t="s">
        <v>371</v>
      </c>
      <c r="W55" s="81" t="s">
        <v>32</v>
      </c>
      <c r="X55" s="82" t="s">
        <v>10</v>
      </c>
      <c r="Y55" s="82">
        <v>16</v>
      </c>
      <c r="Z55" s="82" t="s">
        <v>290</v>
      </c>
      <c r="AA55" s="102">
        <v>0.7497019635343618</v>
      </c>
    </row>
    <row r="56" spans="1:27" x14ac:dyDescent="0.2">
      <c r="A56" s="83" t="s">
        <v>260</v>
      </c>
      <c r="B56" s="110" t="s">
        <v>49</v>
      </c>
      <c r="C56" s="110">
        <v>13</v>
      </c>
      <c r="D56" s="110" t="s">
        <v>282</v>
      </c>
      <c r="E56" s="111">
        <f t="shared" si="7"/>
        <v>0.27216238256230779</v>
      </c>
      <c r="F56" s="65"/>
      <c r="Q56" s="141" t="s">
        <v>325</v>
      </c>
      <c r="R56" s="142">
        <v>0.42404692082111439</v>
      </c>
      <c r="S56" s="143" t="s">
        <v>86</v>
      </c>
      <c r="W56" s="83" t="s">
        <v>52</v>
      </c>
      <c r="X56" s="80" t="s">
        <v>16</v>
      </c>
      <c r="Y56" s="80">
        <v>15</v>
      </c>
      <c r="Z56" s="80" t="s">
        <v>281</v>
      </c>
      <c r="AA56" s="101">
        <v>0.7469877361024081</v>
      </c>
    </row>
    <row r="57" spans="1:27" x14ac:dyDescent="0.2">
      <c r="A57" s="79" t="s">
        <v>262</v>
      </c>
      <c r="B57" s="80" t="s">
        <v>49</v>
      </c>
      <c r="C57" s="80">
        <v>13</v>
      </c>
      <c r="D57" s="80" t="s">
        <v>185</v>
      </c>
      <c r="E57" s="101" t="s">
        <v>373</v>
      </c>
      <c r="F57" s="69"/>
      <c r="Q57" s="141" t="s">
        <v>326</v>
      </c>
      <c r="R57" s="142">
        <v>0.99417211067658851</v>
      </c>
      <c r="S57" s="141" t="s">
        <v>371</v>
      </c>
      <c r="W57" s="81" t="s">
        <v>29</v>
      </c>
      <c r="X57" s="82" t="s">
        <v>28</v>
      </c>
      <c r="Y57" s="82">
        <v>14</v>
      </c>
      <c r="Z57" s="82" t="s">
        <v>286</v>
      </c>
      <c r="AA57" s="102">
        <v>0.72270267536539723</v>
      </c>
    </row>
    <row r="58" spans="1:27" x14ac:dyDescent="0.2">
      <c r="A58" s="79" t="s">
        <v>57</v>
      </c>
      <c r="B58" s="80" t="s">
        <v>49</v>
      </c>
      <c r="C58" s="80">
        <v>13</v>
      </c>
      <c r="D58" s="80" t="s">
        <v>296</v>
      </c>
      <c r="E58" s="101">
        <f t="shared" ref="E58:E74" si="8">VLOOKUP($D58,$Q$7:$R$69,2,0)</f>
        <v>0.78356336260978665</v>
      </c>
      <c r="F58" s="65"/>
      <c r="Q58" s="141" t="s">
        <v>327</v>
      </c>
      <c r="R58" s="142">
        <v>0.77327600463039525</v>
      </c>
      <c r="S58" s="143" t="s">
        <v>372</v>
      </c>
      <c r="W58" s="79" t="s">
        <v>48</v>
      </c>
      <c r="X58" s="80" t="s">
        <v>49</v>
      </c>
      <c r="Y58" s="80">
        <v>13</v>
      </c>
      <c r="Z58" s="80" t="s">
        <v>280</v>
      </c>
      <c r="AA58" s="101">
        <v>0.70643925978729205</v>
      </c>
    </row>
    <row r="59" spans="1:27" x14ac:dyDescent="0.2">
      <c r="A59" s="79" t="s">
        <v>35</v>
      </c>
      <c r="B59" s="80" t="s">
        <v>49</v>
      </c>
      <c r="C59" s="80">
        <v>13</v>
      </c>
      <c r="D59" s="80" t="s">
        <v>293</v>
      </c>
      <c r="E59" s="101">
        <f t="shared" si="8"/>
        <v>1.0293089747728885</v>
      </c>
      <c r="F59" s="65"/>
      <c r="Q59" s="141" t="s">
        <v>328</v>
      </c>
      <c r="R59" s="142">
        <v>0.93000422702993502</v>
      </c>
      <c r="S59" s="141" t="s">
        <v>371</v>
      </c>
      <c r="W59" s="79" t="s">
        <v>51</v>
      </c>
      <c r="X59" s="80" t="s">
        <v>49</v>
      </c>
      <c r="Y59" s="80">
        <v>13</v>
      </c>
      <c r="Z59" s="80" t="s">
        <v>299</v>
      </c>
      <c r="AA59" s="101">
        <v>0.66983442164179108</v>
      </c>
    </row>
    <row r="60" spans="1:27" x14ac:dyDescent="0.2">
      <c r="A60" s="79" t="s">
        <v>51</v>
      </c>
      <c r="B60" s="80" t="s">
        <v>49</v>
      </c>
      <c r="C60" s="80">
        <v>13</v>
      </c>
      <c r="D60" s="80" t="s">
        <v>299</v>
      </c>
      <c r="E60" s="101">
        <f t="shared" si="8"/>
        <v>0.66983442164179108</v>
      </c>
      <c r="F60" s="65"/>
      <c r="Q60" s="141" t="s">
        <v>329</v>
      </c>
      <c r="R60" s="142">
        <v>0.614337822671156</v>
      </c>
      <c r="S60" s="143" t="s">
        <v>372</v>
      </c>
      <c r="W60" s="83" t="s">
        <v>254</v>
      </c>
      <c r="X60" s="80" t="s">
        <v>16</v>
      </c>
      <c r="Y60" s="80">
        <v>15</v>
      </c>
      <c r="Z60" s="80" t="s">
        <v>331</v>
      </c>
      <c r="AA60" s="101">
        <v>0.66731657086909912</v>
      </c>
    </row>
    <row r="61" spans="1:27" x14ac:dyDescent="0.2">
      <c r="A61" s="83" t="s">
        <v>39</v>
      </c>
      <c r="B61" s="80" t="s">
        <v>49</v>
      </c>
      <c r="C61" s="80">
        <v>13</v>
      </c>
      <c r="D61" s="110" t="s">
        <v>302</v>
      </c>
      <c r="E61" s="111">
        <f>VLOOKUP($D61,$Q$7:$R$69,2,0)</f>
        <v>0.44575810739314115</v>
      </c>
      <c r="F61" s="65"/>
      <c r="Q61" s="141" t="s">
        <v>330</v>
      </c>
      <c r="R61" s="142">
        <v>0.90975829351063098</v>
      </c>
      <c r="S61" s="141" t="s">
        <v>371</v>
      </c>
      <c r="W61" s="83" t="s">
        <v>23</v>
      </c>
      <c r="X61" s="110" t="s">
        <v>16</v>
      </c>
      <c r="Y61" s="110">
        <v>15</v>
      </c>
      <c r="Z61" s="110" t="s">
        <v>323</v>
      </c>
      <c r="AA61" s="111">
        <v>0.64890043729006908</v>
      </c>
    </row>
    <row r="62" spans="1:27" x14ac:dyDescent="0.2">
      <c r="A62" s="79" t="s">
        <v>58</v>
      </c>
      <c r="B62" s="80" t="s">
        <v>49</v>
      </c>
      <c r="C62" s="80">
        <v>13</v>
      </c>
      <c r="D62" s="80" t="s">
        <v>276</v>
      </c>
      <c r="E62" s="101">
        <f t="shared" si="8"/>
        <v>1</v>
      </c>
      <c r="F62" s="65"/>
      <c r="Q62" s="141" t="s">
        <v>331</v>
      </c>
      <c r="R62" s="142">
        <v>0.66731657086909912</v>
      </c>
      <c r="S62" s="143" t="s">
        <v>372</v>
      </c>
      <c r="W62" s="79" t="s">
        <v>22</v>
      </c>
      <c r="X62" s="80" t="s">
        <v>49</v>
      </c>
      <c r="Y62" s="80">
        <v>13</v>
      </c>
      <c r="Z62" s="80" t="s">
        <v>317</v>
      </c>
      <c r="AA62" s="101">
        <v>0.63819230650865855</v>
      </c>
    </row>
    <row r="63" spans="1:27" x14ac:dyDescent="0.2">
      <c r="A63" s="79" t="s">
        <v>40</v>
      </c>
      <c r="B63" s="80" t="s">
        <v>49</v>
      </c>
      <c r="C63" s="80">
        <v>13</v>
      </c>
      <c r="D63" s="80" t="s">
        <v>311</v>
      </c>
      <c r="E63" s="101">
        <f t="shared" si="8"/>
        <v>0.58034319753835939</v>
      </c>
      <c r="F63" s="65"/>
      <c r="Q63" s="141" t="s">
        <v>332</v>
      </c>
      <c r="R63" s="142">
        <v>0.9915841495030967</v>
      </c>
      <c r="S63" s="141" t="s">
        <v>371</v>
      </c>
      <c r="W63" s="79" t="s">
        <v>67</v>
      </c>
      <c r="X63" s="80" t="s">
        <v>49</v>
      </c>
      <c r="Y63" s="80">
        <v>13</v>
      </c>
      <c r="Z63" s="80" t="s">
        <v>279</v>
      </c>
      <c r="AA63" s="101">
        <v>0.62875460562079877</v>
      </c>
    </row>
    <row r="64" spans="1:27" x14ac:dyDescent="0.2">
      <c r="A64" s="79" t="s">
        <v>22</v>
      </c>
      <c r="B64" s="80" t="s">
        <v>49</v>
      </c>
      <c r="C64" s="80">
        <v>13</v>
      </c>
      <c r="D64" s="80" t="s">
        <v>317</v>
      </c>
      <c r="E64" s="101">
        <f t="shared" si="8"/>
        <v>0.63819230650865855</v>
      </c>
      <c r="F64" s="65"/>
      <c r="Q64" s="141" t="s">
        <v>333</v>
      </c>
      <c r="R64" s="142">
        <v>0.97028603165787286</v>
      </c>
      <c r="S64" s="141" t="s">
        <v>371</v>
      </c>
      <c r="W64" s="83" t="s">
        <v>25</v>
      </c>
      <c r="X64" s="80" t="s">
        <v>16</v>
      </c>
      <c r="Y64" s="80">
        <v>15</v>
      </c>
      <c r="Z64" s="80" t="s">
        <v>329</v>
      </c>
      <c r="AA64" s="101">
        <v>0.614337822671156</v>
      </c>
    </row>
    <row r="65" spans="1:27" x14ac:dyDescent="0.2">
      <c r="A65" s="79" t="s">
        <v>41</v>
      </c>
      <c r="B65" s="80" t="s">
        <v>49</v>
      </c>
      <c r="C65" s="80">
        <v>13</v>
      </c>
      <c r="D65" s="80" t="s">
        <v>322</v>
      </c>
      <c r="E65" s="101">
        <f t="shared" si="8"/>
        <v>0.97501693766937669</v>
      </c>
      <c r="F65" s="65"/>
      <c r="Q65" s="141" t="s">
        <v>334</v>
      </c>
      <c r="R65" s="142">
        <v>0.98634859349145065</v>
      </c>
      <c r="S65" s="141" t="s">
        <v>371</v>
      </c>
      <c r="W65" s="81" t="s">
        <v>11</v>
      </c>
      <c r="X65" s="82" t="s">
        <v>28</v>
      </c>
      <c r="Y65" s="82">
        <v>14</v>
      </c>
      <c r="Z65" s="82" t="s">
        <v>298</v>
      </c>
      <c r="AA65" s="102">
        <v>0.60422936152907691</v>
      </c>
    </row>
    <row r="66" spans="1:27" x14ac:dyDescent="0.2">
      <c r="A66" s="81" t="s">
        <v>54</v>
      </c>
      <c r="B66" s="82" t="s">
        <v>56</v>
      </c>
      <c r="C66" s="82">
        <v>12</v>
      </c>
      <c r="D66" s="82" t="s">
        <v>326</v>
      </c>
      <c r="E66" s="102">
        <f t="shared" si="8"/>
        <v>0.99417211067658851</v>
      </c>
      <c r="F66" s="69"/>
      <c r="Q66" s="141" t="s">
        <v>335</v>
      </c>
      <c r="R66" s="142">
        <v>0.96644084643352246</v>
      </c>
      <c r="S66" s="141" t="s">
        <v>371</v>
      </c>
      <c r="W66" s="81" t="s">
        <v>18</v>
      </c>
      <c r="X66" s="82" t="s">
        <v>10</v>
      </c>
      <c r="Y66" s="82">
        <v>16</v>
      </c>
      <c r="Z66" s="82" t="s">
        <v>86</v>
      </c>
      <c r="AA66" s="102">
        <v>0.58142655748172922</v>
      </c>
    </row>
    <row r="67" spans="1:27" x14ac:dyDescent="0.2">
      <c r="A67" s="79" t="s">
        <v>266</v>
      </c>
      <c r="B67" s="80" t="s">
        <v>61</v>
      </c>
      <c r="C67" s="80">
        <v>11</v>
      </c>
      <c r="D67" s="80" t="s">
        <v>314</v>
      </c>
      <c r="E67" s="101">
        <f t="shared" si="8"/>
        <v>0.99872589064335693</v>
      </c>
      <c r="F67" s="69"/>
      <c r="Q67" s="141" t="s">
        <v>336</v>
      </c>
      <c r="R67" s="142">
        <v>0.84932154135723226</v>
      </c>
      <c r="S67" s="141" t="s">
        <v>371</v>
      </c>
      <c r="W67" s="79" t="s">
        <v>40</v>
      </c>
      <c r="X67" s="80" t="s">
        <v>49</v>
      </c>
      <c r="Y67" s="80">
        <v>13</v>
      </c>
      <c r="Z67" s="80" t="s">
        <v>311</v>
      </c>
      <c r="AA67" s="101">
        <v>0.58034319753835939</v>
      </c>
    </row>
    <row r="68" spans="1:27" x14ac:dyDescent="0.2">
      <c r="A68" s="81" t="s">
        <v>42</v>
      </c>
      <c r="B68" s="82" t="s">
        <v>65</v>
      </c>
      <c r="C68" s="82">
        <v>10</v>
      </c>
      <c r="D68" s="82" t="s">
        <v>321</v>
      </c>
      <c r="E68" s="102">
        <f t="shared" si="8"/>
        <v>0.89259170051200387</v>
      </c>
      <c r="F68" s="69"/>
      <c r="G68" s="66"/>
      <c r="Q68" s="141" t="s">
        <v>337</v>
      </c>
      <c r="R68" s="142">
        <v>1</v>
      </c>
      <c r="S68" s="141" t="s">
        <v>371</v>
      </c>
      <c r="W68" s="81" t="s">
        <v>45</v>
      </c>
      <c r="X68" s="82" t="s">
        <v>28</v>
      </c>
      <c r="Y68" s="82">
        <v>14</v>
      </c>
      <c r="Z68" s="82" t="s">
        <v>319</v>
      </c>
      <c r="AA68" s="102">
        <v>0.57546119039331711</v>
      </c>
    </row>
    <row r="69" spans="1:27" ht="13.5" thickBot="1" x14ac:dyDescent="0.25">
      <c r="A69" s="147" t="s">
        <v>249</v>
      </c>
      <c r="B69" s="148" t="s">
        <v>123</v>
      </c>
      <c r="C69" s="148">
        <v>6</v>
      </c>
      <c r="D69" s="148" t="s">
        <v>295</v>
      </c>
      <c r="E69" s="149">
        <f t="shared" si="8"/>
        <v>0.27230062686467099</v>
      </c>
      <c r="F69" s="69"/>
      <c r="Q69" s="141" t="s">
        <v>338</v>
      </c>
      <c r="R69" s="142">
        <v>0.94699999999999995</v>
      </c>
      <c r="S69" s="141" t="s">
        <v>371</v>
      </c>
      <c r="W69" s="154" t="s">
        <v>370</v>
      </c>
      <c r="X69" s="156" t="s">
        <v>10</v>
      </c>
      <c r="Y69" s="156">
        <v>16</v>
      </c>
      <c r="Z69" s="156" t="s">
        <v>369</v>
      </c>
      <c r="AA69" s="159">
        <v>0.55330389203021169</v>
      </c>
    </row>
    <row r="70" spans="1:27" x14ac:dyDescent="0.2">
      <c r="A70" s="79" t="s">
        <v>263</v>
      </c>
      <c r="B70" s="80" t="s">
        <v>108</v>
      </c>
      <c r="C70" s="80">
        <v>19</v>
      </c>
      <c r="D70" s="80" t="s">
        <v>310</v>
      </c>
      <c r="E70" s="101">
        <f t="shared" si="8"/>
        <v>0.77794419936265724</v>
      </c>
      <c r="F70" s="69"/>
      <c r="G70" s="66"/>
      <c r="Q70" s="99"/>
      <c r="R70" s="98"/>
      <c r="S70" s="97"/>
      <c r="W70" s="83" t="s">
        <v>39</v>
      </c>
      <c r="X70" s="80" t="s">
        <v>49</v>
      </c>
      <c r="Y70" s="80">
        <v>13</v>
      </c>
      <c r="Z70" s="110" t="s">
        <v>302</v>
      </c>
      <c r="AA70" s="111">
        <v>0.44575810739314115</v>
      </c>
    </row>
    <row r="71" spans="1:27" x14ac:dyDescent="0.2">
      <c r="A71" s="79" t="s">
        <v>264</v>
      </c>
      <c r="B71" s="80" t="s">
        <v>2</v>
      </c>
      <c r="C71" s="80">
        <v>17</v>
      </c>
      <c r="D71" s="80" t="s">
        <v>283</v>
      </c>
      <c r="E71" s="101">
        <f t="shared" si="8"/>
        <v>0.87497195036407094</v>
      </c>
      <c r="F71" s="65"/>
      <c r="Q71" s="99"/>
      <c r="R71" s="98"/>
      <c r="S71" s="97"/>
      <c r="W71" s="83" t="s">
        <v>43</v>
      </c>
      <c r="X71" s="80" t="s">
        <v>16</v>
      </c>
      <c r="Y71" s="80">
        <v>15</v>
      </c>
      <c r="Z71" s="110" t="s">
        <v>325</v>
      </c>
      <c r="AA71" s="111">
        <v>0.42404692082111439</v>
      </c>
    </row>
    <row r="72" spans="1:27" x14ac:dyDescent="0.2">
      <c r="A72" s="83" t="s">
        <v>265</v>
      </c>
      <c r="B72" s="110" t="s">
        <v>56</v>
      </c>
      <c r="C72" s="110">
        <v>12</v>
      </c>
      <c r="D72" s="110" t="s">
        <v>333</v>
      </c>
      <c r="E72" s="111">
        <f t="shared" si="8"/>
        <v>0.97028603165787286</v>
      </c>
      <c r="F72" s="69"/>
      <c r="Q72" s="99"/>
      <c r="R72" s="98"/>
      <c r="S72" s="97"/>
      <c r="W72" s="83" t="s">
        <v>12</v>
      </c>
      <c r="X72" s="80" t="s">
        <v>16</v>
      </c>
      <c r="Y72" s="80">
        <v>15</v>
      </c>
      <c r="Z72" s="80" t="s">
        <v>309</v>
      </c>
      <c r="AA72" s="101">
        <v>0.36017814864816144</v>
      </c>
    </row>
    <row r="73" spans="1:27" x14ac:dyDescent="0.2">
      <c r="A73" s="83" t="s">
        <v>50</v>
      </c>
      <c r="B73" s="84" t="s">
        <v>373</v>
      </c>
      <c r="C73" s="84"/>
      <c r="D73" s="110" t="s">
        <v>287</v>
      </c>
      <c r="E73" s="111">
        <f t="shared" si="8"/>
        <v>0.99675869094774683</v>
      </c>
      <c r="F73" s="12"/>
      <c r="Q73" s="99"/>
      <c r="R73" s="98"/>
      <c r="S73" s="97"/>
      <c r="W73" s="155" t="s">
        <v>249</v>
      </c>
      <c r="X73" s="157" t="s">
        <v>123</v>
      </c>
      <c r="Y73" s="157">
        <v>6</v>
      </c>
      <c r="Z73" s="157" t="s">
        <v>295</v>
      </c>
      <c r="AA73" s="160">
        <v>0.27230062686467099</v>
      </c>
    </row>
    <row r="74" spans="1:27" ht="13.5" thickBot="1" x14ac:dyDescent="0.25">
      <c r="A74" s="91" t="s">
        <v>76</v>
      </c>
      <c r="B74" s="92" t="s">
        <v>373</v>
      </c>
      <c r="C74" s="92"/>
      <c r="D74" s="92" t="s">
        <v>334</v>
      </c>
      <c r="E74" s="104">
        <f t="shared" si="8"/>
        <v>0.98634859349145065</v>
      </c>
      <c r="F74" s="9"/>
      <c r="Q74" s="99"/>
      <c r="R74" s="98"/>
      <c r="S74" s="97"/>
      <c r="W74" s="112" t="s">
        <v>260</v>
      </c>
      <c r="X74" s="158" t="s">
        <v>49</v>
      </c>
      <c r="Y74" s="158">
        <v>13</v>
      </c>
      <c r="Z74" s="158" t="s">
        <v>282</v>
      </c>
      <c r="AA74" s="161">
        <v>0.27216238256230779</v>
      </c>
    </row>
    <row r="75" spans="1:27" x14ac:dyDescent="0.2">
      <c r="A75" s="76" t="s">
        <v>135</v>
      </c>
      <c r="B75" s="78" t="s">
        <v>28</v>
      </c>
      <c r="C75" s="77">
        <f>AVERAGE(C7:C69)</f>
        <v>14.174603174603174</v>
      </c>
      <c r="D75" s="77"/>
      <c r="E75" s="77"/>
      <c r="F75" s="9"/>
      <c r="Q75" s="99"/>
      <c r="R75" s="98"/>
      <c r="S75" s="97"/>
    </row>
    <row r="76" spans="1:27" x14ac:dyDescent="0.2">
      <c r="A76" s="7"/>
      <c r="B76" s="5"/>
      <c r="F76" s="9"/>
      <c r="Q76" s="99"/>
      <c r="R76" s="100"/>
      <c r="S76" s="99"/>
    </row>
    <row r="77" spans="1:27" x14ac:dyDescent="0.2">
      <c r="A77" s="7"/>
      <c r="B77" s="5"/>
      <c r="F77" s="14"/>
    </row>
    <row r="78" spans="1:27" x14ac:dyDescent="0.2">
      <c r="A78" s="85" t="s">
        <v>267</v>
      </c>
      <c r="F78" s="14"/>
    </row>
    <row r="79" spans="1:27" x14ac:dyDescent="0.2">
      <c r="A79" s="85" t="s">
        <v>366</v>
      </c>
      <c r="B79" s="133"/>
      <c r="C79" s="134"/>
      <c r="D79" s="134"/>
      <c r="E79" s="134"/>
      <c r="F79" s="14"/>
      <c r="G79" s="133"/>
      <c r="W79" s="133"/>
      <c r="X79" s="133"/>
      <c r="Y79" s="133"/>
      <c r="Z79" s="133"/>
      <c r="AA79" s="136"/>
    </row>
    <row r="80" spans="1:27" s="133" customFormat="1" x14ac:dyDescent="0.2">
      <c r="A80" s="132" t="s">
        <v>356</v>
      </c>
      <c r="C80" s="134"/>
      <c r="D80" s="134"/>
      <c r="E80" s="134"/>
      <c r="F80" s="135"/>
      <c r="AA80" s="136"/>
    </row>
    <row r="81" spans="1:27" s="133" customFormat="1" x14ac:dyDescent="0.2">
      <c r="A81" s="132" t="s">
        <v>357</v>
      </c>
      <c r="C81" s="134"/>
      <c r="D81" s="134"/>
      <c r="E81" s="134"/>
      <c r="F81" s="135"/>
      <c r="AA81" s="136"/>
    </row>
    <row r="82" spans="1:27" s="133" customFormat="1" x14ac:dyDescent="0.2">
      <c r="A82" s="132" t="s">
        <v>358</v>
      </c>
      <c r="B82" s="1"/>
      <c r="C82" s="4"/>
      <c r="D82" s="14"/>
      <c r="E82" s="1"/>
      <c r="F82" s="135"/>
      <c r="G82" s="1"/>
      <c r="W82" s="1"/>
      <c r="X82" s="1"/>
      <c r="Y82" s="1"/>
      <c r="Z82" s="1"/>
      <c r="AA82" s="1"/>
    </row>
    <row r="83" spans="1:27" x14ac:dyDescent="0.2">
      <c r="A83" s="85" t="s">
        <v>359</v>
      </c>
      <c r="D83" s="14"/>
      <c r="E83" s="1"/>
      <c r="AA83" s="1"/>
    </row>
    <row r="84" spans="1:27" x14ac:dyDescent="0.2">
      <c r="A84" s="85"/>
      <c r="D84" s="14"/>
      <c r="E84" s="1"/>
      <c r="AA84" s="1"/>
    </row>
    <row r="85" spans="1:27" x14ac:dyDescent="0.2">
      <c r="A85" s="85"/>
    </row>
    <row r="86" spans="1:27" x14ac:dyDescent="0.2">
      <c r="A86" s="33"/>
      <c r="E86" s="120"/>
      <c r="F86" s="14"/>
    </row>
    <row r="87" spans="1:27" x14ac:dyDescent="0.2">
      <c r="E87" s="120"/>
    </row>
    <row r="88" spans="1:27" x14ac:dyDescent="0.2">
      <c r="E88" s="121"/>
    </row>
  </sheetData>
  <pageMargins left="0.17" right="0.18" top="0.28000000000000003" bottom="0.17" header="0.3" footer="0.3"/>
  <pageSetup scale="76" fitToWidth="0" orientation="portrait" horizontalDpi="1200" verticalDpi="1200" r:id="rId1"/>
  <drawing r:id="rId2"/>
  <legacyDrawing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rgb="FF002060"/>
    <pageSetUpPr fitToPage="1"/>
  </sheetPr>
  <dimension ref="A1:AH89"/>
  <sheetViews>
    <sheetView zoomScale="85" zoomScaleNormal="85" workbookViewId="0"/>
  </sheetViews>
  <sheetFormatPr defaultColWidth="9.140625" defaultRowHeight="12.75" outlineLevelCol="1" x14ac:dyDescent="0.2"/>
  <cols>
    <col min="1" max="1" width="35.140625" style="1" customWidth="1"/>
    <col min="2" max="2" width="9.140625" style="1"/>
    <col min="3" max="3" width="9.140625" style="4"/>
    <col min="4" max="4" width="9.140625" style="4" hidden="1" customWidth="1" outlineLevel="1"/>
    <col min="5" max="5" width="12.5703125" style="4" hidden="1" customWidth="1" outlineLevel="1"/>
    <col min="6" max="6" width="9.140625" style="1" collapsed="1"/>
    <col min="7" max="7" width="11.5703125" style="1" customWidth="1"/>
    <col min="8" max="10" width="9.140625" style="1"/>
    <col min="11" max="11" width="11" style="1" bestFit="1" customWidth="1"/>
    <col min="12" max="12" width="4.85546875" style="1" bestFit="1" customWidth="1"/>
    <col min="13" max="16" width="9.140625" style="1"/>
    <col min="17" max="26" width="9.140625" style="1" hidden="1" customWidth="1" outlineLevel="1"/>
    <col min="27" max="27" width="12.5703125" style="107" hidden="1" customWidth="1" outlineLevel="1"/>
    <col min="28" max="33" width="9.140625" style="1" hidden="1" customWidth="1" outlineLevel="1"/>
    <col min="34" max="34" width="9.140625" style="1" collapsed="1"/>
    <col min="35" max="16384" width="9.140625" style="1"/>
  </cols>
  <sheetData>
    <row r="1" spans="1:33" ht="18.75" x14ac:dyDescent="0.3">
      <c r="A1" s="75" t="s">
        <v>362</v>
      </c>
    </row>
    <row r="2" spans="1:33" ht="18.75" x14ac:dyDescent="0.3">
      <c r="A2" s="75"/>
    </row>
    <row r="3" spans="1:33" ht="18.75" x14ac:dyDescent="0.3">
      <c r="A3" s="75"/>
    </row>
    <row r="4" spans="1:33" ht="18.75" x14ac:dyDescent="0.3">
      <c r="A4" s="75"/>
    </row>
    <row r="5" spans="1:33" x14ac:dyDescent="0.2">
      <c r="E5" s="106" t="s">
        <v>339</v>
      </c>
      <c r="Y5" s="4"/>
      <c r="Z5" s="4"/>
      <c r="AA5" s="106" t="s">
        <v>339</v>
      </c>
      <c r="AF5" s="129" t="s">
        <v>354</v>
      </c>
      <c r="AG5" s="128"/>
    </row>
    <row r="6" spans="1:33" x14ac:dyDescent="0.2">
      <c r="A6" s="73" t="s">
        <v>0</v>
      </c>
      <c r="B6" s="74" t="s">
        <v>363</v>
      </c>
      <c r="C6" s="20"/>
      <c r="D6" s="20"/>
      <c r="E6" s="105">
        <v>40178</v>
      </c>
      <c r="W6" s="73" t="s">
        <v>0</v>
      </c>
      <c r="X6" s="74" t="s">
        <v>363</v>
      </c>
      <c r="Y6" s="20"/>
      <c r="Z6" s="20"/>
      <c r="AA6" s="105">
        <v>40178</v>
      </c>
      <c r="AC6" s="108" t="s">
        <v>137</v>
      </c>
      <c r="AD6" s="109"/>
      <c r="AE6" s="109"/>
      <c r="AF6" s="77">
        <f>AVERAGE(Y$13:Y$47)</f>
        <v>14.2</v>
      </c>
      <c r="AG6" s="126"/>
    </row>
    <row r="7" spans="1:33" ht="13.5" thickBot="1" x14ac:dyDescent="0.25">
      <c r="A7" s="79" t="s">
        <v>6</v>
      </c>
      <c r="B7" s="80" t="s">
        <v>110</v>
      </c>
      <c r="C7" s="80">
        <v>18</v>
      </c>
      <c r="D7" s="80" t="s">
        <v>313</v>
      </c>
      <c r="E7" s="101">
        <f>VLOOKUP($D7,$Q$7:$R$69,2,0)</f>
        <v>0.99706741779950658</v>
      </c>
      <c r="F7" s="65"/>
      <c r="G7" s="96" t="s">
        <v>77</v>
      </c>
      <c r="H7" s="96" t="s">
        <v>81</v>
      </c>
      <c r="I7" s="96" t="s">
        <v>82</v>
      </c>
      <c r="N7" s="67"/>
      <c r="O7" s="66"/>
      <c r="Q7" s="141" t="s">
        <v>274</v>
      </c>
      <c r="R7" s="142">
        <v>0.82576712904581762</v>
      </c>
      <c r="S7" s="141" t="s">
        <v>371</v>
      </c>
      <c r="W7" s="83" t="s">
        <v>87</v>
      </c>
      <c r="X7" s="110" t="s">
        <v>10</v>
      </c>
      <c r="Y7" s="110">
        <v>16</v>
      </c>
      <c r="Z7" s="110" t="s">
        <v>304</v>
      </c>
      <c r="AA7" s="114" t="s">
        <v>373</v>
      </c>
      <c r="AC7" s="96" t="s">
        <v>77</v>
      </c>
      <c r="AD7" s="96" t="s">
        <v>81</v>
      </c>
      <c r="AE7" s="96" t="s">
        <v>82</v>
      </c>
      <c r="AG7" s="127"/>
    </row>
    <row r="8" spans="1:33" x14ac:dyDescent="0.2">
      <c r="A8" s="79" t="s">
        <v>4</v>
      </c>
      <c r="B8" s="80" t="s">
        <v>2</v>
      </c>
      <c r="C8" s="80">
        <v>17</v>
      </c>
      <c r="D8" s="80" t="s">
        <v>369</v>
      </c>
      <c r="E8" s="101">
        <f>VLOOKUP($D8,$Q$7:$R$69,2,0)</f>
        <v>0.55330389203021169</v>
      </c>
      <c r="F8" s="65"/>
      <c r="G8" s="72" t="s">
        <v>138</v>
      </c>
      <c r="H8" s="86">
        <f>COUNTIF(C$7:C$75,"&gt;16")</f>
        <v>5</v>
      </c>
      <c r="I8" s="87">
        <f>H8/H$14</f>
        <v>7.575757575757576E-2</v>
      </c>
      <c r="K8" s="66"/>
      <c r="M8" s="66"/>
      <c r="N8" s="66"/>
      <c r="O8" s="67"/>
      <c r="Q8" s="141" t="s">
        <v>275</v>
      </c>
      <c r="R8" s="142">
        <v>0.97067096880946468</v>
      </c>
      <c r="S8" s="141" t="s">
        <v>371</v>
      </c>
      <c r="W8" s="83" t="s">
        <v>5</v>
      </c>
      <c r="X8" s="110" t="s">
        <v>10</v>
      </c>
      <c r="Y8" s="110">
        <v>16</v>
      </c>
      <c r="Z8" s="110" t="s">
        <v>312</v>
      </c>
      <c r="AA8" s="114" t="s">
        <v>373</v>
      </c>
      <c r="AC8" s="72" t="s">
        <v>138</v>
      </c>
      <c r="AD8" s="86">
        <f>COUNTIF(Y$13:Y$47,"&gt;16")</f>
        <v>3</v>
      </c>
      <c r="AE8" s="87">
        <f>AD8/AD$14</f>
        <v>8.5714285714285715E-2</v>
      </c>
      <c r="AG8" s="127"/>
    </row>
    <row r="9" spans="1:33" x14ac:dyDescent="0.2">
      <c r="A9" s="79" t="s">
        <v>7</v>
      </c>
      <c r="B9" s="80" t="s">
        <v>2</v>
      </c>
      <c r="C9" s="80">
        <v>17</v>
      </c>
      <c r="D9" s="80" t="s">
        <v>328</v>
      </c>
      <c r="E9" s="101">
        <f t="shared" ref="E9:E68" si="0">VLOOKUP($D9,$Q$7:$R$75,2,0)</f>
        <v>0.93000422702993502</v>
      </c>
      <c r="F9" s="65"/>
      <c r="G9" s="72" t="s">
        <v>10</v>
      </c>
      <c r="H9" s="86">
        <f>COUNTIF(C$7:C$75,"=16")</f>
        <v>8</v>
      </c>
      <c r="I9" s="87">
        <f t="shared" ref="I9:I14" si="1">H9/H$14</f>
        <v>0.12121212121212122</v>
      </c>
      <c r="K9" s="66"/>
      <c r="M9" s="66"/>
      <c r="N9" s="66"/>
      <c r="O9" s="67"/>
      <c r="Q9" s="141" t="s">
        <v>276</v>
      </c>
      <c r="R9" s="142">
        <v>1</v>
      </c>
      <c r="S9" s="141" t="s">
        <v>371</v>
      </c>
      <c r="W9" s="83" t="s">
        <v>255</v>
      </c>
      <c r="X9" s="110" t="s">
        <v>16</v>
      </c>
      <c r="Y9" s="110">
        <v>15</v>
      </c>
      <c r="Z9" s="110" t="s">
        <v>305</v>
      </c>
      <c r="AA9" s="114" t="s">
        <v>373</v>
      </c>
      <c r="AC9" s="72" t="s">
        <v>10</v>
      </c>
      <c r="AD9" s="86">
        <f>COUNTIF(Y$13:Y$47,"=16")</f>
        <v>4</v>
      </c>
      <c r="AE9" s="87">
        <f t="shared" ref="AE9:AE14" si="2">AD9/AD$14</f>
        <v>0.11428571428571428</v>
      </c>
      <c r="AG9" s="127"/>
    </row>
    <row r="10" spans="1:33" x14ac:dyDescent="0.2">
      <c r="A10" s="81" t="s">
        <v>3</v>
      </c>
      <c r="B10" s="82" t="s">
        <v>10</v>
      </c>
      <c r="C10" s="82">
        <v>16</v>
      </c>
      <c r="D10" s="82" t="s">
        <v>292</v>
      </c>
      <c r="E10" s="102">
        <f t="shared" si="0"/>
        <v>0.89410444897115693</v>
      </c>
      <c r="F10" s="65"/>
      <c r="G10" s="72" t="s">
        <v>16</v>
      </c>
      <c r="H10" s="86">
        <f>COUNTIF(C$7:C$75,"=15")</f>
        <v>15</v>
      </c>
      <c r="I10" s="87">
        <f t="shared" si="1"/>
        <v>0.22727272727272727</v>
      </c>
      <c r="K10" s="66"/>
      <c r="M10" s="66"/>
      <c r="N10" s="66"/>
      <c r="O10" s="67"/>
      <c r="Q10" s="141" t="s">
        <v>277</v>
      </c>
      <c r="R10" s="142">
        <v>0.91262379340604238</v>
      </c>
      <c r="S10" s="141" t="s">
        <v>371</v>
      </c>
      <c r="W10" s="83" t="s">
        <v>256</v>
      </c>
      <c r="X10" s="110" t="s">
        <v>16</v>
      </c>
      <c r="Y10" s="110">
        <v>15</v>
      </c>
      <c r="Z10" s="110" t="s">
        <v>306</v>
      </c>
      <c r="AA10" s="114" t="s">
        <v>373</v>
      </c>
      <c r="AC10" s="72" t="s">
        <v>16</v>
      </c>
      <c r="AD10" s="86">
        <f>COUNTIF(Y$13:Y$47,"=15")</f>
        <v>7</v>
      </c>
      <c r="AE10" s="87">
        <f t="shared" si="2"/>
        <v>0.2</v>
      </c>
      <c r="AG10" s="127"/>
    </row>
    <row r="11" spans="1:33" x14ac:dyDescent="0.2">
      <c r="A11" s="81" t="s">
        <v>18</v>
      </c>
      <c r="B11" s="82" t="s">
        <v>10</v>
      </c>
      <c r="C11" s="82">
        <v>16</v>
      </c>
      <c r="D11" s="82" t="s">
        <v>86</v>
      </c>
      <c r="E11" s="102">
        <f t="shared" si="0"/>
        <v>0.58142655748172922</v>
      </c>
      <c r="F11" s="65"/>
      <c r="G11" s="72" t="s">
        <v>28</v>
      </c>
      <c r="H11" s="86">
        <f>COUNTIF(C$7:C$75,"=14")</f>
        <v>19</v>
      </c>
      <c r="I11" s="87">
        <f t="shared" si="1"/>
        <v>0.2878787878787879</v>
      </c>
      <c r="K11" s="67"/>
      <c r="L11" s="4"/>
      <c r="M11" s="67"/>
      <c r="N11" s="67"/>
      <c r="O11" s="67"/>
      <c r="Q11" s="141" t="s">
        <v>278</v>
      </c>
      <c r="R11" s="142">
        <v>0.9427287640364086</v>
      </c>
      <c r="S11" s="141" t="s">
        <v>371</v>
      </c>
      <c r="W11" s="83" t="s">
        <v>38</v>
      </c>
      <c r="X11" s="110" t="s">
        <v>28</v>
      </c>
      <c r="Y11" s="110">
        <v>14</v>
      </c>
      <c r="Z11" s="110" t="s">
        <v>300</v>
      </c>
      <c r="AA11" s="114" t="s">
        <v>373</v>
      </c>
      <c r="AC11" s="72" t="s">
        <v>28</v>
      </c>
      <c r="AD11" s="86">
        <f>COUNTIF(Y$13:Y$47,"=14")</f>
        <v>10</v>
      </c>
      <c r="AE11" s="87">
        <f t="shared" si="2"/>
        <v>0.2857142857142857</v>
      </c>
      <c r="AG11" s="127"/>
    </row>
    <row r="12" spans="1:33" x14ac:dyDescent="0.2">
      <c r="A12" s="81" t="s">
        <v>64</v>
      </c>
      <c r="B12" s="82" t="s">
        <v>10</v>
      </c>
      <c r="C12" s="82">
        <v>16</v>
      </c>
      <c r="D12" s="82" t="s">
        <v>288</v>
      </c>
      <c r="E12" s="102">
        <f t="shared" si="0"/>
        <v>1</v>
      </c>
      <c r="F12" s="65"/>
      <c r="G12" s="72" t="s">
        <v>49</v>
      </c>
      <c r="H12" s="86">
        <f>COUNTIF(C$7:C$75,"=13")</f>
        <v>14</v>
      </c>
      <c r="I12" s="87">
        <f t="shared" si="1"/>
        <v>0.21212121212121213</v>
      </c>
      <c r="Q12" s="141" t="s">
        <v>279</v>
      </c>
      <c r="R12" s="142">
        <v>0.62875460562079877</v>
      </c>
      <c r="S12" s="143" t="s">
        <v>372</v>
      </c>
      <c r="W12" s="83" t="s">
        <v>262</v>
      </c>
      <c r="X12" s="110" t="s">
        <v>49</v>
      </c>
      <c r="Y12" s="110">
        <v>13</v>
      </c>
      <c r="Z12" s="110" t="s">
        <v>185</v>
      </c>
      <c r="AA12" s="114" t="s">
        <v>373</v>
      </c>
      <c r="AC12" s="72" t="s">
        <v>49</v>
      </c>
      <c r="AD12" s="86">
        <f>COUNTIF(Y$13:Y$47,"=13")</f>
        <v>7</v>
      </c>
      <c r="AE12" s="87">
        <f t="shared" si="2"/>
        <v>0.2</v>
      </c>
      <c r="AG12" s="127"/>
    </row>
    <row r="13" spans="1:33" ht="13.5" thickBot="1" x14ac:dyDescent="0.25">
      <c r="A13" s="81" t="s">
        <v>32</v>
      </c>
      <c r="B13" s="82" t="s">
        <v>10</v>
      </c>
      <c r="C13" s="82">
        <v>16</v>
      </c>
      <c r="D13" s="82" t="s">
        <v>290</v>
      </c>
      <c r="E13" s="102">
        <f t="shared" si="0"/>
        <v>0.7497019635343618</v>
      </c>
      <c r="F13" s="65"/>
      <c r="G13" s="93" t="s">
        <v>79</v>
      </c>
      <c r="H13" s="94">
        <f>COUNTIF(C$7:C$75,"&lt;13")</f>
        <v>5</v>
      </c>
      <c r="I13" s="95">
        <f t="shared" si="1"/>
        <v>7.575757575757576E-2</v>
      </c>
      <c r="Q13" s="141" t="s">
        <v>280</v>
      </c>
      <c r="R13" s="142">
        <v>0.70643925978729205</v>
      </c>
      <c r="S13" s="143" t="s">
        <v>372</v>
      </c>
      <c r="W13" s="83" t="s">
        <v>261</v>
      </c>
      <c r="X13" s="110" t="s">
        <v>28</v>
      </c>
      <c r="Y13" s="110">
        <v>14</v>
      </c>
      <c r="Z13" s="110" t="s">
        <v>301</v>
      </c>
      <c r="AA13" s="114">
        <v>1.0333026830763428</v>
      </c>
      <c r="AC13" s="93" t="s">
        <v>79</v>
      </c>
      <c r="AD13" s="94">
        <f>COUNTIF(Y$13:Y$47,"&lt;13")</f>
        <v>4</v>
      </c>
      <c r="AE13" s="95">
        <f t="shared" si="2"/>
        <v>0.11428571428571428</v>
      </c>
      <c r="AG13" s="127"/>
    </row>
    <row r="14" spans="1:33" x14ac:dyDescent="0.2">
      <c r="A14" s="81" t="s">
        <v>19</v>
      </c>
      <c r="B14" s="82" t="s">
        <v>10</v>
      </c>
      <c r="C14" s="82">
        <v>16</v>
      </c>
      <c r="D14" s="82" t="s">
        <v>291</v>
      </c>
      <c r="E14" s="102">
        <f t="shared" si="0"/>
        <v>0.96341849943457658</v>
      </c>
      <c r="F14" s="65"/>
      <c r="G14" s="88" t="s">
        <v>80</v>
      </c>
      <c r="H14" s="89">
        <f>SUM(H8:H13)</f>
        <v>66</v>
      </c>
      <c r="I14" s="90">
        <f t="shared" si="1"/>
        <v>1</v>
      </c>
      <c r="Q14" s="141" t="s">
        <v>281</v>
      </c>
      <c r="R14" s="142">
        <v>0.7469877361024081</v>
      </c>
      <c r="S14" s="141" t="s">
        <v>372</v>
      </c>
      <c r="W14" s="83" t="s">
        <v>35</v>
      </c>
      <c r="X14" s="110" t="s">
        <v>49</v>
      </c>
      <c r="Y14" s="110">
        <v>13</v>
      </c>
      <c r="Z14" s="110" t="s">
        <v>293</v>
      </c>
      <c r="AA14" s="114">
        <v>1.0293089747728885</v>
      </c>
      <c r="AC14" s="88" t="s">
        <v>80</v>
      </c>
      <c r="AD14" s="89">
        <f>SUM(AD8:AD13)</f>
        <v>35</v>
      </c>
      <c r="AE14" s="90">
        <f t="shared" si="2"/>
        <v>1</v>
      </c>
      <c r="AG14" s="127"/>
    </row>
    <row r="15" spans="1:33" x14ac:dyDescent="0.2">
      <c r="A15" s="81" t="s">
        <v>87</v>
      </c>
      <c r="B15" s="82" t="s">
        <v>10</v>
      </c>
      <c r="C15" s="82">
        <v>16</v>
      </c>
      <c r="D15" s="82" t="s">
        <v>304</v>
      </c>
      <c r="E15" s="102" t="s">
        <v>373</v>
      </c>
      <c r="F15" s="69"/>
      <c r="K15" s="9"/>
      <c r="Q15" s="141" t="s">
        <v>282</v>
      </c>
      <c r="R15" s="142">
        <v>0.27216238256230779</v>
      </c>
      <c r="S15" s="143" t="s">
        <v>86</v>
      </c>
      <c r="W15" s="83" t="s">
        <v>64</v>
      </c>
      <c r="X15" s="110" t="s">
        <v>10</v>
      </c>
      <c r="Y15" s="110">
        <v>16</v>
      </c>
      <c r="Z15" s="110" t="s">
        <v>288</v>
      </c>
      <c r="AA15" s="114">
        <v>1</v>
      </c>
      <c r="AG15" s="127"/>
    </row>
    <row r="16" spans="1:33" x14ac:dyDescent="0.2">
      <c r="A16" s="81" t="s">
        <v>5</v>
      </c>
      <c r="B16" s="82" t="s">
        <v>10</v>
      </c>
      <c r="C16" s="82">
        <v>16</v>
      </c>
      <c r="D16" s="82" t="s">
        <v>312</v>
      </c>
      <c r="E16" s="102" t="s">
        <v>373</v>
      </c>
      <c r="F16" s="65"/>
      <c r="K16" s="9"/>
      <c r="L16" s="4"/>
      <c r="Q16" s="141" t="s">
        <v>283</v>
      </c>
      <c r="R16" s="142">
        <v>0.87497195036407094</v>
      </c>
      <c r="S16" s="141" t="s">
        <v>371</v>
      </c>
      <c r="W16" s="83" t="s">
        <v>24</v>
      </c>
      <c r="X16" s="110" t="s">
        <v>16</v>
      </c>
      <c r="Y16" s="110">
        <v>15</v>
      </c>
      <c r="Z16" s="110" t="s">
        <v>324</v>
      </c>
      <c r="AA16" s="114">
        <v>1</v>
      </c>
      <c r="AG16" s="127"/>
    </row>
    <row r="17" spans="1:33" x14ac:dyDescent="0.2">
      <c r="A17" s="81" t="s">
        <v>14</v>
      </c>
      <c r="B17" s="82" t="s">
        <v>10</v>
      </c>
      <c r="C17" s="82">
        <v>16</v>
      </c>
      <c r="D17" s="82" t="s">
        <v>335</v>
      </c>
      <c r="E17" s="102">
        <f t="shared" si="0"/>
        <v>0.96644084643352246</v>
      </c>
      <c r="F17" s="65"/>
      <c r="K17" s="9"/>
      <c r="L17" s="4"/>
      <c r="Q17" s="141" t="s">
        <v>284</v>
      </c>
      <c r="R17" s="142">
        <v>0.90135028841111697</v>
      </c>
      <c r="S17" s="141" t="s">
        <v>371</v>
      </c>
      <c r="W17" s="83" t="s">
        <v>34</v>
      </c>
      <c r="X17" s="110" t="s">
        <v>28</v>
      </c>
      <c r="Y17" s="110">
        <v>14</v>
      </c>
      <c r="Z17" s="110" t="s">
        <v>294</v>
      </c>
      <c r="AA17" s="114">
        <v>1</v>
      </c>
      <c r="AC17" s="108" t="s">
        <v>139</v>
      </c>
      <c r="AD17" s="109"/>
      <c r="AE17" s="109"/>
      <c r="AF17" s="77">
        <f>AVERAGE(Y$48:Y$67)</f>
        <v>14.6</v>
      </c>
      <c r="AG17" s="126"/>
    </row>
    <row r="18" spans="1:33" ht="13.5" thickBot="1" x14ac:dyDescent="0.25">
      <c r="A18" s="83" t="s">
        <v>15</v>
      </c>
      <c r="B18" s="80" t="s">
        <v>16</v>
      </c>
      <c r="C18" s="80">
        <v>15</v>
      </c>
      <c r="D18" s="80" t="s">
        <v>277</v>
      </c>
      <c r="E18" s="101">
        <f t="shared" si="0"/>
        <v>0.91262379340604238</v>
      </c>
      <c r="F18" s="65"/>
      <c r="K18" s="9"/>
      <c r="L18" s="4"/>
      <c r="N18" s="4"/>
      <c r="Q18" s="141" t="s">
        <v>285</v>
      </c>
      <c r="R18" s="142">
        <v>0.91044690077830015</v>
      </c>
      <c r="S18" s="141" t="s">
        <v>371</v>
      </c>
      <c r="W18" s="83" t="s">
        <v>58</v>
      </c>
      <c r="X18" s="110" t="s">
        <v>49</v>
      </c>
      <c r="Y18" s="110">
        <v>13</v>
      </c>
      <c r="Z18" s="110" t="s">
        <v>276</v>
      </c>
      <c r="AA18" s="114">
        <v>1</v>
      </c>
      <c r="AC18" s="96" t="s">
        <v>77</v>
      </c>
      <c r="AD18" s="96" t="s">
        <v>81</v>
      </c>
      <c r="AE18" s="96" t="s">
        <v>82</v>
      </c>
      <c r="AG18" s="127"/>
    </row>
    <row r="19" spans="1:33" x14ac:dyDescent="0.2">
      <c r="A19" s="83" t="s">
        <v>17</v>
      </c>
      <c r="B19" s="80" t="s">
        <v>16</v>
      </c>
      <c r="C19" s="80">
        <v>15</v>
      </c>
      <c r="D19" s="80" t="s">
        <v>307</v>
      </c>
      <c r="E19" s="101">
        <f t="shared" si="0"/>
        <v>0.84890438247011957</v>
      </c>
      <c r="F19" s="65"/>
      <c r="K19" s="9"/>
      <c r="L19" s="4"/>
      <c r="N19" s="4"/>
      <c r="Q19" s="141" t="s">
        <v>286</v>
      </c>
      <c r="R19" s="142">
        <v>0.72270267536539723</v>
      </c>
      <c r="S19" s="143" t="s">
        <v>372</v>
      </c>
      <c r="W19" s="83" t="s">
        <v>59</v>
      </c>
      <c r="X19" s="110" t="s">
        <v>49</v>
      </c>
      <c r="Y19" s="110">
        <v>13</v>
      </c>
      <c r="Z19" s="110" t="s">
        <v>337</v>
      </c>
      <c r="AA19" s="114">
        <v>1</v>
      </c>
      <c r="AC19" s="72" t="s">
        <v>138</v>
      </c>
      <c r="AD19" s="86">
        <f>COUNTIF(Y$48:Y$67,"&gt;16")</f>
        <v>2</v>
      </c>
      <c r="AE19" s="87">
        <f>AD19/AD$14</f>
        <v>5.7142857142857141E-2</v>
      </c>
      <c r="AG19" s="127"/>
    </row>
    <row r="20" spans="1:33" x14ac:dyDescent="0.2">
      <c r="A20" s="83" t="s">
        <v>254</v>
      </c>
      <c r="B20" s="80" t="s">
        <v>16</v>
      </c>
      <c r="C20" s="80">
        <v>15</v>
      </c>
      <c r="D20" s="80" t="s">
        <v>331</v>
      </c>
      <c r="E20" s="101">
        <f t="shared" si="0"/>
        <v>0.66731657086909912</v>
      </c>
      <c r="F20" s="65"/>
      <c r="K20" s="9"/>
      <c r="L20" s="4"/>
      <c r="N20" s="4"/>
      <c r="Q20" s="141" t="s">
        <v>287</v>
      </c>
      <c r="R20" s="142">
        <v>0.99675869094774683</v>
      </c>
      <c r="S20" s="141" t="s">
        <v>371</v>
      </c>
      <c r="W20" s="83" t="s">
        <v>53</v>
      </c>
      <c r="X20" s="110" t="s">
        <v>16</v>
      </c>
      <c r="Y20" s="110">
        <v>15</v>
      </c>
      <c r="Z20" s="110" t="s">
        <v>318</v>
      </c>
      <c r="AA20" s="114">
        <v>0.99967400162999187</v>
      </c>
      <c r="AC20" s="72" t="s">
        <v>10</v>
      </c>
      <c r="AD20" s="86">
        <f>COUNTIF(Y$48:Y$67,"=16")</f>
        <v>2</v>
      </c>
      <c r="AE20" s="87">
        <f t="shared" ref="AE20:AE25" si="3">AD20/AD$14</f>
        <v>5.7142857142857141E-2</v>
      </c>
      <c r="AG20" s="127"/>
    </row>
    <row r="21" spans="1:33" x14ac:dyDescent="0.2">
      <c r="A21" s="83" t="s">
        <v>255</v>
      </c>
      <c r="B21" s="80" t="s">
        <v>16</v>
      </c>
      <c r="C21" s="80">
        <v>15</v>
      </c>
      <c r="D21" s="80" t="s">
        <v>305</v>
      </c>
      <c r="E21" s="101" t="s">
        <v>373</v>
      </c>
      <c r="F21" s="69"/>
      <c r="Q21" s="141" t="s">
        <v>86</v>
      </c>
      <c r="R21" s="142">
        <v>0.58142655748172922</v>
      </c>
      <c r="S21" s="143" t="s">
        <v>372</v>
      </c>
      <c r="W21" s="83" t="s">
        <v>266</v>
      </c>
      <c r="X21" s="110" t="s">
        <v>61</v>
      </c>
      <c r="Y21" s="110">
        <v>11</v>
      </c>
      <c r="Z21" s="110" t="s">
        <v>314</v>
      </c>
      <c r="AA21" s="114">
        <v>0.99872589064335693</v>
      </c>
      <c r="AC21" s="72" t="s">
        <v>16</v>
      </c>
      <c r="AD21" s="86">
        <f>COUNTIF(Y$48:Y$67,"=15")</f>
        <v>5</v>
      </c>
      <c r="AE21" s="87">
        <f t="shared" si="3"/>
        <v>0.14285714285714285</v>
      </c>
      <c r="AG21" s="127"/>
    </row>
    <row r="22" spans="1:33" x14ac:dyDescent="0.2">
      <c r="A22" s="83" t="s">
        <v>256</v>
      </c>
      <c r="B22" s="80" t="s">
        <v>16</v>
      </c>
      <c r="C22" s="80">
        <v>15</v>
      </c>
      <c r="D22" s="80" t="s">
        <v>306</v>
      </c>
      <c r="E22" s="101" t="s">
        <v>373</v>
      </c>
      <c r="F22" s="65"/>
      <c r="Q22" s="141" t="s">
        <v>288</v>
      </c>
      <c r="R22" s="142">
        <v>1</v>
      </c>
      <c r="S22" s="141" t="s">
        <v>371</v>
      </c>
      <c r="W22" s="83" t="s">
        <v>6</v>
      </c>
      <c r="X22" s="110" t="s">
        <v>110</v>
      </c>
      <c r="Y22" s="110">
        <v>18</v>
      </c>
      <c r="Z22" s="110" t="s">
        <v>313</v>
      </c>
      <c r="AA22" s="114">
        <v>0.99706741779950658</v>
      </c>
      <c r="AC22" s="72" t="s">
        <v>28</v>
      </c>
      <c r="AD22" s="86">
        <f>COUNTIF(Y$48:Y$67,"=14")</f>
        <v>6</v>
      </c>
      <c r="AE22" s="87">
        <f t="shared" si="3"/>
        <v>0.17142857142857143</v>
      </c>
      <c r="AG22" s="127"/>
    </row>
    <row r="23" spans="1:33" x14ac:dyDescent="0.2">
      <c r="A23" s="83" t="s">
        <v>12</v>
      </c>
      <c r="B23" s="80" t="s">
        <v>16</v>
      </c>
      <c r="C23" s="80">
        <v>15</v>
      </c>
      <c r="D23" s="80" t="s">
        <v>309</v>
      </c>
      <c r="E23" s="101">
        <f t="shared" si="0"/>
        <v>0.36017814864816144</v>
      </c>
      <c r="F23" s="65"/>
      <c r="Q23" s="141" t="s">
        <v>289</v>
      </c>
      <c r="R23" s="142">
        <v>0.81467245298615421</v>
      </c>
      <c r="S23" s="141" t="s">
        <v>371</v>
      </c>
      <c r="W23" s="83" t="s">
        <v>66</v>
      </c>
      <c r="X23" s="110" t="s">
        <v>28</v>
      </c>
      <c r="Y23" s="110">
        <v>14</v>
      </c>
      <c r="Z23" s="110" t="s">
        <v>315</v>
      </c>
      <c r="AA23" s="114">
        <v>0.99458022018280356</v>
      </c>
      <c r="AC23" s="72" t="s">
        <v>49</v>
      </c>
      <c r="AD23" s="86">
        <f>COUNTIF(Y$48:Y$67,"=13")</f>
        <v>5</v>
      </c>
      <c r="AE23" s="87">
        <f t="shared" si="3"/>
        <v>0.14285714285714285</v>
      </c>
      <c r="AG23" s="127"/>
    </row>
    <row r="24" spans="1:33" ht="13.5" thickBot="1" x14ac:dyDescent="0.25">
      <c r="A24" s="83" t="s">
        <v>52</v>
      </c>
      <c r="B24" s="80" t="s">
        <v>16</v>
      </c>
      <c r="C24" s="80">
        <v>15</v>
      </c>
      <c r="D24" s="80" t="s">
        <v>281</v>
      </c>
      <c r="E24" s="101">
        <f t="shared" si="0"/>
        <v>0.7469877361024081</v>
      </c>
      <c r="F24" s="65"/>
      <c r="Q24" s="141" t="s">
        <v>290</v>
      </c>
      <c r="R24" s="142">
        <v>0.7497019635343618</v>
      </c>
      <c r="S24" s="143" t="s">
        <v>372</v>
      </c>
      <c r="W24" s="83" t="s">
        <v>54</v>
      </c>
      <c r="X24" s="110" t="s">
        <v>56</v>
      </c>
      <c r="Y24" s="110">
        <v>12</v>
      </c>
      <c r="Z24" s="110" t="s">
        <v>326</v>
      </c>
      <c r="AA24" s="114">
        <v>0.99417211067658851</v>
      </c>
      <c r="AC24" s="93" t="s">
        <v>79</v>
      </c>
      <c r="AD24" s="94">
        <f>COUNTIF(Y$48:Y$67,"&lt;13")</f>
        <v>0</v>
      </c>
      <c r="AE24" s="95">
        <f t="shared" si="3"/>
        <v>0</v>
      </c>
      <c r="AG24" s="127"/>
    </row>
    <row r="25" spans="1:33" x14ac:dyDescent="0.2">
      <c r="A25" s="83" t="s">
        <v>21</v>
      </c>
      <c r="B25" s="80" t="s">
        <v>16</v>
      </c>
      <c r="C25" s="80">
        <v>15</v>
      </c>
      <c r="D25" s="80" t="s">
        <v>316</v>
      </c>
      <c r="E25" s="101">
        <f t="shared" si="0"/>
        <v>0.75386351438754873</v>
      </c>
      <c r="F25" s="65"/>
      <c r="Q25" s="141" t="s">
        <v>291</v>
      </c>
      <c r="R25" s="142">
        <v>0.96341849943457658</v>
      </c>
      <c r="S25" s="141" t="s">
        <v>371</v>
      </c>
      <c r="W25" s="83" t="s">
        <v>75</v>
      </c>
      <c r="X25" s="110" t="s">
        <v>28</v>
      </c>
      <c r="Y25" s="110">
        <v>14</v>
      </c>
      <c r="Z25" s="110" t="s">
        <v>332</v>
      </c>
      <c r="AA25" s="114">
        <v>0.9915841495030967</v>
      </c>
      <c r="AC25" s="88" t="s">
        <v>80</v>
      </c>
      <c r="AD25" s="89">
        <f>SUM(AD19:AD24)</f>
        <v>20</v>
      </c>
      <c r="AE25" s="90">
        <f t="shared" si="3"/>
        <v>0.5714285714285714</v>
      </c>
      <c r="AG25" s="127"/>
    </row>
    <row r="26" spans="1:33" x14ac:dyDescent="0.2">
      <c r="A26" s="83" t="s">
        <v>53</v>
      </c>
      <c r="B26" s="80" t="s">
        <v>16</v>
      </c>
      <c r="C26" s="80">
        <v>15</v>
      </c>
      <c r="D26" s="80" t="s">
        <v>318</v>
      </c>
      <c r="E26" s="101">
        <f t="shared" si="0"/>
        <v>0.99967400162999187</v>
      </c>
      <c r="F26" s="65"/>
      <c r="Q26" s="141" t="s">
        <v>292</v>
      </c>
      <c r="R26" s="142">
        <v>0.89410444897115693</v>
      </c>
      <c r="S26" s="141" t="s">
        <v>371</v>
      </c>
      <c r="W26" s="83" t="s">
        <v>41</v>
      </c>
      <c r="X26" s="110" t="s">
        <v>49</v>
      </c>
      <c r="Y26" s="110">
        <v>13</v>
      </c>
      <c r="Z26" s="110" t="s">
        <v>322</v>
      </c>
      <c r="AA26" s="114">
        <v>0.97501693766937669</v>
      </c>
      <c r="AG26" s="127"/>
    </row>
    <row r="27" spans="1:33" x14ac:dyDescent="0.2">
      <c r="A27" s="83" t="s">
        <v>24</v>
      </c>
      <c r="B27" s="80" t="s">
        <v>16</v>
      </c>
      <c r="C27" s="80">
        <v>15</v>
      </c>
      <c r="D27" s="80" t="s">
        <v>324</v>
      </c>
      <c r="E27" s="101">
        <f t="shared" si="0"/>
        <v>1</v>
      </c>
      <c r="F27" s="65"/>
      <c r="Q27" s="141" t="s">
        <v>293</v>
      </c>
      <c r="R27" s="142">
        <v>1.0293089747728885</v>
      </c>
      <c r="S27" s="141" t="s">
        <v>371</v>
      </c>
      <c r="W27" s="83" t="s">
        <v>259</v>
      </c>
      <c r="X27" s="110" t="s">
        <v>28</v>
      </c>
      <c r="Y27" s="110">
        <v>14</v>
      </c>
      <c r="Z27" s="110" t="s">
        <v>275</v>
      </c>
      <c r="AA27" s="114">
        <v>0.97067096880946468</v>
      </c>
      <c r="AG27" s="127"/>
    </row>
    <row r="28" spans="1:33" x14ac:dyDescent="0.2">
      <c r="A28" s="83" t="s">
        <v>257</v>
      </c>
      <c r="B28" s="80" t="s">
        <v>16</v>
      </c>
      <c r="C28" s="80">
        <v>15</v>
      </c>
      <c r="D28" s="80" t="s">
        <v>320</v>
      </c>
      <c r="E28" s="101">
        <f t="shared" si="0"/>
        <v>0.85164553720066594</v>
      </c>
      <c r="F28" s="65"/>
      <c r="Q28" s="141" t="s">
        <v>294</v>
      </c>
      <c r="R28" s="142">
        <v>1</v>
      </c>
      <c r="S28" s="141" t="s">
        <v>371</v>
      </c>
      <c r="W28" s="83" t="s">
        <v>265</v>
      </c>
      <c r="X28" s="110" t="s">
        <v>56</v>
      </c>
      <c r="Y28" s="110">
        <v>12</v>
      </c>
      <c r="Z28" s="110" t="s">
        <v>333</v>
      </c>
      <c r="AA28" s="114">
        <v>0.97028603165787286</v>
      </c>
      <c r="AC28" s="108" t="s">
        <v>140</v>
      </c>
      <c r="AD28" s="109"/>
      <c r="AE28" s="109"/>
      <c r="AF28" s="77">
        <f>AVERAGE(Y$68:Y$72)</f>
        <v>12.6</v>
      </c>
      <c r="AG28" s="126"/>
    </row>
    <row r="29" spans="1:33" ht="13.5" thickBot="1" x14ac:dyDescent="0.25">
      <c r="A29" s="83" t="s">
        <v>13</v>
      </c>
      <c r="B29" s="80" t="s">
        <v>16</v>
      </c>
      <c r="C29" s="80">
        <v>15</v>
      </c>
      <c r="D29" s="80" t="s">
        <v>327</v>
      </c>
      <c r="E29" s="101">
        <f t="shared" si="0"/>
        <v>0.77327600463039525</v>
      </c>
      <c r="F29" s="69"/>
      <c r="Q29" s="141" t="s">
        <v>295</v>
      </c>
      <c r="R29" s="142">
        <v>0.27230062686467099</v>
      </c>
      <c r="S29" s="141" t="s">
        <v>86</v>
      </c>
      <c r="W29" s="83" t="s">
        <v>14</v>
      </c>
      <c r="X29" s="110" t="s">
        <v>10</v>
      </c>
      <c r="Y29" s="110">
        <v>16</v>
      </c>
      <c r="Z29" s="110" t="s">
        <v>335</v>
      </c>
      <c r="AA29" s="114">
        <v>0.96644084643352246</v>
      </c>
      <c r="AC29" s="96" t="s">
        <v>77</v>
      </c>
      <c r="AD29" s="96" t="s">
        <v>81</v>
      </c>
      <c r="AE29" s="96" t="s">
        <v>82</v>
      </c>
    </row>
    <row r="30" spans="1:33" x14ac:dyDescent="0.2">
      <c r="A30" s="83" t="s">
        <v>25</v>
      </c>
      <c r="B30" s="80" t="s">
        <v>16</v>
      </c>
      <c r="C30" s="80">
        <v>15</v>
      </c>
      <c r="D30" s="80" t="s">
        <v>329</v>
      </c>
      <c r="E30" s="101">
        <f t="shared" si="0"/>
        <v>0.614337822671156</v>
      </c>
      <c r="F30" s="65"/>
      <c r="Q30" s="141" t="s">
        <v>296</v>
      </c>
      <c r="R30" s="142">
        <v>0.78356336260978665</v>
      </c>
      <c r="S30" s="143" t="s">
        <v>372</v>
      </c>
      <c r="W30" s="83" t="s">
        <v>19</v>
      </c>
      <c r="X30" s="110" t="s">
        <v>10</v>
      </c>
      <c r="Y30" s="110">
        <v>16</v>
      </c>
      <c r="Z30" s="110" t="s">
        <v>291</v>
      </c>
      <c r="AA30" s="114">
        <v>0.96341849943457658</v>
      </c>
      <c r="AC30" s="72" t="s">
        <v>138</v>
      </c>
      <c r="AD30" s="86">
        <f>COUNTIF(Y$68:Y$72,"&gt;16")</f>
        <v>0</v>
      </c>
      <c r="AE30" s="87">
        <f>AD30/AD$14</f>
        <v>0</v>
      </c>
    </row>
    <row r="31" spans="1:33" x14ac:dyDescent="0.2">
      <c r="A31" s="83" t="s">
        <v>26</v>
      </c>
      <c r="B31" s="80" t="s">
        <v>16</v>
      </c>
      <c r="C31" s="80">
        <v>15</v>
      </c>
      <c r="D31" s="80" t="s">
        <v>336</v>
      </c>
      <c r="E31" s="101">
        <f t="shared" si="0"/>
        <v>0.84932154135723226</v>
      </c>
      <c r="F31" s="65"/>
      <c r="K31" s="66"/>
      <c r="L31" s="66"/>
      <c r="Q31" s="141" t="s">
        <v>297</v>
      </c>
      <c r="R31" s="142">
        <v>0.79472908539599674</v>
      </c>
      <c r="S31" s="143" t="s">
        <v>372</v>
      </c>
      <c r="W31" s="83" t="s">
        <v>513</v>
      </c>
      <c r="X31" s="110" t="s">
        <v>28</v>
      </c>
      <c r="Y31" s="110">
        <v>14</v>
      </c>
      <c r="Z31" s="110" t="s">
        <v>512</v>
      </c>
      <c r="AA31" s="114">
        <v>0.9619710194413027</v>
      </c>
      <c r="AC31" s="72" t="s">
        <v>10</v>
      </c>
      <c r="AD31" s="86">
        <f>COUNTIF(Y$68:Y$72,"=16")</f>
        <v>0</v>
      </c>
      <c r="AE31" s="87">
        <f t="shared" ref="AE31:AE36" si="4">AD31/AD$14</f>
        <v>0</v>
      </c>
    </row>
    <row r="32" spans="1:33" x14ac:dyDescent="0.2">
      <c r="A32" s="83" t="s">
        <v>258</v>
      </c>
      <c r="B32" s="80" t="s">
        <v>16</v>
      </c>
      <c r="C32" s="80">
        <v>15</v>
      </c>
      <c r="D32" s="80" t="s">
        <v>338</v>
      </c>
      <c r="E32" s="101">
        <f t="shared" si="0"/>
        <v>0.94699999999999995</v>
      </c>
      <c r="F32" s="65"/>
      <c r="L32" s="66"/>
      <c r="Q32" s="141" t="s">
        <v>298</v>
      </c>
      <c r="R32" s="142">
        <v>0.60422936152907691</v>
      </c>
      <c r="S32" s="143" t="s">
        <v>372</v>
      </c>
      <c r="W32" s="83" t="s">
        <v>20</v>
      </c>
      <c r="X32" s="110" t="s">
        <v>28</v>
      </c>
      <c r="Y32" s="110">
        <v>14</v>
      </c>
      <c r="Z32" s="110" t="s">
        <v>303</v>
      </c>
      <c r="AA32" s="114">
        <v>0.96099371344273887</v>
      </c>
      <c r="AC32" s="72" t="s">
        <v>16</v>
      </c>
      <c r="AD32" s="86">
        <f>COUNTIF(Y$68:Y$72,"=15")</f>
        <v>1</v>
      </c>
      <c r="AE32" s="87">
        <f t="shared" si="4"/>
        <v>2.8571428571428571E-2</v>
      </c>
    </row>
    <row r="33" spans="1:31" x14ac:dyDescent="0.2">
      <c r="A33" s="81" t="s">
        <v>259</v>
      </c>
      <c r="B33" s="82" t="s">
        <v>28</v>
      </c>
      <c r="C33" s="82">
        <v>14</v>
      </c>
      <c r="D33" s="82" t="s">
        <v>275</v>
      </c>
      <c r="E33" s="102">
        <f t="shared" si="0"/>
        <v>0.97067096880946468</v>
      </c>
      <c r="F33" s="65"/>
      <c r="L33" s="66"/>
      <c r="Q33" s="141" t="s">
        <v>299</v>
      </c>
      <c r="R33" s="142">
        <v>0.66983442164179108</v>
      </c>
      <c r="S33" s="143" t="s">
        <v>372</v>
      </c>
      <c r="W33" s="83" t="s">
        <v>258</v>
      </c>
      <c r="X33" s="110" t="s">
        <v>16</v>
      </c>
      <c r="Y33" s="110">
        <v>15</v>
      </c>
      <c r="Z33" s="110" t="s">
        <v>338</v>
      </c>
      <c r="AA33" s="114">
        <v>0.94699999999999995</v>
      </c>
      <c r="AC33" s="72" t="s">
        <v>28</v>
      </c>
      <c r="AD33" s="86">
        <f>COUNTIF(Y$68:Y$72,"=14")</f>
        <v>2</v>
      </c>
      <c r="AE33" s="87">
        <f t="shared" si="4"/>
        <v>5.7142857142857141E-2</v>
      </c>
    </row>
    <row r="34" spans="1:31" x14ac:dyDescent="0.2">
      <c r="A34" s="81" t="s">
        <v>29</v>
      </c>
      <c r="B34" s="82" t="s">
        <v>28</v>
      </c>
      <c r="C34" s="82">
        <v>14</v>
      </c>
      <c r="D34" s="82" t="s">
        <v>286</v>
      </c>
      <c r="E34" s="102">
        <f t="shared" si="0"/>
        <v>0.72270267536539723</v>
      </c>
      <c r="F34" s="65"/>
      <c r="H34" s="4"/>
      <c r="I34" s="4"/>
      <c r="L34" s="66"/>
      <c r="Q34" s="141" t="s">
        <v>301</v>
      </c>
      <c r="R34" s="142">
        <v>1.0333026830763428</v>
      </c>
      <c r="S34" s="141" t="s">
        <v>371</v>
      </c>
      <c r="W34" s="83" t="s">
        <v>55</v>
      </c>
      <c r="X34" s="110" t="s">
        <v>49</v>
      </c>
      <c r="Y34" s="110">
        <v>13</v>
      </c>
      <c r="Z34" s="110" t="s">
        <v>278</v>
      </c>
      <c r="AA34" s="114">
        <v>0.9427287640364086</v>
      </c>
      <c r="AC34" s="72" t="s">
        <v>49</v>
      </c>
      <c r="AD34" s="86">
        <f>COUNTIF(Y$68:Y$72,"=13")</f>
        <v>1</v>
      </c>
      <c r="AE34" s="87">
        <f t="shared" si="4"/>
        <v>2.8571428571428571E-2</v>
      </c>
    </row>
    <row r="35" spans="1:31" ht="13.5" thickBot="1" x14ac:dyDescent="0.25">
      <c r="A35" s="81" t="s">
        <v>30</v>
      </c>
      <c r="B35" s="82" t="s">
        <v>28</v>
      </c>
      <c r="C35" s="82">
        <v>14</v>
      </c>
      <c r="D35" s="82" t="s">
        <v>285</v>
      </c>
      <c r="E35" s="102">
        <f t="shared" si="0"/>
        <v>0.91044690077830015</v>
      </c>
      <c r="F35" s="65"/>
      <c r="G35" s="86" t="s">
        <v>268</v>
      </c>
      <c r="H35" s="4"/>
      <c r="I35" s="4"/>
      <c r="J35" s="4"/>
      <c r="L35" s="67"/>
      <c r="Q35" s="141" t="s">
        <v>302</v>
      </c>
      <c r="R35" s="142">
        <v>0.44575810739314115</v>
      </c>
      <c r="S35" s="143" t="s">
        <v>86</v>
      </c>
      <c r="W35" s="83" t="s">
        <v>7</v>
      </c>
      <c r="X35" s="110" t="s">
        <v>2</v>
      </c>
      <c r="Y35" s="110">
        <v>17</v>
      </c>
      <c r="Z35" s="110" t="s">
        <v>328</v>
      </c>
      <c r="AA35" s="114">
        <v>0.93000422702993502</v>
      </c>
      <c r="AC35" s="93" t="s">
        <v>79</v>
      </c>
      <c r="AD35" s="94">
        <f>COUNTIF(Y$68:Y$72,"&lt;13")</f>
        <v>1</v>
      </c>
      <c r="AE35" s="95">
        <f t="shared" si="4"/>
        <v>2.8571428571428571E-2</v>
      </c>
    </row>
    <row r="36" spans="1:31" x14ac:dyDescent="0.2">
      <c r="A36" s="81" t="s">
        <v>31</v>
      </c>
      <c r="B36" s="82" t="s">
        <v>28</v>
      </c>
      <c r="C36" s="82">
        <v>14</v>
      </c>
      <c r="D36" s="82" t="s">
        <v>289</v>
      </c>
      <c r="E36" s="102">
        <f t="shared" si="0"/>
        <v>0.81467245298615421</v>
      </c>
      <c r="F36" s="65"/>
      <c r="G36" s="140"/>
      <c r="H36" s="11"/>
      <c r="I36" s="11"/>
      <c r="J36" s="4"/>
      <c r="L36" s="67"/>
      <c r="Q36" s="141" t="s">
        <v>303</v>
      </c>
      <c r="R36" s="142">
        <v>0.96099371344273887</v>
      </c>
      <c r="S36" s="141" t="s">
        <v>371</v>
      </c>
      <c r="W36" s="83" t="s">
        <v>15</v>
      </c>
      <c r="X36" s="110" t="s">
        <v>16</v>
      </c>
      <c r="Y36" s="110">
        <v>15</v>
      </c>
      <c r="Z36" s="110" t="s">
        <v>277</v>
      </c>
      <c r="AA36" s="114">
        <v>0.91262379340604238</v>
      </c>
      <c r="AC36" s="88" t="s">
        <v>80</v>
      </c>
      <c r="AD36" s="89">
        <f>SUM(AD30:AD35)</f>
        <v>5</v>
      </c>
      <c r="AE36" s="90">
        <f t="shared" si="4"/>
        <v>0.14285714285714285</v>
      </c>
    </row>
    <row r="37" spans="1:31" x14ac:dyDescent="0.2">
      <c r="A37" s="81" t="s">
        <v>34</v>
      </c>
      <c r="B37" s="82" t="s">
        <v>28</v>
      </c>
      <c r="C37" s="82">
        <v>14</v>
      </c>
      <c r="D37" s="82" t="s">
        <v>294</v>
      </c>
      <c r="E37" s="102">
        <f t="shared" si="0"/>
        <v>1</v>
      </c>
      <c r="F37" s="65"/>
      <c r="H37" s="12"/>
      <c r="I37" s="4"/>
      <c r="J37" s="11"/>
      <c r="Q37" s="141" t="s">
        <v>307</v>
      </c>
      <c r="R37" s="142">
        <v>0.84890438247011957</v>
      </c>
      <c r="S37" s="141" t="s">
        <v>371</v>
      </c>
      <c r="W37" s="83" t="s">
        <v>30</v>
      </c>
      <c r="X37" s="110" t="s">
        <v>28</v>
      </c>
      <c r="Y37" s="110">
        <v>14</v>
      </c>
      <c r="Z37" s="110" t="s">
        <v>285</v>
      </c>
      <c r="AA37" s="114">
        <v>0.91044690077830015</v>
      </c>
    </row>
    <row r="38" spans="1:31" x14ac:dyDescent="0.2">
      <c r="A38" s="81" t="s">
        <v>36</v>
      </c>
      <c r="B38" s="82" t="s">
        <v>28</v>
      </c>
      <c r="C38" s="82">
        <v>14</v>
      </c>
      <c r="D38" s="82" t="s">
        <v>297</v>
      </c>
      <c r="E38" s="102">
        <f t="shared" si="0"/>
        <v>0.79472908539599674</v>
      </c>
      <c r="F38" s="65"/>
      <c r="H38" s="12"/>
      <c r="I38" s="4"/>
      <c r="J38" s="13"/>
      <c r="Q38" s="141" t="s">
        <v>308</v>
      </c>
      <c r="R38" s="142">
        <v>0.98237685298627964</v>
      </c>
      <c r="S38" s="141" t="s">
        <v>371</v>
      </c>
      <c r="W38" s="83" t="s">
        <v>62</v>
      </c>
      <c r="X38" s="110" t="s">
        <v>28</v>
      </c>
      <c r="Y38" s="110">
        <v>14</v>
      </c>
      <c r="Z38" s="110" t="s">
        <v>330</v>
      </c>
      <c r="AA38" s="114">
        <v>0.90975829351063098</v>
      </c>
    </row>
    <row r="39" spans="1:31" x14ac:dyDescent="0.2">
      <c r="A39" s="81" t="s">
        <v>11</v>
      </c>
      <c r="B39" s="82" t="s">
        <v>28</v>
      </c>
      <c r="C39" s="82">
        <v>14</v>
      </c>
      <c r="D39" s="82" t="s">
        <v>298</v>
      </c>
      <c r="E39" s="102">
        <f t="shared" si="0"/>
        <v>0.60422936152907691</v>
      </c>
      <c r="F39" s="65"/>
      <c r="H39" s="12"/>
      <c r="I39" s="4"/>
      <c r="J39" s="13"/>
      <c r="Q39" s="141" t="s">
        <v>309</v>
      </c>
      <c r="R39" s="142">
        <v>0.36017814864816144</v>
      </c>
      <c r="S39" s="143" t="s">
        <v>86</v>
      </c>
      <c r="W39" s="83" t="s">
        <v>60</v>
      </c>
      <c r="X39" s="110" t="s">
        <v>49</v>
      </c>
      <c r="Y39" s="110">
        <v>13</v>
      </c>
      <c r="Z39" s="110" t="s">
        <v>284</v>
      </c>
      <c r="AA39" s="114">
        <v>0.90135028841111697</v>
      </c>
    </row>
    <row r="40" spans="1:31" x14ac:dyDescent="0.2">
      <c r="A40" s="81" t="s">
        <v>51</v>
      </c>
      <c r="B40" s="82" t="s">
        <v>28</v>
      </c>
      <c r="C40" s="82">
        <v>14</v>
      </c>
      <c r="D40" s="82" t="s">
        <v>299</v>
      </c>
      <c r="E40" s="102">
        <f t="shared" si="0"/>
        <v>0.66983442164179108</v>
      </c>
      <c r="F40" s="65"/>
      <c r="H40" s="12"/>
      <c r="I40" s="4"/>
      <c r="J40" s="13"/>
      <c r="Q40" s="141" t="s">
        <v>310</v>
      </c>
      <c r="R40" s="142">
        <v>0.77794419936265724</v>
      </c>
      <c r="S40" s="143" t="s">
        <v>372</v>
      </c>
      <c r="W40" s="83" t="s">
        <v>3</v>
      </c>
      <c r="X40" s="110" t="s">
        <v>10</v>
      </c>
      <c r="Y40" s="110">
        <v>16</v>
      </c>
      <c r="Z40" s="110" t="s">
        <v>292</v>
      </c>
      <c r="AA40" s="114">
        <v>0.89410444897115693</v>
      </c>
    </row>
    <row r="41" spans="1:31" x14ac:dyDescent="0.2">
      <c r="A41" s="81" t="s">
        <v>261</v>
      </c>
      <c r="B41" s="82" t="s">
        <v>28</v>
      </c>
      <c r="C41" s="82">
        <v>14</v>
      </c>
      <c r="D41" s="82" t="s">
        <v>301</v>
      </c>
      <c r="E41" s="102">
        <f t="shared" si="0"/>
        <v>1.0333026830763428</v>
      </c>
      <c r="F41" s="69"/>
      <c r="H41" s="12"/>
      <c r="I41" s="4"/>
      <c r="J41" s="13"/>
      <c r="Q41" s="141" t="s">
        <v>369</v>
      </c>
      <c r="R41" s="142">
        <v>0.55330389203021169</v>
      </c>
      <c r="S41" s="143" t="s">
        <v>372</v>
      </c>
      <c r="W41" s="83" t="s">
        <v>42</v>
      </c>
      <c r="X41" s="110" t="s">
        <v>65</v>
      </c>
      <c r="Y41" s="110">
        <v>10</v>
      </c>
      <c r="Z41" s="110" t="s">
        <v>321</v>
      </c>
      <c r="AA41" s="114">
        <v>0.89259170051200387</v>
      </c>
    </row>
    <row r="42" spans="1:31" x14ac:dyDescent="0.2">
      <c r="A42" s="81" t="s">
        <v>38</v>
      </c>
      <c r="B42" s="82" t="s">
        <v>28</v>
      </c>
      <c r="C42" s="82">
        <v>14</v>
      </c>
      <c r="D42" s="82" t="s">
        <v>300</v>
      </c>
      <c r="E42" s="102" t="s">
        <v>373</v>
      </c>
      <c r="F42" s="65"/>
      <c r="H42" s="12"/>
      <c r="I42" s="4"/>
      <c r="J42" s="13"/>
      <c r="Q42" s="141" t="s">
        <v>311</v>
      </c>
      <c r="R42" s="142">
        <v>0.58034319753835939</v>
      </c>
      <c r="S42" s="143" t="s">
        <v>372</v>
      </c>
      <c r="W42" s="83" t="s">
        <v>264</v>
      </c>
      <c r="X42" s="110" t="s">
        <v>2</v>
      </c>
      <c r="Y42" s="110">
        <v>17</v>
      </c>
      <c r="Z42" s="110" t="s">
        <v>283</v>
      </c>
      <c r="AA42" s="114">
        <v>0.87497195036407094</v>
      </c>
    </row>
    <row r="43" spans="1:31" x14ac:dyDescent="0.2">
      <c r="A43" s="81" t="s">
        <v>39</v>
      </c>
      <c r="B43" s="82" t="s">
        <v>28</v>
      </c>
      <c r="C43" s="82">
        <v>14</v>
      </c>
      <c r="D43" s="82" t="s">
        <v>302</v>
      </c>
      <c r="E43" s="102">
        <f t="shared" si="0"/>
        <v>0.44575810739314115</v>
      </c>
      <c r="F43" s="65"/>
      <c r="H43" s="4"/>
      <c r="I43" s="4"/>
      <c r="J43" s="4"/>
      <c r="Q43" s="141" t="s">
        <v>313</v>
      </c>
      <c r="R43" s="142">
        <v>0.99706741779950658</v>
      </c>
      <c r="S43" s="141" t="s">
        <v>371</v>
      </c>
      <c r="W43" s="83" t="s">
        <v>257</v>
      </c>
      <c r="X43" s="110" t="s">
        <v>16</v>
      </c>
      <c r="Y43" s="110">
        <v>15</v>
      </c>
      <c r="Z43" s="110" t="s">
        <v>320</v>
      </c>
      <c r="AA43" s="114">
        <v>0.85164553720066594</v>
      </c>
    </row>
    <row r="44" spans="1:31" x14ac:dyDescent="0.2">
      <c r="A44" s="81" t="s">
        <v>20</v>
      </c>
      <c r="B44" s="82" t="s">
        <v>28</v>
      </c>
      <c r="C44" s="82">
        <v>14</v>
      </c>
      <c r="D44" s="82" t="s">
        <v>303</v>
      </c>
      <c r="E44" s="102">
        <f t="shared" si="0"/>
        <v>0.96099371344273887</v>
      </c>
      <c r="F44" s="65"/>
      <c r="H44" s="4"/>
      <c r="I44" s="4"/>
      <c r="J44" s="4"/>
      <c r="Q44" s="141" t="s">
        <v>512</v>
      </c>
      <c r="R44" s="142">
        <v>0.9619710194413027</v>
      </c>
      <c r="S44" s="141" t="s">
        <v>371</v>
      </c>
      <c r="W44" s="83" t="s">
        <v>26</v>
      </c>
      <c r="X44" s="110" t="s">
        <v>16</v>
      </c>
      <c r="Y44" s="110">
        <v>15</v>
      </c>
      <c r="Z44" s="110" t="s">
        <v>336</v>
      </c>
      <c r="AA44" s="114">
        <v>0.84932154135723226</v>
      </c>
    </row>
    <row r="45" spans="1:31" x14ac:dyDescent="0.2">
      <c r="A45" s="81" t="s">
        <v>513</v>
      </c>
      <c r="B45" s="82" t="s">
        <v>28</v>
      </c>
      <c r="C45" s="82">
        <v>14</v>
      </c>
      <c r="D45" s="82" t="s">
        <v>512</v>
      </c>
      <c r="E45" s="102">
        <f t="shared" si="0"/>
        <v>0.9619710194413027</v>
      </c>
      <c r="F45" s="65"/>
      <c r="H45" s="4"/>
      <c r="I45" s="4"/>
      <c r="J45" s="4"/>
      <c r="Q45" s="141" t="s">
        <v>314</v>
      </c>
      <c r="R45" s="142">
        <v>0.99872589064335693</v>
      </c>
      <c r="S45" s="141" t="s">
        <v>371</v>
      </c>
      <c r="W45" s="83" t="s">
        <v>17</v>
      </c>
      <c r="X45" s="110" t="s">
        <v>16</v>
      </c>
      <c r="Y45" s="110">
        <v>15</v>
      </c>
      <c r="Z45" s="110" t="s">
        <v>307</v>
      </c>
      <c r="AA45" s="114">
        <v>0.84890438247011957</v>
      </c>
    </row>
    <row r="46" spans="1:31" x14ac:dyDescent="0.2">
      <c r="A46" s="81" t="s">
        <v>66</v>
      </c>
      <c r="B46" s="82" t="s">
        <v>28</v>
      </c>
      <c r="C46" s="82">
        <v>14</v>
      </c>
      <c r="D46" s="82" t="s">
        <v>315</v>
      </c>
      <c r="E46" s="102">
        <f t="shared" si="0"/>
        <v>0.99458022018280356</v>
      </c>
      <c r="F46" s="69"/>
      <c r="G46" s="66"/>
      <c r="J46" s="67"/>
      <c r="Q46" s="141" t="s">
        <v>315</v>
      </c>
      <c r="R46" s="142">
        <v>0.99458022018280356</v>
      </c>
      <c r="S46" s="141" t="s">
        <v>371</v>
      </c>
      <c r="W46" s="83" t="s">
        <v>9</v>
      </c>
      <c r="X46" s="110" t="s">
        <v>49</v>
      </c>
      <c r="Y46" s="110">
        <v>13</v>
      </c>
      <c r="Z46" s="110" t="s">
        <v>274</v>
      </c>
      <c r="AA46" s="114">
        <v>0.82576712904581762</v>
      </c>
    </row>
    <row r="47" spans="1:31" x14ac:dyDescent="0.2">
      <c r="A47" s="81" t="s">
        <v>23</v>
      </c>
      <c r="B47" s="82" t="s">
        <v>28</v>
      </c>
      <c r="C47" s="82">
        <v>14</v>
      </c>
      <c r="D47" s="82" t="s">
        <v>323</v>
      </c>
      <c r="E47" s="102">
        <f t="shared" si="0"/>
        <v>0.64890043729006908</v>
      </c>
      <c r="F47" s="69"/>
      <c r="G47" s="66"/>
      <c r="I47" s="66"/>
      <c r="J47" s="66"/>
      <c r="Q47" s="141" t="s">
        <v>316</v>
      </c>
      <c r="R47" s="142">
        <v>0.75386351438754873</v>
      </c>
      <c r="S47" s="143" t="s">
        <v>372</v>
      </c>
      <c r="W47" s="83" t="s">
        <v>31</v>
      </c>
      <c r="X47" s="110" t="s">
        <v>28</v>
      </c>
      <c r="Y47" s="110">
        <v>14</v>
      </c>
      <c r="Z47" s="110" t="s">
        <v>289</v>
      </c>
      <c r="AA47" s="114">
        <v>0.81467245298615421</v>
      </c>
    </row>
    <row r="48" spans="1:31" x14ac:dyDescent="0.2">
      <c r="A48" s="81" t="s">
        <v>43</v>
      </c>
      <c r="B48" s="82" t="s">
        <v>28</v>
      </c>
      <c r="C48" s="82">
        <v>14</v>
      </c>
      <c r="D48" s="82" t="s">
        <v>325</v>
      </c>
      <c r="E48" s="102">
        <f t="shared" si="0"/>
        <v>0.42404692082111439</v>
      </c>
      <c r="F48" s="65"/>
      <c r="G48" s="66"/>
      <c r="I48" s="66"/>
      <c r="J48" s="66"/>
      <c r="Q48" s="141" t="s">
        <v>317</v>
      </c>
      <c r="R48" s="142">
        <v>0.63819230650865855</v>
      </c>
      <c r="S48" s="143" t="s">
        <v>372</v>
      </c>
      <c r="W48" s="83" t="s">
        <v>36</v>
      </c>
      <c r="X48" s="110" t="s">
        <v>28</v>
      </c>
      <c r="Y48" s="110">
        <v>14</v>
      </c>
      <c r="Z48" s="110" t="s">
        <v>297</v>
      </c>
      <c r="AA48" s="114">
        <v>0.79472908539599674</v>
      </c>
    </row>
    <row r="49" spans="1:27" x14ac:dyDescent="0.2">
      <c r="A49" s="81" t="s">
        <v>45</v>
      </c>
      <c r="B49" s="82" t="s">
        <v>28</v>
      </c>
      <c r="C49" s="82">
        <v>14</v>
      </c>
      <c r="D49" s="82" t="s">
        <v>319</v>
      </c>
      <c r="E49" s="102">
        <f t="shared" si="0"/>
        <v>0.57546119039331711</v>
      </c>
      <c r="F49" s="65"/>
      <c r="G49" s="67"/>
      <c r="I49" s="66"/>
      <c r="J49" s="66"/>
      <c r="Q49" s="141" t="s">
        <v>318</v>
      </c>
      <c r="R49" s="142">
        <v>0.99967400162999187</v>
      </c>
      <c r="S49" s="141" t="s">
        <v>371</v>
      </c>
      <c r="W49" s="83" t="s">
        <v>57</v>
      </c>
      <c r="X49" s="110" t="s">
        <v>49</v>
      </c>
      <c r="Y49" s="110">
        <v>13</v>
      </c>
      <c r="Z49" s="110" t="s">
        <v>296</v>
      </c>
      <c r="AA49" s="114">
        <v>0.78356336260978665</v>
      </c>
    </row>
    <row r="50" spans="1:27" x14ac:dyDescent="0.2">
      <c r="A50" s="81" t="s">
        <v>62</v>
      </c>
      <c r="B50" s="82" t="s">
        <v>28</v>
      </c>
      <c r="C50" s="82">
        <v>14</v>
      </c>
      <c r="D50" s="82" t="s">
        <v>330</v>
      </c>
      <c r="E50" s="102">
        <f t="shared" si="0"/>
        <v>0.90975829351063098</v>
      </c>
      <c r="F50" s="69"/>
      <c r="G50" s="67"/>
      <c r="H50" s="4"/>
      <c r="I50" s="67"/>
      <c r="J50" s="67"/>
      <c r="Q50" s="141" t="s">
        <v>319</v>
      </c>
      <c r="R50" s="142">
        <v>0.57546119039331711</v>
      </c>
      <c r="S50" s="143" t="s">
        <v>372</v>
      </c>
      <c r="W50" s="83" t="s">
        <v>263</v>
      </c>
      <c r="X50" s="110" t="s">
        <v>108</v>
      </c>
      <c r="Y50" s="110">
        <v>19</v>
      </c>
      <c r="Z50" s="110" t="s">
        <v>310</v>
      </c>
      <c r="AA50" s="114">
        <v>0.77794419936265724</v>
      </c>
    </row>
    <row r="51" spans="1:27" x14ac:dyDescent="0.2">
      <c r="A51" s="131" t="s">
        <v>75</v>
      </c>
      <c r="B51" s="82" t="s">
        <v>28</v>
      </c>
      <c r="C51" s="82">
        <v>14</v>
      </c>
      <c r="D51" s="82" t="s">
        <v>332</v>
      </c>
      <c r="E51" s="102">
        <f>VLOOKUP($D51,$Q$7:$R$75,2,0)</f>
        <v>0.9915841495030967</v>
      </c>
      <c r="F51" s="69"/>
      <c r="H51" s="4"/>
      <c r="I51" s="67"/>
      <c r="J51" s="67"/>
      <c r="Q51" s="141" t="s">
        <v>320</v>
      </c>
      <c r="R51" s="142">
        <v>0.85164553720066594</v>
      </c>
      <c r="S51" s="141" t="s">
        <v>371</v>
      </c>
      <c r="W51" s="83" t="s">
        <v>13</v>
      </c>
      <c r="X51" s="110" t="s">
        <v>16</v>
      </c>
      <c r="Y51" s="110">
        <v>15</v>
      </c>
      <c r="Z51" s="110" t="s">
        <v>327</v>
      </c>
      <c r="AA51" s="114">
        <v>0.77327600463039525</v>
      </c>
    </row>
    <row r="52" spans="1:27" x14ac:dyDescent="0.2">
      <c r="A52" s="79" t="s">
        <v>67</v>
      </c>
      <c r="B52" s="80" t="s">
        <v>49</v>
      </c>
      <c r="C52" s="80">
        <v>13</v>
      </c>
      <c r="D52" s="80" t="s">
        <v>279</v>
      </c>
      <c r="E52" s="101">
        <f t="shared" si="0"/>
        <v>0.62875460562079877</v>
      </c>
      <c r="F52" s="69"/>
      <c r="Q52" s="141" t="s">
        <v>321</v>
      </c>
      <c r="R52" s="142">
        <v>0.89259170051200387</v>
      </c>
      <c r="S52" s="141" t="s">
        <v>371</v>
      </c>
      <c r="W52" s="83" t="s">
        <v>21</v>
      </c>
      <c r="X52" s="110" t="s">
        <v>16</v>
      </c>
      <c r="Y52" s="110">
        <v>15</v>
      </c>
      <c r="Z52" s="110" t="s">
        <v>316</v>
      </c>
      <c r="AA52" s="114">
        <v>0.75386351438754873</v>
      </c>
    </row>
    <row r="53" spans="1:27" x14ac:dyDescent="0.2">
      <c r="A53" s="79" t="s">
        <v>9</v>
      </c>
      <c r="B53" s="80" t="s">
        <v>49</v>
      </c>
      <c r="C53" s="80">
        <v>13</v>
      </c>
      <c r="D53" s="80" t="s">
        <v>274</v>
      </c>
      <c r="E53" s="101">
        <f t="shared" si="0"/>
        <v>0.82576712904581762</v>
      </c>
      <c r="F53" s="69"/>
      <c r="Q53" s="141" t="s">
        <v>322</v>
      </c>
      <c r="R53" s="142">
        <v>0.97501693766937669</v>
      </c>
      <c r="S53" s="141" t="s">
        <v>371</v>
      </c>
      <c r="W53" s="83" t="s">
        <v>32</v>
      </c>
      <c r="X53" s="110" t="s">
        <v>10</v>
      </c>
      <c r="Y53" s="110">
        <v>16</v>
      </c>
      <c r="Z53" s="110" t="s">
        <v>290</v>
      </c>
      <c r="AA53" s="114">
        <v>0.7497019635343618</v>
      </c>
    </row>
    <row r="54" spans="1:27" x14ac:dyDescent="0.2">
      <c r="A54" s="79" t="s">
        <v>55</v>
      </c>
      <c r="B54" s="80" t="s">
        <v>49</v>
      </c>
      <c r="C54" s="80">
        <v>13</v>
      </c>
      <c r="D54" s="80" t="s">
        <v>278</v>
      </c>
      <c r="E54" s="101">
        <f t="shared" si="0"/>
        <v>0.9427287640364086</v>
      </c>
      <c r="F54" s="65"/>
      <c r="Q54" s="141" t="s">
        <v>323</v>
      </c>
      <c r="R54" s="142">
        <v>0.64890043729006908</v>
      </c>
      <c r="S54" s="143" t="s">
        <v>372</v>
      </c>
      <c r="W54" s="83" t="s">
        <v>52</v>
      </c>
      <c r="X54" s="110" t="s">
        <v>16</v>
      </c>
      <c r="Y54" s="110">
        <v>15</v>
      </c>
      <c r="Z54" s="110" t="s">
        <v>281</v>
      </c>
      <c r="AA54" s="114">
        <v>0.7469877361024081</v>
      </c>
    </row>
    <row r="55" spans="1:27" x14ac:dyDescent="0.2">
      <c r="A55" s="79" t="s">
        <v>48</v>
      </c>
      <c r="B55" s="80" t="s">
        <v>49</v>
      </c>
      <c r="C55" s="80">
        <v>13</v>
      </c>
      <c r="D55" s="80" t="s">
        <v>280</v>
      </c>
      <c r="E55" s="101">
        <f t="shared" si="0"/>
        <v>0.70643925978729205</v>
      </c>
      <c r="F55" s="65"/>
      <c r="Q55" s="141" t="s">
        <v>324</v>
      </c>
      <c r="R55" s="142">
        <v>1</v>
      </c>
      <c r="S55" s="141" t="s">
        <v>371</v>
      </c>
      <c r="W55" s="83" t="s">
        <v>29</v>
      </c>
      <c r="X55" s="110" t="s">
        <v>28</v>
      </c>
      <c r="Y55" s="110">
        <v>14</v>
      </c>
      <c r="Z55" s="110" t="s">
        <v>286</v>
      </c>
      <c r="AA55" s="114">
        <v>0.72270267536539723</v>
      </c>
    </row>
    <row r="56" spans="1:27" x14ac:dyDescent="0.2">
      <c r="A56" s="79" t="s">
        <v>60</v>
      </c>
      <c r="B56" s="80" t="s">
        <v>49</v>
      </c>
      <c r="C56" s="80">
        <v>13</v>
      </c>
      <c r="D56" s="80" t="s">
        <v>284</v>
      </c>
      <c r="E56" s="101">
        <f t="shared" si="0"/>
        <v>0.90135028841111697</v>
      </c>
      <c r="F56" s="65"/>
      <c r="Q56" s="141" t="s">
        <v>325</v>
      </c>
      <c r="R56" s="142">
        <v>0.42404692082111439</v>
      </c>
      <c r="S56" s="143" t="s">
        <v>86</v>
      </c>
      <c r="W56" s="83" t="s">
        <v>48</v>
      </c>
      <c r="X56" s="110" t="s">
        <v>49</v>
      </c>
      <c r="Y56" s="110">
        <v>13</v>
      </c>
      <c r="Z56" s="110" t="s">
        <v>280</v>
      </c>
      <c r="AA56" s="114">
        <v>0.70643925978729205</v>
      </c>
    </row>
    <row r="57" spans="1:27" x14ac:dyDescent="0.2">
      <c r="A57" s="119" t="s">
        <v>260</v>
      </c>
      <c r="B57" s="110" t="s">
        <v>49</v>
      </c>
      <c r="C57" s="110">
        <v>13</v>
      </c>
      <c r="D57" s="110" t="s">
        <v>282</v>
      </c>
      <c r="E57" s="111">
        <f>VLOOKUP($D57,$Q$7:$R$75,2,0)</f>
        <v>0.27216238256230779</v>
      </c>
      <c r="F57" s="69"/>
      <c r="Q57" s="141" t="s">
        <v>326</v>
      </c>
      <c r="R57" s="142">
        <v>0.99417211067658851</v>
      </c>
      <c r="S57" s="141" t="s">
        <v>371</v>
      </c>
      <c r="W57" s="83" t="s">
        <v>51</v>
      </c>
      <c r="X57" s="110" t="s">
        <v>28</v>
      </c>
      <c r="Y57" s="110">
        <v>14</v>
      </c>
      <c r="Z57" s="110" t="s">
        <v>299</v>
      </c>
      <c r="AA57" s="114">
        <v>0.66983442164179108</v>
      </c>
    </row>
    <row r="58" spans="1:27" x14ac:dyDescent="0.2">
      <c r="A58" s="79" t="s">
        <v>262</v>
      </c>
      <c r="B58" s="80" t="s">
        <v>49</v>
      </c>
      <c r="C58" s="80">
        <v>13</v>
      </c>
      <c r="D58" s="80" t="s">
        <v>185</v>
      </c>
      <c r="E58" s="101" t="s">
        <v>373</v>
      </c>
      <c r="F58" s="65"/>
      <c r="Q58" s="141" t="s">
        <v>327</v>
      </c>
      <c r="R58" s="142">
        <v>0.77327600463039525</v>
      </c>
      <c r="S58" s="143" t="s">
        <v>372</v>
      </c>
      <c r="W58" s="83" t="s">
        <v>254</v>
      </c>
      <c r="X58" s="110" t="s">
        <v>16</v>
      </c>
      <c r="Y58" s="110">
        <v>15</v>
      </c>
      <c r="Z58" s="110" t="s">
        <v>331</v>
      </c>
      <c r="AA58" s="114">
        <v>0.66731657086909912</v>
      </c>
    </row>
    <row r="59" spans="1:27" x14ac:dyDescent="0.2">
      <c r="A59" s="79" t="s">
        <v>57</v>
      </c>
      <c r="B59" s="80" t="s">
        <v>49</v>
      </c>
      <c r="C59" s="80">
        <v>13</v>
      </c>
      <c r="D59" s="80" t="s">
        <v>296</v>
      </c>
      <c r="E59" s="101">
        <f t="shared" si="0"/>
        <v>0.78356336260978665</v>
      </c>
      <c r="F59" s="65"/>
      <c r="Q59" s="141" t="s">
        <v>328</v>
      </c>
      <c r="R59" s="142">
        <v>0.93000422702993502</v>
      </c>
      <c r="S59" s="141" t="s">
        <v>371</v>
      </c>
      <c r="W59" s="83" t="s">
        <v>23</v>
      </c>
      <c r="X59" s="110" t="s">
        <v>28</v>
      </c>
      <c r="Y59" s="110">
        <v>14</v>
      </c>
      <c r="Z59" s="110" t="s">
        <v>323</v>
      </c>
      <c r="AA59" s="114">
        <v>0.64890043729006908</v>
      </c>
    </row>
    <row r="60" spans="1:27" x14ac:dyDescent="0.2">
      <c r="A60" s="79" t="s">
        <v>35</v>
      </c>
      <c r="B60" s="80" t="s">
        <v>49</v>
      </c>
      <c r="C60" s="80">
        <v>13</v>
      </c>
      <c r="D60" s="80" t="s">
        <v>293</v>
      </c>
      <c r="E60" s="101">
        <f t="shared" si="0"/>
        <v>1.0293089747728885</v>
      </c>
      <c r="F60" s="65"/>
      <c r="Q60" s="141" t="s">
        <v>329</v>
      </c>
      <c r="R60" s="142">
        <v>0.614337822671156</v>
      </c>
      <c r="S60" s="143" t="s">
        <v>372</v>
      </c>
      <c r="W60" s="83" t="s">
        <v>22</v>
      </c>
      <c r="X60" s="110" t="s">
        <v>49</v>
      </c>
      <c r="Y60" s="110">
        <v>13</v>
      </c>
      <c r="Z60" s="110" t="s">
        <v>317</v>
      </c>
      <c r="AA60" s="114">
        <v>0.63819230650865855</v>
      </c>
    </row>
    <row r="61" spans="1:27" x14ac:dyDescent="0.2">
      <c r="A61" s="79" t="s">
        <v>58</v>
      </c>
      <c r="B61" s="80" t="s">
        <v>49</v>
      </c>
      <c r="C61" s="80">
        <v>13</v>
      </c>
      <c r="D61" s="80" t="s">
        <v>276</v>
      </c>
      <c r="E61" s="101">
        <f t="shared" si="0"/>
        <v>1</v>
      </c>
      <c r="F61" s="65"/>
      <c r="Q61" s="141" t="s">
        <v>330</v>
      </c>
      <c r="R61" s="142">
        <v>0.90975829351063098</v>
      </c>
      <c r="S61" s="141" t="s">
        <v>371</v>
      </c>
      <c r="W61" s="83" t="s">
        <v>67</v>
      </c>
      <c r="X61" s="110" t="s">
        <v>49</v>
      </c>
      <c r="Y61" s="110">
        <v>13</v>
      </c>
      <c r="Z61" s="110" t="s">
        <v>279</v>
      </c>
      <c r="AA61" s="114">
        <v>0.62875460562079877</v>
      </c>
    </row>
    <row r="62" spans="1:27" x14ac:dyDescent="0.2">
      <c r="A62" s="79" t="s">
        <v>40</v>
      </c>
      <c r="B62" s="80" t="s">
        <v>49</v>
      </c>
      <c r="C62" s="80">
        <v>13</v>
      </c>
      <c r="D62" s="80" t="s">
        <v>311</v>
      </c>
      <c r="E62" s="101">
        <f t="shared" si="0"/>
        <v>0.58034319753835939</v>
      </c>
      <c r="F62" s="65"/>
      <c r="Q62" s="141" t="s">
        <v>331</v>
      </c>
      <c r="R62" s="142">
        <v>0.66731657086909912</v>
      </c>
      <c r="S62" s="143" t="s">
        <v>372</v>
      </c>
      <c r="W62" s="83" t="s">
        <v>25</v>
      </c>
      <c r="X62" s="110" t="s">
        <v>16</v>
      </c>
      <c r="Y62" s="110">
        <v>15</v>
      </c>
      <c r="Z62" s="110" t="s">
        <v>329</v>
      </c>
      <c r="AA62" s="114">
        <v>0.614337822671156</v>
      </c>
    </row>
    <row r="63" spans="1:27" x14ac:dyDescent="0.2">
      <c r="A63" s="79" t="s">
        <v>22</v>
      </c>
      <c r="B63" s="80" t="s">
        <v>49</v>
      </c>
      <c r="C63" s="80">
        <v>13</v>
      </c>
      <c r="D63" s="80" t="s">
        <v>317</v>
      </c>
      <c r="E63" s="101">
        <f t="shared" si="0"/>
        <v>0.63819230650865855</v>
      </c>
      <c r="F63" s="65"/>
      <c r="Q63" s="141" t="s">
        <v>332</v>
      </c>
      <c r="R63" s="142">
        <v>0.9915841495030967</v>
      </c>
      <c r="S63" s="141" t="s">
        <v>371</v>
      </c>
      <c r="W63" s="83" t="s">
        <v>11</v>
      </c>
      <c r="X63" s="110" t="s">
        <v>28</v>
      </c>
      <c r="Y63" s="110">
        <v>14</v>
      </c>
      <c r="Z63" s="110" t="s">
        <v>298</v>
      </c>
      <c r="AA63" s="114">
        <v>0.60422936152907691</v>
      </c>
    </row>
    <row r="64" spans="1:27" x14ac:dyDescent="0.2">
      <c r="A64" s="79" t="s">
        <v>41</v>
      </c>
      <c r="B64" s="80" t="s">
        <v>49</v>
      </c>
      <c r="C64" s="80">
        <v>13</v>
      </c>
      <c r="D64" s="80" t="s">
        <v>322</v>
      </c>
      <c r="E64" s="101">
        <f t="shared" si="0"/>
        <v>0.97501693766937669</v>
      </c>
      <c r="F64" s="65"/>
      <c r="Q64" s="141" t="s">
        <v>333</v>
      </c>
      <c r="R64" s="142">
        <v>0.97028603165787286</v>
      </c>
      <c r="S64" s="141" t="s">
        <v>371</v>
      </c>
      <c r="W64" s="83" t="s">
        <v>18</v>
      </c>
      <c r="X64" s="110" t="s">
        <v>10</v>
      </c>
      <c r="Y64" s="110">
        <v>16</v>
      </c>
      <c r="Z64" s="110" t="s">
        <v>86</v>
      </c>
      <c r="AA64" s="114">
        <v>0.58142655748172922</v>
      </c>
    </row>
    <row r="65" spans="1:27" x14ac:dyDescent="0.2">
      <c r="A65" s="79" t="s">
        <v>59</v>
      </c>
      <c r="B65" s="80" t="s">
        <v>49</v>
      </c>
      <c r="C65" s="80">
        <v>13</v>
      </c>
      <c r="D65" s="80" t="s">
        <v>337</v>
      </c>
      <c r="E65" s="101">
        <f t="shared" si="0"/>
        <v>1</v>
      </c>
      <c r="F65" s="65"/>
      <c r="Q65" s="141" t="s">
        <v>334</v>
      </c>
      <c r="R65" s="142">
        <v>0.98634859349145065</v>
      </c>
      <c r="S65" s="141" t="s">
        <v>371</v>
      </c>
      <c r="W65" s="83" t="s">
        <v>40</v>
      </c>
      <c r="X65" s="110" t="s">
        <v>49</v>
      </c>
      <c r="Y65" s="110">
        <v>13</v>
      </c>
      <c r="Z65" s="110" t="s">
        <v>311</v>
      </c>
      <c r="AA65" s="114">
        <v>0.58034319753835939</v>
      </c>
    </row>
    <row r="66" spans="1:27" x14ac:dyDescent="0.2">
      <c r="A66" s="81" t="s">
        <v>54</v>
      </c>
      <c r="B66" s="82" t="s">
        <v>56</v>
      </c>
      <c r="C66" s="82">
        <v>12</v>
      </c>
      <c r="D66" s="82" t="s">
        <v>326</v>
      </c>
      <c r="E66" s="102">
        <f t="shared" si="0"/>
        <v>0.99417211067658851</v>
      </c>
      <c r="F66" s="69"/>
      <c r="Q66" s="141" t="s">
        <v>335</v>
      </c>
      <c r="R66" s="142">
        <v>0.96644084643352246</v>
      </c>
      <c r="S66" s="141" t="s">
        <v>371</v>
      </c>
      <c r="W66" s="83" t="s">
        <v>45</v>
      </c>
      <c r="X66" s="110" t="s">
        <v>28</v>
      </c>
      <c r="Y66" s="110">
        <v>14</v>
      </c>
      <c r="Z66" s="110" t="s">
        <v>319</v>
      </c>
      <c r="AA66" s="114">
        <v>0.57546119039331711</v>
      </c>
    </row>
    <row r="67" spans="1:27" x14ac:dyDescent="0.2">
      <c r="A67" s="79" t="s">
        <v>266</v>
      </c>
      <c r="B67" s="80" t="s">
        <v>61</v>
      </c>
      <c r="C67" s="80">
        <v>11</v>
      </c>
      <c r="D67" s="80" t="s">
        <v>314</v>
      </c>
      <c r="E67" s="101">
        <f t="shared" si="0"/>
        <v>0.99872589064335693</v>
      </c>
      <c r="F67" s="69"/>
      <c r="Q67" s="141" t="s">
        <v>336</v>
      </c>
      <c r="R67" s="142">
        <v>0.84932154135723226</v>
      </c>
      <c r="S67" s="141" t="s">
        <v>371</v>
      </c>
      <c r="W67" s="83" t="s">
        <v>4</v>
      </c>
      <c r="X67" s="110" t="s">
        <v>2</v>
      </c>
      <c r="Y67" s="110">
        <v>17</v>
      </c>
      <c r="Z67" s="110" t="s">
        <v>369</v>
      </c>
      <c r="AA67" s="114">
        <v>0.55330389203021169</v>
      </c>
    </row>
    <row r="68" spans="1:27" x14ac:dyDescent="0.2">
      <c r="A68" s="79" t="s">
        <v>42</v>
      </c>
      <c r="B68" s="80" t="s">
        <v>65</v>
      </c>
      <c r="C68" s="80">
        <v>10</v>
      </c>
      <c r="D68" s="80" t="s">
        <v>321</v>
      </c>
      <c r="E68" s="101">
        <f t="shared" si="0"/>
        <v>0.89259170051200387</v>
      </c>
      <c r="F68" s="69"/>
      <c r="G68" s="66"/>
      <c r="Q68" s="141" t="s">
        <v>337</v>
      </c>
      <c r="R68" s="142">
        <v>1</v>
      </c>
      <c r="S68" s="141" t="s">
        <v>371</v>
      </c>
      <c r="W68" s="83" t="s">
        <v>39</v>
      </c>
      <c r="X68" s="110" t="s">
        <v>28</v>
      </c>
      <c r="Y68" s="110">
        <v>14</v>
      </c>
      <c r="Z68" s="110" t="s">
        <v>302</v>
      </c>
      <c r="AA68" s="114">
        <v>0.44575810739314115</v>
      </c>
    </row>
    <row r="69" spans="1:27" ht="13.5" thickBot="1" x14ac:dyDescent="0.25">
      <c r="A69" s="137" t="s">
        <v>249</v>
      </c>
      <c r="B69" s="138" t="s">
        <v>71</v>
      </c>
      <c r="C69" s="138">
        <v>7</v>
      </c>
      <c r="D69" s="138" t="s">
        <v>295</v>
      </c>
      <c r="E69" s="139">
        <f t="shared" ref="E69:E75" si="5">VLOOKUP($D69,$Q$7:$R$75,2,0)</f>
        <v>0.27230062686467099</v>
      </c>
      <c r="F69" s="69"/>
      <c r="Q69" s="141" t="s">
        <v>338</v>
      </c>
      <c r="R69" s="142">
        <v>0.94699999999999995</v>
      </c>
      <c r="S69" s="141" t="s">
        <v>371</v>
      </c>
      <c r="W69" s="83" t="s">
        <v>43</v>
      </c>
      <c r="X69" s="110" t="s">
        <v>28</v>
      </c>
      <c r="Y69" s="110">
        <v>14</v>
      </c>
      <c r="Z69" s="110" t="s">
        <v>325</v>
      </c>
      <c r="AA69" s="114">
        <v>0.42404692082111439</v>
      </c>
    </row>
    <row r="70" spans="1:27" x14ac:dyDescent="0.2">
      <c r="A70" s="79" t="s">
        <v>263</v>
      </c>
      <c r="B70" s="80" t="s">
        <v>108</v>
      </c>
      <c r="C70" s="80">
        <v>19</v>
      </c>
      <c r="D70" s="80" t="s">
        <v>310</v>
      </c>
      <c r="E70" s="101">
        <f>VLOOKUP($D70,$Q$7:$R$75,2,0)</f>
        <v>0.77794419936265724</v>
      </c>
      <c r="F70" s="69"/>
      <c r="G70" s="66"/>
      <c r="Q70" s="99"/>
      <c r="R70" s="98"/>
      <c r="S70" s="97"/>
      <c r="W70" s="83" t="s">
        <v>12</v>
      </c>
      <c r="X70" s="110" t="s">
        <v>16</v>
      </c>
      <c r="Y70" s="110">
        <v>15</v>
      </c>
      <c r="Z70" s="110" t="s">
        <v>309</v>
      </c>
      <c r="AA70" s="114">
        <v>0.36017814864816144</v>
      </c>
    </row>
    <row r="71" spans="1:27" x14ac:dyDescent="0.2">
      <c r="A71" s="79" t="s">
        <v>264</v>
      </c>
      <c r="B71" s="80" t="s">
        <v>2</v>
      </c>
      <c r="C71" s="80">
        <v>17</v>
      </c>
      <c r="D71" s="80" t="s">
        <v>283</v>
      </c>
      <c r="E71" s="101">
        <f>VLOOKUP($D71,$Q$7:$R$75,2,0)</f>
        <v>0.87497195036407094</v>
      </c>
      <c r="F71" s="65"/>
      <c r="Q71" s="99"/>
      <c r="R71" s="98"/>
      <c r="S71" s="97"/>
      <c r="W71" s="83" t="s">
        <v>249</v>
      </c>
      <c r="X71" s="110" t="s">
        <v>71</v>
      </c>
      <c r="Y71" s="110">
        <v>7</v>
      </c>
      <c r="Z71" s="110" t="s">
        <v>295</v>
      </c>
      <c r="AA71" s="114">
        <v>0.27230062686467099</v>
      </c>
    </row>
    <row r="72" spans="1:27" x14ac:dyDescent="0.2">
      <c r="A72" s="83" t="s">
        <v>265</v>
      </c>
      <c r="B72" s="110" t="s">
        <v>56</v>
      </c>
      <c r="C72" s="110">
        <v>12</v>
      </c>
      <c r="D72" s="110" t="s">
        <v>333</v>
      </c>
      <c r="E72" s="111">
        <f>VLOOKUP($D72,$Q$7:$R$75,2,0)</f>
        <v>0.97028603165787286</v>
      </c>
      <c r="F72" s="69"/>
      <c r="Q72" s="99"/>
      <c r="R72" s="98"/>
      <c r="S72" s="97"/>
      <c r="W72" s="83" t="s">
        <v>260</v>
      </c>
      <c r="X72" s="110" t="s">
        <v>49</v>
      </c>
      <c r="Y72" s="110">
        <v>13</v>
      </c>
      <c r="Z72" s="110" t="s">
        <v>282</v>
      </c>
      <c r="AA72" s="114">
        <v>0.27216238256230779</v>
      </c>
    </row>
    <row r="73" spans="1:27" x14ac:dyDescent="0.2">
      <c r="A73" s="130" t="s">
        <v>50</v>
      </c>
      <c r="B73" s="84" t="s">
        <v>373</v>
      </c>
      <c r="C73" s="84"/>
      <c r="D73" s="110" t="s">
        <v>287</v>
      </c>
      <c r="E73" s="111">
        <f>VLOOKUP($D73,$Q$7:$R$75,2,0)</f>
        <v>0.99675869094774683</v>
      </c>
      <c r="F73" s="12"/>
      <c r="Q73" s="99"/>
      <c r="R73" s="98"/>
      <c r="S73" s="97"/>
      <c r="W73" s="83" t="s">
        <v>50</v>
      </c>
      <c r="X73" s="84" t="s">
        <v>373</v>
      </c>
      <c r="Y73" s="84"/>
      <c r="Z73" s="110" t="s">
        <v>287</v>
      </c>
      <c r="AA73" s="114">
        <v>0.99675869094774683</v>
      </c>
    </row>
    <row r="74" spans="1:27" x14ac:dyDescent="0.2">
      <c r="A74" s="79" t="s">
        <v>72</v>
      </c>
      <c r="B74" s="84" t="s">
        <v>373</v>
      </c>
      <c r="C74" s="84"/>
      <c r="D74" s="84" t="s">
        <v>308</v>
      </c>
      <c r="E74" s="103">
        <f t="shared" si="5"/>
        <v>0.98237685298627964</v>
      </c>
      <c r="F74" s="9"/>
      <c r="Q74" s="99"/>
      <c r="R74" s="98"/>
      <c r="S74" s="97"/>
      <c r="W74" s="83" t="s">
        <v>72</v>
      </c>
      <c r="X74" s="84" t="s">
        <v>373</v>
      </c>
      <c r="Y74" s="84"/>
      <c r="Z74" s="84" t="s">
        <v>308</v>
      </c>
      <c r="AA74" s="115">
        <v>0.98237685298627964</v>
      </c>
    </row>
    <row r="75" spans="1:27" ht="13.5" thickBot="1" x14ac:dyDescent="0.25">
      <c r="A75" s="91" t="s">
        <v>76</v>
      </c>
      <c r="B75" s="92" t="s">
        <v>373</v>
      </c>
      <c r="C75" s="92"/>
      <c r="D75" s="92" t="s">
        <v>334</v>
      </c>
      <c r="E75" s="104">
        <f t="shared" si="5"/>
        <v>0.98634859349145065</v>
      </c>
      <c r="F75" s="9"/>
      <c r="Q75" s="99"/>
      <c r="R75" s="98"/>
      <c r="S75" s="97"/>
      <c r="W75" s="112" t="s">
        <v>76</v>
      </c>
      <c r="X75" s="92" t="s">
        <v>373</v>
      </c>
      <c r="Y75" s="92"/>
      <c r="Z75" s="92" t="s">
        <v>334</v>
      </c>
      <c r="AA75" s="116">
        <v>0.98634859349145065</v>
      </c>
    </row>
    <row r="76" spans="1:27" x14ac:dyDescent="0.2">
      <c r="A76" s="76" t="s">
        <v>135</v>
      </c>
      <c r="B76" s="78" t="s">
        <v>28</v>
      </c>
      <c r="C76" s="77">
        <f>AVERAGE(C7:C69)</f>
        <v>14.174603174603174</v>
      </c>
      <c r="D76" s="77"/>
      <c r="E76" s="77"/>
      <c r="F76" s="9"/>
      <c r="Q76" s="99"/>
      <c r="R76" s="100"/>
      <c r="S76" s="99"/>
    </row>
    <row r="77" spans="1:27" x14ac:dyDescent="0.2">
      <c r="A77" s="7"/>
      <c r="B77" s="5"/>
      <c r="F77" s="14"/>
    </row>
    <row r="78" spans="1:27" x14ac:dyDescent="0.2">
      <c r="A78" s="7"/>
      <c r="B78" s="5"/>
      <c r="F78" s="14"/>
    </row>
    <row r="79" spans="1:27" x14ac:dyDescent="0.2">
      <c r="A79" s="85" t="s">
        <v>267</v>
      </c>
      <c r="F79" s="14"/>
      <c r="G79" s="133"/>
    </row>
    <row r="80" spans="1:27" s="133" customFormat="1" x14ac:dyDescent="0.2">
      <c r="A80" s="85" t="s">
        <v>366</v>
      </c>
      <c r="C80" s="134"/>
      <c r="D80" s="134"/>
      <c r="E80" s="134"/>
      <c r="F80" s="135"/>
      <c r="AA80" s="136"/>
    </row>
    <row r="81" spans="1:27" s="133" customFormat="1" x14ac:dyDescent="0.2">
      <c r="A81" s="132" t="s">
        <v>356</v>
      </c>
      <c r="C81" s="134"/>
      <c r="D81" s="134"/>
      <c r="E81" s="134"/>
      <c r="F81" s="135"/>
      <c r="AA81" s="136"/>
    </row>
    <row r="82" spans="1:27" s="133" customFormat="1" x14ac:dyDescent="0.2">
      <c r="A82" s="132" t="s">
        <v>357</v>
      </c>
      <c r="C82" s="134"/>
      <c r="D82" s="134"/>
      <c r="E82" s="134"/>
      <c r="F82" s="135"/>
      <c r="G82" s="1"/>
      <c r="AA82" s="136"/>
    </row>
    <row r="83" spans="1:27" x14ac:dyDescent="0.2">
      <c r="A83" s="132" t="s">
        <v>358</v>
      </c>
      <c r="D83" s="14"/>
      <c r="E83" s="1"/>
      <c r="AA83" s="1"/>
    </row>
    <row r="84" spans="1:27" x14ac:dyDescent="0.2">
      <c r="A84" s="85" t="s">
        <v>359</v>
      </c>
      <c r="D84" s="14"/>
      <c r="E84" s="1"/>
      <c r="AA84" s="1"/>
    </row>
    <row r="85" spans="1:27" x14ac:dyDescent="0.2">
      <c r="A85" s="85" t="s">
        <v>364</v>
      </c>
      <c r="D85" s="14"/>
      <c r="E85" s="1"/>
      <c r="AA85" s="1"/>
    </row>
    <row r="86" spans="1:27" x14ac:dyDescent="0.2">
      <c r="A86" s="85" t="s">
        <v>365</v>
      </c>
      <c r="F86" s="14"/>
    </row>
    <row r="87" spans="1:27" x14ac:dyDescent="0.2">
      <c r="A87" s="33"/>
      <c r="E87" s="120"/>
    </row>
    <row r="88" spans="1:27" x14ac:dyDescent="0.2">
      <c r="E88" s="120"/>
    </row>
    <row r="89" spans="1:27" x14ac:dyDescent="0.2">
      <c r="E89" s="121"/>
    </row>
  </sheetData>
  <pageMargins left="0.17" right="0.18" top="0.28000000000000003" bottom="0.17" header="0.3" footer="0.3"/>
  <pageSetup scale="73" fitToWidth="0" orientation="portrait" horizontalDpi="1200" verticalDpi="1200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0070C0"/>
    <pageSetUpPr fitToPage="1"/>
  </sheetPr>
  <dimension ref="A1:M83"/>
  <sheetViews>
    <sheetView zoomScale="85" zoomScaleNormal="85" workbookViewId="0"/>
  </sheetViews>
  <sheetFormatPr defaultColWidth="9.140625" defaultRowHeight="12.75" x14ac:dyDescent="0.2"/>
  <cols>
    <col min="1" max="1" width="35.140625" style="1" customWidth="1"/>
    <col min="2" max="2" width="9.140625" style="1"/>
    <col min="3" max="3" width="9.140625" style="4"/>
    <col min="4" max="4" width="9.140625" style="1"/>
    <col min="5" max="5" width="11.5703125" style="1" customWidth="1"/>
    <col min="6" max="8" width="9.140625" style="1"/>
    <col min="9" max="9" width="11" style="1" bestFit="1" customWidth="1"/>
    <col min="10" max="10" width="4.85546875" style="1" bestFit="1" customWidth="1"/>
    <col min="11" max="16384" width="9.140625" style="1"/>
  </cols>
  <sheetData>
    <row r="1" spans="1:13" ht="18.75" x14ac:dyDescent="0.3">
      <c r="A1" s="75" t="s">
        <v>346</v>
      </c>
    </row>
    <row r="2" spans="1:13" ht="18.75" x14ac:dyDescent="0.3">
      <c r="A2" s="75"/>
    </row>
    <row r="3" spans="1:13" ht="18.75" x14ac:dyDescent="0.3">
      <c r="A3" s="75"/>
    </row>
    <row r="4" spans="1:13" ht="18.75" x14ac:dyDescent="0.3">
      <c r="A4" s="75"/>
    </row>
    <row r="6" spans="1:13" x14ac:dyDescent="0.2">
      <c r="A6" s="73" t="s">
        <v>0</v>
      </c>
      <c r="B6" s="74" t="s">
        <v>348</v>
      </c>
      <c r="C6" s="20"/>
    </row>
    <row r="7" spans="1:13" ht="13.5" thickBot="1" x14ac:dyDescent="0.25">
      <c r="A7" s="79" t="s">
        <v>6</v>
      </c>
      <c r="B7" s="80" t="s">
        <v>110</v>
      </c>
      <c r="C7" s="80">
        <v>18</v>
      </c>
      <c r="D7" s="65"/>
      <c r="E7" s="96" t="s">
        <v>77</v>
      </c>
      <c r="F7" s="96" t="s">
        <v>81</v>
      </c>
      <c r="G7" s="96" t="s">
        <v>82</v>
      </c>
      <c r="L7" s="67"/>
      <c r="M7" s="66"/>
    </row>
    <row r="8" spans="1:13" x14ac:dyDescent="0.2">
      <c r="A8" s="79" t="s">
        <v>264</v>
      </c>
      <c r="B8" s="80" t="s">
        <v>2</v>
      </c>
      <c r="C8" s="80">
        <v>17</v>
      </c>
      <c r="D8" s="65"/>
      <c r="E8" s="72" t="s">
        <v>138</v>
      </c>
      <c r="F8" s="86">
        <f>COUNTIF(C$7:C$75,"&gt;16")</f>
        <v>4</v>
      </c>
      <c r="G8" s="87">
        <f>F8/F$14</f>
        <v>6.1538461538461542E-2</v>
      </c>
      <c r="I8" s="66"/>
      <c r="K8" s="66"/>
      <c r="L8" s="66"/>
      <c r="M8" s="67"/>
    </row>
    <row r="9" spans="1:13" x14ac:dyDescent="0.2">
      <c r="A9" s="79" t="s">
        <v>4</v>
      </c>
      <c r="B9" s="80" t="s">
        <v>2</v>
      </c>
      <c r="C9" s="80">
        <v>17</v>
      </c>
      <c r="D9" s="65"/>
      <c r="E9" s="72" t="s">
        <v>10</v>
      </c>
      <c r="F9" s="86">
        <f>COUNTIF(C$7:C$75,"=16")</f>
        <v>9</v>
      </c>
      <c r="G9" s="87">
        <f t="shared" ref="G9:G14" si="0">F9/F$14</f>
        <v>0.13846153846153847</v>
      </c>
      <c r="I9" s="66"/>
      <c r="K9" s="66"/>
      <c r="L9" s="66"/>
      <c r="M9" s="67"/>
    </row>
    <row r="10" spans="1:13" x14ac:dyDescent="0.2">
      <c r="A10" s="79" t="s">
        <v>7</v>
      </c>
      <c r="B10" s="80" t="s">
        <v>2</v>
      </c>
      <c r="C10" s="80">
        <v>17</v>
      </c>
      <c r="D10" s="65"/>
      <c r="E10" s="72" t="s">
        <v>16</v>
      </c>
      <c r="F10" s="86">
        <f>COUNTIF(C$7:C$75,"=15")</f>
        <v>13</v>
      </c>
      <c r="G10" s="87">
        <f t="shared" si="0"/>
        <v>0.2</v>
      </c>
      <c r="I10" s="66"/>
      <c r="K10" s="66"/>
      <c r="L10" s="66"/>
      <c r="M10" s="67"/>
    </row>
    <row r="11" spans="1:13" x14ac:dyDescent="0.2">
      <c r="A11" s="81" t="s">
        <v>3</v>
      </c>
      <c r="B11" s="82" t="s">
        <v>10</v>
      </c>
      <c r="C11" s="82">
        <v>16</v>
      </c>
      <c r="D11" s="65"/>
      <c r="E11" s="72" t="s">
        <v>28</v>
      </c>
      <c r="F11" s="86">
        <f>COUNTIF(C$7:C$75,"=14")</f>
        <v>19</v>
      </c>
      <c r="G11" s="87">
        <f t="shared" si="0"/>
        <v>0.29230769230769232</v>
      </c>
      <c r="I11" s="67"/>
      <c r="J11" s="4"/>
      <c r="K11" s="67"/>
      <c r="L11" s="67"/>
      <c r="M11" s="67"/>
    </row>
    <row r="12" spans="1:13" x14ac:dyDescent="0.2">
      <c r="A12" s="81" t="s">
        <v>18</v>
      </c>
      <c r="B12" s="82" t="s">
        <v>10</v>
      </c>
      <c r="C12" s="82">
        <v>16</v>
      </c>
      <c r="D12" s="65"/>
      <c r="E12" s="72" t="s">
        <v>49</v>
      </c>
      <c r="F12" s="86">
        <f>COUNTIF(C$7:C$75,"=13")</f>
        <v>14</v>
      </c>
      <c r="G12" s="87">
        <f t="shared" si="0"/>
        <v>0.2153846153846154</v>
      </c>
    </row>
    <row r="13" spans="1:13" ht="13.5" thickBot="1" x14ac:dyDescent="0.25">
      <c r="A13" s="81" t="s">
        <v>32</v>
      </c>
      <c r="B13" s="82" t="s">
        <v>10</v>
      </c>
      <c r="C13" s="82">
        <v>16</v>
      </c>
      <c r="D13" s="65"/>
      <c r="E13" s="93" t="s">
        <v>79</v>
      </c>
      <c r="F13" s="94">
        <f>COUNTIF(C$7:C$75,"&lt;13")</f>
        <v>6</v>
      </c>
      <c r="G13" s="95">
        <f t="shared" si="0"/>
        <v>9.2307692307692313E-2</v>
      </c>
    </row>
    <row r="14" spans="1:13" x14ac:dyDescent="0.2">
      <c r="A14" s="81" t="s">
        <v>254</v>
      </c>
      <c r="B14" s="82" t="s">
        <v>10</v>
      </c>
      <c r="C14" s="82">
        <v>16</v>
      </c>
      <c r="D14" s="65"/>
      <c r="E14" s="88" t="s">
        <v>80</v>
      </c>
      <c r="F14" s="89">
        <f>SUM(F8:F13)</f>
        <v>65</v>
      </c>
      <c r="G14" s="90">
        <f t="shared" si="0"/>
        <v>1</v>
      </c>
    </row>
    <row r="15" spans="1:13" x14ac:dyDescent="0.2">
      <c r="A15" s="81" t="s">
        <v>87</v>
      </c>
      <c r="B15" s="82" t="s">
        <v>10</v>
      </c>
      <c r="C15" s="82">
        <v>16</v>
      </c>
      <c r="D15" s="69"/>
      <c r="I15" s="9"/>
    </row>
    <row r="16" spans="1:13" x14ac:dyDescent="0.2">
      <c r="A16" s="81" t="s">
        <v>52</v>
      </c>
      <c r="B16" s="82" t="s">
        <v>10</v>
      </c>
      <c r="C16" s="82">
        <v>16</v>
      </c>
      <c r="D16" s="65"/>
      <c r="I16" s="9"/>
      <c r="J16" s="4"/>
    </row>
    <row r="17" spans="1:12" x14ac:dyDescent="0.2">
      <c r="A17" s="81" t="s">
        <v>5</v>
      </c>
      <c r="B17" s="82" t="s">
        <v>10</v>
      </c>
      <c r="C17" s="82">
        <v>16</v>
      </c>
      <c r="D17" s="65"/>
      <c r="I17" s="9"/>
      <c r="J17" s="4"/>
    </row>
    <row r="18" spans="1:12" x14ac:dyDescent="0.2">
      <c r="A18" s="81" t="s">
        <v>13</v>
      </c>
      <c r="B18" s="82" t="s">
        <v>10</v>
      </c>
      <c r="C18" s="82">
        <v>16</v>
      </c>
      <c r="D18" s="65"/>
      <c r="I18" s="9"/>
      <c r="J18" s="4"/>
      <c r="L18" s="4"/>
    </row>
    <row r="19" spans="1:12" x14ac:dyDescent="0.2">
      <c r="A19" s="81" t="s">
        <v>14</v>
      </c>
      <c r="B19" s="82" t="s">
        <v>10</v>
      </c>
      <c r="C19" s="82">
        <v>16</v>
      </c>
      <c r="D19" s="65"/>
      <c r="I19" s="9"/>
      <c r="J19" s="4"/>
      <c r="L19" s="4"/>
    </row>
    <row r="20" spans="1:12" x14ac:dyDescent="0.2">
      <c r="A20" s="83" t="s">
        <v>15</v>
      </c>
      <c r="B20" s="110" t="s">
        <v>16</v>
      </c>
      <c r="C20" s="110">
        <v>15</v>
      </c>
      <c r="D20" s="65"/>
      <c r="I20" s="9"/>
      <c r="J20" s="4"/>
      <c r="L20" s="4"/>
    </row>
    <row r="21" spans="1:12" x14ac:dyDescent="0.2">
      <c r="A21" s="83" t="s">
        <v>17</v>
      </c>
      <c r="B21" s="110" t="s">
        <v>16</v>
      </c>
      <c r="C21" s="110">
        <v>15</v>
      </c>
      <c r="D21" s="69"/>
    </row>
    <row r="22" spans="1:12" x14ac:dyDescent="0.2">
      <c r="A22" s="83" t="s">
        <v>19</v>
      </c>
      <c r="B22" s="110" t="s">
        <v>16</v>
      </c>
      <c r="C22" s="110">
        <v>15</v>
      </c>
      <c r="D22" s="65"/>
    </row>
    <row r="23" spans="1:12" x14ac:dyDescent="0.2">
      <c r="A23" s="83" t="s">
        <v>255</v>
      </c>
      <c r="B23" s="110" t="s">
        <v>16</v>
      </c>
      <c r="C23" s="110">
        <v>15</v>
      </c>
      <c r="D23" s="65"/>
    </row>
    <row r="24" spans="1:12" x14ac:dyDescent="0.2">
      <c r="A24" s="83" t="s">
        <v>256</v>
      </c>
      <c r="B24" s="110" t="s">
        <v>16</v>
      </c>
      <c r="C24" s="110">
        <v>15</v>
      </c>
      <c r="D24" s="65"/>
    </row>
    <row r="25" spans="1:12" x14ac:dyDescent="0.2">
      <c r="A25" s="83" t="s">
        <v>12</v>
      </c>
      <c r="B25" s="110" t="s">
        <v>16</v>
      </c>
      <c r="C25" s="110">
        <v>15</v>
      </c>
      <c r="D25" s="65"/>
    </row>
    <row r="26" spans="1:12" x14ac:dyDescent="0.2">
      <c r="A26" s="83" t="s">
        <v>21</v>
      </c>
      <c r="B26" s="110" t="s">
        <v>16</v>
      </c>
      <c r="C26" s="110">
        <v>15</v>
      </c>
      <c r="D26" s="65"/>
    </row>
    <row r="27" spans="1:12" x14ac:dyDescent="0.2">
      <c r="A27" s="83" t="s">
        <v>341</v>
      </c>
      <c r="B27" s="110" t="s">
        <v>16</v>
      </c>
      <c r="C27" s="110">
        <v>15</v>
      </c>
      <c r="D27" s="65"/>
    </row>
    <row r="28" spans="1:12" x14ac:dyDescent="0.2">
      <c r="A28" s="83" t="s">
        <v>24</v>
      </c>
      <c r="B28" s="110" t="s">
        <v>16</v>
      </c>
      <c r="C28" s="110">
        <v>15</v>
      </c>
      <c r="D28" s="65"/>
    </row>
    <row r="29" spans="1:12" x14ac:dyDescent="0.2">
      <c r="A29" s="83" t="s">
        <v>257</v>
      </c>
      <c r="B29" s="110" t="s">
        <v>16</v>
      </c>
      <c r="C29" s="110">
        <v>15</v>
      </c>
      <c r="D29" s="69"/>
    </row>
    <row r="30" spans="1:12" x14ac:dyDescent="0.2">
      <c r="A30" s="83" t="s">
        <v>25</v>
      </c>
      <c r="B30" s="110" t="s">
        <v>16</v>
      </c>
      <c r="C30" s="110">
        <v>15</v>
      </c>
      <c r="D30" s="65"/>
    </row>
    <row r="31" spans="1:12" x14ac:dyDescent="0.2">
      <c r="A31" s="83" t="s">
        <v>26</v>
      </c>
      <c r="B31" s="110" t="s">
        <v>16</v>
      </c>
      <c r="C31" s="110">
        <v>15</v>
      </c>
      <c r="D31" s="65"/>
      <c r="I31" s="66"/>
      <c r="J31" s="66"/>
    </row>
    <row r="32" spans="1:12" x14ac:dyDescent="0.2">
      <c r="A32" s="83" t="s">
        <v>258</v>
      </c>
      <c r="B32" s="110" t="s">
        <v>16</v>
      </c>
      <c r="C32" s="110">
        <v>15</v>
      </c>
      <c r="D32" s="65"/>
      <c r="J32" s="66"/>
    </row>
    <row r="33" spans="1:10" x14ac:dyDescent="0.2">
      <c r="A33" s="81" t="s">
        <v>259</v>
      </c>
      <c r="B33" s="82" t="s">
        <v>28</v>
      </c>
      <c r="C33" s="82">
        <v>14</v>
      </c>
      <c r="D33" s="65"/>
      <c r="J33" s="66"/>
    </row>
    <row r="34" spans="1:10" x14ac:dyDescent="0.2">
      <c r="A34" s="81" t="s">
        <v>29</v>
      </c>
      <c r="B34" s="82" t="s">
        <v>28</v>
      </c>
      <c r="C34" s="82">
        <v>14</v>
      </c>
      <c r="D34" s="65"/>
      <c r="F34" s="4"/>
      <c r="G34" s="4"/>
      <c r="J34" s="66"/>
    </row>
    <row r="35" spans="1:10" x14ac:dyDescent="0.2">
      <c r="A35" s="81" t="s">
        <v>30</v>
      </c>
      <c r="B35" s="82" t="s">
        <v>28</v>
      </c>
      <c r="C35" s="82">
        <v>14</v>
      </c>
      <c r="D35" s="65"/>
      <c r="E35" s="86" t="s">
        <v>268</v>
      </c>
      <c r="F35" s="4"/>
      <c r="G35" s="4"/>
      <c r="H35" s="4"/>
      <c r="J35" s="67"/>
    </row>
    <row r="36" spans="1:10" x14ac:dyDescent="0.2">
      <c r="A36" s="81" t="s">
        <v>260</v>
      </c>
      <c r="B36" s="82" t="s">
        <v>28</v>
      </c>
      <c r="C36" s="82">
        <v>14</v>
      </c>
      <c r="D36" s="65"/>
      <c r="F36" s="11"/>
      <c r="G36" s="11"/>
      <c r="H36" s="4"/>
      <c r="J36" s="67"/>
    </row>
    <row r="37" spans="1:10" x14ac:dyDescent="0.2">
      <c r="A37" s="81" t="s">
        <v>64</v>
      </c>
      <c r="B37" s="82" t="s">
        <v>28</v>
      </c>
      <c r="C37" s="82">
        <v>14</v>
      </c>
      <c r="D37" s="65"/>
      <c r="F37" s="12"/>
      <c r="G37" s="4"/>
      <c r="H37" s="11"/>
    </row>
    <row r="38" spans="1:10" x14ac:dyDescent="0.2">
      <c r="A38" s="81" t="s">
        <v>31</v>
      </c>
      <c r="B38" s="82" t="s">
        <v>28</v>
      </c>
      <c r="C38" s="82">
        <v>14</v>
      </c>
      <c r="D38" s="65"/>
      <c r="F38" s="12"/>
      <c r="G38" s="4"/>
      <c r="H38" s="13"/>
    </row>
    <row r="39" spans="1:10" x14ac:dyDescent="0.2">
      <c r="A39" s="81" t="s">
        <v>34</v>
      </c>
      <c r="B39" s="82" t="s">
        <v>28</v>
      </c>
      <c r="C39" s="82">
        <v>14</v>
      </c>
      <c r="D39" s="65"/>
      <c r="F39" s="12"/>
      <c r="G39" s="4"/>
      <c r="H39" s="13"/>
    </row>
    <row r="40" spans="1:10" x14ac:dyDescent="0.2">
      <c r="A40" s="81" t="s">
        <v>36</v>
      </c>
      <c r="B40" s="82" t="s">
        <v>28</v>
      </c>
      <c r="C40" s="82">
        <v>14</v>
      </c>
      <c r="D40" s="65"/>
      <c r="F40" s="12"/>
      <c r="G40" s="4"/>
      <c r="H40" s="13"/>
    </row>
    <row r="41" spans="1:10" x14ac:dyDescent="0.2">
      <c r="A41" s="81" t="s">
        <v>11</v>
      </c>
      <c r="B41" s="82" t="s">
        <v>28</v>
      </c>
      <c r="C41" s="82">
        <v>14</v>
      </c>
      <c r="D41" s="69"/>
      <c r="F41" s="12"/>
      <c r="G41" s="4"/>
      <c r="H41" s="13"/>
    </row>
    <row r="42" spans="1:10" x14ac:dyDescent="0.2">
      <c r="A42" s="81" t="s">
        <v>51</v>
      </c>
      <c r="B42" s="82" t="s">
        <v>28</v>
      </c>
      <c r="C42" s="82">
        <v>14</v>
      </c>
      <c r="D42" s="65"/>
      <c r="F42" s="12"/>
      <c r="G42" s="4"/>
      <c r="H42" s="13"/>
    </row>
    <row r="43" spans="1:10" x14ac:dyDescent="0.2">
      <c r="A43" s="81" t="s">
        <v>261</v>
      </c>
      <c r="B43" s="82" t="s">
        <v>28</v>
      </c>
      <c r="C43" s="82">
        <v>14</v>
      </c>
      <c r="D43" s="65"/>
      <c r="F43" s="4"/>
      <c r="G43" s="4"/>
      <c r="H43" s="4"/>
    </row>
    <row r="44" spans="1:10" x14ac:dyDescent="0.2">
      <c r="A44" s="81" t="s">
        <v>38</v>
      </c>
      <c r="B44" s="82" t="s">
        <v>28</v>
      </c>
      <c r="C44" s="82">
        <v>14</v>
      </c>
      <c r="D44" s="65"/>
      <c r="F44" s="4"/>
      <c r="G44" s="4"/>
      <c r="H44" s="4"/>
    </row>
    <row r="45" spans="1:10" x14ac:dyDescent="0.2">
      <c r="A45" s="81" t="s">
        <v>39</v>
      </c>
      <c r="B45" s="82" t="s">
        <v>28</v>
      </c>
      <c r="C45" s="82">
        <v>14</v>
      </c>
      <c r="D45" s="65"/>
      <c r="F45" s="4"/>
      <c r="G45" s="4"/>
      <c r="H45" s="4"/>
    </row>
    <row r="46" spans="1:10" x14ac:dyDescent="0.2">
      <c r="A46" s="81" t="s">
        <v>20</v>
      </c>
      <c r="B46" s="82" t="s">
        <v>28</v>
      </c>
      <c r="C46" s="82">
        <v>14</v>
      </c>
      <c r="D46" s="69"/>
      <c r="H46" s="67"/>
    </row>
    <row r="47" spans="1:10" x14ac:dyDescent="0.2">
      <c r="A47" s="81" t="s">
        <v>513</v>
      </c>
      <c r="B47" s="82" t="s">
        <v>28</v>
      </c>
      <c r="C47" s="82">
        <v>14</v>
      </c>
      <c r="D47" s="69"/>
      <c r="E47" s="66"/>
      <c r="G47" s="66"/>
      <c r="H47" s="66"/>
    </row>
    <row r="48" spans="1:10" x14ac:dyDescent="0.2">
      <c r="A48" s="81" t="s">
        <v>66</v>
      </c>
      <c r="B48" s="82" t="s">
        <v>28</v>
      </c>
      <c r="C48" s="82">
        <v>14</v>
      </c>
      <c r="D48" s="65"/>
      <c r="E48" s="66"/>
      <c r="G48" s="66"/>
      <c r="H48" s="66"/>
    </row>
    <row r="49" spans="1:8" x14ac:dyDescent="0.2">
      <c r="A49" s="81" t="s">
        <v>23</v>
      </c>
      <c r="B49" s="82" t="s">
        <v>28</v>
      </c>
      <c r="C49" s="82">
        <v>14</v>
      </c>
      <c r="D49" s="65"/>
      <c r="E49" s="66"/>
      <c r="G49" s="66"/>
      <c r="H49" s="66"/>
    </row>
    <row r="50" spans="1:8" x14ac:dyDescent="0.2">
      <c r="A50" s="81" t="s">
        <v>43</v>
      </c>
      <c r="B50" s="82" t="s">
        <v>28</v>
      </c>
      <c r="C50" s="82">
        <v>14</v>
      </c>
      <c r="D50" s="69"/>
      <c r="E50" s="67"/>
      <c r="F50" s="4"/>
      <c r="G50" s="67"/>
      <c r="H50" s="67"/>
    </row>
    <row r="51" spans="1:8" x14ac:dyDescent="0.2">
      <c r="A51" s="81" t="s">
        <v>45</v>
      </c>
      <c r="B51" s="82" t="s">
        <v>28</v>
      </c>
      <c r="C51" s="82">
        <v>14</v>
      </c>
      <c r="D51" s="69"/>
      <c r="E51" s="67"/>
      <c r="F51" s="4"/>
      <c r="G51" s="67"/>
      <c r="H51" s="67"/>
    </row>
    <row r="52" spans="1:8" x14ac:dyDescent="0.2">
      <c r="A52" s="83" t="s">
        <v>67</v>
      </c>
      <c r="B52" s="110" t="s">
        <v>49</v>
      </c>
      <c r="C52" s="110">
        <v>13</v>
      </c>
      <c r="D52" s="69"/>
    </row>
    <row r="53" spans="1:8" x14ac:dyDescent="0.2">
      <c r="A53" s="83" t="s">
        <v>9</v>
      </c>
      <c r="B53" s="110" t="s">
        <v>49</v>
      </c>
      <c r="C53" s="110">
        <v>13</v>
      </c>
      <c r="D53" s="69"/>
    </row>
    <row r="54" spans="1:8" x14ac:dyDescent="0.2">
      <c r="A54" s="83" t="s">
        <v>55</v>
      </c>
      <c r="B54" s="110" t="s">
        <v>49</v>
      </c>
      <c r="C54" s="110">
        <v>13</v>
      </c>
      <c r="D54" s="65"/>
    </row>
    <row r="55" spans="1:8" x14ac:dyDescent="0.2">
      <c r="A55" s="83" t="s">
        <v>48</v>
      </c>
      <c r="B55" s="110" t="s">
        <v>49</v>
      </c>
      <c r="C55" s="110">
        <v>13</v>
      </c>
      <c r="D55" s="65"/>
    </row>
    <row r="56" spans="1:8" x14ac:dyDescent="0.2">
      <c r="A56" s="83" t="s">
        <v>60</v>
      </c>
      <c r="B56" s="110" t="s">
        <v>49</v>
      </c>
      <c r="C56" s="110">
        <v>13</v>
      </c>
      <c r="D56" s="65"/>
    </row>
    <row r="57" spans="1:8" x14ac:dyDescent="0.2">
      <c r="A57" s="83" t="s">
        <v>262</v>
      </c>
      <c r="B57" s="110" t="s">
        <v>49</v>
      </c>
      <c r="C57" s="110">
        <v>13</v>
      </c>
      <c r="D57" s="69"/>
    </row>
    <row r="58" spans="1:8" x14ac:dyDescent="0.2">
      <c r="A58" s="83" t="s">
        <v>57</v>
      </c>
      <c r="B58" s="110" t="s">
        <v>49</v>
      </c>
      <c r="C58" s="110">
        <v>13</v>
      </c>
      <c r="D58" s="65"/>
    </row>
    <row r="59" spans="1:8" x14ac:dyDescent="0.2">
      <c r="A59" s="83" t="s">
        <v>35</v>
      </c>
      <c r="B59" s="110" t="s">
        <v>49</v>
      </c>
      <c r="C59" s="110">
        <v>13</v>
      </c>
      <c r="D59" s="65"/>
    </row>
    <row r="60" spans="1:8" x14ac:dyDescent="0.2">
      <c r="A60" s="83" t="s">
        <v>40</v>
      </c>
      <c r="B60" s="110" t="s">
        <v>49</v>
      </c>
      <c r="C60" s="110">
        <v>13</v>
      </c>
      <c r="D60" s="65"/>
    </row>
    <row r="61" spans="1:8" x14ac:dyDescent="0.2">
      <c r="A61" s="83" t="s">
        <v>22</v>
      </c>
      <c r="B61" s="110" t="s">
        <v>49</v>
      </c>
      <c r="C61" s="110">
        <v>13</v>
      </c>
      <c r="D61" s="65"/>
    </row>
    <row r="62" spans="1:8" x14ac:dyDescent="0.2">
      <c r="A62" s="83" t="s">
        <v>41</v>
      </c>
      <c r="B62" s="110" t="s">
        <v>49</v>
      </c>
      <c r="C62" s="110">
        <v>13</v>
      </c>
      <c r="D62" s="65"/>
    </row>
    <row r="63" spans="1:8" x14ac:dyDescent="0.2">
      <c r="A63" s="83" t="s">
        <v>54</v>
      </c>
      <c r="B63" s="110" t="s">
        <v>49</v>
      </c>
      <c r="C63" s="110">
        <v>13</v>
      </c>
      <c r="D63" s="65"/>
    </row>
    <row r="64" spans="1:8" x14ac:dyDescent="0.2">
      <c r="A64" s="83" t="s">
        <v>62</v>
      </c>
      <c r="B64" s="110" t="s">
        <v>49</v>
      </c>
      <c r="C64" s="110">
        <v>13</v>
      </c>
      <c r="D64" s="65"/>
    </row>
    <row r="65" spans="1:5" x14ac:dyDescent="0.2">
      <c r="A65" s="83" t="s">
        <v>59</v>
      </c>
      <c r="B65" s="110" t="s">
        <v>49</v>
      </c>
      <c r="C65" s="110">
        <v>13</v>
      </c>
      <c r="D65" s="65"/>
    </row>
    <row r="66" spans="1:5" x14ac:dyDescent="0.2">
      <c r="A66" s="81" t="s">
        <v>50</v>
      </c>
      <c r="B66" s="82" t="s">
        <v>56</v>
      </c>
      <c r="C66" s="82">
        <v>12</v>
      </c>
      <c r="D66" s="69"/>
    </row>
    <row r="67" spans="1:5" x14ac:dyDescent="0.2">
      <c r="A67" s="81" t="s">
        <v>58</v>
      </c>
      <c r="B67" s="82" t="s">
        <v>56</v>
      </c>
      <c r="C67" s="82">
        <v>12</v>
      </c>
      <c r="D67" s="69"/>
    </row>
    <row r="68" spans="1:5" x14ac:dyDescent="0.2">
      <c r="A68" s="81" t="s">
        <v>265</v>
      </c>
      <c r="B68" s="82" t="s">
        <v>56</v>
      </c>
      <c r="C68" s="82">
        <v>12</v>
      </c>
      <c r="D68" s="69"/>
    </row>
    <row r="69" spans="1:5" x14ac:dyDescent="0.2">
      <c r="A69" s="83" t="s">
        <v>69</v>
      </c>
      <c r="B69" s="110" t="s">
        <v>61</v>
      </c>
      <c r="C69" s="110">
        <v>11</v>
      </c>
      <c r="D69" s="69"/>
      <c r="E69" s="66"/>
    </row>
    <row r="70" spans="1:5" x14ac:dyDescent="0.2">
      <c r="A70" s="83" t="s">
        <v>42</v>
      </c>
      <c r="B70" s="110" t="s">
        <v>65</v>
      </c>
      <c r="C70" s="110">
        <v>10</v>
      </c>
      <c r="D70" s="69"/>
    </row>
    <row r="71" spans="1:5" x14ac:dyDescent="0.2">
      <c r="A71" s="83" t="s">
        <v>249</v>
      </c>
      <c r="B71" s="110" t="s">
        <v>71</v>
      </c>
      <c r="C71" s="110">
        <v>7</v>
      </c>
      <c r="D71" s="65"/>
      <c r="E71" s="66"/>
    </row>
    <row r="72" spans="1:5" x14ac:dyDescent="0.2">
      <c r="A72" s="83" t="s">
        <v>72</v>
      </c>
      <c r="B72" s="84" t="s">
        <v>136</v>
      </c>
      <c r="C72" s="84"/>
      <c r="D72" s="69"/>
    </row>
    <row r="73" spans="1:5" x14ac:dyDescent="0.2">
      <c r="A73" s="83" t="s">
        <v>74</v>
      </c>
      <c r="B73" s="84" t="s">
        <v>136</v>
      </c>
      <c r="C73" s="84"/>
      <c r="D73" s="12"/>
    </row>
    <row r="74" spans="1:5" x14ac:dyDescent="0.2">
      <c r="A74" s="83" t="s">
        <v>75</v>
      </c>
      <c r="B74" s="84" t="s">
        <v>136</v>
      </c>
      <c r="C74" s="84"/>
      <c r="D74" s="9"/>
    </row>
    <row r="75" spans="1:5" ht="13.5" thickBot="1" x14ac:dyDescent="0.25">
      <c r="A75" s="112" t="s">
        <v>76</v>
      </c>
      <c r="B75" s="92" t="s">
        <v>136</v>
      </c>
      <c r="C75" s="92"/>
      <c r="D75" s="9"/>
    </row>
    <row r="76" spans="1:5" x14ac:dyDescent="0.2">
      <c r="A76" s="76" t="s">
        <v>135</v>
      </c>
      <c r="B76" s="78" t="s">
        <v>28</v>
      </c>
      <c r="C76" s="77">
        <f>AVERAGE(C7:C71)</f>
        <v>14.153846153846153</v>
      </c>
      <c r="D76" s="9"/>
    </row>
    <row r="77" spans="1:5" x14ac:dyDescent="0.2">
      <c r="A77" s="7"/>
      <c r="B77" s="5"/>
      <c r="D77" s="14"/>
    </row>
    <row r="78" spans="1:5" x14ac:dyDescent="0.2">
      <c r="A78" s="7"/>
      <c r="B78" s="5"/>
      <c r="D78" s="14"/>
    </row>
    <row r="79" spans="1:5" x14ac:dyDescent="0.2">
      <c r="A79" s="85" t="s">
        <v>267</v>
      </c>
      <c r="D79" s="14"/>
    </row>
    <row r="80" spans="1:5" x14ac:dyDescent="0.2">
      <c r="A80" s="85" t="s">
        <v>343</v>
      </c>
      <c r="D80" s="14"/>
    </row>
    <row r="81" spans="1:4" x14ac:dyDescent="0.2">
      <c r="A81" s="85" t="s">
        <v>342</v>
      </c>
      <c r="D81" s="14"/>
    </row>
    <row r="82" spans="1:4" x14ac:dyDescent="0.2">
      <c r="A82" s="85" t="s">
        <v>344</v>
      </c>
      <c r="D82" s="14"/>
    </row>
    <row r="83" spans="1:4" x14ac:dyDescent="0.2">
      <c r="A83" s="33"/>
      <c r="D83" s="14"/>
    </row>
  </sheetData>
  <pageMargins left="0.17" right="0.18" top="0.28000000000000003" bottom="0.17" header="0.3" footer="0.3"/>
  <pageSetup scale="77" fitToWidth="0" orientation="portrait" horizontalDpi="1200" verticalDpi="1200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rgb="FF002060"/>
    <pageSetUpPr fitToPage="1"/>
  </sheetPr>
  <dimension ref="A1:M84"/>
  <sheetViews>
    <sheetView zoomScale="85" zoomScaleNormal="85" workbookViewId="0"/>
  </sheetViews>
  <sheetFormatPr defaultColWidth="9.140625" defaultRowHeight="12.75" x14ac:dyDescent="0.2"/>
  <cols>
    <col min="1" max="1" width="35.140625" style="1" customWidth="1"/>
    <col min="2" max="2" width="9.140625" style="1"/>
    <col min="3" max="3" width="9.140625" style="4"/>
    <col min="4" max="4" width="9.140625" style="1"/>
    <col min="5" max="5" width="11.5703125" style="1" customWidth="1"/>
    <col min="6" max="8" width="9.140625" style="1"/>
    <col min="9" max="9" width="11" style="1" bestFit="1" customWidth="1"/>
    <col min="10" max="10" width="4.85546875" style="1" bestFit="1" customWidth="1"/>
    <col min="11" max="16384" width="9.140625" style="1"/>
  </cols>
  <sheetData>
    <row r="1" spans="1:13" ht="18.75" x14ac:dyDescent="0.3">
      <c r="A1" s="75" t="s">
        <v>347</v>
      </c>
    </row>
    <row r="2" spans="1:13" ht="18.75" x14ac:dyDescent="0.3">
      <c r="A2" s="75"/>
    </row>
    <row r="3" spans="1:13" ht="18.75" x14ac:dyDescent="0.3">
      <c r="A3" s="75"/>
    </row>
    <row r="4" spans="1:13" ht="18.75" x14ac:dyDescent="0.3">
      <c r="A4" s="75"/>
    </row>
    <row r="6" spans="1:13" x14ac:dyDescent="0.2">
      <c r="A6" s="73" t="s">
        <v>0</v>
      </c>
      <c r="B6" s="74" t="s">
        <v>349</v>
      </c>
      <c r="C6" s="20"/>
    </row>
    <row r="7" spans="1:13" ht="13.5" thickBot="1" x14ac:dyDescent="0.25">
      <c r="A7" s="83" t="s">
        <v>6</v>
      </c>
      <c r="B7" s="110" t="s">
        <v>110</v>
      </c>
      <c r="C7" s="110">
        <v>18</v>
      </c>
      <c r="D7" s="65"/>
      <c r="E7" s="96" t="s">
        <v>77</v>
      </c>
      <c r="F7" s="96" t="s">
        <v>81</v>
      </c>
      <c r="G7" s="96" t="s">
        <v>82</v>
      </c>
      <c r="L7" s="67"/>
      <c r="M7" s="66"/>
    </row>
    <row r="8" spans="1:13" x14ac:dyDescent="0.2">
      <c r="A8" s="83" t="s">
        <v>264</v>
      </c>
      <c r="B8" s="110" t="s">
        <v>2</v>
      </c>
      <c r="C8" s="110">
        <v>17</v>
      </c>
      <c r="D8" s="65"/>
      <c r="E8" s="72" t="s">
        <v>138</v>
      </c>
      <c r="F8" s="86">
        <f>COUNTIF(C$7:C$76,"&gt;16")</f>
        <v>6</v>
      </c>
      <c r="G8" s="87">
        <f>F8/F$14</f>
        <v>9.0909090909090912E-2</v>
      </c>
      <c r="I8" s="66"/>
      <c r="K8" s="66"/>
      <c r="L8" s="66"/>
      <c r="M8" s="67"/>
    </row>
    <row r="9" spans="1:13" x14ac:dyDescent="0.2">
      <c r="A9" s="83" t="s">
        <v>3</v>
      </c>
      <c r="B9" s="110" t="s">
        <v>2</v>
      </c>
      <c r="C9" s="110">
        <v>17</v>
      </c>
      <c r="D9" s="65"/>
      <c r="E9" s="72" t="s">
        <v>10</v>
      </c>
      <c r="F9" s="86">
        <f>COUNTIF(C$7:C$76,"=16")</f>
        <v>7</v>
      </c>
      <c r="G9" s="87">
        <f t="shared" ref="G9:G14" si="0">F9/F$14</f>
        <v>0.10606060606060606</v>
      </c>
      <c r="I9" s="66"/>
      <c r="K9" s="66"/>
      <c r="L9" s="66"/>
      <c r="M9" s="67"/>
    </row>
    <row r="10" spans="1:13" x14ac:dyDescent="0.2">
      <c r="A10" s="83" t="s">
        <v>4</v>
      </c>
      <c r="B10" s="110" t="s">
        <v>2</v>
      </c>
      <c r="C10" s="110">
        <v>17</v>
      </c>
      <c r="D10" s="65"/>
      <c r="E10" s="72" t="s">
        <v>16</v>
      </c>
      <c r="F10" s="86">
        <f>COUNTIF(C$7:C$76,"=15")</f>
        <v>17</v>
      </c>
      <c r="G10" s="87">
        <f t="shared" si="0"/>
        <v>0.25757575757575757</v>
      </c>
      <c r="I10" s="66"/>
      <c r="K10" s="66"/>
      <c r="L10" s="66"/>
      <c r="M10" s="67"/>
    </row>
    <row r="11" spans="1:13" x14ac:dyDescent="0.2">
      <c r="A11" s="83" t="s">
        <v>5</v>
      </c>
      <c r="B11" s="110" t="s">
        <v>2</v>
      </c>
      <c r="C11" s="110">
        <v>17</v>
      </c>
      <c r="D11" s="65"/>
      <c r="E11" s="72" t="s">
        <v>28</v>
      </c>
      <c r="F11" s="86">
        <f>COUNTIF(C$7:C$76,"=14")</f>
        <v>15</v>
      </c>
      <c r="G11" s="87">
        <f t="shared" si="0"/>
        <v>0.22727272727272727</v>
      </c>
      <c r="I11" s="67"/>
      <c r="J11" s="4"/>
      <c r="K11" s="67"/>
      <c r="L11" s="67"/>
      <c r="M11" s="67"/>
    </row>
    <row r="12" spans="1:13" x14ac:dyDescent="0.2">
      <c r="A12" s="83" t="s">
        <v>7</v>
      </c>
      <c r="B12" s="110" t="s">
        <v>2</v>
      </c>
      <c r="C12" s="110">
        <v>17</v>
      </c>
      <c r="D12" s="65"/>
      <c r="E12" s="72" t="s">
        <v>49</v>
      </c>
      <c r="F12" s="86">
        <f>COUNTIF(C$7:C$76,"=13")</f>
        <v>13</v>
      </c>
      <c r="G12" s="87">
        <f t="shared" si="0"/>
        <v>0.19696969696969696</v>
      </c>
    </row>
    <row r="13" spans="1:13" ht="13.5" thickBot="1" x14ac:dyDescent="0.25">
      <c r="A13" s="81" t="s">
        <v>18</v>
      </c>
      <c r="B13" s="82" t="s">
        <v>10</v>
      </c>
      <c r="C13" s="82">
        <v>16</v>
      </c>
      <c r="D13" s="65"/>
      <c r="E13" s="93" t="s">
        <v>79</v>
      </c>
      <c r="F13" s="94">
        <f>COUNTIF(C$7:C$76,"&lt;13")</f>
        <v>8</v>
      </c>
      <c r="G13" s="95">
        <f t="shared" si="0"/>
        <v>0.12121212121212122</v>
      </c>
    </row>
    <row r="14" spans="1:13" x14ac:dyDescent="0.2">
      <c r="A14" s="81" t="s">
        <v>32</v>
      </c>
      <c r="B14" s="82" t="s">
        <v>10</v>
      </c>
      <c r="C14" s="82">
        <v>16</v>
      </c>
      <c r="D14" s="65"/>
      <c r="E14" s="88" t="s">
        <v>80</v>
      </c>
      <c r="F14" s="89">
        <f>SUM(F8:F13)</f>
        <v>66</v>
      </c>
      <c r="G14" s="90">
        <f t="shared" si="0"/>
        <v>1</v>
      </c>
    </row>
    <row r="15" spans="1:13" x14ac:dyDescent="0.2">
      <c r="A15" s="81" t="s">
        <v>254</v>
      </c>
      <c r="B15" s="82" t="s">
        <v>10</v>
      </c>
      <c r="C15" s="82">
        <v>16</v>
      </c>
      <c r="D15" s="69"/>
      <c r="I15" s="9"/>
    </row>
    <row r="16" spans="1:13" x14ac:dyDescent="0.2">
      <c r="A16" s="81" t="s">
        <v>87</v>
      </c>
      <c r="B16" s="82" t="s">
        <v>10</v>
      </c>
      <c r="C16" s="82">
        <v>16</v>
      </c>
      <c r="D16" s="65"/>
      <c r="I16" s="9"/>
      <c r="J16" s="4"/>
    </row>
    <row r="17" spans="1:12" x14ac:dyDescent="0.2">
      <c r="A17" s="81" t="s">
        <v>52</v>
      </c>
      <c r="B17" s="82" t="s">
        <v>10</v>
      </c>
      <c r="C17" s="82">
        <v>16</v>
      </c>
      <c r="D17" s="65"/>
      <c r="I17" s="9"/>
      <c r="J17" s="4"/>
    </row>
    <row r="18" spans="1:12" x14ac:dyDescent="0.2">
      <c r="A18" s="81" t="s">
        <v>13</v>
      </c>
      <c r="B18" s="82" t="s">
        <v>10</v>
      </c>
      <c r="C18" s="82">
        <v>16</v>
      </c>
      <c r="D18" s="65"/>
      <c r="I18" s="9"/>
      <c r="J18" s="4"/>
      <c r="L18" s="4"/>
    </row>
    <row r="19" spans="1:12" x14ac:dyDescent="0.2">
      <c r="A19" s="81" t="s">
        <v>14</v>
      </c>
      <c r="B19" s="82" t="s">
        <v>10</v>
      </c>
      <c r="C19" s="82">
        <v>16</v>
      </c>
      <c r="D19" s="65"/>
      <c r="I19" s="9"/>
      <c r="J19" s="4"/>
      <c r="L19" s="4"/>
    </row>
    <row r="20" spans="1:12" x14ac:dyDescent="0.2">
      <c r="A20" s="83" t="s">
        <v>15</v>
      </c>
      <c r="B20" s="110" t="s">
        <v>16</v>
      </c>
      <c r="C20" s="110">
        <v>15</v>
      </c>
      <c r="D20" s="65"/>
      <c r="I20" s="9"/>
      <c r="J20" s="4"/>
      <c r="L20" s="4"/>
    </row>
    <row r="21" spans="1:12" x14ac:dyDescent="0.2">
      <c r="A21" s="83" t="s">
        <v>17</v>
      </c>
      <c r="B21" s="110" t="s">
        <v>16</v>
      </c>
      <c r="C21" s="110">
        <v>15</v>
      </c>
      <c r="D21" s="69"/>
    </row>
    <row r="22" spans="1:12" x14ac:dyDescent="0.2">
      <c r="A22" s="83" t="s">
        <v>260</v>
      </c>
      <c r="B22" s="110" t="s">
        <v>16</v>
      </c>
      <c r="C22" s="110">
        <v>15</v>
      </c>
      <c r="D22" s="65"/>
    </row>
    <row r="23" spans="1:12" x14ac:dyDescent="0.2">
      <c r="A23" s="83" t="s">
        <v>19</v>
      </c>
      <c r="B23" s="110" t="s">
        <v>16</v>
      </c>
      <c r="C23" s="110">
        <v>15</v>
      </c>
      <c r="D23" s="65"/>
    </row>
    <row r="24" spans="1:12" x14ac:dyDescent="0.2">
      <c r="A24" s="83" t="s">
        <v>11</v>
      </c>
      <c r="B24" s="110" t="s">
        <v>16</v>
      </c>
      <c r="C24" s="110">
        <v>15</v>
      </c>
      <c r="D24" s="65"/>
    </row>
    <row r="25" spans="1:12" x14ac:dyDescent="0.2">
      <c r="A25" s="83" t="s">
        <v>20</v>
      </c>
      <c r="B25" s="110" t="s">
        <v>16</v>
      </c>
      <c r="C25" s="110">
        <v>15</v>
      </c>
      <c r="D25" s="65"/>
    </row>
    <row r="26" spans="1:12" x14ac:dyDescent="0.2">
      <c r="A26" s="83" t="s">
        <v>255</v>
      </c>
      <c r="B26" s="110" t="s">
        <v>16</v>
      </c>
      <c r="C26" s="110">
        <v>15</v>
      </c>
      <c r="D26" s="65"/>
    </row>
    <row r="27" spans="1:12" x14ac:dyDescent="0.2">
      <c r="A27" s="83" t="s">
        <v>256</v>
      </c>
      <c r="B27" s="110" t="s">
        <v>16</v>
      </c>
      <c r="C27" s="110">
        <v>15</v>
      </c>
      <c r="D27" s="65"/>
    </row>
    <row r="28" spans="1:12" x14ac:dyDescent="0.2">
      <c r="A28" s="83" t="s">
        <v>12</v>
      </c>
      <c r="B28" s="110" t="s">
        <v>16</v>
      </c>
      <c r="C28" s="110">
        <v>15</v>
      </c>
      <c r="D28" s="65"/>
    </row>
    <row r="29" spans="1:12" x14ac:dyDescent="0.2">
      <c r="A29" s="83" t="s">
        <v>21</v>
      </c>
      <c r="B29" s="110" t="s">
        <v>16</v>
      </c>
      <c r="C29" s="110">
        <v>15</v>
      </c>
      <c r="D29" s="69"/>
    </row>
    <row r="30" spans="1:12" x14ac:dyDescent="0.2">
      <c r="A30" s="83" t="s">
        <v>22</v>
      </c>
      <c r="B30" s="110" t="s">
        <v>16</v>
      </c>
      <c r="C30" s="110">
        <v>15</v>
      </c>
      <c r="D30" s="65"/>
    </row>
    <row r="31" spans="1:12" x14ac:dyDescent="0.2">
      <c r="A31" s="83" t="s">
        <v>341</v>
      </c>
      <c r="B31" s="110" t="s">
        <v>16</v>
      </c>
      <c r="C31" s="110">
        <v>15</v>
      </c>
      <c r="D31" s="65"/>
      <c r="I31" s="66"/>
      <c r="J31" s="66"/>
    </row>
    <row r="32" spans="1:12" x14ac:dyDescent="0.2">
      <c r="A32" s="83" t="s">
        <v>24</v>
      </c>
      <c r="B32" s="110" t="s">
        <v>16</v>
      </c>
      <c r="C32" s="110">
        <v>15</v>
      </c>
      <c r="D32" s="65"/>
      <c r="J32" s="66"/>
    </row>
    <row r="33" spans="1:10" x14ac:dyDescent="0.2">
      <c r="A33" s="83" t="s">
        <v>257</v>
      </c>
      <c r="B33" s="110" t="s">
        <v>16</v>
      </c>
      <c r="C33" s="110">
        <v>15</v>
      </c>
      <c r="D33" s="65"/>
      <c r="J33" s="66"/>
    </row>
    <row r="34" spans="1:10" x14ac:dyDescent="0.2">
      <c r="A34" s="83" t="s">
        <v>25</v>
      </c>
      <c r="B34" s="110" t="s">
        <v>16</v>
      </c>
      <c r="C34" s="110">
        <v>15</v>
      </c>
      <c r="D34" s="65"/>
      <c r="F34" s="4"/>
      <c r="G34" s="4"/>
      <c r="J34" s="66"/>
    </row>
    <row r="35" spans="1:10" x14ac:dyDescent="0.2">
      <c r="A35" s="83" t="s">
        <v>26</v>
      </c>
      <c r="B35" s="110" t="s">
        <v>16</v>
      </c>
      <c r="C35" s="110">
        <v>15</v>
      </c>
      <c r="D35" s="65"/>
      <c r="E35" s="86" t="s">
        <v>268</v>
      </c>
      <c r="F35" s="4"/>
      <c r="G35" s="4"/>
      <c r="H35" s="4"/>
      <c r="J35" s="67"/>
    </row>
    <row r="36" spans="1:10" x14ac:dyDescent="0.2">
      <c r="A36" s="83" t="s">
        <v>258</v>
      </c>
      <c r="B36" s="110" t="s">
        <v>16</v>
      </c>
      <c r="C36" s="110">
        <v>15</v>
      </c>
      <c r="D36" s="65"/>
      <c r="F36" s="11"/>
      <c r="G36" s="11"/>
      <c r="H36" s="4"/>
      <c r="J36" s="67"/>
    </row>
    <row r="37" spans="1:10" x14ac:dyDescent="0.2">
      <c r="A37" s="81" t="s">
        <v>259</v>
      </c>
      <c r="B37" s="82" t="s">
        <v>28</v>
      </c>
      <c r="C37" s="82">
        <v>14</v>
      </c>
      <c r="D37" s="65"/>
      <c r="F37" s="12"/>
      <c r="G37" s="4"/>
      <c r="H37" s="11"/>
    </row>
    <row r="38" spans="1:10" x14ac:dyDescent="0.2">
      <c r="A38" s="81" t="s">
        <v>29</v>
      </c>
      <c r="B38" s="82" t="s">
        <v>28</v>
      </c>
      <c r="C38" s="82">
        <v>14</v>
      </c>
      <c r="D38" s="65"/>
      <c r="F38" s="12"/>
      <c r="G38" s="4"/>
      <c r="H38" s="13"/>
    </row>
    <row r="39" spans="1:10" x14ac:dyDescent="0.2">
      <c r="A39" s="81" t="s">
        <v>30</v>
      </c>
      <c r="B39" s="82" t="s">
        <v>28</v>
      </c>
      <c r="C39" s="82">
        <v>14</v>
      </c>
      <c r="D39" s="65"/>
      <c r="F39" s="12"/>
      <c r="G39" s="4"/>
      <c r="H39" s="13"/>
    </row>
    <row r="40" spans="1:10" x14ac:dyDescent="0.2">
      <c r="A40" s="81" t="s">
        <v>64</v>
      </c>
      <c r="B40" s="82" t="s">
        <v>28</v>
      </c>
      <c r="C40" s="82">
        <v>14</v>
      </c>
      <c r="D40" s="65"/>
      <c r="F40" s="12"/>
      <c r="G40" s="4"/>
      <c r="H40" s="13"/>
    </row>
    <row r="41" spans="1:10" x14ac:dyDescent="0.2">
      <c r="A41" s="81" t="s">
        <v>31</v>
      </c>
      <c r="B41" s="82" t="s">
        <v>28</v>
      </c>
      <c r="C41" s="82">
        <v>14</v>
      </c>
      <c r="D41" s="69"/>
      <c r="F41" s="12"/>
      <c r="G41" s="4"/>
      <c r="H41" s="13"/>
    </row>
    <row r="42" spans="1:10" x14ac:dyDescent="0.2">
      <c r="A42" s="81" t="s">
        <v>34</v>
      </c>
      <c r="B42" s="82" t="s">
        <v>28</v>
      </c>
      <c r="C42" s="82">
        <v>14</v>
      </c>
      <c r="D42" s="65"/>
      <c r="F42" s="12"/>
      <c r="G42" s="4"/>
      <c r="H42" s="13"/>
    </row>
    <row r="43" spans="1:10" x14ac:dyDescent="0.2">
      <c r="A43" s="81" t="s">
        <v>36</v>
      </c>
      <c r="B43" s="82" t="s">
        <v>28</v>
      </c>
      <c r="C43" s="82">
        <v>14</v>
      </c>
      <c r="D43" s="65"/>
      <c r="F43" s="4"/>
      <c r="G43" s="4"/>
      <c r="H43" s="4"/>
    </row>
    <row r="44" spans="1:10" x14ac:dyDescent="0.2">
      <c r="A44" s="81" t="s">
        <v>51</v>
      </c>
      <c r="B44" s="82" t="s">
        <v>28</v>
      </c>
      <c r="C44" s="82">
        <v>14</v>
      </c>
      <c r="D44" s="65"/>
      <c r="F44" s="4"/>
      <c r="G44" s="4"/>
      <c r="H44" s="4"/>
    </row>
    <row r="45" spans="1:10" x14ac:dyDescent="0.2">
      <c r="A45" s="81" t="s">
        <v>261</v>
      </c>
      <c r="B45" s="82" t="s">
        <v>28</v>
      </c>
      <c r="C45" s="82">
        <v>14</v>
      </c>
      <c r="D45" s="65"/>
      <c r="F45" s="4"/>
      <c r="G45" s="4"/>
      <c r="H45" s="4"/>
    </row>
    <row r="46" spans="1:10" x14ac:dyDescent="0.2">
      <c r="A46" s="81" t="s">
        <v>38</v>
      </c>
      <c r="B46" s="82" t="s">
        <v>28</v>
      </c>
      <c r="C46" s="82">
        <v>14</v>
      </c>
      <c r="D46" s="69"/>
      <c r="H46" s="67"/>
    </row>
    <row r="47" spans="1:10" x14ac:dyDescent="0.2">
      <c r="A47" s="81" t="s">
        <v>39</v>
      </c>
      <c r="B47" s="82" t="s">
        <v>28</v>
      </c>
      <c r="C47" s="82">
        <v>14</v>
      </c>
      <c r="D47" s="69"/>
      <c r="E47" s="66"/>
      <c r="G47" s="66"/>
      <c r="H47" s="66"/>
    </row>
    <row r="48" spans="1:10" x14ac:dyDescent="0.2">
      <c r="A48" s="81" t="s">
        <v>513</v>
      </c>
      <c r="B48" s="82" t="s">
        <v>28</v>
      </c>
      <c r="C48" s="82">
        <v>14</v>
      </c>
      <c r="D48" s="65"/>
      <c r="E48" s="66"/>
      <c r="G48" s="66"/>
      <c r="H48" s="66"/>
    </row>
    <row r="49" spans="1:8" x14ac:dyDescent="0.2">
      <c r="A49" s="81" t="s">
        <v>23</v>
      </c>
      <c r="B49" s="82" t="s">
        <v>28</v>
      </c>
      <c r="C49" s="82">
        <v>14</v>
      </c>
      <c r="D49" s="65"/>
      <c r="E49" s="66"/>
      <c r="G49" s="66"/>
      <c r="H49" s="66"/>
    </row>
    <row r="50" spans="1:8" x14ac:dyDescent="0.2">
      <c r="A50" s="81" t="s">
        <v>43</v>
      </c>
      <c r="B50" s="82" t="s">
        <v>28</v>
      </c>
      <c r="C50" s="82">
        <v>14</v>
      </c>
      <c r="D50" s="69"/>
      <c r="E50" s="67"/>
      <c r="F50" s="4"/>
      <c r="G50" s="67"/>
      <c r="H50" s="67"/>
    </row>
    <row r="51" spans="1:8" x14ac:dyDescent="0.2">
      <c r="A51" s="81" t="s">
        <v>45</v>
      </c>
      <c r="B51" s="82" t="s">
        <v>28</v>
      </c>
      <c r="C51" s="82">
        <v>14</v>
      </c>
      <c r="D51" s="69"/>
      <c r="E51" s="67"/>
      <c r="F51" s="4"/>
      <c r="G51" s="67"/>
      <c r="H51" s="67"/>
    </row>
    <row r="52" spans="1:8" x14ac:dyDescent="0.2">
      <c r="A52" s="83" t="s">
        <v>67</v>
      </c>
      <c r="B52" s="110" t="s">
        <v>49</v>
      </c>
      <c r="C52" s="110">
        <v>13</v>
      </c>
      <c r="D52" s="69"/>
    </row>
    <row r="53" spans="1:8" x14ac:dyDescent="0.2">
      <c r="A53" s="83" t="s">
        <v>9</v>
      </c>
      <c r="B53" s="110" t="s">
        <v>49</v>
      </c>
      <c r="C53" s="110">
        <v>13</v>
      </c>
      <c r="D53" s="69"/>
    </row>
    <row r="54" spans="1:8" x14ac:dyDescent="0.2">
      <c r="A54" s="83" t="s">
        <v>48</v>
      </c>
      <c r="B54" s="110" t="s">
        <v>49</v>
      </c>
      <c r="C54" s="110">
        <v>13</v>
      </c>
      <c r="D54" s="65"/>
    </row>
    <row r="55" spans="1:8" x14ac:dyDescent="0.2">
      <c r="A55" s="83" t="s">
        <v>60</v>
      </c>
      <c r="B55" s="110" t="s">
        <v>49</v>
      </c>
      <c r="C55" s="110">
        <v>13</v>
      </c>
      <c r="D55" s="65"/>
    </row>
    <row r="56" spans="1:8" x14ac:dyDescent="0.2">
      <c r="A56" s="83" t="s">
        <v>262</v>
      </c>
      <c r="B56" s="110" t="s">
        <v>49</v>
      </c>
      <c r="C56" s="110">
        <v>13</v>
      </c>
      <c r="D56" s="65"/>
    </row>
    <row r="57" spans="1:8" x14ac:dyDescent="0.2">
      <c r="A57" s="83" t="s">
        <v>57</v>
      </c>
      <c r="B57" s="110" t="s">
        <v>49</v>
      </c>
      <c r="C57" s="110">
        <v>13</v>
      </c>
      <c r="D57" s="69"/>
    </row>
    <row r="58" spans="1:8" x14ac:dyDescent="0.2">
      <c r="A58" s="83" t="s">
        <v>35</v>
      </c>
      <c r="B58" s="110" t="s">
        <v>49</v>
      </c>
      <c r="C58" s="110">
        <v>13</v>
      </c>
      <c r="D58" s="65"/>
    </row>
    <row r="59" spans="1:8" x14ac:dyDescent="0.2">
      <c r="A59" s="83" t="s">
        <v>40</v>
      </c>
      <c r="B59" s="110" t="s">
        <v>49</v>
      </c>
      <c r="C59" s="110">
        <v>13</v>
      </c>
      <c r="D59" s="65"/>
    </row>
    <row r="60" spans="1:8" x14ac:dyDescent="0.2">
      <c r="A60" s="83" t="s">
        <v>41</v>
      </c>
      <c r="B60" s="110" t="s">
        <v>49</v>
      </c>
      <c r="C60" s="110">
        <v>13</v>
      </c>
      <c r="D60" s="65"/>
    </row>
    <row r="61" spans="1:8" x14ac:dyDescent="0.2">
      <c r="A61" s="83" t="s">
        <v>42</v>
      </c>
      <c r="B61" s="110" t="s">
        <v>49</v>
      </c>
      <c r="C61" s="110">
        <v>13</v>
      </c>
      <c r="D61" s="65"/>
    </row>
    <row r="62" spans="1:8" x14ac:dyDescent="0.2">
      <c r="A62" s="83" t="s">
        <v>54</v>
      </c>
      <c r="B62" s="110" t="s">
        <v>49</v>
      </c>
      <c r="C62" s="110">
        <v>13</v>
      </c>
      <c r="D62" s="65"/>
    </row>
    <row r="63" spans="1:8" x14ac:dyDescent="0.2">
      <c r="A63" s="83" t="s">
        <v>62</v>
      </c>
      <c r="B63" s="110" t="s">
        <v>49</v>
      </c>
      <c r="C63" s="110">
        <v>13</v>
      </c>
      <c r="D63" s="65"/>
    </row>
    <row r="64" spans="1:8" x14ac:dyDescent="0.2">
      <c r="A64" s="83" t="s">
        <v>59</v>
      </c>
      <c r="B64" s="110" t="s">
        <v>49</v>
      </c>
      <c r="C64" s="110">
        <v>13</v>
      </c>
      <c r="D64" s="65"/>
    </row>
    <row r="65" spans="1:5" x14ac:dyDescent="0.2">
      <c r="A65" s="81" t="s">
        <v>55</v>
      </c>
      <c r="B65" s="82" t="s">
        <v>56</v>
      </c>
      <c r="C65" s="82">
        <v>12</v>
      </c>
      <c r="D65" s="65"/>
    </row>
    <row r="66" spans="1:5" x14ac:dyDescent="0.2">
      <c r="A66" s="81" t="s">
        <v>50</v>
      </c>
      <c r="B66" s="82" t="s">
        <v>56</v>
      </c>
      <c r="C66" s="82">
        <v>12</v>
      </c>
      <c r="D66" s="69"/>
    </row>
    <row r="67" spans="1:5" x14ac:dyDescent="0.2">
      <c r="A67" s="81" t="s">
        <v>58</v>
      </c>
      <c r="B67" s="82" t="s">
        <v>56</v>
      </c>
      <c r="C67" s="82">
        <v>12</v>
      </c>
      <c r="D67" s="69"/>
    </row>
    <row r="68" spans="1:5" x14ac:dyDescent="0.2">
      <c r="A68" s="81" t="s">
        <v>66</v>
      </c>
      <c r="B68" s="82" t="s">
        <v>56</v>
      </c>
      <c r="C68" s="82">
        <v>12</v>
      </c>
      <c r="D68" s="69"/>
    </row>
    <row r="69" spans="1:5" x14ac:dyDescent="0.2">
      <c r="A69" s="83" t="s">
        <v>265</v>
      </c>
      <c r="B69" s="110" t="s">
        <v>61</v>
      </c>
      <c r="C69" s="110">
        <v>11</v>
      </c>
      <c r="D69" s="69"/>
      <c r="E69" s="66"/>
    </row>
    <row r="70" spans="1:5" x14ac:dyDescent="0.2">
      <c r="A70" s="83" t="s">
        <v>69</v>
      </c>
      <c r="B70" s="110" t="s">
        <v>65</v>
      </c>
      <c r="C70" s="110">
        <v>10</v>
      </c>
      <c r="D70" s="69"/>
    </row>
    <row r="71" spans="1:5" x14ac:dyDescent="0.2">
      <c r="A71" s="113" t="s">
        <v>70</v>
      </c>
      <c r="B71" s="110" t="s">
        <v>68</v>
      </c>
      <c r="C71" s="110">
        <v>9</v>
      </c>
      <c r="D71" s="65"/>
      <c r="E71" s="66"/>
    </row>
    <row r="72" spans="1:5" x14ac:dyDescent="0.2">
      <c r="A72" s="83" t="s">
        <v>249</v>
      </c>
      <c r="B72" s="110" t="s">
        <v>71</v>
      </c>
      <c r="C72" s="110">
        <v>7</v>
      </c>
      <c r="D72" s="69"/>
    </row>
    <row r="73" spans="1:5" x14ac:dyDescent="0.2">
      <c r="A73" s="83" t="s">
        <v>72</v>
      </c>
      <c r="B73" s="84" t="s">
        <v>136</v>
      </c>
      <c r="C73" s="84"/>
      <c r="D73" s="12"/>
    </row>
    <row r="74" spans="1:5" x14ac:dyDescent="0.2">
      <c r="A74" s="83" t="s">
        <v>74</v>
      </c>
      <c r="B74" s="84" t="s">
        <v>136</v>
      </c>
      <c r="C74" s="84"/>
      <c r="D74" s="9"/>
    </row>
    <row r="75" spans="1:5" x14ac:dyDescent="0.2">
      <c r="A75" s="83" t="s">
        <v>75</v>
      </c>
      <c r="B75" s="84" t="s">
        <v>136</v>
      </c>
      <c r="C75" s="84"/>
      <c r="D75" s="9"/>
    </row>
    <row r="76" spans="1:5" ht="13.5" thickBot="1" x14ac:dyDescent="0.25">
      <c r="A76" s="112" t="s">
        <v>76</v>
      </c>
      <c r="B76" s="92" t="s">
        <v>136</v>
      </c>
      <c r="C76" s="92"/>
      <c r="D76" s="9"/>
    </row>
    <row r="77" spans="1:5" x14ac:dyDescent="0.2">
      <c r="A77" s="76" t="s">
        <v>135</v>
      </c>
      <c r="B77" s="78" t="s">
        <v>28</v>
      </c>
      <c r="C77" s="77">
        <f>AVERAGE(C7:C72)</f>
        <v>14.151515151515152</v>
      </c>
      <c r="D77" s="14"/>
    </row>
    <row r="78" spans="1:5" x14ac:dyDescent="0.2">
      <c r="A78" s="7"/>
      <c r="B78" s="5"/>
      <c r="D78" s="14"/>
    </row>
    <row r="79" spans="1:5" x14ac:dyDescent="0.2">
      <c r="A79" s="7"/>
      <c r="B79" s="5"/>
      <c r="D79" s="14"/>
    </row>
    <row r="80" spans="1:5" x14ac:dyDescent="0.2">
      <c r="A80" s="85" t="s">
        <v>267</v>
      </c>
      <c r="D80" s="14"/>
    </row>
    <row r="81" spans="1:4" x14ac:dyDescent="0.2">
      <c r="A81" s="85" t="s">
        <v>351</v>
      </c>
      <c r="D81" s="14"/>
    </row>
    <row r="82" spans="1:4" x14ac:dyDescent="0.2">
      <c r="A82" s="85" t="s">
        <v>352</v>
      </c>
      <c r="D82" s="14"/>
    </row>
    <row r="83" spans="1:4" x14ac:dyDescent="0.2">
      <c r="A83" s="85" t="s">
        <v>353</v>
      </c>
      <c r="D83" s="14"/>
    </row>
    <row r="84" spans="1:4" x14ac:dyDescent="0.2">
      <c r="A84" s="33"/>
    </row>
  </sheetData>
  <pageMargins left="0.17" right="0.18" top="0.28000000000000003" bottom="0.17" header="0.3" footer="0.3"/>
  <pageSetup scale="76" fitToWidth="0" orientation="portrait" horizontalDpi="1200" verticalDpi="1200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70C0"/>
    <pageSetUpPr fitToPage="1"/>
  </sheetPr>
  <dimension ref="A1:H84"/>
  <sheetViews>
    <sheetView zoomScale="80" zoomScaleNormal="80" workbookViewId="0"/>
  </sheetViews>
  <sheetFormatPr defaultColWidth="9.140625" defaultRowHeight="12.75" x14ac:dyDescent="0.2"/>
  <cols>
    <col min="1" max="1" width="37.140625" style="1" customWidth="1"/>
    <col min="2" max="2" width="9.140625" style="1"/>
    <col min="3" max="3" width="9.140625" style="4"/>
    <col min="4" max="4" width="9.140625" style="1"/>
    <col min="5" max="5" width="11.5703125" style="1" customWidth="1"/>
    <col min="6" max="16384" width="9.140625" style="1"/>
  </cols>
  <sheetData>
    <row r="1" spans="1:7" ht="18" x14ac:dyDescent="0.25">
      <c r="A1" s="18" t="s">
        <v>242</v>
      </c>
    </row>
    <row r="2" spans="1:7" ht="18" x14ac:dyDescent="0.25">
      <c r="A2" s="18"/>
    </row>
    <row r="3" spans="1:7" ht="18" x14ac:dyDescent="0.25">
      <c r="A3" s="18"/>
    </row>
    <row r="4" spans="1:7" ht="18" x14ac:dyDescent="0.25">
      <c r="A4" s="18"/>
    </row>
    <row r="6" spans="1:7" x14ac:dyDescent="0.2">
      <c r="A6" s="37" t="s">
        <v>0</v>
      </c>
      <c r="B6" s="19">
        <v>2006</v>
      </c>
      <c r="C6" s="20"/>
      <c r="E6" s="17"/>
      <c r="F6" s="4"/>
      <c r="G6" s="4"/>
    </row>
    <row r="7" spans="1:7" x14ac:dyDescent="0.2">
      <c r="A7" s="25" t="s">
        <v>6</v>
      </c>
      <c r="B7" s="5" t="s">
        <v>110</v>
      </c>
      <c r="C7" s="22">
        <v>18</v>
      </c>
      <c r="D7" s="9"/>
      <c r="E7" s="11" t="s">
        <v>77</v>
      </c>
      <c r="F7" s="11" t="s">
        <v>81</v>
      </c>
      <c r="G7" s="11" t="s">
        <v>82</v>
      </c>
    </row>
    <row r="8" spans="1:7" x14ac:dyDescent="0.2">
      <c r="A8" s="21" t="s">
        <v>1</v>
      </c>
      <c r="B8" s="24" t="s">
        <v>2</v>
      </c>
      <c r="C8" s="22">
        <v>17</v>
      </c>
      <c r="D8" s="9"/>
      <c r="E8" s="12" t="s">
        <v>138</v>
      </c>
      <c r="F8" s="4">
        <v>8</v>
      </c>
      <c r="G8" s="26">
        <f>F8/F14</f>
        <v>0.12121212121212122</v>
      </c>
    </row>
    <row r="9" spans="1:7" x14ac:dyDescent="0.2">
      <c r="A9" s="25" t="s">
        <v>3</v>
      </c>
      <c r="B9" s="25" t="s">
        <v>2</v>
      </c>
      <c r="C9" s="22">
        <v>17</v>
      </c>
      <c r="D9" s="9"/>
      <c r="E9" s="12" t="s">
        <v>10</v>
      </c>
      <c r="F9" s="4">
        <v>3</v>
      </c>
      <c r="G9" s="26">
        <f t="shared" ref="G9:G14" si="0">F9/$F$14</f>
        <v>4.5454545454545456E-2</v>
      </c>
    </row>
    <row r="10" spans="1:7" x14ac:dyDescent="0.2">
      <c r="A10" s="25" t="s">
        <v>4</v>
      </c>
      <c r="B10" s="25" t="s">
        <v>2</v>
      </c>
      <c r="C10" s="22">
        <v>17</v>
      </c>
      <c r="D10" s="9"/>
      <c r="E10" s="12" t="s">
        <v>16</v>
      </c>
      <c r="F10" s="4">
        <v>14</v>
      </c>
      <c r="G10" s="26">
        <f t="shared" si="0"/>
        <v>0.21212121212121213</v>
      </c>
    </row>
    <row r="11" spans="1:7" x14ac:dyDescent="0.2">
      <c r="A11" s="25" t="s">
        <v>87</v>
      </c>
      <c r="B11" s="25" t="s">
        <v>2</v>
      </c>
      <c r="C11" s="22">
        <v>17</v>
      </c>
      <c r="D11" s="9"/>
      <c r="E11" s="12" t="s">
        <v>28</v>
      </c>
      <c r="F11" s="4">
        <v>23</v>
      </c>
      <c r="G11" s="26">
        <f t="shared" si="0"/>
        <v>0.34848484848484851</v>
      </c>
    </row>
    <row r="12" spans="1:7" x14ac:dyDescent="0.2">
      <c r="A12" s="25" t="s">
        <v>5</v>
      </c>
      <c r="B12" s="25" t="s">
        <v>2</v>
      </c>
      <c r="C12" s="22">
        <v>17</v>
      </c>
      <c r="D12" s="9"/>
      <c r="E12" s="12" t="s">
        <v>49</v>
      </c>
      <c r="F12" s="4">
        <v>6</v>
      </c>
      <c r="G12" s="26">
        <f t="shared" si="0"/>
        <v>9.0909090909090912E-2</v>
      </c>
    </row>
    <row r="13" spans="1:7" x14ac:dyDescent="0.2">
      <c r="A13" s="25" t="s">
        <v>7</v>
      </c>
      <c r="B13" s="25" t="s">
        <v>2</v>
      </c>
      <c r="C13" s="22">
        <v>17</v>
      </c>
      <c r="D13" s="9"/>
      <c r="E13" s="12" t="s">
        <v>79</v>
      </c>
      <c r="F13" s="4">
        <v>12</v>
      </c>
      <c r="G13" s="26">
        <f t="shared" si="0"/>
        <v>0.18181818181818182</v>
      </c>
    </row>
    <row r="14" spans="1:7" x14ac:dyDescent="0.2">
      <c r="A14" s="25" t="s">
        <v>8</v>
      </c>
      <c r="B14" s="25" t="s">
        <v>2</v>
      </c>
      <c r="C14" s="22">
        <v>17</v>
      </c>
      <c r="D14" s="12"/>
      <c r="E14" s="9" t="s">
        <v>80</v>
      </c>
      <c r="F14" s="1">
        <f>SUM(F8:F13)</f>
        <v>66</v>
      </c>
      <c r="G14" s="10">
        <f t="shared" si="0"/>
        <v>1</v>
      </c>
    </row>
    <row r="15" spans="1:7" x14ac:dyDescent="0.2">
      <c r="A15" s="30" t="s">
        <v>52</v>
      </c>
      <c r="B15" s="28" t="s">
        <v>10</v>
      </c>
      <c r="C15" s="29">
        <v>16</v>
      </c>
      <c r="D15" s="9"/>
    </row>
    <row r="16" spans="1:7" x14ac:dyDescent="0.2">
      <c r="A16" s="28" t="s">
        <v>13</v>
      </c>
      <c r="B16" s="28" t="s">
        <v>10</v>
      </c>
      <c r="C16" s="29">
        <v>16</v>
      </c>
      <c r="D16" s="9"/>
    </row>
    <row r="17" spans="1:4" x14ac:dyDescent="0.2">
      <c r="A17" s="28" t="s">
        <v>14</v>
      </c>
      <c r="B17" s="28" t="s">
        <v>10</v>
      </c>
      <c r="C17" s="29">
        <v>16</v>
      </c>
      <c r="D17" s="9"/>
    </row>
    <row r="18" spans="1:4" x14ac:dyDescent="0.2">
      <c r="A18" s="25" t="s">
        <v>15</v>
      </c>
      <c r="B18" s="25" t="s">
        <v>16</v>
      </c>
      <c r="C18" s="22">
        <v>15</v>
      </c>
      <c r="D18" s="9"/>
    </row>
    <row r="19" spans="1:4" x14ac:dyDescent="0.2">
      <c r="A19" s="25" t="s">
        <v>17</v>
      </c>
      <c r="B19" s="25" t="s">
        <v>16</v>
      </c>
      <c r="C19" s="22">
        <v>15</v>
      </c>
      <c r="D19" s="9"/>
    </row>
    <row r="20" spans="1:4" x14ac:dyDescent="0.2">
      <c r="A20" s="25" t="s">
        <v>88</v>
      </c>
      <c r="B20" s="25" t="s">
        <v>16</v>
      </c>
      <c r="C20" s="22">
        <v>15</v>
      </c>
      <c r="D20" s="12"/>
    </row>
    <row r="21" spans="1:4" x14ac:dyDescent="0.2">
      <c r="A21" s="25" t="s">
        <v>19</v>
      </c>
      <c r="B21" s="25" t="s">
        <v>16</v>
      </c>
      <c r="C21" s="22">
        <v>15</v>
      </c>
      <c r="D21" s="12"/>
    </row>
    <row r="22" spans="1:4" x14ac:dyDescent="0.2">
      <c r="A22" s="25" t="s">
        <v>11</v>
      </c>
      <c r="B22" s="25" t="s">
        <v>16</v>
      </c>
      <c r="C22" s="22">
        <v>15</v>
      </c>
      <c r="D22" s="12"/>
    </row>
    <row r="23" spans="1:4" x14ac:dyDescent="0.2">
      <c r="A23" s="25" t="s">
        <v>20</v>
      </c>
      <c r="B23" s="25" t="s">
        <v>16</v>
      </c>
      <c r="C23" s="22">
        <v>15</v>
      </c>
      <c r="D23" s="9"/>
    </row>
    <row r="24" spans="1:4" x14ac:dyDescent="0.2">
      <c r="A24" s="24" t="s">
        <v>238</v>
      </c>
      <c r="B24" s="2" t="s">
        <v>16</v>
      </c>
      <c r="C24" s="22">
        <v>15</v>
      </c>
      <c r="D24" s="9"/>
    </row>
    <row r="25" spans="1:4" x14ac:dyDescent="0.2">
      <c r="A25" s="24" t="s">
        <v>237</v>
      </c>
      <c r="B25" s="2" t="s">
        <v>16</v>
      </c>
      <c r="C25" s="22">
        <v>15</v>
      </c>
      <c r="D25" s="9"/>
    </row>
    <row r="26" spans="1:4" x14ac:dyDescent="0.2">
      <c r="A26" s="32" t="s">
        <v>12</v>
      </c>
      <c r="B26" s="32" t="s">
        <v>16</v>
      </c>
      <c r="C26" s="22">
        <v>15</v>
      </c>
      <c r="D26" s="9"/>
    </row>
    <row r="27" spans="1:4" x14ac:dyDescent="0.2">
      <c r="A27" s="25" t="s">
        <v>21</v>
      </c>
      <c r="B27" s="25" t="s">
        <v>16</v>
      </c>
      <c r="C27" s="22">
        <v>15</v>
      </c>
      <c r="D27" s="9"/>
    </row>
    <row r="28" spans="1:4" x14ac:dyDescent="0.2">
      <c r="A28" s="25" t="s">
        <v>22</v>
      </c>
      <c r="B28" s="25" t="s">
        <v>16</v>
      </c>
      <c r="C28" s="22">
        <v>15</v>
      </c>
      <c r="D28" s="9"/>
    </row>
    <row r="29" spans="1:4" x14ac:dyDescent="0.2">
      <c r="A29" s="25" t="s">
        <v>24</v>
      </c>
      <c r="B29" s="25" t="s">
        <v>16</v>
      </c>
      <c r="C29" s="22">
        <v>15</v>
      </c>
      <c r="D29" s="9"/>
    </row>
    <row r="30" spans="1:4" x14ac:dyDescent="0.2">
      <c r="A30" s="25" t="s">
        <v>25</v>
      </c>
      <c r="B30" s="25" t="s">
        <v>16</v>
      </c>
      <c r="C30" s="22">
        <v>15</v>
      </c>
      <c r="D30" s="12"/>
    </row>
    <row r="31" spans="1:4" x14ac:dyDescent="0.2">
      <c r="A31" s="25" t="s">
        <v>26</v>
      </c>
      <c r="B31" s="25" t="s">
        <v>16</v>
      </c>
      <c r="C31" s="22">
        <v>15</v>
      </c>
      <c r="D31" s="9"/>
    </row>
    <row r="32" spans="1:4" x14ac:dyDescent="0.2">
      <c r="A32" s="28" t="s">
        <v>9</v>
      </c>
      <c r="B32" s="28" t="s">
        <v>28</v>
      </c>
      <c r="C32" s="29">
        <v>14</v>
      </c>
      <c r="D32" s="9"/>
    </row>
    <row r="33" spans="1:8" x14ac:dyDescent="0.2">
      <c r="A33" s="28" t="s">
        <v>27</v>
      </c>
      <c r="B33" s="28" t="s">
        <v>28</v>
      </c>
      <c r="C33" s="29">
        <v>14</v>
      </c>
      <c r="D33" s="9"/>
    </row>
    <row r="34" spans="1:8" x14ac:dyDescent="0.2">
      <c r="A34" s="28" t="s">
        <v>29</v>
      </c>
      <c r="B34" s="28" t="s">
        <v>28</v>
      </c>
      <c r="C34" s="29">
        <v>14</v>
      </c>
      <c r="D34" s="9"/>
    </row>
    <row r="35" spans="1:8" x14ac:dyDescent="0.2">
      <c r="A35" s="28" t="s">
        <v>30</v>
      </c>
      <c r="B35" s="28" t="s">
        <v>28</v>
      </c>
      <c r="C35" s="29">
        <v>14</v>
      </c>
      <c r="D35" s="9"/>
      <c r="E35" s="33" t="s">
        <v>133</v>
      </c>
    </row>
    <row r="36" spans="1:8" x14ac:dyDescent="0.2">
      <c r="A36" s="28" t="s">
        <v>18</v>
      </c>
      <c r="B36" s="34" t="s">
        <v>28</v>
      </c>
      <c r="C36" s="29">
        <v>14</v>
      </c>
      <c r="D36" s="9"/>
      <c r="F36" s="4"/>
      <c r="G36" s="4"/>
      <c r="H36" s="4"/>
    </row>
    <row r="37" spans="1:8" x14ac:dyDescent="0.2">
      <c r="A37" s="28" t="s">
        <v>31</v>
      </c>
      <c r="B37" s="28" t="s">
        <v>28</v>
      </c>
      <c r="C37" s="29">
        <v>14</v>
      </c>
      <c r="D37" s="9"/>
      <c r="F37" s="11"/>
      <c r="G37" s="11"/>
      <c r="H37" s="11"/>
    </row>
    <row r="38" spans="1:8" x14ac:dyDescent="0.2">
      <c r="A38" s="28" t="s">
        <v>32</v>
      </c>
      <c r="B38" s="28" t="s">
        <v>28</v>
      </c>
      <c r="C38" s="29">
        <v>14</v>
      </c>
      <c r="D38" s="12"/>
      <c r="F38" s="12"/>
      <c r="G38" s="4"/>
      <c r="H38" s="13"/>
    </row>
    <row r="39" spans="1:8" x14ac:dyDescent="0.2">
      <c r="A39" s="28" t="s">
        <v>33</v>
      </c>
      <c r="B39" s="28" t="s">
        <v>28</v>
      </c>
      <c r="C39" s="29">
        <v>14</v>
      </c>
      <c r="D39" s="12"/>
      <c r="F39" s="12"/>
      <c r="G39" s="4"/>
      <c r="H39" s="13"/>
    </row>
    <row r="40" spans="1:8" x14ac:dyDescent="0.2">
      <c r="A40" s="28" t="s">
        <v>34</v>
      </c>
      <c r="B40" s="28" t="s">
        <v>28</v>
      </c>
      <c r="C40" s="29">
        <v>14</v>
      </c>
      <c r="D40" s="9"/>
      <c r="F40" s="12"/>
      <c r="G40" s="4"/>
      <c r="H40" s="13"/>
    </row>
    <row r="41" spans="1:8" x14ac:dyDescent="0.2">
      <c r="A41" s="28" t="s">
        <v>36</v>
      </c>
      <c r="B41" s="28" t="s">
        <v>28</v>
      </c>
      <c r="C41" s="29">
        <v>14</v>
      </c>
      <c r="D41" s="9"/>
      <c r="F41" s="12"/>
      <c r="G41" s="4"/>
      <c r="H41" s="13"/>
    </row>
    <row r="42" spans="1:8" x14ac:dyDescent="0.2">
      <c r="A42" s="28" t="s">
        <v>51</v>
      </c>
      <c r="B42" s="28" t="s">
        <v>28</v>
      </c>
      <c r="C42" s="29">
        <v>14</v>
      </c>
      <c r="D42" s="12"/>
      <c r="F42" s="12"/>
      <c r="G42" s="4"/>
      <c r="H42" s="13"/>
    </row>
    <row r="43" spans="1:8" x14ac:dyDescent="0.2">
      <c r="A43" s="28" t="s">
        <v>37</v>
      </c>
      <c r="B43" s="28" t="s">
        <v>28</v>
      </c>
      <c r="C43" s="29">
        <v>14</v>
      </c>
      <c r="D43" s="9"/>
      <c r="F43" s="12"/>
      <c r="G43" s="4"/>
      <c r="H43" s="13"/>
    </row>
    <row r="44" spans="1:8" x14ac:dyDescent="0.2">
      <c r="A44" s="28" t="s">
        <v>38</v>
      </c>
      <c r="B44" s="28" t="s">
        <v>28</v>
      </c>
      <c r="C44" s="29">
        <v>14</v>
      </c>
      <c r="D44" s="9"/>
      <c r="F44" s="12"/>
      <c r="G44" s="4"/>
      <c r="H44" s="4"/>
    </row>
    <row r="45" spans="1:8" x14ac:dyDescent="0.2">
      <c r="A45" s="28" t="s">
        <v>39</v>
      </c>
      <c r="B45" s="28" t="s">
        <v>28</v>
      </c>
      <c r="C45" s="29">
        <v>14</v>
      </c>
      <c r="D45" s="9"/>
      <c r="F45" s="4"/>
      <c r="G45" s="4"/>
      <c r="H45" s="4"/>
    </row>
    <row r="46" spans="1:8" x14ac:dyDescent="0.2">
      <c r="A46" s="28" t="s">
        <v>40</v>
      </c>
      <c r="B46" s="28" t="s">
        <v>28</v>
      </c>
      <c r="C46" s="29">
        <v>14</v>
      </c>
      <c r="D46" s="9"/>
      <c r="F46" s="4"/>
      <c r="G46" s="4"/>
      <c r="H46" s="4"/>
    </row>
    <row r="47" spans="1:8" x14ac:dyDescent="0.2">
      <c r="A47" s="28" t="s">
        <v>513</v>
      </c>
      <c r="B47" s="28" t="s">
        <v>28</v>
      </c>
      <c r="C47" s="29">
        <v>14</v>
      </c>
      <c r="D47" s="9"/>
      <c r="F47" s="4"/>
      <c r="G47" s="4"/>
      <c r="H47" s="4"/>
    </row>
    <row r="48" spans="1:8" x14ac:dyDescent="0.2">
      <c r="A48" s="28" t="s">
        <v>23</v>
      </c>
      <c r="B48" s="28" t="s">
        <v>28</v>
      </c>
      <c r="C48" s="29">
        <v>14</v>
      </c>
      <c r="D48" s="12"/>
      <c r="F48" s="4"/>
      <c r="G48" s="4"/>
      <c r="H48" s="4"/>
    </row>
    <row r="49" spans="1:4" x14ac:dyDescent="0.2">
      <c r="A49" s="27" t="s">
        <v>53</v>
      </c>
      <c r="B49" s="38" t="s">
        <v>28</v>
      </c>
      <c r="C49" s="29">
        <v>14</v>
      </c>
      <c r="D49" s="12"/>
    </row>
    <row r="50" spans="1:4" x14ac:dyDescent="0.2">
      <c r="A50" s="28" t="s">
        <v>42</v>
      </c>
      <c r="B50" s="28" t="s">
        <v>28</v>
      </c>
      <c r="C50" s="29">
        <v>14</v>
      </c>
      <c r="D50" s="9"/>
    </row>
    <row r="51" spans="1:4" x14ac:dyDescent="0.2">
      <c r="A51" s="28" t="s">
        <v>43</v>
      </c>
      <c r="B51" s="28" t="s">
        <v>28</v>
      </c>
      <c r="C51" s="29">
        <v>14</v>
      </c>
      <c r="D51" s="9"/>
    </row>
    <row r="52" spans="1:4" x14ac:dyDescent="0.2">
      <c r="A52" s="28" t="s">
        <v>44</v>
      </c>
      <c r="B52" s="28" t="s">
        <v>28</v>
      </c>
      <c r="C52" s="29">
        <v>14</v>
      </c>
      <c r="D52" s="9"/>
    </row>
    <row r="53" spans="1:4" x14ac:dyDescent="0.2">
      <c r="A53" s="28" t="s">
        <v>45</v>
      </c>
      <c r="B53" s="28" t="s">
        <v>28</v>
      </c>
      <c r="C53" s="29">
        <v>14</v>
      </c>
      <c r="D53" s="12"/>
    </row>
    <row r="54" spans="1:4" x14ac:dyDescent="0.2">
      <c r="A54" s="28" t="s">
        <v>47</v>
      </c>
      <c r="B54" s="28" t="s">
        <v>28</v>
      </c>
      <c r="C54" s="29">
        <v>14</v>
      </c>
      <c r="D54" s="12"/>
    </row>
    <row r="55" spans="1:4" x14ac:dyDescent="0.2">
      <c r="A55" s="25" t="s">
        <v>48</v>
      </c>
      <c r="B55" s="25" t="s">
        <v>49</v>
      </c>
      <c r="C55" s="22">
        <v>13</v>
      </c>
      <c r="D55" s="9"/>
    </row>
    <row r="56" spans="1:4" x14ac:dyDescent="0.2">
      <c r="A56" s="25" t="s">
        <v>57</v>
      </c>
      <c r="B56" s="2" t="s">
        <v>49</v>
      </c>
      <c r="C56" s="22">
        <v>13</v>
      </c>
      <c r="D56" s="12"/>
    </row>
    <row r="57" spans="1:4" x14ac:dyDescent="0.2">
      <c r="A57" s="25" t="s">
        <v>35</v>
      </c>
      <c r="B57" s="25" t="s">
        <v>49</v>
      </c>
      <c r="C57" s="22">
        <v>13</v>
      </c>
      <c r="D57" s="9"/>
    </row>
    <row r="58" spans="1:4" x14ac:dyDescent="0.2">
      <c r="A58" s="25" t="s">
        <v>41</v>
      </c>
      <c r="B58" s="2" t="s">
        <v>49</v>
      </c>
      <c r="C58" s="22">
        <v>13</v>
      </c>
      <c r="D58" s="9"/>
    </row>
    <row r="59" spans="1:4" x14ac:dyDescent="0.2">
      <c r="A59" s="25" t="s">
        <v>54</v>
      </c>
      <c r="B59" s="25" t="s">
        <v>49</v>
      </c>
      <c r="C59" s="22">
        <v>13</v>
      </c>
      <c r="D59" s="9"/>
    </row>
    <row r="60" spans="1:4" x14ac:dyDescent="0.2">
      <c r="A60" s="25" t="s">
        <v>46</v>
      </c>
      <c r="B60" s="25" t="s">
        <v>49</v>
      </c>
      <c r="C60" s="22">
        <v>13</v>
      </c>
      <c r="D60" s="9"/>
    </row>
    <row r="61" spans="1:4" x14ac:dyDescent="0.2">
      <c r="A61" s="28" t="s">
        <v>67</v>
      </c>
      <c r="B61" s="28" t="s">
        <v>56</v>
      </c>
      <c r="C61" s="29">
        <v>12</v>
      </c>
      <c r="D61" s="9"/>
    </row>
    <row r="62" spans="1:4" x14ac:dyDescent="0.2">
      <c r="A62" s="28" t="s">
        <v>55</v>
      </c>
      <c r="B62" s="28" t="s">
        <v>56</v>
      </c>
      <c r="C62" s="29">
        <v>12</v>
      </c>
      <c r="D62" s="9"/>
    </row>
    <row r="63" spans="1:4" x14ac:dyDescent="0.2">
      <c r="A63" s="28" t="s">
        <v>50</v>
      </c>
      <c r="B63" s="28" t="s">
        <v>56</v>
      </c>
      <c r="C63" s="29">
        <v>12</v>
      </c>
      <c r="D63" s="12"/>
    </row>
    <row r="64" spans="1:4" x14ac:dyDescent="0.2">
      <c r="A64" s="28" t="s">
        <v>64</v>
      </c>
      <c r="B64" s="34" t="s">
        <v>56</v>
      </c>
      <c r="C64" s="29">
        <v>12</v>
      </c>
      <c r="D64" s="12"/>
    </row>
    <row r="65" spans="1:4" x14ac:dyDescent="0.2">
      <c r="A65" s="28" t="s">
        <v>58</v>
      </c>
      <c r="B65" s="28" t="s">
        <v>56</v>
      </c>
      <c r="C65" s="29">
        <v>12</v>
      </c>
      <c r="D65" s="12"/>
    </row>
    <row r="66" spans="1:4" x14ac:dyDescent="0.2">
      <c r="A66" s="28" t="s">
        <v>66</v>
      </c>
      <c r="B66" s="28" t="s">
        <v>56</v>
      </c>
      <c r="C66" s="29">
        <v>12</v>
      </c>
      <c r="D66" s="12"/>
    </row>
    <row r="67" spans="1:4" x14ac:dyDescent="0.2">
      <c r="A67" s="28" t="s">
        <v>59</v>
      </c>
      <c r="B67" s="28" t="s">
        <v>56</v>
      </c>
      <c r="C67" s="29">
        <v>12</v>
      </c>
      <c r="D67" s="12"/>
    </row>
    <row r="68" spans="1:4" x14ac:dyDescent="0.2">
      <c r="A68" s="25" t="s">
        <v>60</v>
      </c>
      <c r="B68" s="25" t="s">
        <v>61</v>
      </c>
      <c r="C68" s="22">
        <v>11</v>
      </c>
      <c r="D68" s="12"/>
    </row>
    <row r="69" spans="1:4" x14ac:dyDescent="0.2">
      <c r="A69" s="25" t="s">
        <v>62</v>
      </c>
      <c r="B69" s="25" t="s">
        <v>61</v>
      </c>
      <c r="C69" s="22">
        <v>11</v>
      </c>
      <c r="D69" s="12"/>
    </row>
    <row r="70" spans="1:4" x14ac:dyDescent="0.2">
      <c r="A70" s="21" t="s">
        <v>63</v>
      </c>
      <c r="B70" s="39" t="s">
        <v>61</v>
      </c>
      <c r="C70" s="22">
        <v>11</v>
      </c>
      <c r="D70" s="12"/>
    </row>
    <row r="71" spans="1:4" x14ac:dyDescent="0.2">
      <c r="A71" s="28" t="s">
        <v>69</v>
      </c>
      <c r="B71" s="34" t="s">
        <v>65</v>
      </c>
      <c r="C71" s="29">
        <v>10</v>
      </c>
      <c r="D71" s="12"/>
    </row>
    <row r="72" spans="1:4" x14ac:dyDescent="0.2">
      <c r="A72" s="28" t="s">
        <v>70</v>
      </c>
      <c r="B72" s="34" t="s">
        <v>78</v>
      </c>
      <c r="C72" s="29">
        <v>8</v>
      </c>
      <c r="D72" s="12"/>
    </row>
    <row r="73" spans="1:4" x14ac:dyDescent="0.2">
      <c r="A73" s="25" t="s">
        <v>72</v>
      </c>
      <c r="B73" s="25" t="s">
        <v>73</v>
      </c>
      <c r="C73" s="22" t="s">
        <v>136</v>
      </c>
      <c r="D73" s="9"/>
    </row>
    <row r="74" spans="1:4" x14ac:dyDescent="0.2">
      <c r="A74" s="25" t="s">
        <v>224</v>
      </c>
      <c r="B74" s="25"/>
      <c r="C74" s="22" t="s">
        <v>136</v>
      </c>
      <c r="D74" s="9"/>
    </row>
    <row r="75" spans="1:4" x14ac:dyDescent="0.2">
      <c r="A75" s="25" t="s">
        <v>75</v>
      </c>
      <c r="B75" s="25" t="s">
        <v>73</v>
      </c>
      <c r="C75" s="22" t="s">
        <v>136</v>
      </c>
      <c r="D75" s="9"/>
    </row>
    <row r="76" spans="1:4" x14ac:dyDescent="0.2">
      <c r="A76" s="25" t="s">
        <v>76</v>
      </c>
      <c r="B76" s="25" t="s">
        <v>73</v>
      </c>
      <c r="C76" s="22" t="s">
        <v>136</v>
      </c>
      <c r="D76" s="9"/>
    </row>
    <row r="77" spans="1:4" x14ac:dyDescent="0.2">
      <c r="A77" s="35" t="s">
        <v>135</v>
      </c>
      <c r="B77" s="35" t="s">
        <v>28</v>
      </c>
      <c r="C77" s="36">
        <f>SUM(C7:C72)/66</f>
        <v>14.090909090909092</v>
      </c>
      <c r="D77" s="14"/>
    </row>
    <row r="78" spans="1:4" x14ac:dyDescent="0.2">
      <c r="A78" s="7"/>
      <c r="B78" s="5"/>
      <c r="D78" s="14"/>
    </row>
    <row r="79" spans="1:4" x14ac:dyDescent="0.2">
      <c r="A79" s="33" t="s">
        <v>84</v>
      </c>
      <c r="D79" s="14"/>
    </row>
    <row r="80" spans="1:4" x14ac:dyDescent="0.2">
      <c r="A80" s="2" t="s">
        <v>232</v>
      </c>
      <c r="D80" s="14"/>
    </row>
    <row r="81" spans="1:4" x14ac:dyDescent="0.2">
      <c r="A81" s="33" t="s">
        <v>233</v>
      </c>
      <c r="D81" s="14"/>
    </row>
    <row r="82" spans="1:4" x14ac:dyDescent="0.2">
      <c r="A82" s="33" t="s">
        <v>234</v>
      </c>
      <c r="D82" s="14"/>
    </row>
    <row r="83" spans="1:4" x14ac:dyDescent="0.2">
      <c r="D83" s="14"/>
    </row>
    <row r="84" spans="1:4" x14ac:dyDescent="0.2">
      <c r="A84" s="33" t="s">
        <v>225</v>
      </c>
    </row>
  </sheetData>
  <phoneticPr fontId="3" type="noConversion"/>
  <pageMargins left="0.75" right="0.75" top="1" bottom="1" header="0.5" footer="0.5"/>
  <pageSetup scale="64" fitToWidth="0" orientation="portrait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2060"/>
  </sheetPr>
  <dimension ref="A1:G96"/>
  <sheetViews>
    <sheetView zoomScale="80" zoomScaleNormal="80" workbookViewId="0"/>
  </sheetViews>
  <sheetFormatPr defaultColWidth="9.140625" defaultRowHeight="12.75" x14ac:dyDescent="0.2"/>
  <cols>
    <col min="1" max="1" width="35.140625" style="1" customWidth="1"/>
    <col min="2" max="2" width="9.140625" style="1"/>
    <col min="3" max="3" width="9.140625" style="8"/>
    <col min="4" max="4" width="9.140625" style="1"/>
    <col min="5" max="5" width="11.28515625" style="1" customWidth="1"/>
    <col min="6" max="16384" width="9.140625" style="1"/>
  </cols>
  <sheetData>
    <row r="1" spans="1:7" ht="18" x14ac:dyDescent="0.25">
      <c r="A1" s="18" t="s">
        <v>243</v>
      </c>
    </row>
    <row r="2" spans="1:7" ht="18" x14ac:dyDescent="0.25">
      <c r="A2" s="18"/>
    </row>
    <row r="3" spans="1:7" ht="18" x14ac:dyDescent="0.25">
      <c r="A3" s="18"/>
    </row>
    <row r="4" spans="1:7" ht="18" x14ac:dyDescent="0.25">
      <c r="A4" s="18"/>
    </row>
    <row r="7" spans="1:7" x14ac:dyDescent="0.2">
      <c r="A7" s="40"/>
      <c r="B7" s="17"/>
    </row>
    <row r="8" spans="1:7" x14ac:dyDescent="0.2">
      <c r="A8" s="37" t="s">
        <v>0</v>
      </c>
      <c r="B8" s="31" t="s">
        <v>143</v>
      </c>
      <c r="C8" s="29"/>
      <c r="E8" s="17"/>
      <c r="F8" s="4"/>
    </row>
    <row r="9" spans="1:7" x14ac:dyDescent="0.2">
      <c r="A9" s="14" t="s">
        <v>159</v>
      </c>
      <c r="B9" s="2" t="s">
        <v>110</v>
      </c>
      <c r="C9" s="22">
        <v>18</v>
      </c>
      <c r="E9" s="23" t="s">
        <v>77</v>
      </c>
      <c r="F9" s="23" t="s">
        <v>81</v>
      </c>
      <c r="G9" s="23" t="s">
        <v>82</v>
      </c>
    </row>
    <row r="10" spans="1:7" x14ac:dyDescent="0.2">
      <c r="A10" s="14" t="s">
        <v>174</v>
      </c>
      <c r="B10" s="2" t="s">
        <v>110</v>
      </c>
      <c r="C10" s="22">
        <v>18</v>
      </c>
      <c r="E10" s="9" t="s">
        <v>138</v>
      </c>
      <c r="F10" s="1">
        <v>18</v>
      </c>
      <c r="G10" s="10">
        <f>F10/F16</f>
        <v>0.25</v>
      </c>
    </row>
    <row r="11" spans="1:7" x14ac:dyDescent="0.2">
      <c r="A11" s="14" t="s">
        <v>184</v>
      </c>
      <c r="B11" s="2" t="s">
        <v>110</v>
      </c>
      <c r="C11" s="22">
        <v>18</v>
      </c>
      <c r="E11" s="9" t="s">
        <v>10</v>
      </c>
      <c r="F11" s="1">
        <v>12</v>
      </c>
      <c r="G11" s="10">
        <f>F11/$F$16</f>
        <v>0.16666666666666666</v>
      </c>
    </row>
    <row r="12" spans="1:7" x14ac:dyDescent="0.2">
      <c r="A12" s="41" t="s">
        <v>189</v>
      </c>
      <c r="B12" s="25" t="s">
        <v>110</v>
      </c>
      <c r="C12" s="22">
        <v>18</v>
      </c>
      <c r="E12" s="9" t="s">
        <v>16</v>
      </c>
      <c r="F12" s="1">
        <v>19</v>
      </c>
      <c r="G12" s="10">
        <f>F12/$F$16</f>
        <v>0.2638888888888889</v>
      </c>
    </row>
    <row r="13" spans="1:7" x14ac:dyDescent="0.2">
      <c r="A13" s="14" t="s">
        <v>200</v>
      </c>
      <c r="B13" s="25" t="s">
        <v>110</v>
      </c>
      <c r="C13" s="22">
        <v>18</v>
      </c>
      <c r="E13" s="9" t="s">
        <v>28</v>
      </c>
      <c r="F13" s="4">
        <v>10</v>
      </c>
      <c r="G13" s="10">
        <f>F13/$F$16</f>
        <v>0.1388888888888889</v>
      </c>
    </row>
    <row r="14" spans="1:7" x14ac:dyDescent="0.2">
      <c r="A14" s="14" t="s">
        <v>150</v>
      </c>
      <c r="B14" s="2" t="s">
        <v>2</v>
      </c>
      <c r="C14" s="22">
        <v>17</v>
      </c>
      <c r="E14" s="9" t="s">
        <v>49</v>
      </c>
      <c r="F14" s="4">
        <v>7</v>
      </c>
      <c r="G14" s="10">
        <f>F14/$F$16</f>
        <v>9.7222222222222224E-2</v>
      </c>
    </row>
    <row r="15" spans="1:7" x14ac:dyDescent="0.2">
      <c r="A15" s="14" t="s">
        <v>151</v>
      </c>
      <c r="B15" s="25" t="s">
        <v>2</v>
      </c>
      <c r="C15" s="22">
        <v>17</v>
      </c>
      <c r="E15" s="9" t="s">
        <v>79</v>
      </c>
      <c r="F15" s="4">
        <v>6</v>
      </c>
      <c r="G15" s="10">
        <f>F15/$F$16</f>
        <v>8.3333333333333329E-2</v>
      </c>
    </row>
    <row r="16" spans="1:7" x14ac:dyDescent="0.2">
      <c r="A16" s="14" t="s">
        <v>156</v>
      </c>
      <c r="B16" s="2" t="s">
        <v>2</v>
      </c>
      <c r="C16" s="22">
        <v>17</v>
      </c>
      <c r="E16" s="9" t="s">
        <v>80</v>
      </c>
      <c r="F16" s="1">
        <f>SUM(F10:F15)</f>
        <v>72</v>
      </c>
    </row>
    <row r="17" spans="1:7" x14ac:dyDescent="0.2">
      <c r="A17" s="14" t="s">
        <v>6</v>
      </c>
      <c r="B17" s="2" t="s">
        <v>2</v>
      </c>
      <c r="C17" s="22">
        <v>17</v>
      </c>
      <c r="E17" s="9"/>
      <c r="G17" s="10"/>
    </row>
    <row r="18" spans="1:7" x14ac:dyDescent="0.2">
      <c r="A18" s="14" t="s">
        <v>13</v>
      </c>
      <c r="B18" s="25" t="s">
        <v>2</v>
      </c>
      <c r="C18" s="22">
        <v>17</v>
      </c>
      <c r="E18" s="9"/>
      <c r="F18" s="4"/>
      <c r="G18" s="10"/>
    </row>
    <row r="19" spans="1:7" x14ac:dyDescent="0.2">
      <c r="A19" s="14" t="s">
        <v>163</v>
      </c>
      <c r="B19" s="25" t="s">
        <v>2</v>
      </c>
      <c r="C19" s="22">
        <v>17</v>
      </c>
      <c r="E19" s="9"/>
      <c r="F19" s="4"/>
      <c r="G19" s="10"/>
    </row>
    <row r="20" spans="1:7" x14ac:dyDescent="0.2">
      <c r="A20" s="14" t="s">
        <v>167</v>
      </c>
      <c r="B20" s="2" t="s">
        <v>2</v>
      </c>
      <c r="C20" s="22">
        <v>17</v>
      </c>
      <c r="E20" s="9"/>
      <c r="F20" s="4"/>
      <c r="G20" s="10"/>
    </row>
    <row r="21" spans="1:7" x14ac:dyDescent="0.2">
      <c r="A21" s="14" t="s">
        <v>171</v>
      </c>
      <c r="B21" s="39" t="s">
        <v>2</v>
      </c>
      <c r="C21" s="22">
        <v>17</v>
      </c>
      <c r="E21" s="9"/>
    </row>
    <row r="22" spans="1:7" x14ac:dyDescent="0.2">
      <c r="A22" s="14" t="s">
        <v>179</v>
      </c>
      <c r="B22" s="2" t="s">
        <v>2</v>
      </c>
      <c r="C22" s="22">
        <v>17</v>
      </c>
    </row>
    <row r="23" spans="1:7" x14ac:dyDescent="0.2">
      <c r="A23" s="14" t="s">
        <v>183</v>
      </c>
      <c r="B23" s="2" t="s">
        <v>2</v>
      </c>
      <c r="C23" s="22">
        <v>17</v>
      </c>
    </row>
    <row r="24" spans="1:7" x14ac:dyDescent="0.2">
      <c r="A24" s="14" t="s">
        <v>25</v>
      </c>
      <c r="B24" s="25" t="s">
        <v>2</v>
      </c>
      <c r="C24" s="22">
        <v>17</v>
      </c>
    </row>
    <row r="25" spans="1:7" x14ac:dyDescent="0.2">
      <c r="A25" s="14" t="s">
        <v>190</v>
      </c>
      <c r="B25" s="25" t="s">
        <v>2</v>
      </c>
      <c r="C25" s="22">
        <v>17</v>
      </c>
    </row>
    <row r="26" spans="1:7" x14ac:dyDescent="0.2">
      <c r="A26" s="14" t="s">
        <v>197</v>
      </c>
      <c r="B26" s="2" t="s">
        <v>2</v>
      </c>
      <c r="C26" s="22">
        <v>17</v>
      </c>
    </row>
    <row r="27" spans="1:7" x14ac:dyDescent="0.2">
      <c r="A27" s="42" t="s">
        <v>145</v>
      </c>
      <c r="B27" s="34" t="s">
        <v>10</v>
      </c>
      <c r="C27" s="29">
        <v>16</v>
      </c>
    </row>
    <row r="28" spans="1:7" x14ac:dyDescent="0.2">
      <c r="A28" s="42" t="s">
        <v>152</v>
      </c>
      <c r="B28" s="34" t="s">
        <v>10</v>
      </c>
      <c r="C28" s="29">
        <v>16</v>
      </c>
    </row>
    <row r="29" spans="1:7" x14ac:dyDescent="0.2">
      <c r="A29" s="42" t="s">
        <v>154</v>
      </c>
      <c r="B29" s="34" t="s">
        <v>10</v>
      </c>
      <c r="C29" s="29">
        <v>16</v>
      </c>
    </row>
    <row r="30" spans="1:7" x14ac:dyDescent="0.2">
      <c r="A30" s="43" t="s">
        <v>158</v>
      </c>
      <c r="B30" s="28" t="s">
        <v>10</v>
      </c>
      <c r="C30" s="29">
        <v>16</v>
      </c>
    </row>
    <row r="31" spans="1:7" x14ac:dyDescent="0.2">
      <c r="A31" s="43" t="s">
        <v>170</v>
      </c>
      <c r="B31" s="28" t="s">
        <v>10</v>
      </c>
      <c r="C31" s="29">
        <v>16</v>
      </c>
    </row>
    <row r="32" spans="1:7" x14ac:dyDescent="0.2">
      <c r="A32" s="42" t="s">
        <v>173</v>
      </c>
      <c r="B32" s="34" t="s">
        <v>10</v>
      </c>
      <c r="C32" s="29">
        <v>16</v>
      </c>
    </row>
    <row r="33" spans="1:5" x14ac:dyDescent="0.2">
      <c r="A33" s="42" t="s">
        <v>177</v>
      </c>
      <c r="B33" s="28" t="s">
        <v>10</v>
      </c>
      <c r="C33" s="29">
        <v>16</v>
      </c>
    </row>
    <row r="34" spans="1:5" x14ac:dyDescent="0.2">
      <c r="A34" s="42" t="s">
        <v>187</v>
      </c>
      <c r="B34" s="28" t="s">
        <v>10</v>
      </c>
      <c r="C34" s="29">
        <v>16</v>
      </c>
    </row>
    <row r="35" spans="1:5" x14ac:dyDescent="0.2">
      <c r="A35" s="42" t="s">
        <v>195</v>
      </c>
      <c r="B35" s="34" t="s">
        <v>10</v>
      </c>
      <c r="C35" s="29">
        <v>16</v>
      </c>
    </row>
    <row r="36" spans="1:5" x14ac:dyDescent="0.2">
      <c r="A36" s="42" t="s">
        <v>196</v>
      </c>
      <c r="B36" s="34" t="s">
        <v>10</v>
      </c>
      <c r="C36" s="29">
        <v>16</v>
      </c>
    </row>
    <row r="37" spans="1:5" x14ac:dyDescent="0.2">
      <c r="A37" s="42" t="s">
        <v>205</v>
      </c>
      <c r="B37" s="34" t="s">
        <v>10</v>
      </c>
      <c r="C37" s="29">
        <v>16</v>
      </c>
    </row>
    <row r="38" spans="1:5" x14ac:dyDescent="0.2">
      <c r="A38" s="42" t="s">
        <v>165</v>
      </c>
      <c r="B38" s="38" t="s">
        <v>10</v>
      </c>
      <c r="C38" s="29">
        <v>16</v>
      </c>
    </row>
    <row r="39" spans="1:5" x14ac:dyDescent="0.2">
      <c r="A39" s="14" t="s">
        <v>206</v>
      </c>
      <c r="B39" s="2" t="s">
        <v>16</v>
      </c>
      <c r="C39" s="22">
        <v>15</v>
      </c>
    </row>
    <row r="40" spans="1:5" x14ac:dyDescent="0.2">
      <c r="A40" s="14" t="s">
        <v>29</v>
      </c>
      <c r="B40" s="2" t="s">
        <v>16</v>
      </c>
      <c r="C40" s="22">
        <v>15</v>
      </c>
      <c r="E40" s="33" t="s">
        <v>141</v>
      </c>
    </row>
    <row r="41" spans="1:5" x14ac:dyDescent="0.2">
      <c r="A41" s="14" t="s">
        <v>191</v>
      </c>
      <c r="B41" s="25" t="s">
        <v>16</v>
      </c>
      <c r="C41" s="22">
        <v>15</v>
      </c>
    </row>
    <row r="42" spans="1:5" x14ac:dyDescent="0.2">
      <c r="A42" s="14" t="s">
        <v>30</v>
      </c>
      <c r="B42" s="2" t="s">
        <v>16</v>
      </c>
      <c r="C42" s="22">
        <v>15</v>
      </c>
    </row>
    <row r="43" spans="1:5" x14ac:dyDescent="0.2">
      <c r="A43" s="14" t="s">
        <v>181</v>
      </c>
      <c r="B43" s="2" t="s">
        <v>16</v>
      </c>
      <c r="C43" s="22">
        <v>15</v>
      </c>
    </row>
    <row r="44" spans="1:5" x14ac:dyDescent="0.2">
      <c r="A44" s="14" t="s">
        <v>204</v>
      </c>
      <c r="B44" s="25" t="s">
        <v>16</v>
      </c>
      <c r="C44" s="22">
        <v>15</v>
      </c>
      <c r="E44" s="33"/>
    </row>
    <row r="45" spans="1:5" x14ac:dyDescent="0.2">
      <c r="A45" s="14" t="s">
        <v>64</v>
      </c>
      <c r="B45" s="2" t="s">
        <v>16</v>
      </c>
      <c r="C45" s="22">
        <v>15</v>
      </c>
    </row>
    <row r="46" spans="1:5" x14ac:dyDescent="0.2">
      <c r="A46" s="14" t="s">
        <v>185</v>
      </c>
      <c r="B46" s="2" t="s">
        <v>16</v>
      </c>
      <c r="C46" s="22">
        <v>15</v>
      </c>
    </row>
    <row r="47" spans="1:5" x14ac:dyDescent="0.2">
      <c r="A47" s="14" t="s">
        <v>178</v>
      </c>
      <c r="B47" s="2" t="s">
        <v>16</v>
      </c>
      <c r="C47" s="22">
        <v>15</v>
      </c>
    </row>
    <row r="48" spans="1:5" x14ac:dyDescent="0.2">
      <c r="A48" s="14" t="s">
        <v>164</v>
      </c>
      <c r="B48" s="25" t="s">
        <v>16</v>
      </c>
      <c r="C48" s="22">
        <v>15</v>
      </c>
    </row>
    <row r="49" spans="1:3" x14ac:dyDescent="0.2">
      <c r="A49" s="14" t="s">
        <v>147</v>
      </c>
      <c r="B49" s="2" t="s">
        <v>16</v>
      </c>
      <c r="C49" s="22">
        <v>15</v>
      </c>
    </row>
    <row r="50" spans="1:3" x14ac:dyDescent="0.2">
      <c r="A50" s="14" t="s">
        <v>149</v>
      </c>
      <c r="B50" s="2" t="s">
        <v>16</v>
      </c>
      <c r="C50" s="22">
        <v>15</v>
      </c>
    </row>
    <row r="51" spans="1:3" x14ac:dyDescent="0.2">
      <c r="A51" s="14" t="s">
        <v>513</v>
      </c>
      <c r="B51" s="25" t="s">
        <v>16</v>
      </c>
      <c r="C51" s="22">
        <v>15</v>
      </c>
    </row>
    <row r="52" spans="1:3" x14ac:dyDescent="0.2">
      <c r="A52" s="14" t="s">
        <v>203</v>
      </c>
      <c r="B52" s="2" t="s">
        <v>16</v>
      </c>
      <c r="C52" s="22">
        <v>15</v>
      </c>
    </row>
    <row r="53" spans="1:3" x14ac:dyDescent="0.2">
      <c r="A53" s="14" t="s">
        <v>172</v>
      </c>
      <c r="B53" s="39" t="s">
        <v>16</v>
      </c>
      <c r="C53" s="22">
        <v>15</v>
      </c>
    </row>
    <row r="54" spans="1:3" x14ac:dyDescent="0.2">
      <c r="A54" s="14" t="s">
        <v>153</v>
      </c>
      <c r="B54" s="25" t="s">
        <v>16</v>
      </c>
      <c r="C54" s="22">
        <v>15</v>
      </c>
    </row>
    <row r="55" spans="1:3" x14ac:dyDescent="0.2">
      <c r="A55" s="14" t="s">
        <v>193</v>
      </c>
      <c r="B55" s="25" t="s">
        <v>16</v>
      </c>
      <c r="C55" s="22">
        <v>15</v>
      </c>
    </row>
    <row r="56" spans="1:3" x14ac:dyDescent="0.2">
      <c r="A56" s="14" t="s">
        <v>182</v>
      </c>
      <c r="B56" s="25" t="s">
        <v>16</v>
      </c>
      <c r="C56" s="22">
        <v>15</v>
      </c>
    </row>
    <row r="57" spans="1:3" x14ac:dyDescent="0.2">
      <c r="A57" s="14" t="s">
        <v>201</v>
      </c>
      <c r="B57" s="25" t="s">
        <v>16</v>
      </c>
      <c r="C57" s="22">
        <v>15</v>
      </c>
    </row>
    <row r="58" spans="1:3" x14ac:dyDescent="0.2">
      <c r="A58" s="42" t="s">
        <v>198</v>
      </c>
      <c r="B58" s="34" t="s">
        <v>28</v>
      </c>
      <c r="C58" s="29">
        <v>14</v>
      </c>
    </row>
    <row r="59" spans="1:3" x14ac:dyDescent="0.2">
      <c r="A59" s="42" t="s">
        <v>70</v>
      </c>
      <c r="B59" s="34" t="s">
        <v>28</v>
      </c>
      <c r="C59" s="29">
        <v>14</v>
      </c>
    </row>
    <row r="60" spans="1:3" x14ac:dyDescent="0.2">
      <c r="A60" s="42" t="s">
        <v>199</v>
      </c>
      <c r="B60" s="34" t="s">
        <v>28</v>
      </c>
      <c r="C60" s="29">
        <v>14</v>
      </c>
    </row>
    <row r="61" spans="1:3" x14ac:dyDescent="0.2">
      <c r="A61" s="42" t="s">
        <v>202</v>
      </c>
      <c r="B61" s="28" t="s">
        <v>28</v>
      </c>
      <c r="C61" s="29">
        <v>14</v>
      </c>
    </row>
    <row r="62" spans="1:3" x14ac:dyDescent="0.2">
      <c r="A62" s="42" t="s">
        <v>148</v>
      </c>
      <c r="B62" s="28" t="s">
        <v>28</v>
      </c>
      <c r="C62" s="29">
        <v>14</v>
      </c>
    </row>
    <row r="63" spans="1:3" x14ac:dyDescent="0.2">
      <c r="A63" s="42" t="s">
        <v>69</v>
      </c>
      <c r="B63" s="28" t="s">
        <v>28</v>
      </c>
      <c r="C63" s="29">
        <v>14</v>
      </c>
    </row>
    <row r="64" spans="1:3" x14ac:dyDescent="0.2">
      <c r="A64" s="42" t="s">
        <v>168</v>
      </c>
      <c r="B64" s="28" t="s">
        <v>28</v>
      </c>
      <c r="C64" s="29">
        <v>14</v>
      </c>
    </row>
    <row r="65" spans="1:3" x14ac:dyDescent="0.2">
      <c r="A65" s="42" t="s">
        <v>175</v>
      </c>
      <c r="B65" s="34" t="s">
        <v>28</v>
      </c>
      <c r="C65" s="29">
        <v>14</v>
      </c>
    </row>
    <row r="66" spans="1:3" x14ac:dyDescent="0.2">
      <c r="A66" s="42" t="s">
        <v>176</v>
      </c>
      <c r="B66" s="28" t="s">
        <v>28</v>
      </c>
      <c r="C66" s="29">
        <v>14</v>
      </c>
    </row>
    <row r="67" spans="1:3" x14ac:dyDescent="0.2">
      <c r="A67" s="42" t="s">
        <v>192</v>
      </c>
      <c r="B67" s="28" t="s">
        <v>28</v>
      </c>
      <c r="C67" s="29">
        <v>14</v>
      </c>
    </row>
    <row r="68" spans="1:3" x14ac:dyDescent="0.2">
      <c r="A68" s="14" t="s">
        <v>161</v>
      </c>
      <c r="B68" s="25" t="s">
        <v>49</v>
      </c>
      <c r="C68" s="22">
        <v>13</v>
      </c>
    </row>
    <row r="69" spans="1:3" x14ac:dyDescent="0.2">
      <c r="A69" s="14" t="s">
        <v>166</v>
      </c>
      <c r="B69" s="2" t="s">
        <v>49</v>
      </c>
      <c r="C69" s="22">
        <v>13</v>
      </c>
    </row>
    <row r="70" spans="1:3" x14ac:dyDescent="0.2">
      <c r="A70" s="14" t="s">
        <v>155</v>
      </c>
      <c r="B70" s="2" t="s">
        <v>207</v>
      </c>
      <c r="C70" s="22">
        <v>13</v>
      </c>
    </row>
    <row r="71" spans="1:3" x14ac:dyDescent="0.2">
      <c r="A71" s="14" t="s">
        <v>144</v>
      </c>
      <c r="B71" s="2" t="s">
        <v>49</v>
      </c>
      <c r="C71" s="22">
        <v>13</v>
      </c>
    </row>
    <row r="72" spans="1:3" x14ac:dyDescent="0.2">
      <c r="A72" s="14" t="s">
        <v>146</v>
      </c>
      <c r="B72" s="2" t="s">
        <v>49</v>
      </c>
      <c r="C72" s="22">
        <v>13</v>
      </c>
    </row>
    <row r="73" spans="1:3" x14ac:dyDescent="0.2">
      <c r="A73" s="14" t="s">
        <v>157</v>
      </c>
      <c r="B73" s="2" t="s">
        <v>49</v>
      </c>
      <c r="C73" s="22">
        <v>13</v>
      </c>
    </row>
    <row r="74" spans="1:3" x14ac:dyDescent="0.2">
      <c r="A74" s="14" t="s">
        <v>42</v>
      </c>
      <c r="B74" s="39" t="s">
        <v>49</v>
      </c>
      <c r="C74" s="22">
        <v>13</v>
      </c>
    </row>
    <row r="75" spans="1:3" x14ac:dyDescent="0.2">
      <c r="A75" s="42" t="s">
        <v>188</v>
      </c>
      <c r="B75" s="28" t="s">
        <v>56</v>
      </c>
      <c r="C75" s="29">
        <v>12</v>
      </c>
    </row>
    <row r="76" spans="1:3" x14ac:dyDescent="0.2">
      <c r="A76" s="43" t="s">
        <v>186</v>
      </c>
      <c r="B76" s="28" t="s">
        <v>56</v>
      </c>
      <c r="C76" s="29">
        <v>12</v>
      </c>
    </row>
    <row r="77" spans="1:3" x14ac:dyDescent="0.2">
      <c r="A77" s="42" t="s">
        <v>194</v>
      </c>
      <c r="B77" s="34" t="s">
        <v>61</v>
      </c>
      <c r="C77" s="29">
        <v>11</v>
      </c>
    </row>
    <row r="78" spans="1:3" x14ac:dyDescent="0.2">
      <c r="A78" s="42" t="s">
        <v>162</v>
      </c>
      <c r="B78" s="38" t="s">
        <v>61</v>
      </c>
      <c r="C78" s="29">
        <v>11</v>
      </c>
    </row>
    <row r="79" spans="1:3" x14ac:dyDescent="0.2">
      <c r="A79" s="42" t="s">
        <v>57</v>
      </c>
      <c r="B79" s="34" t="s">
        <v>129</v>
      </c>
      <c r="C79" s="29">
        <v>3</v>
      </c>
    </row>
    <row r="80" spans="1:3" x14ac:dyDescent="0.2">
      <c r="A80" s="42" t="s">
        <v>180</v>
      </c>
      <c r="B80" s="38" t="s">
        <v>86</v>
      </c>
      <c r="C80" s="29">
        <v>1</v>
      </c>
    </row>
    <row r="81" spans="1:3" x14ac:dyDescent="0.2">
      <c r="A81" s="14" t="s">
        <v>160</v>
      </c>
      <c r="B81" s="2"/>
      <c r="C81" s="22"/>
    </row>
    <row r="82" spans="1:3" x14ac:dyDescent="0.2">
      <c r="A82" s="14" t="s">
        <v>76</v>
      </c>
      <c r="B82" s="25"/>
      <c r="C82" s="22"/>
    </row>
    <row r="83" spans="1:3" x14ac:dyDescent="0.2">
      <c r="A83" s="44" t="s">
        <v>74</v>
      </c>
      <c r="B83" s="2"/>
      <c r="C83" s="22"/>
    </row>
    <row r="84" spans="1:3" x14ac:dyDescent="0.2">
      <c r="A84" s="14" t="s">
        <v>169</v>
      </c>
      <c r="B84" s="2"/>
      <c r="C84" s="22"/>
    </row>
    <row r="85" spans="1:3" x14ac:dyDescent="0.2">
      <c r="A85" s="35" t="s">
        <v>134</v>
      </c>
      <c r="B85" s="45" t="s">
        <v>16</v>
      </c>
      <c r="C85" s="46">
        <f>SUM(C9:C80)/72</f>
        <v>14.847222222222221</v>
      </c>
    </row>
    <row r="86" spans="1:3" x14ac:dyDescent="0.2">
      <c r="A86" s="5"/>
    </row>
    <row r="87" spans="1:3" x14ac:dyDescent="0.2">
      <c r="A87" s="2" t="s">
        <v>83</v>
      </c>
    </row>
    <row r="88" spans="1:3" x14ac:dyDescent="0.2">
      <c r="A88" s="2" t="s">
        <v>85</v>
      </c>
    </row>
    <row r="89" spans="1:3" x14ac:dyDescent="0.2">
      <c r="A89" s="2" t="s">
        <v>211</v>
      </c>
    </row>
    <row r="91" spans="1:3" x14ac:dyDescent="0.2">
      <c r="A91" s="2" t="s">
        <v>213</v>
      </c>
    </row>
    <row r="92" spans="1:3" x14ac:dyDescent="0.2">
      <c r="A92" s="33" t="s">
        <v>208</v>
      </c>
    </row>
    <row r="93" spans="1:3" x14ac:dyDescent="0.2">
      <c r="A93" s="33" t="s">
        <v>209</v>
      </c>
    </row>
    <row r="94" spans="1:3" x14ac:dyDescent="0.2">
      <c r="A94" s="33" t="s">
        <v>210</v>
      </c>
    </row>
    <row r="95" spans="1:3" x14ac:dyDescent="0.2">
      <c r="A95" s="33" t="s">
        <v>212</v>
      </c>
    </row>
    <row r="96" spans="1:3" x14ac:dyDescent="0.2">
      <c r="A96" s="33" t="s">
        <v>214</v>
      </c>
    </row>
  </sheetData>
  <phoneticPr fontId="3" type="noConversion"/>
  <pageMargins left="0.75" right="0.75" top="1" bottom="1" header="0.5" footer="0.5"/>
  <pageSetup scale="70" orientation="portrait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65"/>
  <sheetViews>
    <sheetView showGridLines="0" zoomScale="70" zoomScaleNormal="70" workbookViewId="0">
      <pane xSplit="4" ySplit="5" topLeftCell="E6" activePane="bottomRight" state="frozen"/>
      <selection activeCell="E4" sqref="E4"/>
      <selection pane="topRight" activeCell="E4" sqref="E4"/>
      <selection pane="bottomLeft" activeCell="E4" sqref="E4"/>
      <selection pane="bottomRight" activeCell="E6" sqref="E6"/>
    </sheetView>
  </sheetViews>
  <sheetFormatPr defaultColWidth="9.140625" defaultRowHeight="12.75" x14ac:dyDescent="0.2"/>
  <cols>
    <col min="1" max="1" width="2.7109375" style="218" customWidth="1"/>
    <col min="2" max="2" width="4.7109375" style="218" customWidth="1"/>
    <col min="3" max="3" width="42.85546875" style="218" customWidth="1"/>
    <col min="4" max="4" width="9.7109375" style="217" customWidth="1"/>
    <col min="5" max="5" width="14" style="217" customWidth="1"/>
    <col min="6" max="16384" width="9.140625" style="218"/>
  </cols>
  <sheetData>
    <row r="1" spans="1:6" s="214" customFormat="1" ht="18.75" x14ac:dyDescent="0.2">
      <c r="A1" s="214" t="s">
        <v>433</v>
      </c>
      <c r="C1" s="215"/>
      <c r="D1" s="216"/>
      <c r="E1" s="217"/>
    </row>
    <row r="2" spans="1:6" s="214" customFormat="1" x14ac:dyDescent="0.2">
      <c r="C2" s="218"/>
      <c r="D2" s="216"/>
      <c r="E2" s="217"/>
    </row>
    <row r="3" spans="1:6" x14ac:dyDescent="0.2">
      <c r="E3" s="231">
        <v>42369</v>
      </c>
    </row>
    <row r="4" spans="1:6" x14ac:dyDescent="0.2">
      <c r="C4" s="214"/>
      <c r="D4" s="216"/>
    </row>
    <row r="5" spans="1:6" s="219" customFormat="1" ht="25.5" x14ac:dyDescent="0.2">
      <c r="C5" s="220" t="s">
        <v>0</v>
      </c>
      <c r="D5" s="221" t="s">
        <v>434</v>
      </c>
      <c r="E5" s="222" t="s">
        <v>435</v>
      </c>
    </row>
    <row r="6" spans="1:6" x14ac:dyDescent="0.2">
      <c r="C6" s="223"/>
      <c r="D6" s="224"/>
      <c r="E6" s="225"/>
    </row>
    <row r="7" spans="1:6" s="226" customFormat="1" x14ac:dyDescent="0.2">
      <c r="B7" s="447">
        <f t="shared" ref="B7:B61" ca="1" si="0">OFFSET( B7, -1, 0 ) + 1</f>
        <v>1</v>
      </c>
      <c r="C7" s="448" t="s">
        <v>15</v>
      </c>
      <c r="D7" s="449" t="s">
        <v>277</v>
      </c>
      <c r="E7" s="450" t="s">
        <v>372</v>
      </c>
      <c r="F7" s="434">
        <v>0.78714515701738286</v>
      </c>
    </row>
    <row r="8" spans="1:6" s="226" customFormat="1" x14ac:dyDescent="0.2">
      <c r="B8" s="447">
        <f t="shared" ca="1" si="0"/>
        <v>2</v>
      </c>
      <c r="C8" s="448" t="s">
        <v>17</v>
      </c>
      <c r="D8" s="449" t="s">
        <v>307</v>
      </c>
      <c r="E8" s="450" t="s">
        <v>371</v>
      </c>
      <c r="F8" s="434">
        <v>0.89239067802035976</v>
      </c>
    </row>
    <row r="9" spans="1:6" s="226" customFormat="1" x14ac:dyDescent="0.2">
      <c r="B9" s="447">
        <f t="shared" ca="1" si="0"/>
        <v>3</v>
      </c>
      <c r="C9" s="448" t="s">
        <v>9</v>
      </c>
      <c r="D9" s="449" t="s">
        <v>274</v>
      </c>
      <c r="E9" s="450" t="s">
        <v>371</v>
      </c>
      <c r="F9" s="434">
        <v>1</v>
      </c>
    </row>
    <row r="10" spans="1:6" s="226" customFormat="1" x14ac:dyDescent="0.2">
      <c r="B10" s="447">
        <f t="shared" ca="1" si="0"/>
        <v>4</v>
      </c>
      <c r="C10" s="448" t="s">
        <v>259</v>
      </c>
      <c r="D10" s="449" t="s">
        <v>275</v>
      </c>
      <c r="E10" s="450" t="s">
        <v>371</v>
      </c>
      <c r="F10" s="434">
        <v>0.89886208702221515</v>
      </c>
    </row>
    <row r="11" spans="1:6" s="226" customFormat="1" x14ac:dyDescent="0.2">
      <c r="B11" s="447">
        <f t="shared" ca="1" si="0"/>
        <v>5</v>
      </c>
      <c r="C11" s="448" t="s">
        <v>532</v>
      </c>
      <c r="D11" s="449" t="s">
        <v>530</v>
      </c>
      <c r="E11" s="450" t="s">
        <v>372</v>
      </c>
      <c r="F11" s="434">
        <v>0.55099999999999993</v>
      </c>
    </row>
    <row r="12" spans="1:6" s="226" customFormat="1" x14ac:dyDescent="0.2">
      <c r="B12" s="447">
        <f t="shared" ca="1" si="0"/>
        <v>6</v>
      </c>
      <c r="C12" s="448" t="s">
        <v>55</v>
      </c>
      <c r="D12" s="449" t="s">
        <v>278</v>
      </c>
      <c r="E12" s="450" t="s">
        <v>371</v>
      </c>
      <c r="F12" s="434">
        <v>0.99200961796941245</v>
      </c>
    </row>
    <row r="13" spans="1:6" s="226" customFormat="1" x14ac:dyDescent="0.2">
      <c r="B13" s="447">
        <f t="shared" ca="1" si="0"/>
        <v>7</v>
      </c>
      <c r="C13" s="448" t="s">
        <v>48</v>
      </c>
      <c r="D13" s="449" t="s">
        <v>280</v>
      </c>
      <c r="E13" s="450" t="s">
        <v>371</v>
      </c>
      <c r="F13" s="434">
        <v>0.80003806249853648</v>
      </c>
    </row>
    <row r="14" spans="1:6" s="226" customFormat="1" x14ac:dyDescent="0.2">
      <c r="B14" s="447">
        <f t="shared" ca="1" si="0"/>
        <v>8</v>
      </c>
      <c r="C14" s="448" t="s">
        <v>29</v>
      </c>
      <c r="D14" s="449" t="s">
        <v>286</v>
      </c>
      <c r="E14" s="450" t="s">
        <v>372</v>
      </c>
      <c r="F14" s="434">
        <v>0.74153804494990516</v>
      </c>
    </row>
    <row r="15" spans="1:6" s="226" customFormat="1" x14ac:dyDescent="0.2">
      <c r="B15" s="447">
        <f t="shared" ca="1" si="0"/>
        <v>9</v>
      </c>
      <c r="C15" s="448" t="s">
        <v>30</v>
      </c>
      <c r="D15" s="449" t="s">
        <v>285</v>
      </c>
      <c r="E15" s="450" t="s">
        <v>371</v>
      </c>
      <c r="F15" s="434">
        <v>0.9791788967546956</v>
      </c>
    </row>
    <row r="16" spans="1:6" s="226" customFormat="1" x14ac:dyDescent="0.2">
      <c r="B16" s="447">
        <f t="shared" ca="1" si="0"/>
        <v>10</v>
      </c>
      <c r="C16" s="448" t="s">
        <v>60</v>
      </c>
      <c r="D16" s="449" t="s">
        <v>284</v>
      </c>
      <c r="E16" s="450" t="s">
        <v>371</v>
      </c>
      <c r="F16" s="434">
        <v>0.91415929203539825</v>
      </c>
    </row>
    <row r="17" spans="2:6" s="226" customFormat="1" x14ac:dyDescent="0.2">
      <c r="B17" s="447">
        <f t="shared" ca="1" si="0"/>
        <v>11</v>
      </c>
      <c r="C17" s="448" t="s">
        <v>3</v>
      </c>
      <c r="D17" s="449" t="s">
        <v>292</v>
      </c>
      <c r="E17" s="450" t="s">
        <v>371</v>
      </c>
      <c r="F17" s="434">
        <v>0.88287103983173398</v>
      </c>
    </row>
    <row r="18" spans="2:6" s="226" customFormat="1" x14ac:dyDescent="0.2">
      <c r="B18" s="447">
        <f t="shared" ca="1" si="0"/>
        <v>12</v>
      </c>
      <c r="C18" s="448" t="s">
        <v>18</v>
      </c>
      <c r="D18" s="449" t="s">
        <v>86</v>
      </c>
      <c r="E18" s="450" t="s">
        <v>372</v>
      </c>
      <c r="F18" s="434">
        <v>0.6468401360544217</v>
      </c>
    </row>
    <row r="19" spans="2:6" s="226" customFormat="1" x14ac:dyDescent="0.2">
      <c r="B19" s="447">
        <f t="shared" ca="1" si="0"/>
        <v>13</v>
      </c>
      <c r="C19" s="448" t="s">
        <v>31</v>
      </c>
      <c r="D19" s="449" t="s">
        <v>289</v>
      </c>
      <c r="E19" s="450" t="s">
        <v>371</v>
      </c>
      <c r="F19" s="434">
        <v>0.82952291470925987</v>
      </c>
    </row>
    <row r="20" spans="2:6" s="226" customFormat="1" x14ac:dyDescent="0.2">
      <c r="B20" s="447">
        <f t="shared" ca="1" si="0"/>
        <v>14</v>
      </c>
      <c r="C20" s="448" t="s">
        <v>32</v>
      </c>
      <c r="D20" s="449" t="s">
        <v>290</v>
      </c>
      <c r="E20" s="450" t="s">
        <v>371</v>
      </c>
      <c r="F20" s="434">
        <v>0.92081283634322686</v>
      </c>
    </row>
    <row r="21" spans="2:6" s="226" customFormat="1" x14ac:dyDescent="0.2">
      <c r="B21" s="447">
        <f t="shared" ca="1" si="0"/>
        <v>15</v>
      </c>
      <c r="C21" s="448" t="s">
        <v>57</v>
      </c>
      <c r="D21" s="449" t="s">
        <v>296</v>
      </c>
      <c r="E21" s="450" t="s">
        <v>371</v>
      </c>
      <c r="F21" s="434">
        <v>1</v>
      </c>
    </row>
    <row r="22" spans="2:6" s="226" customFormat="1" x14ac:dyDescent="0.2">
      <c r="B22" s="447">
        <f t="shared" ca="1" si="0"/>
        <v>16</v>
      </c>
      <c r="C22" s="448" t="s">
        <v>34</v>
      </c>
      <c r="D22" s="449" t="s">
        <v>294</v>
      </c>
      <c r="E22" s="450" t="s">
        <v>371</v>
      </c>
      <c r="F22" s="434">
        <v>1</v>
      </c>
    </row>
    <row r="23" spans="2:6" s="226" customFormat="1" x14ac:dyDescent="0.2">
      <c r="B23" s="447">
        <f t="shared" ca="1" si="0"/>
        <v>17</v>
      </c>
      <c r="C23" s="448" t="s">
        <v>35</v>
      </c>
      <c r="D23" s="449" t="s">
        <v>293</v>
      </c>
      <c r="E23" s="450" t="s">
        <v>371</v>
      </c>
      <c r="F23" s="434">
        <v>1.0050576242524851</v>
      </c>
    </row>
    <row r="24" spans="2:6" s="226" customFormat="1" x14ac:dyDescent="0.2">
      <c r="B24" s="447">
        <f t="shared" ca="1" si="0"/>
        <v>18</v>
      </c>
      <c r="C24" s="448" t="s">
        <v>36</v>
      </c>
      <c r="D24" s="449" t="s">
        <v>297</v>
      </c>
      <c r="E24" s="450" t="s">
        <v>371</v>
      </c>
      <c r="F24" s="434">
        <v>0.85910186466347471</v>
      </c>
    </row>
    <row r="25" spans="2:6" s="226" customFormat="1" x14ac:dyDescent="0.2">
      <c r="B25" s="447">
        <f t="shared" ca="1" si="0"/>
        <v>19</v>
      </c>
      <c r="C25" s="448" t="s">
        <v>516</v>
      </c>
      <c r="D25" s="449" t="s">
        <v>512</v>
      </c>
      <c r="E25" s="450" t="s">
        <v>371</v>
      </c>
      <c r="F25" s="434">
        <v>0.95175979306939418</v>
      </c>
    </row>
    <row r="26" spans="2:6" s="226" customFormat="1" x14ac:dyDescent="0.2">
      <c r="B26" s="447">
        <f t="shared" ca="1" si="0"/>
        <v>20</v>
      </c>
      <c r="C26" s="448" t="s">
        <v>11</v>
      </c>
      <c r="D26" s="449" t="s">
        <v>298</v>
      </c>
      <c r="E26" s="450" t="s">
        <v>86</v>
      </c>
      <c r="F26" s="434">
        <v>0.47381112136207332</v>
      </c>
    </row>
    <row r="27" spans="2:6" s="226" customFormat="1" x14ac:dyDescent="0.2">
      <c r="B27" s="447">
        <f t="shared" ca="1" si="0"/>
        <v>21</v>
      </c>
      <c r="C27" s="448" t="s">
        <v>51</v>
      </c>
      <c r="D27" s="449" t="s">
        <v>299</v>
      </c>
      <c r="E27" s="450" t="s">
        <v>372</v>
      </c>
      <c r="F27" s="434">
        <v>0.67670109414221935</v>
      </c>
    </row>
    <row r="28" spans="2:6" s="226" customFormat="1" x14ac:dyDescent="0.2">
      <c r="B28" s="447">
        <f t="shared" ca="1" si="0"/>
        <v>22</v>
      </c>
      <c r="C28" s="448" t="s">
        <v>261</v>
      </c>
      <c r="D28" s="449" t="s">
        <v>301</v>
      </c>
      <c r="E28" s="450" t="s">
        <v>371</v>
      </c>
      <c r="F28" s="434">
        <v>1.0285791443949863</v>
      </c>
    </row>
    <row r="29" spans="2:6" s="226" customFormat="1" x14ac:dyDescent="0.2">
      <c r="B29" s="447">
        <f t="shared" ca="1" si="0"/>
        <v>23</v>
      </c>
      <c r="C29" s="448" t="s">
        <v>39</v>
      </c>
      <c r="D29" s="449" t="s">
        <v>302</v>
      </c>
      <c r="E29" s="450" t="s">
        <v>86</v>
      </c>
      <c r="F29" s="434">
        <v>0.48176077819232183</v>
      </c>
    </row>
    <row r="30" spans="2:6" s="226" customFormat="1" x14ac:dyDescent="0.2">
      <c r="B30" s="447">
        <f t="shared" ca="1" si="0"/>
        <v>24</v>
      </c>
      <c r="C30" s="448" t="s">
        <v>20</v>
      </c>
      <c r="D30" s="449" t="s">
        <v>303</v>
      </c>
      <c r="E30" s="450" t="s">
        <v>371</v>
      </c>
      <c r="F30" s="434">
        <v>0.99095531131201209</v>
      </c>
    </row>
    <row r="31" spans="2:6" s="226" customFormat="1" x14ac:dyDescent="0.2">
      <c r="B31" s="447">
        <f t="shared" ca="1" si="0"/>
        <v>25</v>
      </c>
      <c r="C31" s="448" t="s">
        <v>12</v>
      </c>
      <c r="D31" s="449" t="s">
        <v>309</v>
      </c>
      <c r="E31" s="450" t="s">
        <v>372</v>
      </c>
      <c r="F31" s="434">
        <v>0.50850668898945151</v>
      </c>
    </row>
    <row r="32" spans="2:6" s="226" customFormat="1" x14ac:dyDescent="0.2">
      <c r="B32" s="447">
        <f t="shared" ca="1" si="0"/>
        <v>26</v>
      </c>
      <c r="C32" s="448" t="s">
        <v>74</v>
      </c>
      <c r="D32" s="449" t="s">
        <v>310</v>
      </c>
      <c r="E32" s="450" t="s">
        <v>372</v>
      </c>
      <c r="F32" s="434">
        <v>0.77746229357018903</v>
      </c>
    </row>
    <row r="33" spans="2:6" s="226" customFormat="1" x14ac:dyDescent="0.2">
      <c r="B33" s="447">
        <f t="shared" ca="1" si="0"/>
        <v>27</v>
      </c>
      <c r="C33" s="448" t="s">
        <v>370</v>
      </c>
      <c r="D33" s="449" t="s">
        <v>369</v>
      </c>
      <c r="E33" s="450" t="s">
        <v>372</v>
      </c>
      <c r="F33" s="434">
        <v>0.51556153687605333</v>
      </c>
    </row>
    <row r="34" spans="2:6" s="226" customFormat="1" x14ac:dyDescent="0.2">
      <c r="B34" s="447">
        <f t="shared" ca="1" si="0"/>
        <v>28</v>
      </c>
      <c r="C34" s="448" t="s">
        <v>40</v>
      </c>
      <c r="D34" s="449" t="s">
        <v>311</v>
      </c>
      <c r="E34" s="450" t="s">
        <v>371</v>
      </c>
      <c r="F34" s="434">
        <v>0.87807917679005287</v>
      </c>
    </row>
    <row r="35" spans="2:6" s="226" customFormat="1" x14ac:dyDescent="0.2">
      <c r="B35" s="447">
        <f t="shared" ca="1" si="0"/>
        <v>29</v>
      </c>
      <c r="C35" s="448" t="s">
        <v>66</v>
      </c>
      <c r="D35" s="449" t="s">
        <v>315</v>
      </c>
      <c r="E35" s="450" t="s">
        <v>371</v>
      </c>
      <c r="F35" s="434">
        <v>0.99859509267538604</v>
      </c>
    </row>
    <row r="36" spans="2:6" s="226" customFormat="1" x14ac:dyDescent="0.2">
      <c r="B36" s="447">
        <f t="shared" ca="1" si="0"/>
        <v>30</v>
      </c>
      <c r="C36" s="448" t="s">
        <v>21</v>
      </c>
      <c r="D36" s="449" t="s">
        <v>316</v>
      </c>
      <c r="E36" s="450" t="s">
        <v>371</v>
      </c>
      <c r="F36" s="434">
        <v>0.89001187821701711</v>
      </c>
    </row>
    <row r="37" spans="2:6" s="226" customFormat="1" x14ac:dyDescent="0.2">
      <c r="B37" s="447">
        <f t="shared" ca="1" si="0"/>
        <v>31</v>
      </c>
      <c r="C37" s="448" t="s">
        <v>22</v>
      </c>
      <c r="D37" s="449" t="s">
        <v>317</v>
      </c>
      <c r="E37" s="450" t="s">
        <v>371</v>
      </c>
      <c r="F37" s="434">
        <v>0.83639005680694867</v>
      </c>
    </row>
    <row r="38" spans="2:6" s="226" customFormat="1" x14ac:dyDescent="0.2">
      <c r="B38" s="447">
        <f t="shared" ca="1" si="0"/>
        <v>32</v>
      </c>
      <c r="C38" s="448" t="s">
        <v>53</v>
      </c>
      <c r="D38" s="449" t="s">
        <v>318</v>
      </c>
      <c r="E38" s="450" t="s">
        <v>371</v>
      </c>
      <c r="F38" s="434">
        <v>1</v>
      </c>
    </row>
    <row r="39" spans="2:6" s="226" customFormat="1" x14ac:dyDescent="0.2">
      <c r="B39" s="447">
        <f t="shared" ca="1" si="0"/>
        <v>33</v>
      </c>
      <c r="C39" s="448" t="s">
        <v>41</v>
      </c>
      <c r="D39" s="449" t="s">
        <v>322</v>
      </c>
      <c r="E39" s="450" t="s">
        <v>371</v>
      </c>
      <c r="F39" s="434">
        <v>0.99693404252176143</v>
      </c>
    </row>
    <row r="40" spans="2:6" s="226" customFormat="1" x14ac:dyDescent="0.2">
      <c r="B40" s="447">
        <f t="shared" ca="1" si="0"/>
        <v>34</v>
      </c>
      <c r="C40" s="448" t="s">
        <v>42</v>
      </c>
      <c r="D40" s="449" t="s">
        <v>321</v>
      </c>
      <c r="E40" s="450" t="s">
        <v>371</v>
      </c>
      <c r="F40" s="434">
        <v>1</v>
      </c>
    </row>
    <row r="41" spans="2:6" s="226" customFormat="1" x14ac:dyDescent="0.2">
      <c r="B41" s="447">
        <f t="shared" ca="1" si="0"/>
        <v>35</v>
      </c>
      <c r="C41" s="448" t="s">
        <v>24</v>
      </c>
      <c r="D41" s="449" t="s">
        <v>324</v>
      </c>
      <c r="E41" s="450" t="s">
        <v>371</v>
      </c>
      <c r="F41" s="434">
        <v>1</v>
      </c>
    </row>
    <row r="42" spans="2:6" s="226" customFormat="1" x14ac:dyDescent="0.2">
      <c r="B42" s="447">
        <f t="shared" ca="1" si="0"/>
        <v>36</v>
      </c>
      <c r="C42" s="448" t="s">
        <v>43</v>
      </c>
      <c r="D42" s="449" t="s">
        <v>325</v>
      </c>
      <c r="E42" s="450" t="s">
        <v>371</v>
      </c>
      <c r="F42" s="434">
        <v>0.99071270451133564</v>
      </c>
    </row>
    <row r="43" spans="2:6" s="226" customFormat="1" x14ac:dyDescent="0.2">
      <c r="B43" s="447">
        <f t="shared" ca="1" si="0"/>
        <v>37</v>
      </c>
      <c r="C43" s="448" t="s">
        <v>45</v>
      </c>
      <c r="D43" s="449" t="s">
        <v>319</v>
      </c>
      <c r="E43" s="450" t="s">
        <v>372</v>
      </c>
      <c r="F43" s="434">
        <v>0.63079792193952311</v>
      </c>
    </row>
    <row r="44" spans="2:6" s="226" customFormat="1" x14ac:dyDescent="0.2">
      <c r="B44" s="447">
        <f t="shared" ca="1" si="0"/>
        <v>38</v>
      </c>
      <c r="C44" s="448" t="s">
        <v>13</v>
      </c>
      <c r="D44" s="449" t="s">
        <v>327</v>
      </c>
      <c r="E44" s="450" t="s">
        <v>372</v>
      </c>
      <c r="F44" s="434">
        <v>0.7867141024145573</v>
      </c>
    </row>
    <row r="45" spans="2:6" s="226" customFormat="1" x14ac:dyDescent="0.2">
      <c r="B45" s="447">
        <f t="shared" ca="1" si="0"/>
        <v>39</v>
      </c>
      <c r="C45" s="448" t="s">
        <v>25</v>
      </c>
      <c r="D45" s="449" t="s">
        <v>329</v>
      </c>
      <c r="E45" s="450" t="s">
        <v>372</v>
      </c>
      <c r="F45" s="434">
        <v>0.78586206561360905</v>
      </c>
    </row>
    <row r="46" spans="2:6" s="226" customFormat="1" x14ac:dyDescent="0.2">
      <c r="B46" s="447">
        <f t="shared" ca="1" si="0"/>
        <v>40</v>
      </c>
      <c r="C46" s="448" t="s">
        <v>7</v>
      </c>
      <c r="D46" s="449" t="s">
        <v>328</v>
      </c>
      <c r="E46" s="450" t="s">
        <v>371</v>
      </c>
      <c r="F46" s="434">
        <v>0.88168747925125768</v>
      </c>
    </row>
    <row r="47" spans="2:6" s="226" customFormat="1" x14ac:dyDescent="0.2">
      <c r="B47" s="447">
        <f t="shared" ca="1" si="0"/>
        <v>41</v>
      </c>
      <c r="C47" s="448" t="s">
        <v>62</v>
      </c>
      <c r="D47" s="449" t="s">
        <v>330</v>
      </c>
      <c r="E47" s="450" t="s">
        <v>371</v>
      </c>
      <c r="F47" s="434">
        <v>1.0477954715380926</v>
      </c>
    </row>
    <row r="48" spans="2:6" s="226" customFormat="1" x14ac:dyDescent="0.2">
      <c r="B48" s="447">
        <f t="shared" ca="1" si="0"/>
        <v>42</v>
      </c>
      <c r="C48" s="448" t="s">
        <v>76</v>
      </c>
      <c r="D48" s="449" t="s">
        <v>334</v>
      </c>
      <c r="E48" s="450" t="s">
        <v>371</v>
      </c>
      <c r="F48" s="434">
        <v>0.96855886850152895</v>
      </c>
    </row>
    <row r="49" spans="2:6" s="226" customFormat="1" x14ac:dyDescent="0.2">
      <c r="B49" s="447">
        <f t="shared" ca="1" si="0"/>
        <v>43</v>
      </c>
      <c r="C49" s="448" t="s">
        <v>14</v>
      </c>
      <c r="D49" s="449" t="s">
        <v>335</v>
      </c>
      <c r="E49" s="450" t="s">
        <v>371</v>
      </c>
      <c r="F49" s="434">
        <v>0.82990443446274409</v>
      </c>
    </row>
    <row r="50" spans="2:6" s="226" customFormat="1" x14ac:dyDescent="0.2">
      <c r="B50" s="447">
        <f t="shared" ca="1" si="0"/>
        <v>44</v>
      </c>
      <c r="C50" s="448" t="s">
        <v>538</v>
      </c>
      <c r="D50" s="449" t="s">
        <v>336</v>
      </c>
      <c r="E50" s="450" t="s">
        <v>371</v>
      </c>
      <c r="F50" s="434">
        <v>1</v>
      </c>
    </row>
    <row r="51" spans="2:6" s="226" customFormat="1" x14ac:dyDescent="0.2">
      <c r="B51" s="447">
        <f t="shared" ca="1" si="0"/>
        <v>45</v>
      </c>
      <c r="C51" s="448" t="s">
        <v>59</v>
      </c>
      <c r="D51" s="449" t="s">
        <v>337</v>
      </c>
      <c r="E51" s="450" t="s">
        <v>371</v>
      </c>
      <c r="F51" s="434">
        <v>0.98699999999999999</v>
      </c>
    </row>
    <row r="52" spans="2:6" s="226" customFormat="1" x14ac:dyDescent="0.2">
      <c r="B52" s="447">
        <f t="shared" ca="1" si="0"/>
        <v>46</v>
      </c>
      <c r="C52" s="448" t="s">
        <v>258</v>
      </c>
      <c r="D52" s="449" t="s">
        <v>338</v>
      </c>
      <c r="E52" s="450" t="s">
        <v>371</v>
      </c>
      <c r="F52" s="434">
        <v>1.0439999999999998</v>
      </c>
    </row>
    <row r="53" spans="2:6" s="226" customFormat="1" x14ac:dyDescent="0.2">
      <c r="B53" s="447"/>
      <c r="C53" s="448"/>
      <c r="D53" s="449"/>
      <c r="E53" s="450"/>
      <c r="F53" s="434"/>
    </row>
    <row r="54" spans="2:6" s="226" customFormat="1" x14ac:dyDescent="0.2">
      <c r="B54" s="447"/>
      <c r="C54" s="448"/>
      <c r="D54" s="449"/>
      <c r="E54" s="450"/>
      <c r="F54" s="434"/>
    </row>
    <row r="55" spans="2:6" s="226" customFormat="1" x14ac:dyDescent="0.2">
      <c r="B55" s="447"/>
      <c r="C55" s="448"/>
      <c r="D55" s="449"/>
      <c r="E55" s="450"/>
      <c r="F55" s="434"/>
    </row>
    <row r="56" spans="2:6" s="226" customFormat="1" x14ac:dyDescent="0.2">
      <c r="B56" s="447"/>
      <c r="C56" s="448"/>
      <c r="D56" s="449"/>
      <c r="E56" s="450"/>
      <c r="F56" s="434"/>
    </row>
    <row r="57" spans="2:6" s="226" customFormat="1" x14ac:dyDescent="0.2">
      <c r="B57" s="447">
        <f t="shared" ca="1" si="0"/>
        <v>1</v>
      </c>
      <c r="C57" s="448" t="s">
        <v>521</v>
      </c>
      <c r="D57" s="449" t="s">
        <v>443</v>
      </c>
      <c r="E57" s="450" t="s">
        <v>371</v>
      </c>
      <c r="F57" s="434">
        <v>1.0074832375478926</v>
      </c>
    </row>
    <row r="58" spans="2:6" s="226" customFormat="1" x14ac:dyDescent="0.2">
      <c r="B58" s="447">
        <f t="shared" ca="1" si="0"/>
        <v>2</v>
      </c>
      <c r="C58" s="448" t="s">
        <v>522</v>
      </c>
      <c r="D58" s="449" t="s">
        <v>445</v>
      </c>
      <c r="E58" s="450" t="s">
        <v>86</v>
      </c>
      <c r="F58" s="434">
        <v>0.25970852978997</v>
      </c>
    </row>
    <row r="59" spans="2:6" s="226" customFormat="1" x14ac:dyDescent="0.2">
      <c r="B59" s="447">
        <f t="shared" ca="1" si="0"/>
        <v>3</v>
      </c>
      <c r="C59" s="448" t="s">
        <v>523</v>
      </c>
      <c r="D59" s="449" t="s">
        <v>446</v>
      </c>
      <c r="E59" s="450" t="s">
        <v>371</v>
      </c>
      <c r="F59" s="434">
        <v>1</v>
      </c>
    </row>
    <row r="60" spans="2:6" s="226" customFormat="1" x14ac:dyDescent="0.2">
      <c r="B60" s="447">
        <f t="shared" ca="1" si="0"/>
        <v>4</v>
      </c>
      <c r="C60" s="448" t="s">
        <v>524</v>
      </c>
      <c r="D60" s="449" t="s">
        <v>447</v>
      </c>
      <c r="E60" s="450" t="s">
        <v>371</v>
      </c>
      <c r="F60" s="434">
        <v>0.81867540481714463</v>
      </c>
    </row>
    <row r="61" spans="2:6" s="226" customFormat="1" x14ac:dyDescent="0.2">
      <c r="B61" s="447">
        <f t="shared" ca="1" si="0"/>
        <v>5</v>
      </c>
      <c r="C61" s="448" t="s">
        <v>525</v>
      </c>
      <c r="D61" s="449" t="s">
        <v>449</v>
      </c>
      <c r="E61" s="450" t="s">
        <v>371</v>
      </c>
      <c r="F61" s="434">
        <v>0.95299999999999996</v>
      </c>
    </row>
    <row r="62" spans="2:6" s="226" customFormat="1" x14ac:dyDescent="0.2">
      <c r="B62" s="227"/>
      <c r="C62" s="228"/>
      <c r="D62" s="229"/>
      <c r="E62" s="230"/>
      <c r="F62" s="434"/>
    </row>
    <row r="63" spans="2:6" s="226" customFormat="1" x14ac:dyDescent="0.2">
      <c r="B63" s="227"/>
      <c r="C63" s="228"/>
      <c r="D63" s="229"/>
      <c r="E63" s="230"/>
      <c r="F63" s="434"/>
    </row>
    <row r="64" spans="2:6" s="226" customFormat="1" x14ac:dyDescent="0.2">
      <c r="B64" s="227"/>
      <c r="C64" s="228"/>
      <c r="D64" s="229"/>
      <c r="E64" s="230"/>
      <c r="F64" s="434"/>
    </row>
    <row r="65" spans="2:6" s="226" customFormat="1" x14ac:dyDescent="0.2">
      <c r="B65" s="227"/>
      <c r="C65" s="228"/>
      <c r="D65" s="229"/>
      <c r="E65" s="230"/>
      <c r="F65" s="434"/>
    </row>
  </sheetData>
  <pageMargins left="0.21" right="0.75" top="0.27" bottom="0.28999999999999998" header="0.2" footer="0.21"/>
  <pageSetup scale="85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F65"/>
  <sheetViews>
    <sheetView showGridLines="0" zoomScale="70" zoomScaleNormal="70" workbookViewId="0">
      <pane xSplit="4" ySplit="5" topLeftCell="E6" activePane="bottomRight" state="frozen"/>
      <selection activeCell="E4" sqref="E4"/>
      <selection pane="topRight" activeCell="E4" sqref="E4"/>
      <selection pane="bottomLeft" activeCell="E4" sqref="E4"/>
      <selection pane="bottomRight" activeCell="E6" sqref="E6"/>
    </sheetView>
  </sheetViews>
  <sheetFormatPr defaultColWidth="9.140625" defaultRowHeight="12.75" x14ac:dyDescent="0.2"/>
  <cols>
    <col min="1" max="1" width="2.7109375" style="218" customWidth="1"/>
    <col min="2" max="2" width="4.7109375" style="218" customWidth="1"/>
    <col min="3" max="3" width="42.85546875" style="218" customWidth="1"/>
    <col min="4" max="4" width="9.7109375" style="217" customWidth="1"/>
    <col min="5" max="5" width="14" style="217" customWidth="1"/>
    <col min="6" max="16384" width="9.140625" style="218"/>
  </cols>
  <sheetData>
    <row r="1" spans="1:6" s="214" customFormat="1" ht="18.75" x14ac:dyDescent="0.2">
      <c r="A1" s="214" t="s">
        <v>433</v>
      </c>
      <c r="C1" s="215"/>
      <c r="D1" s="216"/>
      <c r="E1" s="217"/>
    </row>
    <row r="2" spans="1:6" s="214" customFormat="1" x14ac:dyDescent="0.2">
      <c r="C2" s="218"/>
      <c r="D2" s="216"/>
      <c r="E2" s="217"/>
    </row>
    <row r="3" spans="1:6" x14ac:dyDescent="0.2">
      <c r="E3" s="231">
        <v>42004</v>
      </c>
    </row>
    <row r="4" spans="1:6" x14ac:dyDescent="0.2">
      <c r="C4" s="214"/>
      <c r="D4" s="216"/>
    </row>
    <row r="5" spans="1:6" s="219" customFormat="1" ht="25.5" x14ac:dyDescent="0.2">
      <c r="C5" s="220" t="s">
        <v>0</v>
      </c>
      <c r="D5" s="221" t="s">
        <v>434</v>
      </c>
      <c r="E5" s="222" t="s">
        <v>435</v>
      </c>
    </row>
    <row r="6" spans="1:6" x14ac:dyDescent="0.2">
      <c r="C6" s="223"/>
      <c r="D6" s="224"/>
      <c r="E6" s="225"/>
    </row>
    <row r="7" spans="1:6" s="226" customFormat="1" x14ac:dyDescent="0.2">
      <c r="B7" s="227">
        <v>1</v>
      </c>
      <c r="C7" s="228" t="s">
        <v>15</v>
      </c>
      <c r="D7" s="229" t="s">
        <v>277</v>
      </c>
      <c r="E7" s="230" t="s">
        <v>371</v>
      </c>
      <c r="F7" s="434">
        <v>0.85066960190790675</v>
      </c>
    </row>
    <row r="8" spans="1:6" s="226" customFormat="1" x14ac:dyDescent="0.2">
      <c r="B8" s="227">
        <v>2</v>
      </c>
      <c r="C8" s="228" t="s">
        <v>17</v>
      </c>
      <c r="D8" s="229" t="s">
        <v>307</v>
      </c>
      <c r="E8" s="230" t="s">
        <v>371</v>
      </c>
      <c r="F8" s="434">
        <v>0.87489553943024512</v>
      </c>
    </row>
    <row r="9" spans="1:6" s="226" customFormat="1" x14ac:dyDescent="0.2">
      <c r="B9" s="227">
        <v>3</v>
      </c>
      <c r="C9" s="228" t="s">
        <v>9</v>
      </c>
      <c r="D9" s="229" t="s">
        <v>274</v>
      </c>
      <c r="E9" s="230" t="s">
        <v>371</v>
      </c>
      <c r="F9" s="434">
        <v>1</v>
      </c>
    </row>
    <row r="10" spans="1:6" s="226" customFormat="1" x14ac:dyDescent="0.2">
      <c r="B10" s="227">
        <v>4</v>
      </c>
      <c r="C10" s="228" t="s">
        <v>259</v>
      </c>
      <c r="D10" s="229" t="s">
        <v>275</v>
      </c>
      <c r="E10" s="230" t="s">
        <v>371</v>
      </c>
      <c r="F10" s="434">
        <v>0.86898193953012592</v>
      </c>
    </row>
    <row r="11" spans="1:6" s="226" customFormat="1" x14ac:dyDescent="0.2">
      <c r="B11" s="227">
        <v>5</v>
      </c>
      <c r="C11" s="228" t="s">
        <v>55</v>
      </c>
      <c r="D11" s="229" t="s">
        <v>278</v>
      </c>
      <c r="E11" s="230" t="s">
        <v>371</v>
      </c>
      <c r="F11" s="434">
        <v>0.98297869992579046</v>
      </c>
    </row>
    <row r="12" spans="1:6" s="226" customFormat="1" x14ac:dyDescent="0.2">
      <c r="B12" s="227">
        <v>6</v>
      </c>
      <c r="C12" s="228" t="s">
        <v>48</v>
      </c>
      <c r="D12" s="229" t="s">
        <v>280</v>
      </c>
      <c r="E12" s="230" t="s">
        <v>371</v>
      </c>
      <c r="F12" s="434">
        <v>0.85415133302771207</v>
      </c>
    </row>
    <row r="13" spans="1:6" s="226" customFormat="1" x14ac:dyDescent="0.2">
      <c r="B13" s="227">
        <v>7</v>
      </c>
      <c r="C13" s="228" t="s">
        <v>29</v>
      </c>
      <c r="D13" s="229" t="s">
        <v>286</v>
      </c>
      <c r="E13" s="230" t="s">
        <v>372</v>
      </c>
      <c r="F13" s="434">
        <v>0.65802997858672374</v>
      </c>
    </row>
    <row r="14" spans="1:6" s="226" customFormat="1" x14ac:dyDescent="0.2">
      <c r="B14" s="227">
        <v>8</v>
      </c>
      <c r="C14" s="228" t="s">
        <v>30</v>
      </c>
      <c r="D14" s="229" t="s">
        <v>285</v>
      </c>
      <c r="E14" s="230" t="s">
        <v>371</v>
      </c>
      <c r="F14" s="434">
        <v>0.9689233314904776</v>
      </c>
    </row>
    <row r="15" spans="1:6" s="226" customFormat="1" x14ac:dyDescent="0.2">
      <c r="B15" s="227">
        <v>9</v>
      </c>
      <c r="C15" s="228" t="s">
        <v>60</v>
      </c>
      <c r="D15" s="229" t="s">
        <v>284</v>
      </c>
      <c r="E15" s="230" t="s">
        <v>371</v>
      </c>
      <c r="F15" s="434">
        <v>0.88470158978368518</v>
      </c>
    </row>
    <row r="16" spans="1:6" s="226" customFormat="1" x14ac:dyDescent="0.2">
      <c r="B16" s="227">
        <v>10</v>
      </c>
      <c r="C16" s="228" t="s">
        <v>3</v>
      </c>
      <c r="D16" s="229" t="s">
        <v>292</v>
      </c>
      <c r="E16" s="230" t="s">
        <v>371</v>
      </c>
      <c r="F16" s="434">
        <v>0.89796425024826221</v>
      </c>
    </row>
    <row r="17" spans="2:6" s="226" customFormat="1" x14ac:dyDescent="0.2">
      <c r="B17" s="227">
        <v>11</v>
      </c>
      <c r="C17" s="228" t="s">
        <v>18</v>
      </c>
      <c r="D17" s="229" t="s">
        <v>86</v>
      </c>
      <c r="E17" s="230" t="s">
        <v>372</v>
      </c>
      <c r="F17" s="434">
        <v>0.60541110175358148</v>
      </c>
    </row>
    <row r="18" spans="2:6" s="226" customFormat="1" x14ac:dyDescent="0.2">
      <c r="B18" s="227">
        <v>12</v>
      </c>
      <c r="C18" s="228" t="s">
        <v>31</v>
      </c>
      <c r="D18" s="229" t="s">
        <v>289</v>
      </c>
      <c r="E18" s="230" t="s">
        <v>371</v>
      </c>
      <c r="F18" s="434">
        <v>0.82212054050189465</v>
      </c>
    </row>
    <row r="19" spans="2:6" s="226" customFormat="1" x14ac:dyDescent="0.2">
      <c r="B19" s="227">
        <v>13</v>
      </c>
      <c r="C19" s="228" t="s">
        <v>32</v>
      </c>
      <c r="D19" s="229" t="s">
        <v>290</v>
      </c>
      <c r="E19" s="230" t="s">
        <v>371</v>
      </c>
      <c r="F19" s="434">
        <v>0.88358780206943976</v>
      </c>
    </row>
    <row r="20" spans="2:6" s="226" customFormat="1" x14ac:dyDescent="0.2">
      <c r="B20" s="227">
        <v>14</v>
      </c>
      <c r="C20" s="228" t="s">
        <v>57</v>
      </c>
      <c r="D20" s="229" t="s">
        <v>296</v>
      </c>
      <c r="E20" s="230" t="s">
        <v>371</v>
      </c>
      <c r="F20" s="434">
        <v>1</v>
      </c>
    </row>
    <row r="21" spans="2:6" s="226" customFormat="1" x14ac:dyDescent="0.2">
      <c r="B21" s="227">
        <v>15</v>
      </c>
      <c r="C21" s="228" t="s">
        <v>34</v>
      </c>
      <c r="D21" s="229" t="s">
        <v>294</v>
      </c>
      <c r="E21" s="230" t="s">
        <v>371</v>
      </c>
      <c r="F21" s="434">
        <v>1</v>
      </c>
    </row>
    <row r="22" spans="2:6" s="226" customFormat="1" x14ac:dyDescent="0.2">
      <c r="B22" s="227">
        <v>16</v>
      </c>
      <c r="C22" s="228" t="s">
        <v>35</v>
      </c>
      <c r="D22" s="229" t="s">
        <v>293</v>
      </c>
      <c r="E22" s="230" t="s">
        <v>371</v>
      </c>
      <c r="F22" s="434">
        <v>1.0050785355208813</v>
      </c>
    </row>
    <row r="23" spans="2:6" s="226" customFormat="1" x14ac:dyDescent="0.2">
      <c r="B23" s="227">
        <v>17</v>
      </c>
      <c r="C23" s="228" t="s">
        <v>36</v>
      </c>
      <c r="D23" s="229" t="s">
        <v>297</v>
      </c>
      <c r="E23" s="230" t="s">
        <v>371</v>
      </c>
      <c r="F23" s="434">
        <v>0.82306200926438611</v>
      </c>
    </row>
    <row r="24" spans="2:6" s="226" customFormat="1" x14ac:dyDescent="0.2">
      <c r="B24" s="227">
        <v>18</v>
      </c>
      <c r="C24" s="228" t="s">
        <v>11</v>
      </c>
      <c r="D24" s="229" t="s">
        <v>298</v>
      </c>
      <c r="E24" s="230" t="s">
        <v>372</v>
      </c>
      <c r="F24" s="434">
        <v>0.50006911327666048</v>
      </c>
    </row>
    <row r="25" spans="2:6" s="226" customFormat="1" x14ac:dyDescent="0.2">
      <c r="B25" s="227">
        <v>19</v>
      </c>
      <c r="C25" s="228" t="s">
        <v>51</v>
      </c>
      <c r="D25" s="229" t="s">
        <v>299</v>
      </c>
      <c r="E25" s="230" t="s">
        <v>372</v>
      </c>
      <c r="F25" s="434">
        <v>0.66296054901660084</v>
      </c>
    </row>
    <row r="26" spans="2:6" s="226" customFormat="1" x14ac:dyDescent="0.2">
      <c r="B26" s="227">
        <v>20</v>
      </c>
      <c r="C26" s="228" t="s">
        <v>261</v>
      </c>
      <c r="D26" s="229" t="s">
        <v>301</v>
      </c>
      <c r="E26" s="230" t="s">
        <v>371</v>
      </c>
      <c r="F26" s="434">
        <v>1.0258121175673225</v>
      </c>
    </row>
    <row r="27" spans="2:6" s="226" customFormat="1" x14ac:dyDescent="0.2">
      <c r="B27" s="227">
        <v>21</v>
      </c>
      <c r="C27" s="228" t="s">
        <v>39</v>
      </c>
      <c r="D27" s="229" t="s">
        <v>302</v>
      </c>
      <c r="E27" s="230" t="s">
        <v>86</v>
      </c>
      <c r="F27" s="434">
        <v>0.49985483935719455</v>
      </c>
    </row>
    <row r="28" spans="2:6" s="226" customFormat="1" x14ac:dyDescent="0.2">
      <c r="B28" s="227">
        <v>22</v>
      </c>
      <c r="C28" s="228" t="s">
        <v>20</v>
      </c>
      <c r="D28" s="229" t="s">
        <v>303</v>
      </c>
      <c r="E28" s="230" t="s">
        <v>371</v>
      </c>
      <c r="F28" s="434">
        <v>0.98311466116060708</v>
      </c>
    </row>
    <row r="29" spans="2:6" s="226" customFormat="1" x14ac:dyDescent="0.2">
      <c r="B29" s="227">
        <v>23</v>
      </c>
      <c r="C29" s="228" t="s">
        <v>254</v>
      </c>
      <c r="D29" s="229" t="s">
        <v>331</v>
      </c>
      <c r="E29" s="230" t="s">
        <v>371</v>
      </c>
      <c r="F29" s="434">
        <v>0.91615848253855703</v>
      </c>
    </row>
    <row r="30" spans="2:6" s="226" customFormat="1" x14ac:dyDescent="0.2">
      <c r="B30" s="227">
        <v>24</v>
      </c>
      <c r="C30" s="228" t="s">
        <v>12</v>
      </c>
      <c r="D30" s="229" t="s">
        <v>309</v>
      </c>
      <c r="E30" s="230" t="s">
        <v>86</v>
      </c>
      <c r="F30" s="434">
        <v>0.3793248841417991</v>
      </c>
    </row>
    <row r="31" spans="2:6" s="226" customFormat="1" x14ac:dyDescent="0.2">
      <c r="B31" s="227">
        <v>25</v>
      </c>
      <c r="C31" s="228" t="s">
        <v>74</v>
      </c>
      <c r="D31" s="229" t="s">
        <v>310</v>
      </c>
      <c r="E31" s="230" t="s">
        <v>372</v>
      </c>
      <c r="F31" s="434">
        <v>0.78015169061523282</v>
      </c>
    </row>
    <row r="32" spans="2:6" s="226" customFormat="1" x14ac:dyDescent="0.2">
      <c r="B32" s="227">
        <v>26</v>
      </c>
      <c r="C32" s="228" t="s">
        <v>370</v>
      </c>
      <c r="D32" s="229" t="s">
        <v>369</v>
      </c>
      <c r="E32" s="230" t="s">
        <v>372</v>
      </c>
      <c r="F32" s="434">
        <v>0.52458994514807356</v>
      </c>
    </row>
    <row r="33" spans="2:6" s="226" customFormat="1" x14ac:dyDescent="0.2">
      <c r="B33" s="227">
        <v>27</v>
      </c>
      <c r="C33" s="228" t="s">
        <v>40</v>
      </c>
      <c r="D33" s="229" t="s">
        <v>311</v>
      </c>
      <c r="E33" s="230" t="s">
        <v>372</v>
      </c>
      <c r="F33" s="434">
        <v>0.58274049617353607</v>
      </c>
    </row>
    <row r="34" spans="2:6" s="226" customFormat="1" x14ac:dyDescent="0.2">
      <c r="B34" s="227">
        <v>28</v>
      </c>
      <c r="C34" s="228" t="s">
        <v>516</v>
      </c>
      <c r="D34" s="229" t="s">
        <v>512</v>
      </c>
      <c r="E34" s="230" t="s">
        <v>371</v>
      </c>
      <c r="F34" s="434">
        <v>0.9476761367452482</v>
      </c>
    </row>
    <row r="35" spans="2:6" s="226" customFormat="1" x14ac:dyDescent="0.2">
      <c r="B35" s="227">
        <v>29</v>
      </c>
      <c r="C35" s="228" t="s">
        <v>66</v>
      </c>
      <c r="D35" s="229" t="s">
        <v>315</v>
      </c>
      <c r="E35" s="230" t="s">
        <v>371</v>
      </c>
      <c r="F35" s="434">
        <v>0.99831481784170029</v>
      </c>
    </row>
    <row r="36" spans="2:6" s="226" customFormat="1" x14ac:dyDescent="0.2">
      <c r="B36" s="227">
        <v>30</v>
      </c>
      <c r="C36" s="228" t="s">
        <v>21</v>
      </c>
      <c r="D36" s="229" t="s">
        <v>316</v>
      </c>
      <c r="E36" s="230" t="s">
        <v>371</v>
      </c>
      <c r="F36" s="434">
        <v>0.8675874808455255</v>
      </c>
    </row>
    <row r="37" spans="2:6" s="226" customFormat="1" x14ac:dyDescent="0.2">
      <c r="B37" s="227">
        <v>31</v>
      </c>
      <c r="C37" s="228" t="s">
        <v>22</v>
      </c>
      <c r="D37" s="229" t="s">
        <v>317</v>
      </c>
      <c r="E37" s="230" t="s">
        <v>371</v>
      </c>
      <c r="F37" s="434">
        <v>0.82212039553860683</v>
      </c>
    </row>
    <row r="38" spans="2:6" s="226" customFormat="1" x14ac:dyDescent="0.2">
      <c r="B38" s="227">
        <v>32</v>
      </c>
      <c r="C38" s="228" t="s">
        <v>23</v>
      </c>
      <c r="D38" s="229" t="s">
        <v>323</v>
      </c>
      <c r="E38" s="230" t="s">
        <v>371</v>
      </c>
      <c r="F38" s="434">
        <v>0.87566221995276694</v>
      </c>
    </row>
    <row r="39" spans="2:6" s="226" customFormat="1" x14ac:dyDescent="0.2">
      <c r="B39" s="227">
        <v>33</v>
      </c>
      <c r="C39" s="228" t="s">
        <v>53</v>
      </c>
      <c r="D39" s="229" t="s">
        <v>318</v>
      </c>
      <c r="E39" s="230" t="s">
        <v>371</v>
      </c>
      <c r="F39" s="434">
        <v>1</v>
      </c>
    </row>
    <row r="40" spans="2:6" s="226" customFormat="1" x14ac:dyDescent="0.2">
      <c r="B40" s="227">
        <v>34</v>
      </c>
      <c r="C40" s="228" t="s">
        <v>41</v>
      </c>
      <c r="D40" s="229" t="s">
        <v>322</v>
      </c>
      <c r="E40" s="230" t="s">
        <v>371</v>
      </c>
      <c r="F40" s="434">
        <v>1</v>
      </c>
    </row>
    <row r="41" spans="2:6" s="226" customFormat="1" x14ac:dyDescent="0.2">
      <c r="B41" s="227">
        <v>35</v>
      </c>
      <c r="C41" s="228" t="s">
        <v>42</v>
      </c>
      <c r="D41" s="229" t="s">
        <v>321</v>
      </c>
      <c r="E41" s="230" t="s">
        <v>371</v>
      </c>
      <c r="F41" s="434">
        <v>0.9801980503746146</v>
      </c>
    </row>
    <row r="42" spans="2:6" s="226" customFormat="1" x14ac:dyDescent="0.2">
      <c r="B42" s="227">
        <v>36</v>
      </c>
      <c r="C42" s="228" t="s">
        <v>24</v>
      </c>
      <c r="D42" s="229" t="s">
        <v>324</v>
      </c>
      <c r="E42" s="230" t="s">
        <v>371</v>
      </c>
      <c r="F42" s="434">
        <v>1</v>
      </c>
    </row>
    <row r="43" spans="2:6" s="226" customFormat="1" x14ac:dyDescent="0.2">
      <c r="B43" s="227">
        <v>37</v>
      </c>
      <c r="C43" s="228" t="s">
        <v>43</v>
      </c>
      <c r="D43" s="229" t="s">
        <v>325</v>
      </c>
      <c r="E43" s="230" t="s">
        <v>372</v>
      </c>
      <c r="F43" s="434">
        <v>0.74817741739001753</v>
      </c>
    </row>
    <row r="44" spans="2:6" s="226" customFormat="1" x14ac:dyDescent="0.2">
      <c r="B44" s="227">
        <v>38</v>
      </c>
      <c r="C44" s="228" t="s">
        <v>45</v>
      </c>
      <c r="D44" s="229" t="s">
        <v>319</v>
      </c>
      <c r="E44" s="230" t="s">
        <v>372</v>
      </c>
      <c r="F44" s="434">
        <v>0.62895876376192228</v>
      </c>
    </row>
    <row r="45" spans="2:6" s="226" customFormat="1" x14ac:dyDescent="0.2">
      <c r="B45" s="227">
        <v>39</v>
      </c>
      <c r="C45" s="228" t="s">
        <v>13</v>
      </c>
      <c r="D45" s="229" t="s">
        <v>327</v>
      </c>
      <c r="E45" s="230" t="s">
        <v>372</v>
      </c>
      <c r="F45" s="434">
        <v>0.75178020413007363</v>
      </c>
    </row>
    <row r="46" spans="2:6" s="226" customFormat="1" x14ac:dyDescent="0.2">
      <c r="B46" s="227">
        <v>40</v>
      </c>
      <c r="C46" s="228" t="s">
        <v>25</v>
      </c>
      <c r="D46" s="229" t="s">
        <v>329</v>
      </c>
      <c r="E46" s="230" t="s">
        <v>372</v>
      </c>
      <c r="F46" s="434">
        <v>0.75848182824927013</v>
      </c>
    </row>
    <row r="47" spans="2:6" s="226" customFormat="1" x14ac:dyDescent="0.2">
      <c r="B47" s="227">
        <v>41</v>
      </c>
      <c r="C47" s="228" t="s">
        <v>7</v>
      </c>
      <c r="D47" s="229" t="s">
        <v>328</v>
      </c>
      <c r="E47" s="230" t="s">
        <v>371</v>
      </c>
      <c r="F47" s="434">
        <v>0.911467366016666</v>
      </c>
    </row>
    <row r="48" spans="2:6" s="226" customFormat="1" x14ac:dyDescent="0.2">
      <c r="B48" s="227">
        <v>42</v>
      </c>
      <c r="C48" s="228" t="s">
        <v>62</v>
      </c>
      <c r="D48" s="229" t="s">
        <v>330</v>
      </c>
      <c r="E48" s="230" t="s">
        <v>371</v>
      </c>
      <c r="F48" s="434">
        <v>1.0182439091471658</v>
      </c>
    </row>
    <row r="49" spans="2:6" s="226" customFormat="1" x14ac:dyDescent="0.2">
      <c r="B49" s="227">
        <v>43</v>
      </c>
      <c r="C49" s="228" t="s">
        <v>75</v>
      </c>
      <c r="D49" s="229" t="s">
        <v>332</v>
      </c>
      <c r="E49" s="230" t="s">
        <v>371</v>
      </c>
      <c r="F49" s="434">
        <v>0.97107572768433081</v>
      </c>
    </row>
    <row r="50" spans="2:6" s="226" customFormat="1" x14ac:dyDescent="0.2">
      <c r="B50" s="227">
        <v>44</v>
      </c>
      <c r="C50" s="228" t="s">
        <v>76</v>
      </c>
      <c r="D50" s="229" t="s">
        <v>334</v>
      </c>
      <c r="E50" s="230" t="s">
        <v>371</v>
      </c>
      <c r="F50" s="434">
        <v>0.98020395920815839</v>
      </c>
    </row>
    <row r="51" spans="2:6" s="226" customFormat="1" x14ac:dyDescent="0.2">
      <c r="B51" s="227">
        <v>45</v>
      </c>
      <c r="C51" s="228" t="s">
        <v>14</v>
      </c>
      <c r="D51" s="229" t="s">
        <v>335</v>
      </c>
      <c r="E51" s="230" t="s">
        <v>372</v>
      </c>
      <c r="F51" s="434">
        <v>0.82606590085814458</v>
      </c>
    </row>
    <row r="52" spans="2:6" s="226" customFormat="1" x14ac:dyDescent="0.2">
      <c r="B52" s="227">
        <v>46</v>
      </c>
      <c r="C52" s="228" t="s">
        <v>59</v>
      </c>
      <c r="D52" s="229" t="s">
        <v>337</v>
      </c>
      <c r="E52" s="230" t="s">
        <v>371</v>
      </c>
      <c r="F52" s="434">
        <v>1</v>
      </c>
    </row>
    <row r="53" spans="2:6" s="226" customFormat="1" x14ac:dyDescent="0.2">
      <c r="B53" s="227">
        <v>47</v>
      </c>
      <c r="C53" s="228" t="s">
        <v>26</v>
      </c>
      <c r="D53" s="229" t="s">
        <v>336</v>
      </c>
      <c r="E53" s="230" t="s">
        <v>371</v>
      </c>
      <c r="F53" s="434">
        <v>0.98347336349367565</v>
      </c>
    </row>
    <row r="54" spans="2:6" s="226" customFormat="1" x14ac:dyDescent="0.2">
      <c r="B54" s="227">
        <v>48</v>
      </c>
      <c r="C54" s="228" t="s">
        <v>258</v>
      </c>
      <c r="D54" s="229" t="s">
        <v>338</v>
      </c>
      <c r="E54" s="230" t="s">
        <v>371</v>
      </c>
      <c r="F54" s="434">
        <v>0.99337195892319707</v>
      </c>
    </row>
    <row r="55" spans="2:6" s="226" customFormat="1" x14ac:dyDescent="0.2">
      <c r="B55" s="227"/>
      <c r="C55" s="228"/>
      <c r="D55" s="229"/>
      <c r="E55" s="230"/>
      <c r="F55" s="434"/>
    </row>
    <row r="56" spans="2:6" s="226" customFormat="1" x14ac:dyDescent="0.2">
      <c r="B56" s="227">
        <v>1</v>
      </c>
      <c r="C56" s="444" t="s">
        <v>531</v>
      </c>
      <c r="D56" s="445" t="s">
        <v>530</v>
      </c>
      <c r="E56" s="230" t="s">
        <v>371</v>
      </c>
      <c r="F56" s="434">
        <v>1</v>
      </c>
    </row>
    <row r="57" spans="2:6" s="226" customFormat="1" x14ac:dyDescent="0.2">
      <c r="B57" s="227">
        <v>2</v>
      </c>
      <c r="C57" s="228" t="s">
        <v>521</v>
      </c>
      <c r="D57" s="229" t="s">
        <v>443</v>
      </c>
      <c r="E57" s="230" t="s">
        <v>371</v>
      </c>
      <c r="F57" s="434">
        <v>1</v>
      </c>
    </row>
    <row r="58" spans="2:6" s="226" customFormat="1" x14ac:dyDescent="0.2">
      <c r="B58" s="227">
        <v>3</v>
      </c>
      <c r="C58" s="228" t="s">
        <v>522</v>
      </c>
      <c r="D58" s="229" t="s">
        <v>445</v>
      </c>
      <c r="E58" s="230" t="s">
        <v>86</v>
      </c>
      <c r="F58" s="434">
        <v>0.20685175054704596</v>
      </c>
    </row>
    <row r="59" spans="2:6" s="226" customFormat="1" x14ac:dyDescent="0.2">
      <c r="B59" s="227">
        <v>4</v>
      </c>
      <c r="C59" s="228" t="s">
        <v>523</v>
      </c>
      <c r="D59" s="229" t="s">
        <v>446</v>
      </c>
      <c r="E59" s="230" t="s">
        <v>371</v>
      </c>
      <c r="F59" s="434">
        <v>1</v>
      </c>
    </row>
    <row r="60" spans="2:6" s="226" customFormat="1" x14ac:dyDescent="0.2">
      <c r="B60" s="227">
        <v>5</v>
      </c>
      <c r="C60" s="228" t="s">
        <v>524</v>
      </c>
      <c r="D60" s="229" t="s">
        <v>447</v>
      </c>
      <c r="E60" s="230" t="s">
        <v>372</v>
      </c>
      <c r="F60" s="434">
        <v>0.78488758123806135</v>
      </c>
    </row>
    <row r="61" spans="2:6" s="226" customFormat="1" x14ac:dyDescent="0.2">
      <c r="B61" s="227">
        <v>6</v>
      </c>
      <c r="C61" s="228" t="s">
        <v>525</v>
      </c>
      <c r="D61" s="229" t="s">
        <v>449</v>
      </c>
      <c r="E61" s="230" t="s">
        <v>371</v>
      </c>
      <c r="F61" s="434">
        <v>0.95403000000000004</v>
      </c>
    </row>
    <row r="62" spans="2:6" s="226" customFormat="1" x14ac:dyDescent="0.2">
      <c r="B62" s="227"/>
      <c r="C62" s="228"/>
      <c r="D62" s="229"/>
      <c r="E62" s="230"/>
      <c r="F62" s="434"/>
    </row>
    <row r="63" spans="2:6" s="226" customFormat="1" x14ac:dyDescent="0.2">
      <c r="B63" s="227">
        <v>1</v>
      </c>
      <c r="C63" s="228" t="s">
        <v>1</v>
      </c>
      <c r="D63" s="229" t="s">
        <v>283</v>
      </c>
      <c r="E63" s="230"/>
    </row>
    <row r="64" spans="2:6" s="226" customFormat="1" x14ac:dyDescent="0.2">
      <c r="B64" s="227">
        <v>2</v>
      </c>
      <c r="C64" s="228" t="s">
        <v>266</v>
      </c>
      <c r="D64" s="229" t="s">
        <v>314</v>
      </c>
      <c r="E64" s="230"/>
    </row>
    <row r="65" spans="2:6" s="226" customFormat="1" x14ac:dyDescent="0.2">
      <c r="B65" s="227"/>
      <c r="C65" s="228"/>
      <c r="D65" s="229"/>
      <c r="E65" s="230"/>
      <c r="F65" s="434"/>
    </row>
  </sheetData>
  <pageMargins left="0.21" right="0.75" top="0.27" bottom="0.28999999999999998" header="0.2" footer="0.21"/>
  <pageSetup scale="85" orientation="portrait" r:id="rId1"/>
  <headerFooter alignWithMargins="0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65"/>
  <sheetViews>
    <sheetView showGridLines="0" zoomScale="70" zoomScaleNormal="70" workbookViewId="0">
      <pane xSplit="4" ySplit="5" topLeftCell="E6" activePane="bottomRight" state="frozen"/>
      <selection activeCell="E4" sqref="E4"/>
      <selection pane="topRight" activeCell="E4" sqref="E4"/>
      <selection pane="bottomLeft" activeCell="E4" sqref="E4"/>
      <selection pane="bottomRight" activeCell="E3" sqref="E3"/>
    </sheetView>
  </sheetViews>
  <sheetFormatPr defaultColWidth="9.140625" defaultRowHeight="12.75" x14ac:dyDescent="0.2"/>
  <cols>
    <col min="1" max="1" width="2.7109375" style="218" customWidth="1"/>
    <col min="2" max="2" width="4.7109375" style="218" customWidth="1"/>
    <col min="3" max="3" width="42.85546875" style="218" customWidth="1"/>
    <col min="4" max="4" width="9.7109375" style="217" customWidth="1"/>
    <col min="5" max="5" width="14" style="217" customWidth="1"/>
    <col min="6" max="16384" width="9.140625" style="218"/>
  </cols>
  <sheetData>
    <row r="1" spans="1:6" s="214" customFormat="1" ht="18.75" x14ac:dyDescent="0.2">
      <c r="A1" s="214" t="s">
        <v>433</v>
      </c>
      <c r="C1" s="215"/>
      <c r="D1" s="216"/>
      <c r="E1" s="217"/>
    </row>
    <row r="2" spans="1:6" s="214" customFormat="1" x14ac:dyDescent="0.2">
      <c r="C2" s="218"/>
      <c r="D2" s="216"/>
      <c r="E2" s="217"/>
    </row>
    <row r="3" spans="1:6" x14ac:dyDescent="0.2">
      <c r="E3" s="231">
        <v>41639</v>
      </c>
    </row>
    <row r="4" spans="1:6" x14ac:dyDescent="0.2">
      <c r="C4" s="214"/>
      <c r="D4" s="216"/>
    </row>
    <row r="5" spans="1:6" s="219" customFormat="1" ht="25.5" x14ac:dyDescent="0.2">
      <c r="C5" s="220" t="s">
        <v>0</v>
      </c>
      <c r="D5" s="221" t="s">
        <v>434</v>
      </c>
      <c r="E5" s="222" t="s">
        <v>435</v>
      </c>
    </row>
    <row r="6" spans="1:6" x14ac:dyDescent="0.2">
      <c r="C6" s="223"/>
      <c r="D6" s="224"/>
      <c r="E6" s="225"/>
    </row>
    <row r="7" spans="1:6" s="226" customFormat="1" x14ac:dyDescent="0.2">
      <c r="B7" s="227">
        <f t="shared" ref="B7:B62" ca="1" si="0">OFFSET( B7, -1, 0 ) + 1</f>
        <v>1</v>
      </c>
      <c r="C7" s="228" t="s">
        <v>15</v>
      </c>
      <c r="D7" s="229" t="s">
        <v>277</v>
      </c>
      <c r="E7" s="230" t="s">
        <v>371</v>
      </c>
      <c r="F7" s="434">
        <v>0.90911182696732629</v>
      </c>
    </row>
    <row r="8" spans="1:6" s="226" customFormat="1" x14ac:dyDescent="0.2">
      <c r="B8" s="227">
        <f t="shared" ca="1" si="0"/>
        <v>2</v>
      </c>
      <c r="C8" s="228" t="s">
        <v>17</v>
      </c>
      <c r="D8" s="229" t="s">
        <v>307</v>
      </c>
      <c r="E8" s="230" t="s">
        <v>371</v>
      </c>
      <c r="F8" s="434">
        <v>0.88890788668514453</v>
      </c>
    </row>
    <row r="9" spans="1:6" s="226" customFormat="1" x14ac:dyDescent="0.2">
      <c r="B9" s="227">
        <f t="shared" ca="1" si="0"/>
        <v>3</v>
      </c>
      <c r="C9" s="228" t="s">
        <v>9</v>
      </c>
      <c r="D9" s="229" t="s">
        <v>274</v>
      </c>
      <c r="E9" s="230" t="s">
        <v>371</v>
      </c>
      <c r="F9" s="434">
        <v>0.97514010633711745</v>
      </c>
    </row>
    <row r="10" spans="1:6" s="226" customFormat="1" x14ac:dyDescent="0.2">
      <c r="B10" s="227">
        <f t="shared" ca="1" si="0"/>
        <v>4</v>
      </c>
      <c r="C10" s="228" t="s">
        <v>259</v>
      </c>
      <c r="D10" s="229" t="s">
        <v>275</v>
      </c>
      <c r="E10" s="230" t="s">
        <v>371</v>
      </c>
      <c r="F10" s="434">
        <v>0.8323465806360123</v>
      </c>
    </row>
    <row r="11" spans="1:6" s="226" customFormat="1" x14ac:dyDescent="0.2">
      <c r="B11" s="227">
        <f t="shared" ca="1" si="0"/>
        <v>5</v>
      </c>
      <c r="C11" s="228" t="s">
        <v>55</v>
      </c>
      <c r="D11" s="229" t="s">
        <v>278</v>
      </c>
      <c r="E11" s="230" t="s">
        <v>371</v>
      </c>
      <c r="F11" s="434">
        <v>0.9035001305616811</v>
      </c>
    </row>
    <row r="12" spans="1:6" s="226" customFormat="1" x14ac:dyDescent="0.2">
      <c r="B12" s="227">
        <f t="shared" ca="1" si="0"/>
        <v>6</v>
      </c>
      <c r="C12" s="228" t="s">
        <v>48</v>
      </c>
      <c r="D12" s="229" t="s">
        <v>280</v>
      </c>
      <c r="E12" s="230" t="s">
        <v>371</v>
      </c>
      <c r="F12" s="434">
        <v>0.85971896000648229</v>
      </c>
    </row>
    <row r="13" spans="1:6" s="226" customFormat="1" x14ac:dyDescent="0.2">
      <c r="B13" s="227">
        <f t="shared" ca="1" si="0"/>
        <v>7</v>
      </c>
      <c r="C13" s="228" t="s">
        <v>29</v>
      </c>
      <c r="D13" s="229" t="s">
        <v>286</v>
      </c>
      <c r="E13" s="230" t="s">
        <v>372</v>
      </c>
      <c r="F13" s="434">
        <v>0.66671239140374938</v>
      </c>
    </row>
    <row r="14" spans="1:6" s="226" customFormat="1" x14ac:dyDescent="0.2">
      <c r="B14" s="227">
        <f t="shared" ca="1" si="0"/>
        <v>8</v>
      </c>
      <c r="C14" s="228" t="s">
        <v>30</v>
      </c>
      <c r="D14" s="229" t="s">
        <v>285</v>
      </c>
      <c r="E14" s="230" t="s">
        <v>371</v>
      </c>
      <c r="F14" s="434">
        <v>0.93557933053746112</v>
      </c>
    </row>
    <row r="15" spans="1:6" s="226" customFormat="1" x14ac:dyDescent="0.2">
      <c r="B15" s="227">
        <f t="shared" ca="1" si="0"/>
        <v>9</v>
      </c>
      <c r="C15" s="228" t="s">
        <v>60</v>
      </c>
      <c r="D15" s="229" t="s">
        <v>284</v>
      </c>
      <c r="E15" s="230" t="s">
        <v>371</v>
      </c>
      <c r="F15" s="434">
        <v>0.87683739090491497</v>
      </c>
    </row>
    <row r="16" spans="1:6" s="226" customFormat="1" x14ac:dyDescent="0.2">
      <c r="B16" s="227">
        <f t="shared" ca="1" si="0"/>
        <v>10</v>
      </c>
      <c r="C16" s="228" t="s">
        <v>3</v>
      </c>
      <c r="D16" s="229" t="s">
        <v>292</v>
      </c>
      <c r="E16" s="230" t="s">
        <v>371</v>
      </c>
      <c r="F16" s="434">
        <v>0.89118508130981378</v>
      </c>
    </row>
    <row r="17" spans="2:6" s="226" customFormat="1" x14ac:dyDescent="0.2">
      <c r="B17" s="227">
        <f t="shared" ca="1" si="0"/>
        <v>11</v>
      </c>
      <c r="C17" s="228" t="s">
        <v>18</v>
      </c>
      <c r="D17" s="229" t="s">
        <v>86</v>
      </c>
      <c r="E17" s="230" t="s">
        <v>372</v>
      </c>
      <c r="F17" s="434">
        <v>0.6031767271522398</v>
      </c>
    </row>
    <row r="18" spans="2:6" s="226" customFormat="1" x14ac:dyDescent="0.2">
      <c r="B18" s="227">
        <f t="shared" ca="1" si="0"/>
        <v>12</v>
      </c>
      <c r="C18" s="228" t="s">
        <v>31</v>
      </c>
      <c r="D18" s="229" t="s">
        <v>289</v>
      </c>
      <c r="E18" s="230" t="s">
        <v>371</v>
      </c>
      <c r="F18" s="434">
        <v>0.82691343743975321</v>
      </c>
    </row>
    <row r="19" spans="2:6" s="226" customFormat="1" x14ac:dyDescent="0.2">
      <c r="B19" s="227">
        <f t="shared" ca="1" si="0"/>
        <v>13</v>
      </c>
      <c r="C19" s="228" t="s">
        <v>32</v>
      </c>
      <c r="D19" s="229" t="s">
        <v>290</v>
      </c>
      <c r="E19" s="230" t="s">
        <v>371</v>
      </c>
      <c r="F19" s="434">
        <v>0.87022887461992182</v>
      </c>
    </row>
    <row r="20" spans="2:6" s="226" customFormat="1" x14ac:dyDescent="0.2">
      <c r="B20" s="227">
        <f t="shared" ca="1" si="0"/>
        <v>14</v>
      </c>
      <c r="C20" s="228" t="s">
        <v>57</v>
      </c>
      <c r="D20" s="229" t="s">
        <v>296</v>
      </c>
      <c r="E20" s="230" t="s">
        <v>371</v>
      </c>
      <c r="F20" s="434">
        <v>1</v>
      </c>
    </row>
    <row r="21" spans="2:6" s="226" customFormat="1" x14ac:dyDescent="0.2">
      <c r="B21" s="227">
        <f t="shared" ca="1" si="0"/>
        <v>15</v>
      </c>
      <c r="C21" s="228" t="s">
        <v>34</v>
      </c>
      <c r="D21" s="229" t="s">
        <v>294</v>
      </c>
      <c r="E21" s="230" t="s">
        <v>371</v>
      </c>
      <c r="F21" s="434">
        <v>1</v>
      </c>
    </row>
    <row r="22" spans="2:6" s="226" customFormat="1" x14ac:dyDescent="0.2">
      <c r="B22" s="227">
        <f t="shared" ca="1" si="0"/>
        <v>16</v>
      </c>
      <c r="C22" s="228" t="s">
        <v>35</v>
      </c>
      <c r="D22" s="229" t="s">
        <v>293</v>
      </c>
      <c r="E22" s="230" t="s">
        <v>371</v>
      </c>
      <c r="F22" s="434">
        <v>1.0060255146162436</v>
      </c>
    </row>
    <row r="23" spans="2:6" s="226" customFormat="1" x14ac:dyDescent="0.2">
      <c r="B23" s="227">
        <f t="shared" ca="1" si="0"/>
        <v>17</v>
      </c>
      <c r="C23" s="228" t="s">
        <v>36</v>
      </c>
      <c r="D23" s="229" t="s">
        <v>297</v>
      </c>
      <c r="E23" s="230" t="s">
        <v>371</v>
      </c>
      <c r="F23" s="434">
        <v>0.81876283997081911</v>
      </c>
    </row>
    <row r="24" spans="2:6" s="226" customFormat="1" x14ac:dyDescent="0.2">
      <c r="B24" s="227">
        <f t="shared" ca="1" si="0"/>
        <v>18</v>
      </c>
      <c r="C24" s="228" t="s">
        <v>11</v>
      </c>
      <c r="D24" s="229" t="s">
        <v>298</v>
      </c>
      <c r="E24" s="230" t="s">
        <v>372</v>
      </c>
      <c r="F24" s="434">
        <v>0.52044442220109099</v>
      </c>
    </row>
    <row r="25" spans="2:6" s="226" customFormat="1" x14ac:dyDescent="0.2">
      <c r="B25" s="227">
        <f t="shared" ca="1" si="0"/>
        <v>19</v>
      </c>
      <c r="C25" s="228" t="s">
        <v>51</v>
      </c>
      <c r="D25" s="229" t="s">
        <v>299</v>
      </c>
      <c r="E25" s="230" t="s">
        <v>372</v>
      </c>
      <c r="F25" s="434">
        <v>0.65306203395208628</v>
      </c>
    </row>
    <row r="26" spans="2:6" s="226" customFormat="1" x14ac:dyDescent="0.2">
      <c r="B26" s="227">
        <f t="shared" ca="1" si="0"/>
        <v>20</v>
      </c>
      <c r="C26" s="228" t="s">
        <v>261</v>
      </c>
      <c r="D26" s="229" t="s">
        <v>301</v>
      </c>
      <c r="E26" s="230" t="s">
        <v>371</v>
      </c>
      <c r="F26" s="434">
        <v>1.0228882945055842</v>
      </c>
    </row>
    <row r="27" spans="2:6" s="226" customFormat="1" x14ac:dyDescent="0.2">
      <c r="B27" s="227">
        <f t="shared" ca="1" si="0"/>
        <v>21</v>
      </c>
      <c r="C27" s="228" t="s">
        <v>39</v>
      </c>
      <c r="D27" s="229" t="s">
        <v>302</v>
      </c>
      <c r="E27" s="230" t="s">
        <v>86</v>
      </c>
      <c r="F27" s="434">
        <v>0.49198330297240517</v>
      </c>
    </row>
    <row r="28" spans="2:6" s="226" customFormat="1" x14ac:dyDescent="0.2">
      <c r="B28" s="227">
        <f t="shared" ca="1" si="0"/>
        <v>22</v>
      </c>
      <c r="C28" s="228" t="s">
        <v>20</v>
      </c>
      <c r="D28" s="229" t="s">
        <v>303</v>
      </c>
      <c r="E28" s="230" t="s">
        <v>371</v>
      </c>
      <c r="F28" s="434">
        <v>0.98170363550581841</v>
      </c>
    </row>
    <row r="29" spans="2:6" s="226" customFormat="1" x14ac:dyDescent="0.2">
      <c r="B29" s="227">
        <f t="shared" ca="1" si="0"/>
        <v>23</v>
      </c>
      <c r="C29" s="228" t="s">
        <v>254</v>
      </c>
      <c r="D29" s="229" t="s">
        <v>331</v>
      </c>
      <c r="E29" s="230" t="s">
        <v>371</v>
      </c>
      <c r="F29" s="434">
        <v>0.86226708765064253</v>
      </c>
    </row>
    <row r="30" spans="2:6" s="226" customFormat="1" x14ac:dyDescent="0.2">
      <c r="B30" s="227">
        <f t="shared" ca="1" si="0"/>
        <v>24</v>
      </c>
      <c r="C30" s="228" t="s">
        <v>12</v>
      </c>
      <c r="D30" s="229" t="s">
        <v>309</v>
      </c>
      <c r="E30" s="230" t="s">
        <v>86</v>
      </c>
      <c r="F30" s="434">
        <v>0.37816533764451238</v>
      </c>
    </row>
    <row r="31" spans="2:6" s="226" customFormat="1" x14ac:dyDescent="0.2">
      <c r="B31" s="227">
        <f t="shared" ca="1" si="0"/>
        <v>25</v>
      </c>
      <c r="C31" s="228" t="s">
        <v>74</v>
      </c>
      <c r="D31" s="229" t="s">
        <v>310</v>
      </c>
      <c r="E31" s="230" t="s">
        <v>372</v>
      </c>
      <c r="F31" s="434">
        <v>0.77859929325041477</v>
      </c>
    </row>
    <row r="32" spans="2:6" s="226" customFormat="1" x14ac:dyDescent="0.2">
      <c r="B32" s="227">
        <f t="shared" ca="1" si="0"/>
        <v>26</v>
      </c>
      <c r="C32" s="228" t="s">
        <v>370</v>
      </c>
      <c r="D32" s="229" t="s">
        <v>369</v>
      </c>
      <c r="E32" s="230" t="s">
        <v>372</v>
      </c>
      <c r="F32" s="434">
        <v>0.52647678411681531</v>
      </c>
    </row>
    <row r="33" spans="2:6" s="226" customFormat="1" x14ac:dyDescent="0.2">
      <c r="B33" s="227">
        <f t="shared" ca="1" si="0"/>
        <v>27</v>
      </c>
      <c r="C33" s="228" t="s">
        <v>40</v>
      </c>
      <c r="D33" s="229" t="s">
        <v>311</v>
      </c>
      <c r="E33" s="230" t="s">
        <v>372</v>
      </c>
      <c r="F33" s="434">
        <v>0.57990014964310777</v>
      </c>
    </row>
    <row r="34" spans="2:6" s="226" customFormat="1" x14ac:dyDescent="0.2">
      <c r="B34" s="227">
        <f t="shared" ca="1" si="0"/>
        <v>28</v>
      </c>
      <c r="C34" s="228" t="s">
        <v>513</v>
      </c>
      <c r="D34" s="229" t="s">
        <v>512</v>
      </c>
      <c r="E34" s="230" t="s">
        <v>371</v>
      </c>
      <c r="F34" s="434">
        <v>0.96294364195643178</v>
      </c>
    </row>
    <row r="35" spans="2:6" s="226" customFormat="1" x14ac:dyDescent="0.2">
      <c r="B35" s="227">
        <f t="shared" ca="1" si="0"/>
        <v>29</v>
      </c>
      <c r="C35" s="228" t="s">
        <v>66</v>
      </c>
      <c r="D35" s="229" t="s">
        <v>315</v>
      </c>
      <c r="E35" s="230" t="s">
        <v>371</v>
      </c>
      <c r="F35" s="434">
        <v>0.99627347749551853</v>
      </c>
    </row>
    <row r="36" spans="2:6" s="226" customFormat="1" x14ac:dyDescent="0.2">
      <c r="B36" s="227">
        <f t="shared" ca="1" si="0"/>
        <v>30</v>
      </c>
      <c r="C36" s="228" t="s">
        <v>21</v>
      </c>
      <c r="D36" s="229" t="s">
        <v>316</v>
      </c>
      <c r="E36" s="230" t="s">
        <v>371</v>
      </c>
      <c r="F36" s="434">
        <v>0.84238124952105697</v>
      </c>
    </row>
    <row r="37" spans="2:6" s="226" customFormat="1" x14ac:dyDescent="0.2">
      <c r="B37" s="227">
        <f t="shared" ca="1" si="0"/>
        <v>31</v>
      </c>
      <c r="C37" s="228" t="s">
        <v>22</v>
      </c>
      <c r="D37" s="229" t="s">
        <v>317</v>
      </c>
      <c r="E37" s="230" t="s">
        <v>371</v>
      </c>
      <c r="F37" s="434">
        <v>0.80852170306243221</v>
      </c>
    </row>
    <row r="38" spans="2:6" s="226" customFormat="1" x14ac:dyDescent="0.2">
      <c r="B38" s="227">
        <f t="shared" ca="1" si="0"/>
        <v>32</v>
      </c>
      <c r="C38" s="228" t="s">
        <v>23</v>
      </c>
      <c r="D38" s="229" t="s">
        <v>323</v>
      </c>
      <c r="E38" s="230" t="s">
        <v>371</v>
      </c>
      <c r="F38" s="434">
        <v>0.87741631305987744</v>
      </c>
    </row>
    <row r="39" spans="2:6" s="226" customFormat="1" x14ac:dyDescent="0.2">
      <c r="B39" s="227">
        <f t="shared" ca="1" si="0"/>
        <v>33</v>
      </c>
      <c r="C39" s="228" t="s">
        <v>53</v>
      </c>
      <c r="D39" s="229" t="s">
        <v>318</v>
      </c>
      <c r="E39" s="230" t="s">
        <v>371</v>
      </c>
      <c r="F39" s="434">
        <v>1</v>
      </c>
    </row>
    <row r="40" spans="2:6" s="226" customFormat="1" x14ac:dyDescent="0.2">
      <c r="B40" s="227">
        <f t="shared" ca="1" si="0"/>
        <v>34</v>
      </c>
      <c r="C40" s="228" t="s">
        <v>41</v>
      </c>
      <c r="D40" s="229" t="s">
        <v>322</v>
      </c>
      <c r="E40" s="230" t="s">
        <v>371</v>
      </c>
      <c r="F40" s="434">
        <v>1</v>
      </c>
    </row>
    <row r="41" spans="2:6" s="226" customFormat="1" x14ac:dyDescent="0.2">
      <c r="B41" s="227">
        <f t="shared" ca="1" si="0"/>
        <v>35</v>
      </c>
      <c r="C41" s="228" t="s">
        <v>42</v>
      </c>
      <c r="D41" s="229" t="s">
        <v>321</v>
      </c>
      <c r="E41" s="230" t="s">
        <v>371</v>
      </c>
      <c r="F41" s="434">
        <v>0.97997112837509848</v>
      </c>
    </row>
    <row r="42" spans="2:6" s="226" customFormat="1" x14ac:dyDescent="0.2">
      <c r="B42" s="227">
        <f t="shared" ca="1" si="0"/>
        <v>36</v>
      </c>
      <c r="C42" s="228" t="s">
        <v>24</v>
      </c>
      <c r="D42" s="229" t="s">
        <v>324</v>
      </c>
      <c r="E42" s="230" t="s">
        <v>371</v>
      </c>
      <c r="F42" s="434">
        <v>1</v>
      </c>
    </row>
    <row r="43" spans="2:6" s="226" customFormat="1" x14ac:dyDescent="0.2">
      <c r="B43" s="227">
        <f t="shared" ca="1" si="0"/>
        <v>37</v>
      </c>
      <c r="C43" s="228" t="s">
        <v>43</v>
      </c>
      <c r="D43" s="229" t="s">
        <v>325</v>
      </c>
      <c r="E43" s="230" t="s">
        <v>372</v>
      </c>
      <c r="F43" s="434">
        <v>0.74506486245544123</v>
      </c>
    </row>
    <row r="44" spans="2:6" s="226" customFormat="1" x14ac:dyDescent="0.2">
      <c r="B44" s="227">
        <f t="shared" ca="1" si="0"/>
        <v>38</v>
      </c>
      <c r="C44" s="228" t="s">
        <v>45</v>
      </c>
      <c r="D44" s="229" t="s">
        <v>319</v>
      </c>
      <c r="E44" s="230" t="s">
        <v>372</v>
      </c>
      <c r="F44" s="434">
        <v>0.60635877252321502</v>
      </c>
    </row>
    <row r="45" spans="2:6" s="226" customFormat="1" x14ac:dyDescent="0.2">
      <c r="B45" s="227">
        <f t="shared" ca="1" si="0"/>
        <v>39</v>
      </c>
      <c r="C45" s="228" t="s">
        <v>13</v>
      </c>
      <c r="D45" s="229" t="s">
        <v>327</v>
      </c>
      <c r="E45" s="230" t="s">
        <v>372</v>
      </c>
      <c r="F45" s="434">
        <v>0.78000527565286204</v>
      </c>
    </row>
    <row r="46" spans="2:6" s="226" customFormat="1" x14ac:dyDescent="0.2">
      <c r="B46" s="227">
        <f t="shared" ca="1" si="0"/>
        <v>40</v>
      </c>
      <c r="C46" s="228" t="s">
        <v>25</v>
      </c>
      <c r="D46" s="229" t="s">
        <v>329</v>
      </c>
      <c r="E46" s="230" t="s">
        <v>372</v>
      </c>
      <c r="F46" s="434">
        <v>0.75327569541402639</v>
      </c>
    </row>
    <row r="47" spans="2:6" s="226" customFormat="1" x14ac:dyDescent="0.2">
      <c r="B47" s="227">
        <f t="shared" ca="1" si="0"/>
        <v>41</v>
      </c>
      <c r="C47" s="228" t="s">
        <v>7</v>
      </c>
      <c r="D47" s="229" t="s">
        <v>328</v>
      </c>
      <c r="E47" s="230" t="s">
        <v>371</v>
      </c>
      <c r="F47" s="434">
        <v>0.92100207603879403</v>
      </c>
    </row>
    <row r="48" spans="2:6" s="226" customFormat="1" x14ac:dyDescent="0.2">
      <c r="B48" s="227">
        <f t="shared" ca="1" si="0"/>
        <v>42</v>
      </c>
      <c r="C48" s="228" t="s">
        <v>62</v>
      </c>
      <c r="D48" s="229" t="s">
        <v>330</v>
      </c>
      <c r="E48" s="230" t="s">
        <v>371</v>
      </c>
      <c r="F48" s="434">
        <v>0.95973415682062291</v>
      </c>
    </row>
    <row r="49" spans="2:6" s="226" customFormat="1" x14ac:dyDescent="0.2">
      <c r="B49" s="227">
        <f t="shared" ca="1" si="0"/>
        <v>43</v>
      </c>
      <c r="C49" s="228" t="s">
        <v>75</v>
      </c>
      <c r="D49" s="229" t="s">
        <v>332</v>
      </c>
      <c r="E49" s="230" t="s">
        <v>371</v>
      </c>
      <c r="F49" s="434">
        <v>0.96437419083942755</v>
      </c>
    </row>
    <row r="50" spans="2:6" s="226" customFormat="1" x14ac:dyDescent="0.2">
      <c r="B50" s="227">
        <f t="shared" ca="1" si="0"/>
        <v>44</v>
      </c>
      <c r="C50" s="228" t="s">
        <v>76</v>
      </c>
      <c r="D50" s="229" t="s">
        <v>334</v>
      </c>
      <c r="E50" s="230" t="s">
        <v>371</v>
      </c>
      <c r="F50" s="434">
        <v>0.98316315446447966</v>
      </c>
    </row>
    <row r="51" spans="2:6" s="226" customFormat="1" x14ac:dyDescent="0.2">
      <c r="B51" s="227">
        <f t="shared" ca="1" si="0"/>
        <v>45</v>
      </c>
      <c r="C51" s="228" t="s">
        <v>428</v>
      </c>
      <c r="D51" s="229" t="s">
        <v>333</v>
      </c>
      <c r="E51" s="230" t="s">
        <v>371</v>
      </c>
      <c r="F51" s="434">
        <v>0.99953194476948282</v>
      </c>
    </row>
    <row r="52" spans="2:6" s="226" customFormat="1" x14ac:dyDescent="0.2">
      <c r="B52" s="227">
        <f t="shared" ca="1" si="0"/>
        <v>46</v>
      </c>
      <c r="C52" s="228" t="s">
        <v>14</v>
      </c>
      <c r="D52" s="229" t="s">
        <v>335</v>
      </c>
      <c r="E52" s="230" t="s">
        <v>372</v>
      </c>
      <c r="F52" s="434">
        <v>0.77742719397953985</v>
      </c>
    </row>
    <row r="53" spans="2:6" s="226" customFormat="1" x14ac:dyDescent="0.2">
      <c r="B53" s="227">
        <f t="shared" ca="1" si="0"/>
        <v>47</v>
      </c>
      <c r="C53" s="228" t="s">
        <v>59</v>
      </c>
      <c r="D53" s="229" t="s">
        <v>337</v>
      </c>
      <c r="E53" s="230" t="s">
        <v>371</v>
      </c>
      <c r="F53" s="434">
        <v>1</v>
      </c>
    </row>
    <row r="54" spans="2:6" s="226" customFormat="1" x14ac:dyDescent="0.2">
      <c r="B54" s="227">
        <f t="shared" ca="1" si="0"/>
        <v>48</v>
      </c>
      <c r="C54" s="228" t="s">
        <v>26</v>
      </c>
      <c r="D54" s="229" t="s">
        <v>336</v>
      </c>
      <c r="E54" s="230" t="s">
        <v>371</v>
      </c>
      <c r="F54" s="434">
        <v>0.97907836472707066</v>
      </c>
    </row>
    <row r="55" spans="2:6" s="226" customFormat="1" x14ac:dyDescent="0.2">
      <c r="B55" s="227">
        <f t="shared" ca="1" si="0"/>
        <v>49</v>
      </c>
      <c r="C55" s="228" t="s">
        <v>258</v>
      </c>
      <c r="D55" s="229" t="s">
        <v>338</v>
      </c>
      <c r="E55" s="230" t="s">
        <v>371</v>
      </c>
      <c r="F55" s="434">
        <v>0.99302150358307584</v>
      </c>
    </row>
    <row r="56" spans="2:6" s="226" customFormat="1" x14ac:dyDescent="0.2">
      <c r="B56" s="227"/>
      <c r="C56" s="228"/>
      <c r="D56" s="229"/>
      <c r="E56" s="230"/>
      <c r="F56" s="434"/>
    </row>
    <row r="57" spans="2:6" s="226" customFormat="1" x14ac:dyDescent="0.2">
      <c r="B57" s="227">
        <f t="shared" ca="1" si="0"/>
        <v>1</v>
      </c>
      <c r="C57" s="228" t="s">
        <v>452</v>
      </c>
      <c r="D57" s="229" t="s">
        <v>444</v>
      </c>
      <c r="E57" s="230" t="s">
        <v>371</v>
      </c>
      <c r="F57" s="434">
        <v>1</v>
      </c>
    </row>
    <row r="58" spans="2:6" s="226" customFormat="1" x14ac:dyDescent="0.2">
      <c r="B58" s="227">
        <f t="shared" ca="1" si="0"/>
        <v>2</v>
      </c>
      <c r="C58" s="228" t="s">
        <v>64</v>
      </c>
      <c r="D58" s="229" t="s">
        <v>443</v>
      </c>
      <c r="E58" s="230" t="s">
        <v>371</v>
      </c>
      <c r="F58" s="434">
        <v>1</v>
      </c>
    </row>
    <row r="59" spans="2:6" s="226" customFormat="1" x14ac:dyDescent="0.2">
      <c r="B59" s="227">
        <f t="shared" ca="1" si="0"/>
        <v>3</v>
      </c>
      <c r="C59" s="228" t="s">
        <v>249</v>
      </c>
      <c r="D59" s="229" t="s">
        <v>445</v>
      </c>
      <c r="E59" s="230" t="s">
        <v>86</v>
      </c>
      <c r="F59" s="434">
        <v>0.14258999999999999</v>
      </c>
    </row>
    <row r="60" spans="2:6" s="226" customFormat="1" x14ac:dyDescent="0.2">
      <c r="B60" s="227">
        <f t="shared" ca="1" si="0"/>
        <v>4</v>
      </c>
      <c r="C60" s="228" t="s">
        <v>58</v>
      </c>
      <c r="D60" s="229" t="s">
        <v>446</v>
      </c>
      <c r="E60" s="230" t="s">
        <v>371</v>
      </c>
      <c r="F60" s="434">
        <v>1</v>
      </c>
    </row>
    <row r="61" spans="2:6" s="226" customFormat="1" x14ac:dyDescent="0.2">
      <c r="B61" s="227">
        <f t="shared" ca="1" si="0"/>
        <v>5</v>
      </c>
      <c r="C61" s="228" t="s">
        <v>52</v>
      </c>
      <c r="D61" s="229" t="s">
        <v>447</v>
      </c>
      <c r="E61" s="230" t="s">
        <v>372</v>
      </c>
      <c r="F61" s="434">
        <v>0.77944722987807114</v>
      </c>
    </row>
    <row r="62" spans="2:6" s="226" customFormat="1" x14ac:dyDescent="0.2">
      <c r="B62" s="227">
        <f t="shared" ca="1" si="0"/>
        <v>6</v>
      </c>
      <c r="C62" s="228" t="s">
        <v>54</v>
      </c>
      <c r="D62" s="229" t="s">
        <v>449</v>
      </c>
      <c r="E62" s="230" t="s">
        <v>371</v>
      </c>
      <c r="F62" s="434">
        <v>0.94986000000000004</v>
      </c>
    </row>
    <row r="63" spans="2:6" s="226" customFormat="1" x14ac:dyDescent="0.2">
      <c r="B63" s="227"/>
      <c r="C63" s="228"/>
      <c r="D63" s="229"/>
      <c r="E63" s="230"/>
    </row>
    <row r="64" spans="2:6" s="226" customFormat="1" x14ac:dyDescent="0.2">
      <c r="B64" s="227">
        <f t="shared" ref="B64" ca="1" si="1">OFFSET( B64, -1, 0 ) + 1</f>
        <v>1</v>
      </c>
      <c r="C64" s="228" t="s">
        <v>1</v>
      </c>
      <c r="D64" s="229" t="s">
        <v>283</v>
      </c>
      <c r="E64" s="230"/>
    </row>
    <row r="65" spans="2:6" s="226" customFormat="1" x14ac:dyDescent="0.2">
      <c r="B65" s="227">
        <f ca="1">OFFSET( B65, -1, 0 ) + 1</f>
        <v>2</v>
      </c>
      <c r="C65" s="228" t="s">
        <v>266</v>
      </c>
      <c r="D65" s="229" t="s">
        <v>314</v>
      </c>
      <c r="E65" s="230"/>
      <c r="F65" s="434"/>
    </row>
  </sheetData>
  <pageMargins left="0.21" right="0.75" top="0.27" bottom="0.28999999999999998" header="0.2" footer="0.21"/>
  <pageSetup scale="85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65"/>
  <sheetViews>
    <sheetView showGridLines="0" zoomScale="70" zoomScaleNormal="70" workbookViewId="0">
      <pane xSplit="4" ySplit="5" topLeftCell="E6" activePane="bottomRight" state="frozen"/>
      <selection activeCell="E4" sqref="E4"/>
      <selection pane="topRight" activeCell="E4" sqref="E4"/>
      <selection pane="bottomLeft" activeCell="E4" sqref="E4"/>
      <selection pane="bottomRight" activeCell="E6" sqref="E6"/>
    </sheetView>
  </sheetViews>
  <sheetFormatPr defaultColWidth="9.140625" defaultRowHeight="12.75" x14ac:dyDescent="0.2"/>
  <cols>
    <col min="1" max="1" width="2.7109375" style="218" customWidth="1"/>
    <col min="2" max="2" width="4.7109375" style="218" customWidth="1"/>
    <col min="3" max="3" width="42.85546875" style="218" customWidth="1"/>
    <col min="4" max="4" width="9.7109375" style="217" customWidth="1"/>
    <col min="5" max="5" width="14" style="217" customWidth="1"/>
    <col min="6" max="16384" width="9.140625" style="218"/>
  </cols>
  <sheetData>
    <row r="1" spans="1:5" s="214" customFormat="1" ht="18.75" x14ac:dyDescent="0.2">
      <c r="A1" s="214" t="s">
        <v>433</v>
      </c>
      <c r="C1" s="215"/>
      <c r="D1" s="216"/>
      <c r="E1" s="217"/>
    </row>
    <row r="2" spans="1:5" s="214" customFormat="1" x14ac:dyDescent="0.2">
      <c r="C2" s="218"/>
      <c r="D2" s="216"/>
      <c r="E2" s="217"/>
    </row>
    <row r="3" spans="1:5" x14ac:dyDescent="0.2">
      <c r="E3" s="231">
        <v>41274</v>
      </c>
    </row>
    <row r="4" spans="1:5" x14ac:dyDescent="0.2">
      <c r="C4" s="214"/>
      <c r="D4" s="216"/>
    </row>
    <row r="5" spans="1:5" s="219" customFormat="1" ht="25.5" x14ac:dyDescent="0.2">
      <c r="C5" s="220" t="s">
        <v>0</v>
      </c>
      <c r="D5" s="221" t="s">
        <v>434</v>
      </c>
      <c r="E5" s="222" t="s">
        <v>435</v>
      </c>
    </row>
    <row r="6" spans="1:5" x14ac:dyDescent="0.2">
      <c r="C6" s="223"/>
      <c r="D6" s="224"/>
      <c r="E6" s="225"/>
    </row>
    <row r="7" spans="1:5" s="226" customFormat="1" x14ac:dyDescent="0.2">
      <c r="B7" s="227">
        <f t="shared" ref="B7:B63" ca="1" si="0">OFFSET( B7, -1, 0 ) + 1</f>
        <v>1</v>
      </c>
      <c r="C7" s="228" t="s">
        <v>15</v>
      </c>
      <c r="D7" s="229" t="s">
        <v>277</v>
      </c>
      <c r="E7" s="230" t="s">
        <v>371</v>
      </c>
    </row>
    <row r="8" spans="1:5" s="226" customFormat="1" x14ac:dyDescent="0.2">
      <c r="B8" s="227">
        <f t="shared" ca="1" si="0"/>
        <v>2</v>
      </c>
      <c r="C8" s="228" t="s">
        <v>17</v>
      </c>
      <c r="D8" s="229" t="s">
        <v>307</v>
      </c>
      <c r="E8" s="230" t="s">
        <v>371</v>
      </c>
    </row>
    <row r="9" spans="1:5" s="226" customFormat="1" x14ac:dyDescent="0.2">
      <c r="B9" s="227">
        <f t="shared" ca="1" si="0"/>
        <v>3</v>
      </c>
      <c r="C9" s="228" t="s">
        <v>9</v>
      </c>
      <c r="D9" s="229" t="s">
        <v>274</v>
      </c>
      <c r="E9" s="230" t="s">
        <v>371</v>
      </c>
    </row>
    <row r="10" spans="1:5" s="226" customFormat="1" x14ac:dyDescent="0.2">
      <c r="B10" s="227">
        <f t="shared" ca="1" si="0"/>
        <v>4</v>
      </c>
      <c r="C10" s="228" t="s">
        <v>259</v>
      </c>
      <c r="D10" s="229" t="s">
        <v>275</v>
      </c>
      <c r="E10" s="230" t="s">
        <v>371</v>
      </c>
    </row>
    <row r="11" spans="1:5" s="226" customFormat="1" x14ac:dyDescent="0.2">
      <c r="B11" s="227">
        <f t="shared" ca="1" si="0"/>
        <v>5</v>
      </c>
      <c r="C11" s="228" t="s">
        <v>55</v>
      </c>
      <c r="D11" s="229" t="s">
        <v>278</v>
      </c>
      <c r="E11" s="230" t="s">
        <v>371</v>
      </c>
    </row>
    <row r="12" spans="1:5" s="226" customFormat="1" x14ac:dyDescent="0.2">
      <c r="B12" s="227">
        <f t="shared" ca="1" si="0"/>
        <v>6</v>
      </c>
      <c r="C12" s="228" t="s">
        <v>48</v>
      </c>
      <c r="D12" s="229" t="s">
        <v>280</v>
      </c>
      <c r="E12" s="230" t="s">
        <v>371</v>
      </c>
    </row>
    <row r="13" spans="1:5" s="226" customFormat="1" x14ac:dyDescent="0.2">
      <c r="B13" s="227">
        <f t="shared" ca="1" si="0"/>
        <v>7</v>
      </c>
      <c r="C13" s="228" t="s">
        <v>29</v>
      </c>
      <c r="D13" s="229" t="s">
        <v>286</v>
      </c>
      <c r="E13" s="230" t="s">
        <v>372</v>
      </c>
    </row>
    <row r="14" spans="1:5" s="226" customFormat="1" x14ac:dyDescent="0.2">
      <c r="B14" s="227">
        <f t="shared" ca="1" si="0"/>
        <v>8</v>
      </c>
      <c r="C14" s="228" t="s">
        <v>30</v>
      </c>
      <c r="D14" s="229" t="s">
        <v>285</v>
      </c>
      <c r="E14" s="230" t="s">
        <v>371</v>
      </c>
    </row>
    <row r="15" spans="1:5" s="226" customFormat="1" x14ac:dyDescent="0.2">
      <c r="B15" s="227">
        <f t="shared" ca="1" si="0"/>
        <v>9</v>
      </c>
      <c r="C15" s="228" t="s">
        <v>60</v>
      </c>
      <c r="D15" s="229" t="s">
        <v>284</v>
      </c>
      <c r="E15" s="230" t="s">
        <v>371</v>
      </c>
    </row>
    <row r="16" spans="1:5" s="226" customFormat="1" x14ac:dyDescent="0.2">
      <c r="B16" s="227">
        <f t="shared" ca="1" si="0"/>
        <v>10</v>
      </c>
      <c r="C16" s="228" t="s">
        <v>3</v>
      </c>
      <c r="D16" s="229" t="s">
        <v>292</v>
      </c>
      <c r="E16" s="230" t="s">
        <v>371</v>
      </c>
    </row>
    <row r="17" spans="2:5" s="226" customFormat="1" x14ac:dyDescent="0.2">
      <c r="B17" s="227">
        <f t="shared" ca="1" si="0"/>
        <v>11</v>
      </c>
      <c r="C17" s="228" t="s">
        <v>18</v>
      </c>
      <c r="D17" s="229" t="s">
        <v>86</v>
      </c>
      <c r="E17" s="230" t="s">
        <v>372</v>
      </c>
    </row>
    <row r="18" spans="2:5" s="226" customFormat="1" x14ac:dyDescent="0.2">
      <c r="B18" s="227">
        <f t="shared" ca="1" si="0"/>
        <v>12</v>
      </c>
      <c r="C18" s="228" t="s">
        <v>31</v>
      </c>
      <c r="D18" s="229" t="s">
        <v>289</v>
      </c>
      <c r="E18" s="230" t="s">
        <v>371</v>
      </c>
    </row>
    <row r="19" spans="2:5" s="226" customFormat="1" x14ac:dyDescent="0.2">
      <c r="B19" s="227">
        <f t="shared" ca="1" si="0"/>
        <v>13</v>
      </c>
      <c r="C19" s="228" t="s">
        <v>32</v>
      </c>
      <c r="D19" s="229" t="s">
        <v>290</v>
      </c>
      <c r="E19" s="230" t="s">
        <v>371</v>
      </c>
    </row>
    <row r="20" spans="2:5" s="226" customFormat="1" x14ac:dyDescent="0.2">
      <c r="B20" s="227">
        <f t="shared" ca="1" si="0"/>
        <v>14</v>
      </c>
      <c r="C20" s="228" t="s">
        <v>57</v>
      </c>
      <c r="D20" s="229" t="s">
        <v>296</v>
      </c>
      <c r="E20" s="230" t="s">
        <v>371</v>
      </c>
    </row>
    <row r="21" spans="2:5" s="226" customFormat="1" x14ac:dyDescent="0.2">
      <c r="B21" s="227">
        <f t="shared" ca="1" si="0"/>
        <v>15</v>
      </c>
      <c r="C21" s="228" t="s">
        <v>34</v>
      </c>
      <c r="D21" s="229" t="s">
        <v>294</v>
      </c>
      <c r="E21" s="230" t="s">
        <v>371</v>
      </c>
    </row>
    <row r="22" spans="2:5" s="226" customFormat="1" x14ac:dyDescent="0.2">
      <c r="B22" s="227">
        <f t="shared" ca="1" si="0"/>
        <v>16</v>
      </c>
      <c r="C22" s="228" t="s">
        <v>35</v>
      </c>
      <c r="D22" s="229" t="s">
        <v>293</v>
      </c>
      <c r="E22" s="230" t="s">
        <v>371</v>
      </c>
    </row>
    <row r="23" spans="2:5" s="226" customFormat="1" x14ac:dyDescent="0.2">
      <c r="B23" s="227">
        <f t="shared" ca="1" si="0"/>
        <v>17</v>
      </c>
      <c r="C23" s="228" t="s">
        <v>36</v>
      </c>
      <c r="D23" s="229" t="s">
        <v>297</v>
      </c>
      <c r="E23" s="230" t="s">
        <v>371</v>
      </c>
    </row>
    <row r="24" spans="2:5" s="226" customFormat="1" x14ac:dyDescent="0.2">
      <c r="B24" s="227">
        <f t="shared" ca="1" si="0"/>
        <v>18</v>
      </c>
      <c r="C24" s="228" t="s">
        <v>11</v>
      </c>
      <c r="D24" s="229" t="s">
        <v>298</v>
      </c>
      <c r="E24" s="230" t="s">
        <v>372</v>
      </c>
    </row>
    <row r="25" spans="2:5" s="226" customFormat="1" x14ac:dyDescent="0.2">
      <c r="B25" s="227">
        <f t="shared" ca="1" si="0"/>
        <v>19</v>
      </c>
      <c r="C25" s="228" t="s">
        <v>51</v>
      </c>
      <c r="D25" s="229" t="s">
        <v>299</v>
      </c>
      <c r="E25" s="230" t="s">
        <v>372</v>
      </c>
    </row>
    <row r="26" spans="2:5" s="226" customFormat="1" x14ac:dyDescent="0.2">
      <c r="B26" s="227">
        <f t="shared" ca="1" si="0"/>
        <v>20</v>
      </c>
      <c r="C26" s="228" t="s">
        <v>261</v>
      </c>
      <c r="D26" s="229" t="s">
        <v>301</v>
      </c>
      <c r="E26" s="230" t="s">
        <v>371</v>
      </c>
    </row>
    <row r="27" spans="2:5" s="226" customFormat="1" x14ac:dyDescent="0.2">
      <c r="B27" s="227">
        <f t="shared" ca="1" si="0"/>
        <v>21</v>
      </c>
      <c r="C27" s="228" t="s">
        <v>39</v>
      </c>
      <c r="D27" s="229" t="s">
        <v>302</v>
      </c>
      <c r="E27" s="230" t="s">
        <v>372</v>
      </c>
    </row>
    <row r="28" spans="2:5" s="226" customFormat="1" x14ac:dyDescent="0.2">
      <c r="B28" s="227">
        <f t="shared" ca="1" si="0"/>
        <v>22</v>
      </c>
      <c r="C28" s="228" t="s">
        <v>20</v>
      </c>
      <c r="D28" s="229" t="s">
        <v>303</v>
      </c>
      <c r="E28" s="230" t="s">
        <v>371</v>
      </c>
    </row>
    <row r="29" spans="2:5" s="226" customFormat="1" x14ac:dyDescent="0.2">
      <c r="B29" s="227">
        <f t="shared" ca="1" si="0"/>
        <v>23</v>
      </c>
      <c r="C29" s="228" t="s">
        <v>254</v>
      </c>
      <c r="D29" s="229" t="s">
        <v>331</v>
      </c>
      <c r="E29" s="230" t="s">
        <v>371</v>
      </c>
    </row>
    <row r="30" spans="2:5" s="226" customFormat="1" x14ac:dyDescent="0.2">
      <c r="B30" s="227">
        <f t="shared" ca="1" si="0"/>
        <v>24</v>
      </c>
      <c r="C30" s="228" t="s">
        <v>12</v>
      </c>
      <c r="D30" s="229" t="s">
        <v>309</v>
      </c>
      <c r="E30" s="230" t="s">
        <v>86</v>
      </c>
    </row>
    <row r="31" spans="2:5" s="226" customFormat="1" x14ac:dyDescent="0.2">
      <c r="B31" s="227">
        <f t="shared" ca="1" si="0"/>
        <v>25</v>
      </c>
      <c r="C31" s="228" t="s">
        <v>74</v>
      </c>
      <c r="D31" s="229" t="s">
        <v>310</v>
      </c>
      <c r="E31" s="230" t="s">
        <v>372</v>
      </c>
    </row>
    <row r="32" spans="2:5" s="226" customFormat="1" x14ac:dyDescent="0.2">
      <c r="B32" s="227">
        <f t="shared" ca="1" si="0"/>
        <v>26</v>
      </c>
      <c r="C32" s="228" t="s">
        <v>370</v>
      </c>
      <c r="D32" s="229" t="s">
        <v>369</v>
      </c>
      <c r="E32" s="230" t="s">
        <v>372</v>
      </c>
    </row>
    <row r="33" spans="2:5" s="226" customFormat="1" x14ac:dyDescent="0.2">
      <c r="B33" s="227">
        <f t="shared" ca="1" si="0"/>
        <v>27</v>
      </c>
      <c r="C33" s="228" t="s">
        <v>40</v>
      </c>
      <c r="D33" s="229" t="s">
        <v>311</v>
      </c>
      <c r="E33" s="230" t="s">
        <v>372</v>
      </c>
    </row>
    <row r="34" spans="2:5" s="226" customFormat="1" x14ac:dyDescent="0.2">
      <c r="B34" s="227">
        <f t="shared" ca="1" si="0"/>
        <v>28</v>
      </c>
      <c r="C34" s="228" t="s">
        <v>513</v>
      </c>
      <c r="D34" s="229" t="s">
        <v>512</v>
      </c>
      <c r="E34" s="230" t="s">
        <v>371</v>
      </c>
    </row>
    <row r="35" spans="2:5" s="226" customFormat="1" x14ac:dyDescent="0.2">
      <c r="B35" s="227">
        <f t="shared" ca="1" si="0"/>
        <v>29</v>
      </c>
      <c r="C35" s="228" t="s">
        <v>66</v>
      </c>
      <c r="D35" s="229" t="s">
        <v>315</v>
      </c>
      <c r="E35" s="230" t="s">
        <v>371</v>
      </c>
    </row>
    <row r="36" spans="2:5" s="226" customFormat="1" x14ac:dyDescent="0.2">
      <c r="B36" s="227">
        <f t="shared" ca="1" si="0"/>
        <v>30</v>
      </c>
      <c r="C36" s="228" t="s">
        <v>266</v>
      </c>
      <c r="D36" s="229" t="s">
        <v>314</v>
      </c>
      <c r="E36" s="230" t="s">
        <v>371</v>
      </c>
    </row>
    <row r="37" spans="2:5" s="226" customFormat="1" x14ac:dyDescent="0.2">
      <c r="B37" s="227">
        <f t="shared" ca="1" si="0"/>
        <v>31</v>
      </c>
      <c r="C37" s="228" t="s">
        <v>21</v>
      </c>
      <c r="D37" s="229" t="s">
        <v>316</v>
      </c>
      <c r="E37" s="230" t="s">
        <v>372</v>
      </c>
    </row>
    <row r="38" spans="2:5" s="226" customFormat="1" x14ac:dyDescent="0.2">
      <c r="B38" s="227">
        <f t="shared" ca="1" si="0"/>
        <v>32</v>
      </c>
      <c r="C38" s="228" t="s">
        <v>22</v>
      </c>
      <c r="D38" s="229" t="s">
        <v>317</v>
      </c>
      <c r="E38" s="230" t="s">
        <v>372</v>
      </c>
    </row>
    <row r="39" spans="2:5" s="226" customFormat="1" x14ac:dyDescent="0.2">
      <c r="B39" s="227">
        <f t="shared" ca="1" si="0"/>
        <v>33</v>
      </c>
      <c r="C39" s="228" t="s">
        <v>23</v>
      </c>
      <c r="D39" s="229" t="s">
        <v>323</v>
      </c>
      <c r="E39" s="230" t="s">
        <v>372</v>
      </c>
    </row>
    <row r="40" spans="2:5" s="226" customFormat="1" x14ac:dyDescent="0.2">
      <c r="B40" s="227">
        <f t="shared" ca="1" si="0"/>
        <v>34</v>
      </c>
      <c r="C40" s="228" t="s">
        <v>53</v>
      </c>
      <c r="D40" s="229" t="s">
        <v>318</v>
      </c>
      <c r="E40" s="230" t="s">
        <v>371</v>
      </c>
    </row>
    <row r="41" spans="2:5" s="226" customFormat="1" x14ac:dyDescent="0.2">
      <c r="B41" s="227">
        <f t="shared" ca="1" si="0"/>
        <v>35</v>
      </c>
      <c r="C41" s="228" t="s">
        <v>41</v>
      </c>
      <c r="D41" s="229" t="s">
        <v>322</v>
      </c>
      <c r="E41" s="230" t="s">
        <v>371</v>
      </c>
    </row>
    <row r="42" spans="2:5" s="226" customFormat="1" x14ac:dyDescent="0.2">
      <c r="B42" s="227">
        <f t="shared" ca="1" si="0"/>
        <v>36</v>
      </c>
      <c r="C42" s="228" t="s">
        <v>42</v>
      </c>
      <c r="D42" s="229" t="s">
        <v>321</v>
      </c>
      <c r="E42" s="230" t="s">
        <v>371</v>
      </c>
    </row>
    <row r="43" spans="2:5" s="226" customFormat="1" x14ac:dyDescent="0.2">
      <c r="B43" s="227">
        <f t="shared" ca="1" si="0"/>
        <v>37</v>
      </c>
      <c r="C43" s="228" t="s">
        <v>24</v>
      </c>
      <c r="D43" s="229" t="s">
        <v>324</v>
      </c>
      <c r="E43" s="230" t="s">
        <v>371</v>
      </c>
    </row>
    <row r="44" spans="2:5" s="226" customFormat="1" x14ac:dyDescent="0.2">
      <c r="B44" s="227">
        <f t="shared" ca="1" si="0"/>
        <v>38</v>
      </c>
      <c r="C44" s="228" t="s">
        <v>43</v>
      </c>
      <c r="D44" s="229" t="s">
        <v>325</v>
      </c>
      <c r="E44" s="230" t="s">
        <v>372</v>
      </c>
    </row>
    <row r="45" spans="2:5" s="226" customFormat="1" x14ac:dyDescent="0.2">
      <c r="B45" s="227">
        <f t="shared" ca="1" si="0"/>
        <v>39</v>
      </c>
      <c r="C45" s="228" t="s">
        <v>45</v>
      </c>
      <c r="D45" s="229" t="s">
        <v>319</v>
      </c>
      <c r="E45" s="230" t="s">
        <v>372</v>
      </c>
    </row>
    <row r="46" spans="2:5" s="226" customFormat="1" x14ac:dyDescent="0.2">
      <c r="B46" s="227">
        <f t="shared" ca="1" si="0"/>
        <v>40</v>
      </c>
      <c r="C46" s="228" t="s">
        <v>13</v>
      </c>
      <c r="D46" s="229" t="s">
        <v>327</v>
      </c>
      <c r="E46" s="230" t="s">
        <v>372</v>
      </c>
    </row>
    <row r="47" spans="2:5" s="226" customFormat="1" x14ac:dyDescent="0.2">
      <c r="B47" s="227">
        <f t="shared" ca="1" si="0"/>
        <v>41</v>
      </c>
      <c r="C47" s="228" t="s">
        <v>25</v>
      </c>
      <c r="D47" s="229" t="s">
        <v>329</v>
      </c>
      <c r="E47" s="230" t="s">
        <v>372</v>
      </c>
    </row>
    <row r="48" spans="2:5" s="226" customFormat="1" x14ac:dyDescent="0.2">
      <c r="B48" s="227">
        <f t="shared" ca="1" si="0"/>
        <v>42</v>
      </c>
      <c r="C48" s="228" t="s">
        <v>7</v>
      </c>
      <c r="D48" s="229" t="s">
        <v>328</v>
      </c>
      <c r="E48" s="230" t="s">
        <v>371</v>
      </c>
    </row>
    <row r="49" spans="2:5" s="226" customFormat="1" x14ac:dyDescent="0.2">
      <c r="B49" s="227">
        <f t="shared" ca="1" si="0"/>
        <v>43</v>
      </c>
      <c r="C49" s="228" t="s">
        <v>62</v>
      </c>
      <c r="D49" s="229" t="s">
        <v>330</v>
      </c>
      <c r="E49" s="230" t="s">
        <v>371</v>
      </c>
    </row>
    <row r="50" spans="2:5" s="226" customFormat="1" x14ac:dyDescent="0.2">
      <c r="B50" s="227">
        <f t="shared" ca="1" si="0"/>
        <v>44</v>
      </c>
      <c r="C50" s="228" t="s">
        <v>75</v>
      </c>
      <c r="D50" s="229" t="s">
        <v>332</v>
      </c>
      <c r="E50" s="230" t="s">
        <v>371</v>
      </c>
    </row>
    <row r="51" spans="2:5" s="226" customFormat="1" x14ac:dyDescent="0.2">
      <c r="B51" s="227">
        <f t="shared" ca="1" si="0"/>
        <v>45</v>
      </c>
      <c r="C51" s="228" t="s">
        <v>76</v>
      </c>
      <c r="D51" s="229" t="s">
        <v>334</v>
      </c>
      <c r="E51" s="230" t="s">
        <v>371</v>
      </c>
    </row>
    <row r="52" spans="2:5" s="226" customFormat="1" x14ac:dyDescent="0.2">
      <c r="B52" s="227">
        <f t="shared" ca="1" si="0"/>
        <v>46</v>
      </c>
      <c r="C52" s="228" t="s">
        <v>428</v>
      </c>
      <c r="D52" s="229" t="s">
        <v>333</v>
      </c>
      <c r="E52" s="230" t="s">
        <v>371</v>
      </c>
    </row>
    <row r="53" spans="2:5" s="226" customFormat="1" x14ac:dyDescent="0.2">
      <c r="B53" s="227">
        <f t="shared" ca="1" si="0"/>
        <v>47</v>
      </c>
      <c r="C53" s="228" t="s">
        <v>14</v>
      </c>
      <c r="D53" s="229" t="s">
        <v>335</v>
      </c>
      <c r="E53" s="230" t="s">
        <v>372</v>
      </c>
    </row>
    <row r="54" spans="2:5" s="226" customFormat="1" x14ac:dyDescent="0.2">
      <c r="B54" s="227">
        <f t="shared" ca="1" si="0"/>
        <v>48</v>
      </c>
      <c r="C54" s="228" t="s">
        <v>59</v>
      </c>
      <c r="D54" s="229" t="s">
        <v>337</v>
      </c>
      <c r="E54" s="230" t="s">
        <v>371</v>
      </c>
    </row>
    <row r="55" spans="2:5" s="226" customFormat="1" x14ac:dyDescent="0.2">
      <c r="B55" s="227">
        <f t="shared" ca="1" si="0"/>
        <v>49</v>
      </c>
      <c r="C55" s="228" t="s">
        <v>26</v>
      </c>
      <c r="D55" s="229" t="s">
        <v>336</v>
      </c>
      <c r="E55" s="230" t="s">
        <v>371</v>
      </c>
    </row>
    <row r="56" spans="2:5" s="226" customFormat="1" x14ac:dyDescent="0.2">
      <c r="B56" s="227">
        <f t="shared" ca="1" si="0"/>
        <v>50</v>
      </c>
      <c r="C56" s="228" t="s">
        <v>258</v>
      </c>
      <c r="D56" s="229" t="s">
        <v>338</v>
      </c>
      <c r="E56" s="230" t="s">
        <v>371</v>
      </c>
    </row>
    <row r="57" spans="2:5" s="226" customFormat="1" x14ac:dyDescent="0.2">
      <c r="B57" s="227"/>
      <c r="C57" s="228"/>
      <c r="D57" s="229"/>
      <c r="E57" s="230"/>
    </row>
    <row r="58" spans="2:5" s="226" customFormat="1" x14ac:dyDescent="0.2">
      <c r="B58" s="227">
        <f t="shared" ca="1" si="0"/>
        <v>1</v>
      </c>
      <c r="C58" s="228" t="s">
        <v>452</v>
      </c>
      <c r="D58" s="229" t="s">
        <v>444</v>
      </c>
      <c r="E58" s="230" t="s">
        <v>371</v>
      </c>
    </row>
    <row r="59" spans="2:5" s="226" customFormat="1" x14ac:dyDescent="0.2">
      <c r="B59" s="227">
        <f t="shared" ca="1" si="0"/>
        <v>2</v>
      </c>
      <c r="C59" s="228" t="s">
        <v>64</v>
      </c>
      <c r="D59" s="229" t="s">
        <v>443</v>
      </c>
      <c r="E59" s="230" t="s">
        <v>371</v>
      </c>
    </row>
    <row r="60" spans="2:5" s="226" customFormat="1" x14ac:dyDescent="0.2">
      <c r="B60" s="227">
        <f t="shared" ca="1" si="0"/>
        <v>3</v>
      </c>
      <c r="C60" s="228" t="s">
        <v>249</v>
      </c>
      <c r="D60" s="229" t="s">
        <v>445</v>
      </c>
      <c r="E60" s="230" t="s">
        <v>86</v>
      </c>
    </row>
    <row r="61" spans="2:5" s="226" customFormat="1" x14ac:dyDescent="0.2">
      <c r="B61" s="227">
        <f t="shared" ca="1" si="0"/>
        <v>4</v>
      </c>
      <c r="C61" s="228" t="s">
        <v>58</v>
      </c>
      <c r="D61" s="229" t="s">
        <v>446</v>
      </c>
      <c r="E61" s="230" t="s">
        <v>371</v>
      </c>
    </row>
    <row r="62" spans="2:5" s="226" customFormat="1" x14ac:dyDescent="0.2">
      <c r="B62" s="227">
        <f t="shared" ca="1" si="0"/>
        <v>5</v>
      </c>
      <c r="C62" s="228" t="s">
        <v>52</v>
      </c>
      <c r="D62" s="229" t="s">
        <v>447</v>
      </c>
      <c r="E62" s="230" t="s">
        <v>372</v>
      </c>
    </row>
    <row r="63" spans="2:5" s="226" customFormat="1" x14ac:dyDescent="0.2">
      <c r="B63" s="227">
        <f t="shared" ca="1" si="0"/>
        <v>6</v>
      </c>
      <c r="C63" s="228" t="s">
        <v>54</v>
      </c>
      <c r="D63" s="229" t="s">
        <v>449</v>
      </c>
      <c r="E63" s="230" t="s">
        <v>371</v>
      </c>
    </row>
    <row r="64" spans="2:5" s="226" customFormat="1" x14ac:dyDescent="0.2">
      <c r="B64" s="227"/>
      <c r="C64" s="228"/>
      <c r="D64" s="229"/>
      <c r="E64" s="230"/>
    </row>
    <row r="65" spans="2:5" s="226" customFormat="1" x14ac:dyDescent="0.2">
      <c r="B65" s="227">
        <f t="shared" ref="B65" ca="1" si="1">OFFSET( B65, -1, 0 ) + 1</f>
        <v>1</v>
      </c>
      <c r="C65" s="228" t="s">
        <v>1</v>
      </c>
      <c r="D65" s="229" t="s">
        <v>283</v>
      </c>
      <c r="E65" s="230" t="s">
        <v>371</v>
      </c>
    </row>
  </sheetData>
  <pageMargins left="0.21" right="0.75" top="0.27" bottom="0.28999999999999998" header="0.2" footer="0.21"/>
  <pageSetup scale="85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</sheetPr>
  <dimension ref="A1:E70"/>
  <sheetViews>
    <sheetView showGridLines="0" zoomScale="70" zoomScaleNormal="70" workbookViewId="0">
      <pane xSplit="4" ySplit="5" topLeftCell="E6" activePane="bottomRight" state="frozen"/>
      <selection activeCell="E4" sqref="E4"/>
      <selection pane="topRight" activeCell="E4" sqref="E4"/>
      <selection pane="bottomLeft" activeCell="E4" sqref="E4"/>
      <selection pane="bottomRight" activeCell="E6" sqref="E6"/>
    </sheetView>
  </sheetViews>
  <sheetFormatPr defaultColWidth="9.140625" defaultRowHeight="12.75" x14ac:dyDescent="0.2"/>
  <cols>
    <col min="1" max="1" width="2.7109375" style="218" customWidth="1"/>
    <col min="2" max="2" width="4.7109375" style="218" customWidth="1"/>
    <col min="3" max="3" width="42.85546875" style="218" customWidth="1"/>
    <col min="4" max="4" width="9.7109375" style="217" customWidth="1"/>
    <col min="5" max="5" width="14" style="217" customWidth="1"/>
    <col min="6" max="16384" width="9.140625" style="218"/>
  </cols>
  <sheetData>
    <row r="1" spans="1:5" s="214" customFormat="1" ht="18.75" x14ac:dyDescent="0.2">
      <c r="A1" s="214" t="s">
        <v>433</v>
      </c>
      <c r="C1" s="215"/>
      <c r="D1" s="216"/>
      <c r="E1" s="217"/>
    </row>
    <row r="2" spans="1:5" s="214" customFormat="1" x14ac:dyDescent="0.2">
      <c r="C2" s="218"/>
      <c r="D2" s="216"/>
      <c r="E2" s="217"/>
    </row>
    <row r="3" spans="1:5" x14ac:dyDescent="0.2">
      <c r="E3" s="231">
        <v>40908</v>
      </c>
    </row>
    <row r="4" spans="1:5" x14ac:dyDescent="0.2">
      <c r="C4" s="214"/>
      <c r="D4" s="216"/>
    </row>
    <row r="5" spans="1:5" s="219" customFormat="1" ht="25.5" x14ac:dyDescent="0.2">
      <c r="C5" s="220" t="s">
        <v>0</v>
      </c>
      <c r="D5" s="221" t="s">
        <v>434</v>
      </c>
      <c r="E5" s="222" t="s">
        <v>435</v>
      </c>
    </row>
    <row r="6" spans="1:5" x14ac:dyDescent="0.2">
      <c r="C6" s="223"/>
      <c r="D6" s="224"/>
      <c r="E6" s="225"/>
    </row>
    <row r="7" spans="1:5" s="226" customFormat="1" x14ac:dyDescent="0.2">
      <c r="B7" s="227">
        <f t="shared" ref="B7:B68" ca="1" si="0">OFFSET( B7, -1, 0 ) + 1</f>
        <v>1</v>
      </c>
      <c r="C7" s="228" t="s">
        <v>15</v>
      </c>
      <c r="D7" s="229" t="s">
        <v>277</v>
      </c>
      <c r="E7" s="230" t="s">
        <v>371</v>
      </c>
    </row>
    <row r="8" spans="1:5" s="226" customFormat="1" x14ac:dyDescent="0.2">
      <c r="B8" s="227">
        <f t="shared" ca="1" si="0"/>
        <v>2</v>
      </c>
      <c r="C8" s="228" t="s">
        <v>17</v>
      </c>
      <c r="D8" s="229" t="s">
        <v>307</v>
      </c>
      <c r="E8" s="230" t="s">
        <v>371</v>
      </c>
    </row>
    <row r="9" spans="1:5" s="226" customFormat="1" x14ac:dyDescent="0.2">
      <c r="B9" s="227">
        <f t="shared" ca="1" si="0"/>
        <v>3</v>
      </c>
      <c r="C9" s="228" t="s">
        <v>9</v>
      </c>
      <c r="D9" s="229" t="s">
        <v>274</v>
      </c>
      <c r="E9" s="230" t="s">
        <v>371</v>
      </c>
    </row>
    <row r="10" spans="1:5" s="226" customFormat="1" x14ac:dyDescent="0.2">
      <c r="B10" s="227">
        <f t="shared" ca="1" si="0"/>
        <v>4</v>
      </c>
      <c r="C10" s="228" t="s">
        <v>259</v>
      </c>
      <c r="D10" s="229" t="s">
        <v>275</v>
      </c>
      <c r="E10" s="230" t="s">
        <v>371</v>
      </c>
    </row>
    <row r="11" spans="1:5" s="226" customFormat="1" x14ac:dyDescent="0.2">
      <c r="B11" s="227">
        <f t="shared" ca="1" si="0"/>
        <v>5</v>
      </c>
      <c r="C11" s="228" t="s">
        <v>55</v>
      </c>
      <c r="D11" s="229" t="s">
        <v>278</v>
      </c>
      <c r="E11" s="230" t="s">
        <v>371</v>
      </c>
    </row>
    <row r="12" spans="1:5" s="226" customFormat="1" x14ac:dyDescent="0.2">
      <c r="B12" s="227">
        <f t="shared" ca="1" si="0"/>
        <v>6</v>
      </c>
      <c r="C12" s="228" t="s">
        <v>48</v>
      </c>
      <c r="D12" s="229" t="s">
        <v>280</v>
      </c>
      <c r="E12" s="230" t="s">
        <v>372</v>
      </c>
    </row>
    <row r="13" spans="1:5" s="226" customFormat="1" x14ac:dyDescent="0.2">
      <c r="B13" s="227">
        <f t="shared" ca="1" si="0"/>
        <v>7</v>
      </c>
      <c r="C13" s="228" t="s">
        <v>29</v>
      </c>
      <c r="D13" s="229" t="s">
        <v>286</v>
      </c>
      <c r="E13" s="230" t="s">
        <v>372</v>
      </c>
    </row>
    <row r="14" spans="1:5" s="226" customFormat="1" x14ac:dyDescent="0.2">
      <c r="B14" s="227">
        <f t="shared" ca="1" si="0"/>
        <v>8</v>
      </c>
      <c r="C14" s="228" t="s">
        <v>50</v>
      </c>
      <c r="D14" s="229" t="s">
        <v>287</v>
      </c>
      <c r="E14" s="230" t="s">
        <v>371</v>
      </c>
    </row>
    <row r="15" spans="1:5" s="226" customFormat="1" x14ac:dyDescent="0.2">
      <c r="B15" s="227">
        <f t="shared" ca="1" si="0"/>
        <v>9</v>
      </c>
      <c r="C15" s="228" t="s">
        <v>1</v>
      </c>
      <c r="D15" s="229" t="s">
        <v>283</v>
      </c>
      <c r="E15" s="230" t="s">
        <v>371</v>
      </c>
    </row>
    <row r="16" spans="1:5" s="226" customFormat="1" x14ac:dyDescent="0.2">
      <c r="B16" s="227">
        <f t="shared" ca="1" si="0"/>
        <v>10</v>
      </c>
      <c r="C16" s="228" t="s">
        <v>30</v>
      </c>
      <c r="D16" s="229" t="s">
        <v>285</v>
      </c>
      <c r="E16" s="230" t="s">
        <v>371</v>
      </c>
    </row>
    <row r="17" spans="2:5" s="226" customFormat="1" x14ac:dyDescent="0.2">
      <c r="B17" s="227">
        <f t="shared" ca="1" si="0"/>
        <v>11</v>
      </c>
      <c r="C17" s="228" t="s">
        <v>60</v>
      </c>
      <c r="D17" s="229" t="s">
        <v>284</v>
      </c>
      <c r="E17" s="230" t="s">
        <v>371</v>
      </c>
    </row>
    <row r="18" spans="2:5" s="226" customFormat="1" x14ac:dyDescent="0.2">
      <c r="B18" s="227">
        <f t="shared" ca="1" si="0"/>
        <v>12</v>
      </c>
      <c r="C18" s="228" t="s">
        <v>3</v>
      </c>
      <c r="D18" s="229" t="s">
        <v>292</v>
      </c>
      <c r="E18" s="230" t="s">
        <v>371</v>
      </c>
    </row>
    <row r="19" spans="2:5" s="226" customFormat="1" x14ac:dyDescent="0.2">
      <c r="B19" s="227">
        <f t="shared" ca="1" si="0"/>
        <v>13</v>
      </c>
      <c r="C19" s="228" t="s">
        <v>260</v>
      </c>
      <c r="D19" s="229" t="s">
        <v>282</v>
      </c>
      <c r="E19" s="230" t="s">
        <v>86</v>
      </c>
    </row>
    <row r="20" spans="2:5" s="226" customFormat="1" x14ac:dyDescent="0.2">
      <c r="B20" s="227">
        <f t="shared" ca="1" si="0"/>
        <v>14</v>
      </c>
      <c r="C20" s="228" t="s">
        <v>18</v>
      </c>
      <c r="D20" s="229" t="s">
        <v>86</v>
      </c>
      <c r="E20" s="230" t="s">
        <v>372</v>
      </c>
    </row>
    <row r="21" spans="2:5" s="226" customFormat="1" x14ac:dyDescent="0.2">
      <c r="B21" s="227">
        <f t="shared" ca="1" si="0"/>
        <v>15</v>
      </c>
      <c r="C21" s="228" t="s">
        <v>31</v>
      </c>
      <c r="D21" s="229" t="s">
        <v>289</v>
      </c>
      <c r="E21" s="230" t="s">
        <v>371</v>
      </c>
    </row>
    <row r="22" spans="2:5" s="226" customFormat="1" x14ac:dyDescent="0.2">
      <c r="B22" s="227">
        <f t="shared" ca="1" si="0"/>
        <v>16</v>
      </c>
      <c r="C22" s="228" t="s">
        <v>32</v>
      </c>
      <c r="D22" s="229" t="s">
        <v>290</v>
      </c>
      <c r="E22" s="230" t="s">
        <v>372</v>
      </c>
    </row>
    <row r="23" spans="2:5" s="226" customFormat="1" x14ac:dyDescent="0.2">
      <c r="B23" s="227">
        <f t="shared" ca="1" si="0"/>
        <v>17</v>
      </c>
      <c r="C23" s="228" t="s">
        <v>57</v>
      </c>
      <c r="D23" s="229" t="s">
        <v>296</v>
      </c>
      <c r="E23" s="230" t="s">
        <v>371</v>
      </c>
    </row>
    <row r="24" spans="2:5" s="226" customFormat="1" x14ac:dyDescent="0.2">
      <c r="B24" s="227">
        <f t="shared" ca="1" si="0"/>
        <v>18</v>
      </c>
      <c r="C24" s="228" t="s">
        <v>34</v>
      </c>
      <c r="D24" s="229" t="s">
        <v>294</v>
      </c>
      <c r="E24" s="230" t="s">
        <v>371</v>
      </c>
    </row>
    <row r="25" spans="2:5" s="226" customFormat="1" x14ac:dyDescent="0.2">
      <c r="B25" s="227">
        <f t="shared" ca="1" si="0"/>
        <v>19</v>
      </c>
      <c r="C25" s="228" t="s">
        <v>35</v>
      </c>
      <c r="D25" s="229" t="s">
        <v>293</v>
      </c>
      <c r="E25" s="230" t="s">
        <v>371</v>
      </c>
    </row>
    <row r="26" spans="2:5" s="226" customFormat="1" x14ac:dyDescent="0.2">
      <c r="B26" s="227">
        <f t="shared" ca="1" si="0"/>
        <v>20</v>
      </c>
      <c r="C26" s="228" t="s">
        <v>36</v>
      </c>
      <c r="D26" s="229" t="s">
        <v>297</v>
      </c>
      <c r="E26" s="230" t="s">
        <v>371</v>
      </c>
    </row>
    <row r="27" spans="2:5" s="226" customFormat="1" x14ac:dyDescent="0.2">
      <c r="B27" s="227">
        <f t="shared" ca="1" si="0"/>
        <v>21</v>
      </c>
      <c r="C27" s="228" t="s">
        <v>11</v>
      </c>
      <c r="D27" s="229" t="s">
        <v>298</v>
      </c>
      <c r="E27" s="230" t="s">
        <v>372</v>
      </c>
    </row>
    <row r="28" spans="2:5" s="226" customFormat="1" x14ac:dyDescent="0.2">
      <c r="B28" s="227">
        <f t="shared" ca="1" si="0"/>
        <v>22</v>
      </c>
      <c r="C28" s="228" t="s">
        <v>51</v>
      </c>
      <c r="D28" s="229" t="s">
        <v>299</v>
      </c>
      <c r="E28" s="230" t="s">
        <v>372</v>
      </c>
    </row>
    <row r="29" spans="2:5" s="226" customFormat="1" x14ac:dyDescent="0.2">
      <c r="B29" s="227">
        <f t="shared" ca="1" si="0"/>
        <v>23</v>
      </c>
      <c r="C29" s="228" t="s">
        <v>261</v>
      </c>
      <c r="D29" s="229" t="s">
        <v>301</v>
      </c>
      <c r="E29" s="230" t="s">
        <v>371</v>
      </c>
    </row>
    <row r="30" spans="2:5" s="226" customFormat="1" x14ac:dyDescent="0.2">
      <c r="B30" s="227">
        <f t="shared" ca="1" si="0"/>
        <v>24</v>
      </c>
      <c r="C30" s="228" t="s">
        <v>39</v>
      </c>
      <c r="D30" s="229" t="s">
        <v>302</v>
      </c>
      <c r="E30" s="230" t="s">
        <v>86</v>
      </c>
    </row>
    <row r="31" spans="2:5" s="226" customFormat="1" x14ac:dyDescent="0.2">
      <c r="B31" s="227">
        <f t="shared" ca="1" si="0"/>
        <v>25</v>
      </c>
      <c r="C31" s="228" t="s">
        <v>20</v>
      </c>
      <c r="D31" s="229" t="s">
        <v>303</v>
      </c>
      <c r="E31" s="230" t="s">
        <v>371</v>
      </c>
    </row>
    <row r="32" spans="2:5" s="226" customFormat="1" x14ac:dyDescent="0.2">
      <c r="B32" s="227">
        <f t="shared" ca="1" si="0"/>
        <v>26</v>
      </c>
      <c r="C32" s="228" t="s">
        <v>254</v>
      </c>
      <c r="D32" s="229" t="s">
        <v>331</v>
      </c>
      <c r="E32" s="230" t="s">
        <v>371</v>
      </c>
    </row>
    <row r="33" spans="2:5" s="226" customFormat="1" x14ac:dyDescent="0.2">
      <c r="B33" s="227">
        <f t="shared" ca="1" si="0"/>
        <v>27</v>
      </c>
      <c r="C33" s="228" t="s">
        <v>12</v>
      </c>
      <c r="D33" s="229" t="s">
        <v>309</v>
      </c>
      <c r="E33" s="230" t="s">
        <v>86</v>
      </c>
    </row>
    <row r="34" spans="2:5" s="226" customFormat="1" x14ac:dyDescent="0.2">
      <c r="B34" s="227">
        <f t="shared" ca="1" si="0"/>
        <v>28</v>
      </c>
      <c r="C34" s="228" t="s">
        <v>74</v>
      </c>
      <c r="D34" s="229" t="s">
        <v>310</v>
      </c>
      <c r="E34" s="230" t="s">
        <v>372</v>
      </c>
    </row>
    <row r="35" spans="2:5" s="226" customFormat="1" x14ac:dyDescent="0.2">
      <c r="B35" s="227">
        <f t="shared" ca="1" si="0"/>
        <v>29</v>
      </c>
      <c r="C35" s="228" t="s">
        <v>370</v>
      </c>
      <c r="D35" s="229" t="s">
        <v>369</v>
      </c>
      <c r="E35" s="230" t="s">
        <v>372</v>
      </c>
    </row>
    <row r="36" spans="2:5" s="226" customFormat="1" x14ac:dyDescent="0.2">
      <c r="B36" s="227">
        <f t="shared" ca="1" si="0"/>
        <v>30</v>
      </c>
      <c r="C36" s="228" t="s">
        <v>40</v>
      </c>
      <c r="D36" s="229" t="s">
        <v>311</v>
      </c>
      <c r="E36" s="230" t="s">
        <v>372</v>
      </c>
    </row>
    <row r="37" spans="2:5" s="226" customFormat="1" x14ac:dyDescent="0.2">
      <c r="B37" s="227">
        <f t="shared" ca="1" si="0"/>
        <v>31</v>
      </c>
      <c r="C37" s="228" t="s">
        <v>513</v>
      </c>
      <c r="D37" s="229" t="s">
        <v>512</v>
      </c>
      <c r="E37" s="230" t="s">
        <v>371</v>
      </c>
    </row>
    <row r="38" spans="2:5" s="226" customFormat="1" x14ac:dyDescent="0.2">
      <c r="B38" s="227">
        <f t="shared" ca="1" si="0"/>
        <v>32</v>
      </c>
      <c r="C38" s="228" t="s">
        <v>66</v>
      </c>
      <c r="D38" s="229" t="s">
        <v>315</v>
      </c>
      <c r="E38" s="230" t="s">
        <v>371</v>
      </c>
    </row>
    <row r="39" spans="2:5" s="226" customFormat="1" x14ac:dyDescent="0.2">
      <c r="B39" s="227">
        <f t="shared" ca="1" si="0"/>
        <v>33</v>
      </c>
      <c r="C39" s="228" t="s">
        <v>6</v>
      </c>
      <c r="D39" s="229" t="s">
        <v>313</v>
      </c>
      <c r="E39" s="230" t="s">
        <v>371</v>
      </c>
    </row>
    <row r="40" spans="2:5" s="226" customFormat="1" x14ac:dyDescent="0.2">
      <c r="B40" s="227">
        <f t="shared" ca="1" si="0"/>
        <v>34</v>
      </c>
      <c r="C40" s="228" t="s">
        <v>266</v>
      </c>
      <c r="D40" s="229" t="s">
        <v>314</v>
      </c>
      <c r="E40" s="230" t="s">
        <v>371</v>
      </c>
    </row>
    <row r="41" spans="2:5" s="226" customFormat="1" x14ac:dyDescent="0.2">
      <c r="B41" s="227">
        <f t="shared" ca="1" si="0"/>
        <v>35</v>
      </c>
      <c r="C41" s="228" t="s">
        <v>21</v>
      </c>
      <c r="D41" s="229" t="s">
        <v>316</v>
      </c>
      <c r="E41" s="230" t="s">
        <v>372</v>
      </c>
    </row>
    <row r="42" spans="2:5" s="226" customFormat="1" x14ac:dyDescent="0.2">
      <c r="B42" s="227">
        <f t="shared" ca="1" si="0"/>
        <v>36</v>
      </c>
      <c r="C42" s="228" t="s">
        <v>22</v>
      </c>
      <c r="D42" s="229" t="s">
        <v>317</v>
      </c>
      <c r="E42" s="230" t="s">
        <v>372</v>
      </c>
    </row>
    <row r="43" spans="2:5" s="226" customFormat="1" x14ac:dyDescent="0.2">
      <c r="B43" s="227">
        <f t="shared" ca="1" si="0"/>
        <v>37</v>
      </c>
      <c r="C43" s="228" t="s">
        <v>23</v>
      </c>
      <c r="D43" s="229" t="s">
        <v>323</v>
      </c>
      <c r="E43" s="230" t="s">
        <v>372</v>
      </c>
    </row>
    <row r="44" spans="2:5" s="226" customFormat="1" x14ac:dyDescent="0.2">
      <c r="B44" s="227">
        <f t="shared" ca="1" si="0"/>
        <v>38</v>
      </c>
      <c r="C44" s="228" t="s">
        <v>53</v>
      </c>
      <c r="D44" s="229" t="s">
        <v>318</v>
      </c>
      <c r="E44" s="230" t="s">
        <v>371</v>
      </c>
    </row>
    <row r="45" spans="2:5" s="226" customFormat="1" x14ac:dyDescent="0.2">
      <c r="B45" s="227">
        <f t="shared" ca="1" si="0"/>
        <v>39</v>
      </c>
      <c r="C45" s="228" t="s">
        <v>41</v>
      </c>
      <c r="D45" s="229" t="s">
        <v>322</v>
      </c>
      <c r="E45" s="230" t="s">
        <v>371</v>
      </c>
    </row>
    <row r="46" spans="2:5" s="226" customFormat="1" x14ac:dyDescent="0.2">
      <c r="B46" s="227">
        <f t="shared" ca="1" si="0"/>
        <v>40</v>
      </c>
      <c r="C46" s="228" t="s">
        <v>42</v>
      </c>
      <c r="D46" s="229" t="s">
        <v>321</v>
      </c>
      <c r="E46" s="230" t="s">
        <v>371</v>
      </c>
    </row>
    <row r="47" spans="2:5" s="226" customFormat="1" x14ac:dyDescent="0.2">
      <c r="B47" s="227">
        <f t="shared" ca="1" si="0"/>
        <v>41</v>
      </c>
      <c r="C47" s="228" t="s">
        <v>24</v>
      </c>
      <c r="D47" s="229" t="s">
        <v>324</v>
      </c>
      <c r="E47" s="230" t="s">
        <v>371</v>
      </c>
    </row>
    <row r="48" spans="2:5" s="226" customFormat="1" x14ac:dyDescent="0.2">
      <c r="B48" s="227">
        <f t="shared" ca="1" si="0"/>
        <v>42</v>
      </c>
      <c r="C48" s="228" t="s">
        <v>43</v>
      </c>
      <c r="D48" s="229" t="s">
        <v>325</v>
      </c>
      <c r="E48" s="230" t="s">
        <v>372</v>
      </c>
    </row>
    <row r="49" spans="2:5" s="226" customFormat="1" x14ac:dyDescent="0.2">
      <c r="B49" s="227">
        <f t="shared" ca="1" si="0"/>
        <v>43</v>
      </c>
      <c r="C49" s="228" t="s">
        <v>257</v>
      </c>
      <c r="D49" s="229" t="s">
        <v>320</v>
      </c>
      <c r="E49" s="230" t="s">
        <v>371</v>
      </c>
    </row>
    <row r="50" spans="2:5" s="226" customFormat="1" x14ac:dyDescent="0.2">
      <c r="B50" s="227">
        <f t="shared" ca="1" si="0"/>
        <v>44</v>
      </c>
      <c r="C50" s="228" t="s">
        <v>45</v>
      </c>
      <c r="D50" s="229" t="s">
        <v>319</v>
      </c>
      <c r="E50" s="230" t="s">
        <v>372</v>
      </c>
    </row>
    <row r="51" spans="2:5" s="226" customFormat="1" x14ac:dyDescent="0.2">
      <c r="B51" s="227">
        <f t="shared" ca="1" si="0"/>
        <v>45</v>
      </c>
      <c r="C51" s="228" t="s">
        <v>13</v>
      </c>
      <c r="D51" s="229" t="s">
        <v>327</v>
      </c>
      <c r="E51" s="230" t="s">
        <v>372</v>
      </c>
    </row>
    <row r="52" spans="2:5" s="226" customFormat="1" x14ac:dyDescent="0.2">
      <c r="B52" s="227">
        <f t="shared" ca="1" si="0"/>
        <v>46</v>
      </c>
      <c r="C52" s="228" t="s">
        <v>25</v>
      </c>
      <c r="D52" s="229" t="s">
        <v>329</v>
      </c>
      <c r="E52" s="230" t="s">
        <v>372</v>
      </c>
    </row>
    <row r="53" spans="2:5" s="226" customFormat="1" x14ac:dyDescent="0.2">
      <c r="B53" s="227">
        <f t="shared" ca="1" si="0"/>
        <v>47</v>
      </c>
      <c r="C53" s="228" t="s">
        <v>7</v>
      </c>
      <c r="D53" s="229" t="s">
        <v>328</v>
      </c>
      <c r="E53" s="230" t="s">
        <v>371</v>
      </c>
    </row>
    <row r="54" spans="2:5" s="226" customFormat="1" x14ac:dyDescent="0.2">
      <c r="B54" s="227">
        <f t="shared" ca="1" si="0"/>
        <v>48</v>
      </c>
      <c r="C54" s="228" t="s">
        <v>62</v>
      </c>
      <c r="D54" s="229" t="s">
        <v>330</v>
      </c>
      <c r="E54" s="230" t="s">
        <v>371</v>
      </c>
    </row>
    <row r="55" spans="2:5" s="226" customFormat="1" x14ac:dyDescent="0.2">
      <c r="B55" s="227">
        <f t="shared" ca="1" si="0"/>
        <v>49</v>
      </c>
      <c r="C55" s="228" t="s">
        <v>75</v>
      </c>
      <c r="D55" s="229" t="s">
        <v>332</v>
      </c>
      <c r="E55" s="230" t="s">
        <v>371</v>
      </c>
    </row>
    <row r="56" spans="2:5" s="226" customFormat="1" x14ac:dyDescent="0.2">
      <c r="B56" s="227">
        <f t="shared" ca="1" si="0"/>
        <v>50</v>
      </c>
      <c r="C56" s="228" t="s">
        <v>76</v>
      </c>
      <c r="D56" s="229" t="s">
        <v>334</v>
      </c>
      <c r="E56" s="230" t="s">
        <v>371</v>
      </c>
    </row>
    <row r="57" spans="2:5" s="226" customFormat="1" x14ac:dyDescent="0.2">
      <c r="B57" s="227">
        <f t="shared" ca="1" si="0"/>
        <v>51</v>
      </c>
      <c r="C57" s="228" t="s">
        <v>428</v>
      </c>
      <c r="D57" s="229" t="s">
        <v>333</v>
      </c>
      <c r="E57" s="230" t="s">
        <v>371</v>
      </c>
    </row>
    <row r="58" spans="2:5" s="226" customFormat="1" x14ac:dyDescent="0.2">
      <c r="B58" s="227">
        <f t="shared" ca="1" si="0"/>
        <v>52</v>
      </c>
      <c r="C58" s="228" t="s">
        <v>14</v>
      </c>
      <c r="D58" s="229" t="s">
        <v>335</v>
      </c>
      <c r="E58" s="230" t="s">
        <v>371</v>
      </c>
    </row>
    <row r="59" spans="2:5" s="226" customFormat="1" x14ac:dyDescent="0.2">
      <c r="B59" s="227">
        <f t="shared" ca="1" si="0"/>
        <v>53</v>
      </c>
      <c r="C59" s="228" t="s">
        <v>59</v>
      </c>
      <c r="D59" s="229" t="s">
        <v>337</v>
      </c>
      <c r="E59" s="230" t="s">
        <v>371</v>
      </c>
    </row>
    <row r="60" spans="2:5" s="226" customFormat="1" x14ac:dyDescent="0.2">
      <c r="B60" s="227">
        <f t="shared" ca="1" si="0"/>
        <v>54</v>
      </c>
      <c r="C60" s="228" t="s">
        <v>26</v>
      </c>
      <c r="D60" s="229" t="s">
        <v>336</v>
      </c>
      <c r="E60" s="230" t="s">
        <v>371</v>
      </c>
    </row>
    <row r="61" spans="2:5" s="226" customFormat="1" x14ac:dyDescent="0.2">
      <c r="B61" s="227">
        <f t="shared" ca="1" si="0"/>
        <v>55</v>
      </c>
      <c r="C61" s="228" t="s">
        <v>258</v>
      </c>
      <c r="D61" s="229" t="s">
        <v>338</v>
      </c>
      <c r="E61" s="230" t="s">
        <v>371</v>
      </c>
    </row>
    <row r="62" spans="2:5" s="226" customFormat="1" x14ac:dyDescent="0.2">
      <c r="B62" s="227"/>
      <c r="C62" s="228"/>
      <c r="D62" s="229"/>
      <c r="E62" s="230"/>
    </row>
    <row r="63" spans="2:5" s="226" customFormat="1" x14ac:dyDescent="0.2">
      <c r="B63" s="227">
        <f t="shared" ca="1" si="0"/>
        <v>1</v>
      </c>
      <c r="C63" s="228" t="s">
        <v>19</v>
      </c>
      <c r="D63" s="229" t="s">
        <v>444</v>
      </c>
      <c r="E63" s="230" t="s">
        <v>371</v>
      </c>
    </row>
    <row r="64" spans="2:5" s="226" customFormat="1" x14ac:dyDescent="0.2">
      <c r="B64" s="227">
        <f t="shared" ca="1" si="0"/>
        <v>2</v>
      </c>
      <c r="C64" s="228" t="s">
        <v>64</v>
      </c>
      <c r="D64" s="229" t="s">
        <v>443</v>
      </c>
      <c r="E64" s="230" t="s">
        <v>371</v>
      </c>
    </row>
    <row r="65" spans="2:5" s="226" customFormat="1" x14ac:dyDescent="0.2">
      <c r="B65" s="227">
        <f t="shared" ca="1" si="0"/>
        <v>3</v>
      </c>
      <c r="C65" s="228" t="s">
        <v>249</v>
      </c>
      <c r="D65" s="229" t="s">
        <v>445</v>
      </c>
      <c r="E65" s="230" t="s">
        <v>86</v>
      </c>
    </row>
    <row r="66" spans="2:5" s="226" customFormat="1" x14ac:dyDescent="0.2">
      <c r="B66" s="227">
        <f t="shared" ca="1" si="0"/>
        <v>4</v>
      </c>
      <c r="C66" s="228" t="s">
        <v>58</v>
      </c>
      <c r="D66" s="229" t="s">
        <v>446</v>
      </c>
      <c r="E66" s="230" t="s">
        <v>371</v>
      </c>
    </row>
    <row r="67" spans="2:5" s="226" customFormat="1" x14ac:dyDescent="0.2">
      <c r="B67" s="227">
        <f t="shared" ca="1" si="0"/>
        <v>5</v>
      </c>
      <c r="C67" s="228" t="s">
        <v>52</v>
      </c>
      <c r="D67" s="229" t="s">
        <v>447</v>
      </c>
      <c r="E67" s="230" t="s">
        <v>372</v>
      </c>
    </row>
    <row r="68" spans="2:5" s="226" customFormat="1" x14ac:dyDescent="0.2">
      <c r="B68" s="227">
        <f t="shared" ca="1" si="0"/>
        <v>6</v>
      </c>
      <c r="C68" s="228" t="s">
        <v>54</v>
      </c>
      <c r="D68" s="229" t="s">
        <v>449</v>
      </c>
      <c r="E68" s="230" t="s">
        <v>371</v>
      </c>
    </row>
    <row r="69" spans="2:5" s="226" customFormat="1" x14ac:dyDescent="0.2">
      <c r="B69" s="227"/>
      <c r="C69" s="228"/>
      <c r="D69" s="229"/>
      <c r="E69" s="230"/>
    </row>
    <row r="70" spans="2:5" s="226" customFormat="1" x14ac:dyDescent="0.2">
      <c r="B70" s="227"/>
      <c r="C70" s="228"/>
      <c r="D70" s="229"/>
      <c r="E70" s="230"/>
    </row>
  </sheetData>
  <pageMargins left="0.21" right="0.75" top="0.27" bottom="0.28999999999999998" header="0.2" footer="0.21"/>
  <pageSetup scale="85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70"/>
  <sheetViews>
    <sheetView showGridLines="0" zoomScale="70" zoomScaleNormal="70" workbookViewId="0">
      <pane xSplit="4" ySplit="5" topLeftCell="E6" activePane="bottomRight" state="frozen"/>
      <selection activeCell="E4" sqref="E4"/>
      <selection pane="topRight" activeCell="E4" sqref="E4"/>
      <selection pane="bottomLeft" activeCell="E4" sqref="E4"/>
      <selection pane="bottomRight" activeCell="E6" sqref="E6"/>
    </sheetView>
  </sheetViews>
  <sheetFormatPr defaultColWidth="9.140625" defaultRowHeight="12.75" x14ac:dyDescent="0.2"/>
  <cols>
    <col min="1" max="1" width="2.7109375" style="218" customWidth="1"/>
    <col min="2" max="2" width="4.7109375" style="218" customWidth="1"/>
    <col min="3" max="3" width="42.85546875" style="218" customWidth="1"/>
    <col min="4" max="4" width="9.7109375" style="217" customWidth="1"/>
    <col min="5" max="5" width="14" style="217" customWidth="1"/>
    <col min="6" max="16384" width="9.140625" style="218"/>
  </cols>
  <sheetData>
    <row r="1" spans="1:5" s="214" customFormat="1" ht="18.75" x14ac:dyDescent="0.2">
      <c r="A1" s="214" t="s">
        <v>433</v>
      </c>
      <c r="C1" s="215"/>
      <c r="D1" s="216"/>
      <c r="E1" s="217"/>
    </row>
    <row r="2" spans="1:5" s="214" customFormat="1" x14ac:dyDescent="0.2">
      <c r="C2" s="218"/>
      <c r="D2" s="216"/>
      <c r="E2" s="217"/>
    </row>
    <row r="3" spans="1:5" x14ac:dyDescent="0.2">
      <c r="E3" s="231">
        <v>40543</v>
      </c>
    </row>
    <row r="4" spans="1:5" x14ac:dyDescent="0.2">
      <c r="C4" s="214"/>
      <c r="D4" s="216"/>
    </row>
    <row r="5" spans="1:5" s="219" customFormat="1" ht="25.5" x14ac:dyDescent="0.2">
      <c r="C5" s="220" t="s">
        <v>0</v>
      </c>
      <c r="D5" s="221" t="s">
        <v>434</v>
      </c>
      <c r="E5" s="222" t="s">
        <v>435</v>
      </c>
    </row>
    <row r="6" spans="1:5" x14ac:dyDescent="0.2">
      <c r="C6" s="223"/>
      <c r="D6" s="224"/>
      <c r="E6" s="225"/>
    </row>
    <row r="7" spans="1:5" s="226" customFormat="1" x14ac:dyDescent="0.2">
      <c r="B7" s="227">
        <f t="shared" ref="B7:B68" ca="1" si="0">OFFSET( B7, -1, 0 ) + 1</f>
        <v>1</v>
      </c>
      <c r="C7" s="228" t="s">
        <v>15</v>
      </c>
      <c r="D7" s="229" t="s">
        <v>277</v>
      </c>
      <c r="E7" s="230" t="s">
        <v>371</v>
      </c>
    </row>
    <row r="8" spans="1:5" s="226" customFormat="1" x14ac:dyDescent="0.2">
      <c r="B8" s="227">
        <f t="shared" ca="1" si="0"/>
        <v>2</v>
      </c>
      <c r="C8" s="228" t="s">
        <v>17</v>
      </c>
      <c r="D8" s="229" t="s">
        <v>307</v>
      </c>
      <c r="E8" s="230" t="s">
        <v>371</v>
      </c>
    </row>
    <row r="9" spans="1:5" s="226" customFormat="1" x14ac:dyDescent="0.2">
      <c r="B9" s="227">
        <f t="shared" ca="1" si="0"/>
        <v>3</v>
      </c>
      <c r="C9" s="228" t="s">
        <v>9</v>
      </c>
      <c r="D9" s="229" t="s">
        <v>274</v>
      </c>
      <c r="E9" s="230" t="s">
        <v>371</v>
      </c>
    </row>
    <row r="10" spans="1:5" s="226" customFormat="1" x14ac:dyDescent="0.2">
      <c r="B10" s="227">
        <f t="shared" ca="1" si="0"/>
        <v>4</v>
      </c>
      <c r="C10" s="228" t="s">
        <v>259</v>
      </c>
      <c r="D10" s="229" t="s">
        <v>275</v>
      </c>
      <c r="E10" s="230" t="s">
        <v>371</v>
      </c>
    </row>
    <row r="11" spans="1:5" s="226" customFormat="1" x14ac:dyDescent="0.2">
      <c r="B11" s="227">
        <f t="shared" ca="1" si="0"/>
        <v>5</v>
      </c>
      <c r="C11" s="228" t="s">
        <v>55</v>
      </c>
      <c r="D11" s="229" t="s">
        <v>278</v>
      </c>
      <c r="E11" s="230" t="s">
        <v>371</v>
      </c>
    </row>
    <row r="12" spans="1:5" s="226" customFormat="1" x14ac:dyDescent="0.2">
      <c r="B12" s="227">
        <f t="shared" ca="1" si="0"/>
        <v>6</v>
      </c>
      <c r="C12" s="228" t="s">
        <v>48</v>
      </c>
      <c r="D12" s="229" t="s">
        <v>280</v>
      </c>
      <c r="E12" s="230" t="s">
        <v>372</v>
      </c>
    </row>
    <row r="13" spans="1:5" s="226" customFormat="1" x14ac:dyDescent="0.2">
      <c r="B13" s="227">
        <f t="shared" ca="1" si="0"/>
        <v>7</v>
      </c>
      <c r="C13" s="228" t="s">
        <v>29</v>
      </c>
      <c r="D13" s="229" t="s">
        <v>286</v>
      </c>
      <c r="E13" s="230" t="s">
        <v>372</v>
      </c>
    </row>
    <row r="14" spans="1:5" s="226" customFormat="1" x14ac:dyDescent="0.2">
      <c r="B14" s="227">
        <f t="shared" ca="1" si="0"/>
        <v>8</v>
      </c>
      <c r="C14" s="228" t="s">
        <v>50</v>
      </c>
      <c r="D14" s="229" t="s">
        <v>287</v>
      </c>
      <c r="E14" s="230" t="s">
        <v>371</v>
      </c>
    </row>
    <row r="15" spans="1:5" s="226" customFormat="1" x14ac:dyDescent="0.2">
      <c r="B15" s="227">
        <f t="shared" ca="1" si="0"/>
        <v>9</v>
      </c>
      <c r="C15" s="228" t="s">
        <v>1</v>
      </c>
      <c r="D15" s="229" t="s">
        <v>283</v>
      </c>
      <c r="E15" s="230" t="s">
        <v>371</v>
      </c>
    </row>
    <row r="16" spans="1:5" s="226" customFormat="1" x14ac:dyDescent="0.2">
      <c r="B16" s="227">
        <f t="shared" ca="1" si="0"/>
        <v>10</v>
      </c>
      <c r="C16" s="228" t="s">
        <v>30</v>
      </c>
      <c r="D16" s="229" t="s">
        <v>285</v>
      </c>
      <c r="E16" s="230" t="s">
        <v>371</v>
      </c>
    </row>
    <row r="17" spans="2:5" s="226" customFormat="1" x14ac:dyDescent="0.2">
      <c r="B17" s="227">
        <f t="shared" ca="1" si="0"/>
        <v>11</v>
      </c>
      <c r="C17" s="228" t="s">
        <v>60</v>
      </c>
      <c r="D17" s="229" t="s">
        <v>284</v>
      </c>
      <c r="E17" s="230" t="s">
        <v>371</v>
      </c>
    </row>
    <row r="18" spans="2:5" s="226" customFormat="1" x14ac:dyDescent="0.2">
      <c r="B18" s="227">
        <f t="shared" ca="1" si="0"/>
        <v>12</v>
      </c>
      <c r="C18" s="228" t="s">
        <v>3</v>
      </c>
      <c r="D18" s="229" t="s">
        <v>292</v>
      </c>
      <c r="E18" s="230" t="s">
        <v>371</v>
      </c>
    </row>
    <row r="19" spans="2:5" s="226" customFormat="1" x14ac:dyDescent="0.2">
      <c r="B19" s="227">
        <f t="shared" ca="1" si="0"/>
        <v>13</v>
      </c>
      <c r="C19" s="228" t="s">
        <v>260</v>
      </c>
      <c r="D19" s="229" t="s">
        <v>282</v>
      </c>
      <c r="E19" s="230" t="s">
        <v>86</v>
      </c>
    </row>
    <row r="20" spans="2:5" s="226" customFormat="1" x14ac:dyDescent="0.2">
      <c r="B20" s="227">
        <f t="shared" ca="1" si="0"/>
        <v>14</v>
      </c>
      <c r="C20" s="228" t="s">
        <v>18</v>
      </c>
      <c r="D20" s="229" t="s">
        <v>86</v>
      </c>
      <c r="E20" s="230" t="s">
        <v>372</v>
      </c>
    </row>
    <row r="21" spans="2:5" s="226" customFormat="1" x14ac:dyDescent="0.2">
      <c r="B21" s="227">
        <f t="shared" ca="1" si="0"/>
        <v>15</v>
      </c>
      <c r="C21" s="228" t="s">
        <v>31</v>
      </c>
      <c r="D21" s="229" t="s">
        <v>289</v>
      </c>
      <c r="E21" s="230" t="s">
        <v>371</v>
      </c>
    </row>
    <row r="22" spans="2:5" s="226" customFormat="1" x14ac:dyDescent="0.2">
      <c r="B22" s="227">
        <f t="shared" ca="1" si="0"/>
        <v>16</v>
      </c>
      <c r="C22" s="228" t="s">
        <v>32</v>
      </c>
      <c r="D22" s="229" t="s">
        <v>290</v>
      </c>
      <c r="E22" s="230" t="s">
        <v>372</v>
      </c>
    </row>
    <row r="23" spans="2:5" s="226" customFormat="1" x14ac:dyDescent="0.2">
      <c r="B23" s="227">
        <f t="shared" ca="1" si="0"/>
        <v>17</v>
      </c>
      <c r="C23" s="228" t="s">
        <v>57</v>
      </c>
      <c r="D23" s="229" t="s">
        <v>296</v>
      </c>
      <c r="E23" s="230" t="s">
        <v>372</v>
      </c>
    </row>
    <row r="24" spans="2:5" s="226" customFormat="1" x14ac:dyDescent="0.2">
      <c r="B24" s="227">
        <f t="shared" ca="1" si="0"/>
        <v>18</v>
      </c>
      <c r="C24" s="228" t="s">
        <v>34</v>
      </c>
      <c r="D24" s="229" t="s">
        <v>294</v>
      </c>
      <c r="E24" s="230" t="s">
        <v>371</v>
      </c>
    </row>
    <row r="25" spans="2:5" s="226" customFormat="1" x14ac:dyDescent="0.2">
      <c r="B25" s="227">
        <f t="shared" ca="1" si="0"/>
        <v>19</v>
      </c>
      <c r="C25" s="228" t="s">
        <v>35</v>
      </c>
      <c r="D25" s="229" t="s">
        <v>293</v>
      </c>
      <c r="E25" s="230" t="s">
        <v>371</v>
      </c>
    </row>
    <row r="26" spans="2:5" s="226" customFormat="1" x14ac:dyDescent="0.2">
      <c r="B26" s="227">
        <f t="shared" ca="1" si="0"/>
        <v>20</v>
      </c>
      <c r="C26" s="228" t="s">
        <v>36</v>
      </c>
      <c r="D26" s="229" t="s">
        <v>297</v>
      </c>
      <c r="E26" s="230" t="s">
        <v>371</v>
      </c>
    </row>
    <row r="27" spans="2:5" s="226" customFormat="1" x14ac:dyDescent="0.2">
      <c r="B27" s="227">
        <f t="shared" ca="1" si="0"/>
        <v>21</v>
      </c>
      <c r="C27" s="228" t="s">
        <v>11</v>
      </c>
      <c r="D27" s="229" t="s">
        <v>298</v>
      </c>
      <c r="E27" s="230" t="s">
        <v>372</v>
      </c>
    </row>
    <row r="28" spans="2:5" s="226" customFormat="1" x14ac:dyDescent="0.2">
      <c r="B28" s="227">
        <f t="shared" ca="1" si="0"/>
        <v>22</v>
      </c>
      <c r="C28" s="228" t="s">
        <v>51</v>
      </c>
      <c r="D28" s="229" t="s">
        <v>299</v>
      </c>
      <c r="E28" s="230" t="s">
        <v>372</v>
      </c>
    </row>
    <row r="29" spans="2:5" s="226" customFormat="1" x14ac:dyDescent="0.2">
      <c r="B29" s="227">
        <f t="shared" ca="1" si="0"/>
        <v>23</v>
      </c>
      <c r="C29" s="228" t="s">
        <v>261</v>
      </c>
      <c r="D29" s="229" t="s">
        <v>301</v>
      </c>
      <c r="E29" s="230" t="s">
        <v>371</v>
      </c>
    </row>
    <row r="30" spans="2:5" s="226" customFormat="1" x14ac:dyDescent="0.2">
      <c r="B30" s="227">
        <f t="shared" ca="1" si="0"/>
        <v>24</v>
      </c>
      <c r="C30" s="228" t="s">
        <v>39</v>
      </c>
      <c r="D30" s="229" t="s">
        <v>302</v>
      </c>
      <c r="E30" s="230" t="s">
        <v>86</v>
      </c>
    </row>
    <row r="31" spans="2:5" s="226" customFormat="1" x14ac:dyDescent="0.2">
      <c r="B31" s="227">
        <f t="shared" ca="1" si="0"/>
        <v>25</v>
      </c>
      <c r="C31" s="228" t="s">
        <v>20</v>
      </c>
      <c r="D31" s="229" t="s">
        <v>303</v>
      </c>
      <c r="E31" s="230" t="s">
        <v>371</v>
      </c>
    </row>
    <row r="32" spans="2:5" s="226" customFormat="1" x14ac:dyDescent="0.2">
      <c r="B32" s="227">
        <f t="shared" ca="1" si="0"/>
        <v>26</v>
      </c>
      <c r="C32" s="228" t="s">
        <v>254</v>
      </c>
      <c r="D32" s="229" t="s">
        <v>331</v>
      </c>
      <c r="E32" s="230" t="s">
        <v>371</v>
      </c>
    </row>
    <row r="33" spans="2:5" s="226" customFormat="1" x14ac:dyDescent="0.2">
      <c r="B33" s="227">
        <f t="shared" ca="1" si="0"/>
        <v>27</v>
      </c>
      <c r="C33" s="228" t="s">
        <v>12</v>
      </c>
      <c r="D33" s="229" t="s">
        <v>309</v>
      </c>
      <c r="E33" s="230" t="s">
        <v>86</v>
      </c>
    </row>
    <row r="34" spans="2:5" s="226" customFormat="1" x14ac:dyDescent="0.2">
      <c r="B34" s="227">
        <f t="shared" ca="1" si="0"/>
        <v>28</v>
      </c>
      <c r="C34" s="228" t="s">
        <v>74</v>
      </c>
      <c r="D34" s="229" t="s">
        <v>310</v>
      </c>
      <c r="E34" s="230" t="s">
        <v>372</v>
      </c>
    </row>
    <row r="35" spans="2:5" s="226" customFormat="1" x14ac:dyDescent="0.2">
      <c r="B35" s="227">
        <f t="shared" ca="1" si="0"/>
        <v>29</v>
      </c>
      <c r="C35" s="228" t="s">
        <v>370</v>
      </c>
      <c r="D35" s="229" t="s">
        <v>369</v>
      </c>
      <c r="E35" s="230" t="s">
        <v>372</v>
      </c>
    </row>
    <row r="36" spans="2:5" s="226" customFormat="1" x14ac:dyDescent="0.2">
      <c r="B36" s="227">
        <f t="shared" ca="1" si="0"/>
        <v>30</v>
      </c>
      <c r="C36" s="228" t="s">
        <v>40</v>
      </c>
      <c r="D36" s="229" t="s">
        <v>311</v>
      </c>
      <c r="E36" s="230" t="s">
        <v>372</v>
      </c>
    </row>
    <row r="37" spans="2:5" s="226" customFormat="1" x14ac:dyDescent="0.2">
      <c r="B37" s="227">
        <f t="shared" ca="1" si="0"/>
        <v>31</v>
      </c>
      <c r="C37" s="228" t="s">
        <v>513</v>
      </c>
      <c r="D37" s="229" t="s">
        <v>512</v>
      </c>
      <c r="E37" s="230" t="s">
        <v>371</v>
      </c>
    </row>
    <row r="38" spans="2:5" s="226" customFormat="1" x14ac:dyDescent="0.2">
      <c r="B38" s="227">
        <f t="shared" ca="1" si="0"/>
        <v>32</v>
      </c>
      <c r="C38" s="228" t="s">
        <v>66</v>
      </c>
      <c r="D38" s="229" t="s">
        <v>315</v>
      </c>
      <c r="E38" s="230" t="s">
        <v>371</v>
      </c>
    </row>
    <row r="39" spans="2:5" s="226" customFormat="1" x14ac:dyDescent="0.2">
      <c r="B39" s="227">
        <f t="shared" ca="1" si="0"/>
        <v>33</v>
      </c>
      <c r="C39" s="228" t="s">
        <v>6</v>
      </c>
      <c r="D39" s="229" t="s">
        <v>313</v>
      </c>
      <c r="E39" s="230" t="s">
        <v>371</v>
      </c>
    </row>
    <row r="40" spans="2:5" s="226" customFormat="1" x14ac:dyDescent="0.2">
      <c r="B40" s="227">
        <f t="shared" ca="1" si="0"/>
        <v>34</v>
      </c>
      <c r="C40" s="228" t="s">
        <v>266</v>
      </c>
      <c r="D40" s="229" t="s">
        <v>314</v>
      </c>
      <c r="E40" s="230" t="s">
        <v>371</v>
      </c>
    </row>
    <row r="41" spans="2:5" s="226" customFormat="1" x14ac:dyDescent="0.2">
      <c r="B41" s="227">
        <f t="shared" ca="1" si="0"/>
        <v>35</v>
      </c>
      <c r="C41" s="228" t="s">
        <v>21</v>
      </c>
      <c r="D41" s="229" t="s">
        <v>316</v>
      </c>
      <c r="E41" s="230" t="s">
        <v>372</v>
      </c>
    </row>
    <row r="42" spans="2:5" s="226" customFormat="1" x14ac:dyDescent="0.2">
      <c r="B42" s="227">
        <f t="shared" ca="1" si="0"/>
        <v>36</v>
      </c>
      <c r="C42" s="228" t="s">
        <v>22</v>
      </c>
      <c r="D42" s="229" t="s">
        <v>317</v>
      </c>
      <c r="E42" s="230" t="s">
        <v>372</v>
      </c>
    </row>
    <row r="43" spans="2:5" s="226" customFormat="1" x14ac:dyDescent="0.2">
      <c r="B43" s="227">
        <f t="shared" ca="1" si="0"/>
        <v>37</v>
      </c>
      <c r="C43" s="228" t="s">
        <v>23</v>
      </c>
      <c r="D43" s="229" t="s">
        <v>323</v>
      </c>
      <c r="E43" s="230" t="s">
        <v>372</v>
      </c>
    </row>
    <row r="44" spans="2:5" s="226" customFormat="1" x14ac:dyDescent="0.2">
      <c r="B44" s="227">
        <f t="shared" ca="1" si="0"/>
        <v>38</v>
      </c>
      <c r="C44" s="228" t="s">
        <v>53</v>
      </c>
      <c r="D44" s="229" t="s">
        <v>318</v>
      </c>
      <c r="E44" s="230" t="s">
        <v>371</v>
      </c>
    </row>
    <row r="45" spans="2:5" s="226" customFormat="1" x14ac:dyDescent="0.2">
      <c r="B45" s="227">
        <f t="shared" ca="1" si="0"/>
        <v>39</v>
      </c>
      <c r="C45" s="228" t="s">
        <v>41</v>
      </c>
      <c r="D45" s="229" t="s">
        <v>322</v>
      </c>
      <c r="E45" s="230" t="s">
        <v>371</v>
      </c>
    </row>
    <row r="46" spans="2:5" s="226" customFormat="1" x14ac:dyDescent="0.2">
      <c r="B46" s="227">
        <f t="shared" ca="1" si="0"/>
        <v>40</v>
      </c>
      <c r="C46" s="228" t="s">
        <v>42</v>
      </c>
      <c r="D46" s="229" t="s">
        <v>321</v>
      </c>
      <c r="E46" s="230" t="s">
        <v>371</v>
      </c>
    </row>
    <row r="47" spans="2:5" s="226" customFormat="1" x14ac:dyDescent="0.2">
      <c r="B47" s="227">
        <f t="shared" ca="1" si="0"/>
        <v>41</v>
      </c>
      <c r="C47" s="228" t="s">
        <v>24</v>
      </c>
      <c r="D47" s="229" t="s">
        <v>324</v>
      </c>
      <c r="E47" s="230" t="s">
        <v>371</v>
      </c>
    </row>
    <row r="48" spans="2:5" s="226" customFormat="1" x14ac:dyDescent="0.2">
      <c r="B48" s="227">
        <f t="shared" ca="1" si="0"/>
        <v>42</v>
      </c>
      <c r="C48" s="228" t="s">
        <v>43</v>
      </c>
      <c r="D48" s="229" t="s">
        <v>325</v>
      </c>
      <c r="E48" s="230" t="s">
        <v>372</v>
      </c>
    </row>
    <row r="49" spans="2:5" s="226" customFormat="1" x14ac:dyDescent="0.2">
      <c r="B49" s="227">
        <f t="shared" ca="1" si="0"/>
        <v>43</v>
      </c>
      <c r="C49" s="228" t="s">
        <v>257</v>
      </c>
      <c r="D49" s="229" t="s">
        <v>320</v>
      </c>
      <c r="E49" s="230" t="s">
        <v>371</v>
      </c>
    </row>
    <row r="50" spans="2:5" s="226" customFormat="1" x14ac:dyDescent="0.2">
      <c r="B50" s="227">
        <f t="shared" ca="1" si="0"/>
        <v>44</v>
      </c>
      <c r="C50" s="228" t="s">
        <v>45</v>
      </c>
      <c r="D50" s="229" t="s">
        <v>319</v>
      </c>
      <c r="E50" s="230" t="s">
        <v>372</v>
      </c>
    </row>
    <row r="51" spans="2:5" s="226" customFormat="1" x14ac:dyDescent="0.2">
      <c r="B51" s="227">
        <f t="shared" ca="1" si="0"/>
        <v>45</v>
      </c>
      <c r="C51" s="228" t="s">
        <v>13</v>
      </c>
      <c r="D51" s="229" t="s">
        <v>327</v>
      </c>
      <c r="E51" s="230" t="s">
        <v>372</v>
      </c>
    </row>
    <row r="52" spans="2:5" s="226" customFormat="1" x14ac:dyDescent="0.2">
      <c r="B52" s="227">
        <f t="shared" ca="1" si="0"/>
        <v>46</v>
      </c>
      <c r="C52" s="228" t="s">
        <v>25</v>
      </c>
      <c r="D52" s="229" t="s">
        <v>329</v>
      </c>
      <c r="E52" s="230" t="s">
        <v>372</v>
      </c>
    </row>
    <row r="53" spans="2:5" s="226" customFormat="1" x14ac:dyDescent="0.2">
      <c r="B53" s="227">
        <f t="shared" ca="1" si="0"/>
        <v>47</v>
      </c>
      <c r="C53" s="228" t="s">
        <v>7</v>
      </c>
      <c r="D53" s="229" t="s">
        <v>328</v>
      </c>
      <c r="E53" s="230" t="s">
        <v>371</v>
      </c>
    </row>
    <row r="54" spans="2:5" s="226" customFormat="1" x14ac:dyDescent="0.2">
      <c r="B54" s="227">
        <f t="shared" ca="1" si="0"/>
        <v>48</v>
      </c>
      <c r="C54" s="228" t="s">
        <v>62</v>
      </c>
      <c r="D54" s="229" t="s">
        <v>330</v>
      </c>
      <c r="E54" s="230" t="s">
        <v>371</v>
      </c>
    </row>
    <row r="55" spans="2:5" s="226" customFormat="1" x14ac:dyDescent="0.2">
      <c r="B55" s="227">
        <f t="shared" ca="1" si="0"/>
        <v>49</v>
      </c>
      <c r="C55" s="228" t="s">
        <v>75</v>
      </c>
      <c r="D55" s="229" t="s">
        <v>332</v>
      </c>
      <c r="E55" s="230" t="s">
        <v>371</v>
      </c>
    </row>
    <row r="56" spans="2:5" s="226" customFormat="1" x14ac:dyDescent="0.2">
      <c r="B56" s="227">
        <f t="shared" ca="1" si="0"/>
        <v>50</v>
      </c>
      <c r="C56" s="228" t="s">
        <v>76</v>
      </c>
      <c r="D56" s="229" t="s">
        <v>334</v>
      </c>
      <c r="E56" s="230" t="s">
        <v>371</v>
      </c>
    </row>
    <row r="57" spans="2:5" s="226" customFormat="1" x14ac:dyDescent="0.2">
      <c r="B57" s="227">
        <f t="shared" ca="1" si="0"/>
        <v>51</v>
      </c>
      <c r="C57" s="228" t="s">
        <v>428</v>
      </c>
      <c r="D57" s="229" t="s">
        <v>333</v>
      </c>
      <c r="E57" s="230" t="s">
        <v>371</v>
      </c>
    </row>
    <row r="58" spans="2:5" s="226" customFormat="1" x14ac:dyDescent="0.2">
      <c r="B58" s="227">
        <f t="shared" ca="1" si="0"/>
        <v>52</v>
      </c>
      <c r="C58" s="228" t="s">
        <v>14</v>
      </c>
      <c r="D58" s="229" t="s">
        <v>335</v>
      </c>
      <c r="E58" s="230" t="s">
        <v>371</v>
      </c>
    </row>
    <row r="59" spans="2:5" s="226" customFormat="1" x14ac:dyDescent="0.2">
      <c r="B59" s="227">
        <f t="shared" ca="1" si="0"/>
        <v>53</v>
      </c>
      <c r="C59" s="228" t="s">
        <v>59</v>
      </c>
      <c r="D59" s="229" t="s">
        <v>337</v>
      </c>
      <c r="E59" s="230" t="s">
        <v>371</v>
      </c>
    </row>
    <row r="60" spans="2:5" s="226" customFormat="1" x14ac:dyDescent="0.2">
      <c r="B60" s="227">
        <f t="shared" ca="1" si="0"/>
        <v>54</v>
      </c>
      <c r="C60" s="228" t="s">
        <v>26</v>
      </c>
      <c r="D60" s="229" t="s">
        <v>336</v>
      </c>
      <c r="E60" s="230" t="s">
        <v>371</v>
      </c>
    </row>
    <row r="61" spans="2:5" s="226" customFormat="1" x14ac:dyDescent="0.2">
      <c r="B61" s="227">
        <f t="shared" ca="1" si="0"/>
        <v>55</v>
      </c>
      <c r="C61" s="228" t="s">
        <v>258</v>
      </c>
      <c r="D61" s="229" t="s">
        <v>338</v>
      </c>
      <c r="E61" s="230" t="s">
        <v>371</v>
      </c>
    </row>
    <row r="62" spans="2:5" s="226" customFormat="1" x14ac:dyDescent="0.2">
      <c r="B62" s="227"/>
      <c r="C62" s="228"/>
      <c r="D62" s="229"/>
      <c r="E62" s="230"/>
    </row>
    <row r="63" spans="2:5" s="226" customFormat="1" x14ac:dyDescent="0.2">
      <c r="B63" s="227">
        <f t="shared" ca="1" si="0"/>
        <v>1</v>
      </c>
      <c r="C63" s="228" t="s">
        <v>484</v>
      </c>
      <c r="D63" s="229" t="s">
        <v>443</v>
      </c>
      <c r="E63" s="230" t="s">
        <v>371</v>
      </c>
    </row>
    <row r="64" spans="2:5" s="226" customFormat="1" x14ac:dyDescent="0.2">
      <c r="B64" s="227">
        <f t="shared" ca="1" si="0"/>
        <v>2</v>
      </c>
      <c r="C64" s="228" t="s">
        <v>483</v>
      </c>
      <c r="D64" s="229" t="s">
        <v>445</v>
      </c>
      <c r="E64" s="230" t="s">
        <v>86</v>
      </c>
    </row>
    <row r="65" spans="2:5" s="226" customFormat="1" x14ac:dyDescent="0.2">
      <c r="B65" s="227">
        <f t="shared" ca="1" si="0"/>
        <v>3</v>
      </c>
      <c r="C65" s="226" t="s">
        <v>486</v>
      </c>
      <c r="D65" s="226" t="s">
        <v>444</v>
      </c>
      <c r="E65" s="230" t="s">
        <v>371</v>
      </c>
    </row>
    <row r="66" spans="2:5" s="226" customFormat="1" x14ac:dyDescent="0.2">
      <c r="B66" s="227">
        <f t="shared" ca="1" si="0"/>
        <v>4</v>
      </c>
      <c r="C66" s="228" t="s">
        <v>482</v>
      </c>
      <c r="D66" s="229" t="s">
        <v>446</v>
      </c>
      <c r="E66" s="230" t="s">
        <v>371</v>
      </c>
    </row>
    <row r="67" spans="2:5" s="226" customFormat="1" x14ac:dyDescent="0.2">
      <c r="B67" s="227">
        <f t="shared" ca="1" si="0"/>
        <v>5</v>
      </c>
      <c r="C67" s="228" t="s">
        <v>481</v>
      </c>
      <c r="D67" s="229" t="s">
        <v>447</v>
      </c>
      <c r="E67" s="230" t="s">
        <v>372</v>
      </c>
    </row>
    <row r="68" spans="2:5" s="226" customFormat="1" x14ac:dyDescent="0.2">
      <c r="B68" s="227">
        <f t="shared" ca="1" si="0"/>
        <v>6</v>
      </c>
      <c r="C68" s="228" t="s">
        <v>485</v>
      </c>
      <c r="D68" s="229" t="s">
        <v>449</v>
      </c>
      <c r="E68" s="230" t="s">
        <v>371</v>
      </c>
    </row>
    <row r="69" spans="2:5" s="226" customFormat="1" x14ac:dyDescent="0.2">
      <c r="B69" s="227"/>
      <c r="C69" s="228"/>
      <c r="D69" s="229"/>
      <c r="E69" s="230"/>
    </row>
    <row r="70" spans="2:5" s="226" customFormat="1" x14ac:dyDescent="0.2">
      <c r="B70" s="227"/>
      <c r="C70" s="228"/>
      <c r="D70" s="229"/>
      <c r="E70" s="230"/>
    </row>
  </sheetData>
  <pageMargins left="0.21" right="0.75" top="0.27" bottom="0.28999999999999998" header="0.2" footer="0.21"/>
  <pageSetup scale="85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C3:N30"/>
  <sheetViews>
    <sheetView zoomScale="85" zoomScaleNormal="85" workbookViewId="0"/>
  </sheetViews>
  <sheetFormatPr defaultColWidth="9.140625" defaultRowHeight="12.75" x14ac:dyDescent="0.2"/>
  <cols>
    <col min="1" max="2" width="9.140625" style="324"/>
    <col min="3" max="3" width="5.85546875" style="326" customWidth="1"/>
    <col min="4" max="4" width="9.140625" style="326"/>
    <col min="5" max="5" width="25.42578125" style="326" customWidth="1"/>
    <col min="6" max="6" width="9.140625" style="324"/>
    <col min="7" max="8" width="5.85546875" style="326" customWidth="1"/>
    <col min="9" max="9" width="9.140625" style="326"/>
    <col min="10" max="10" width="25.42578125" style="326" customWidth="1"/>
    <col min="11" max="11" width="9.140625" style="324"/>
    <col min="12" max="12" width="5.85546875" style="326" customWidth="1"/>
    <col min="13" max="13" width="9.140625" style="326"/>
    <col min="14" max="14" width="25.42578125" style="324" customWidth="1"/>
    <col min="15" max="16384" width="9.140625" style="324"/>
  </cols>
  <sheetData>
    <row r="3" spans="3:14" x14ac:dyDescent="0.2">
      <c r="C3" s="471" t="s">
        <v>454</v>
      </c>
      <c r="D3" s="472"/>
      <c r="E3" s="472"/>
      <c r="G3" s="471" t="s">
        <v>90</v>
      </c>
      <c r="H3" s="472"/>
      <c r="I3" s="472"/>
      <c r="J3" s="472"/>
      <c r="L3" s="471" t="s">
        <v>89</v>
      </c>
      <c r="M3" s="472"/>
      <c r="N3" s="472"/>
    </row>
    <row r="5" spans="3:14" x14ac:dyDescent="0.2">
      <c r="C5" s="334"/>
      <c r="G5" s="334"/>
      <c r="H5" s="335">
        <v>1</v>
      </c>
      <c r="I5" s="327" t="s">
        <v>371</v>
      </c>
      <c r="J5" s="336" t="s">
        <v>456</v>
      </c>
      <c r="L5" s="335">
        <v>1</v>
      </c>
      <c r="M5" s="327" t="s">
        <v>458</v>
      </c>
      <c r="N5" s="336" t="s">
        <v>457</v>
      </c>
    </row>
    <row r="6" spans="3:14" x14ac:dyDescent="0.2">
      <c r="C6" s="335"/>
      <c r="G6" s="335"/>
      <c r="H6" s="335">
        <v>2</v>
      </c>
      <c r="I6" s="330" t="s">
        <v>423</v>
      </c>
      <c r="J6" s="331"/>
      <c r="L6" s="335">
        <v>2</v>
      </c>
      <c r="M6" s="330" t="s">
        <v>86</v>
      </c>
    </row>
    <row r="7" spans="3:14" x14ac:dyDescent="0.2">
      <c r="C7" s="335"/>
      <c r="G7" s="335"/>
      <c r="H7" s="335">
        <v>3</v>
      </c>
      <c r="I7" s="330" t="s">
        <v>86</v>
      </c>
      <c r="J7" s="331"/>
      <c r="L7" s="335">
        <v>3</v>
      </c>
      <c r="M7" s="330" t="s">
        <v>461</v>
      </c>
    </row>
    <row r="8" spans="3:14" x14ac:dyDescent="0.2">
      <c r="C8" s="335"/>
      <c r="G8" s="335"/>
      <c r="H8" s="335">
        <v>4</v>
      </c>
      <c r="I8" s="333" t="s">
        <v>459</v>
      </c>
      <c r="J8" s="328"/>
      <c r="L8" s="335">
        <v>4</v>
      </c>
      <c r="M8" s="330" t="s">
        <v>463</v>
      </c>
    </row>
    <row r="9" spans="3:14" x14ac:dyDescent="0.2">
      <c r="C9" s="335">
        <v>1</v>
      </c>
      <c r="D9" s="325" t="s">
        <v>130</v>
      </c>
      <c r="E9" s="336" t="s">
        <v>455</v>
      </c>
      <c r="G9" s="335">
        <v>1</v>
      </c>
      <c r="H9" s="335">
        <v>5</v>
      </c>
      <c r="I9" s="330" t="s">
        <v>130</v>
      </c>
      <c r="J9" s="336" t="s">
        <v>460</v>
      </c>
      <c r="L9" s="335">
        <v>5</v>
      </c>
      <c r="M9" s="330" t="s">
        <v>129</v>
      </c>
    </row>
    <row r="10" spans="3:14" x14ac:dyDescent="0.2">
      <c r="C10" s="335">
        <v>2</v>
      </c>
      <c r="D10" s="329" t="s">
        <v>128</v>
      </c>
      <c r="G10" s="335">
        <v>2</v>
      </c>
      <c r="H10" s="335">
        <v>6</v>
      </c>
      <c r="I10" s="330" t="s">
        <v>462</v>
      </c>
      <c r="J10" s="331"/>
      <c r="L10" s="335">
        <v>6</v>
      </c>
      <c r="M10" s="330" t="s">
        <v>127</v>
      </c>
    </row>
    <row r="11" spans="3:14" x14ac:dyDescent="0.2">
      <c r="C11" s="335">
        <v>3</v>
      </c>
      <c r="D11" s="329" t="s">
        <v>126</v>
      </c>
      <c r="G11" s="335">
        <v>3</v>
      </c>
      <c r="H11" s="335">
        <v>7</v>
      </c>
      <c r="I11" s="330" t="s">
        <v>129</v>
      </c>
      <c r="J11" s="331"/>
      <c r="L11" s="335">
        <v>7</v>
      </c>
      <c r="M11" s="330" t="s">
        <v>125</v>
      </c>
    </row>
    <row r="12" spans="3:14" x14ac:dyDescent="0.2">
      <c r="C12" s="335">
        <v>4</v>
      </c>
      <c r="D12" s="329" t="s">
        <v>124</v>
      </c>
      <c r="G12" s="335">
        <v>4</v>
      </c>
      <c r="H12" s="335">
        <v>8</v>
      </c>
      <c r="I12" s="330" t="s">
        <v>127</v>
      </c>
      <c r="J12" s="331"/>
      <c r="L12" s="335">
        <v>8</v>
      </c>
      <c r="M12" s="330" t="s">
        <v>123</v>
      </c>
    </row>
    <row r="13" spans="3:14" x14ac:dyDescent="0.2">
      <c r="C13" s="335">
        <v>5</v>
      </c>
      <c r="D13" s="329" t="s">
        <v>122</v>
      </c>
      <c r="G13" s="335">
        <v>5</v>
      </c>
      <c r="H13" s="335">
        <v>9</v>
      </c>
      <c r="I13" s="330" t="s">
        <v>125</v>
      </c>
      <c r="J13" s="331"/>
      <c r="L13" s="335">
        <v>9</v>
      </c>
      <c r="M13" s="330" t="s">
        <v>71</v>
      </c>
    </row>
    <row r="14" spans="3:14" x14ac:dyDescent="0.2">
      <c r="C14" s="335">
        <v>6</v>
      </c>
      <c r="D14" s="329" t="s">
        <v>121</v>
      </c>
      <c r="G14" s="335">
        <v>6</v>
      </c>
      <c r="H14" s="335">
        <v>10</v>
      </c>
      <c r="I14" s="330" t="s">
        <v>123</v>
      </c>
      <c r="J14" s="331"/>
      <c r="L14" s="335">
        <v>10</v>
      </c>
      <c r="M14" s="330" t="s">
        <v>78</v>
      </c>
    </row>
    <row r="15" spans="3:14" x14ac:dyDescent="0.2">
      <c r="C15" s="335">
        <v>7</v>
      </c>
      <c r="D15" s="329" t="s">
        <v>120</v>
      </c>
      <c r="G15" s="335">
        <v>7</v>
      </c>
      <c r="H15" s="335">
        <v>11</v>
      </c>
      <c r="I15" s="330" t="s">
        <v>71</v>
      </c>
      <c r="J15" s="331"/>
      <c r="L15" s="335">
        <v>11</v>
      </c>
      <c r="M15" s="330" t="s">
        <v>68</v>
      </c>
    </row>
    <row r="16" spans="3:14" x14ac:dyDescent="0.2">
      <c r="C16" s="335">
        <v>8</v>
      </c>
      <c r="D16" s="329" t="s">
        <v>119</v>
      </c>
      <c r="G16" s="335">
        <v>8</v>
      </c>
      <c r="H16" s="335">
        <v>12</v>
      </c>
      <c r="I16" s="330" t="s">
        <v>78</v>
      </c>
      <c r="J16" s="331"/>
      <c r="L16" s="335">
        <v>12</v>
      </c>
      <c r="M16" s="330" t="s">
        <v>65</v>
      </c>
    </row>
    <row r="17" spans="3:13" x14ac:dyDescent="0.2">
      <c r="C17" s="335">
        <v>9</v>
      </c>
      <c r="D17" s="329" t="s">
        <v>118</v>
      </c>
      <c r="G17" s="335">
        <v>9</v>
      </c>
      <c r="H17" s="335">
        <v>13</v>
      </c>
      <c r="I17" s="330" t="s">
        <v>68</v>
      </c>
      <c r="J17" s="331"/>
      <c r="L17" s="335">
        <v>13</v>
      </c>
      <c r="M17" s="330" t="s">
        <v>61</v>
      </c>
    </row>
    <row r="18" spans="3:13" x14ac:dyDescent="0.2">
      <c r="C18" s="335">
        <v>10</v>
      </c>
      <c r="D18" s="329" t="s">
        <v>117</v>
      </c>
      <c r="G18" s="335">
        <v>10</v>
      </c>
      <c r="H18" s="335">
        <v>14</v>
      </c>
      <c r="I18" s="330" t="s">
        <v>65</v>
      </c>
      <c r="J18" s="331"/>
      <c r="L18" s="335">
        <v>14</v>
      </c>
      <c r="M18" s="330" t="s">
        <v>56</v>
      </c>
    </row>
    <row r="19" spans="3:13" x14ac:dyDescent="0.2">
      <c r="C19" s="335">
        <v>11</v>
      </c>
      <c r="D19" s="329" t="s">
        <v>116</v>
      </c>
      <c r="G19" s="335">
        <v>11</v>
      </c>
      <c r="H19" s="335">
        <v>15</v>
      </c>
      <c r="I19" s="330" t="s">
        <v>61</v>
      </c>
      <c r="J19" s="331"/>
      <c r="L19" s="335">
        <v>15</v>
      </c>
      <c r="M19" s="330" t="s">
        <v>49</v>
      </c>
    </row>
    <row r="20" spans="3:13" x14ac:dyDescent="0.2">
      <c r="C20" s="335">
        <v>12</v>
      </c>
      <c r="D20" s="329" t="s">
        <v>115</v>
      </c>
      <c r="G20" s="335">
        <v>12</v>
      </c>
      <c r="H20" s="335">
        <v>16</v>
      </c>
      <c r="I20" s="330" t="s">
        <v>56</v>
      </c>
      <c r="J20" s="331"/>
      <c r="L20" s="335">
        <v>16</v>
      </c>
      <c r="M20" s="330" t="s">
        <v>28</v>
      </c>
    </row>
    <row r="21" spans="3:13" x14ac:dyDescent="0.2">
      <c r="C21" s="335">
        <v>13</v>
      </c>
      <c r="D21" s="329" t="s">
        <v>114</v>
      </c>
      <c r="G21" s="335">
        <v>13</v>
      </c>
      <c r="H21" s="335">
        <v>17</v>
      </c>
      <c r="I21" s="330" t="s">
        <v>49</v>
      </c>
      <c r="J21" s="331"/>
      <c r="L21" s="335">
        <v>17</v>
      </c>
      <c r="M21" s="330" t="s">
        <v>16</v>
      </c>
    </row>
    <row r="22" spans="3:13" x14ac:dyDescent="0.2">
      <c r="C22" s="335">
        <v>14</v>
      </c>
      <c r="D22" s="329" t="s">
        <v>113</v>
      </c>
      <c r="G22" s="335">
        <v>14</v>
      </c>
      <c r="H22" s="335">
        <v>18</v>
      </c>
      <c r="I22" s="330" t="s">
        <v>28</v>
      </c>
      <c r="J22" s="331"/>
      <c r="L22" s="335">
        <v>18</v>
      </c>
      <c r="M22" s="330" t="s">
        <v>10</v>
      </c>
    </row>
    <row r="23" spans="3:13" x14ac:dyDescent="0.2">
      <c r="C23" s="335">
        <v>15</v>
      </c>
      <c r="D23" s="329" t="s">
        <v>112</v>
      </c>
      <c r="G23" s="335">
        <v>15</v>
      </c>
      <c r="H23" s="335">
        <v>19</v>
      </c>
      <c r="I23" s="330" t="s">
        <v>16</v>
      </c>
      <c r="J23" s="331"/>
      <c r="L23" s="335">
        <v>19</v>
      </c>
      <c r="M23" s="330" t="s">
        <v>2</v>
      </c>
    </row>
    <row r="24" spans="3:13" x14ac:dyDescent="0.2">
      <c r="C24" s="335">
        <v>16</v>
      </c>
      <c r="D24" s="329" t="s">
        <v>111</v>
      </c>
      <c r="G24" s="335">
        <v>16</v>
      </c>
      <c r="H24" s="335">
        <v>20</v>
      </c>
      <c r="I24" s="330" t="s">
        <v>10</v>
      </c>
      <c r="J24" s="331"/>
      <c r="L24" s="335">
        <v>20</v>
      </c>
      <c r="M24" s="330" t="s">
        <v>110</v>
      </c>
    </row>
    <row r="25" spans="3:13" x14ac:dyDescent="0.2">
      <c r="C25" s="335">
        <v>17</v>
      </c>
      <c r="D25" s="329" t="s">
        <v>109</v>
      </c>
      <c r="G25" s="335">
        <v>17</v>
      </c>
      <c r="H25" s="335">
        <v>21</v>
      </c>
      <c r="I25" s="330" t="s">
        <v>2</v>
      </c>
      <c r="J25" s="331"/>
      <c r="L25" s="335">
        <v>21</v>
      </c>
      <c r="M25" s="330" t="s">
        <v>108</v>
      </c>
    </row>
    <row r="26" spans="3:13" x14ac:dyDescent="0.2">
      <c r="C26" s="335">
        <v>18</v>
      </c>
      <c r="D26" s="329" t="s">
        <v>107</v>
      </c>
      <c r="G26" s="335">
        <v>18</v>
      </c>
      <c r="H26" s="335">
        <v>22</v>
      </c>
      <c r="I26" s="330" t="s">
        <v>110</v>
      </c>
      <c r="J26" s="331"/>
      <c r="L26" s="335">
        <v>22</v>
      </c>
      <c r="M26" s="330" t="s">
        <v>106</v>
      </c>
    </row>
    <row r="27" spans="3:13" x14ac:dyDescent="0.2">
      <c r="C27" s="335">
        <v>19</v>
      </c>
      <c r="D27" s="329" t="s">
        <v>105</v>
      </c>
      <c r="G27" s="335">
        <v>19</v>
      </c>
      <c r="H27" s="335">
        <v>23</v>
      </c>
      <c r="I27" s="330" t="s">
        <v>108</v>
      </c>
      <c r="J27" s="331"/>
      <c r="L27" s="335">
        <v>23</v>
      </c>
      <c r="M27" s="330" t="s">
        <v>104</v>
      </c>
    </row>
    <row r="28" spans="3:13" x14ac:dyDescent="0.2">
      <c r="C28" s="335">
        <v>20</v>
      </c>
      <c r="D28" s="329" t="s">
        <v>103</v>
      </c>
      <c r="G28" s="335">
        <v>20</v>
      </c>
      <c r="H28" s="335">
        <v>24</v>
      </c>
      <c r="I28" s="330" t="s">
        <v>106</v>
      </c>
      <c r="J28" s="331"/>
      <c r="L28" s="335">
        <v>24</v>
      </c>
      <c r="M28" s="330" t="s">
        <v>102</v>
      </c>
    </row>
    <row r="29" spans="3:13" x14ac:dyDescent="0.2">
      <c r="C29" s="335">
        <v>21</v>
      </c>
      <c r="D29" s="332" t="s">
        <v>101</v>
      </c>
      <c r="G29" s="335">
        <v>21</v>
      </c>
      <c r="H29" s="335">
        <v>25</v>
      </c>
      <c r="I29" s="330" t="s">
        <v>104</v>
      </c>
      <c r="J29" s="331"/>
      <c r="L29" s="335"/>
      <c r="M29" s="330"/>
    </row>
    <row r="30" spans="3:13" x14ac:dyDescent="0.2">
      <c r="C30" s="335"/>
      <c r="G30" s="335">
        <v>22</v>
      </c>
      <c r="H30" s="335">
        <v>26</v>
      </c>
      <c r="I30" s="333" t="s">
        <v>102</v>
      </c>
      <c r="J30" s="331"/>
      <c r="L30" s="335"/>
      <c r="M30" s="333"/>
    </row>
  </sheetData>
  <mergeCells count="3">
    <mergeCell ref="C3:E3"/>
    <mergeCell ref="G3:J3"/>
    <mergeCell ref="L3:N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66e5197-e0d9-4d82-87ff-9454abe15744"/>
    <p8ad1ecc41eb4f358eb7bf0fce81b896 xmlns="066e5197-e0d9-4d82-87ff-9454abe15744">
      <Terms xmlns="http://schemas.microsoft.com/office/infopath/2007/PartnerControls"/>
    </p8ad1ecc41eb4f358eb7bf0fce81b896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9678F6415FF94D8C88A2D99DDBB586" ma:contentTypeVersion="1" ma:contentTypeDescription="Create a new document." ma:contentTypeScope="" ma:versionID="4b24c7133a2a9efa6bfbdd792ddea648">
  <xsd:schema xmlns:xsd="http://www.w3.org/2001/XMLSchema" xmlns:xs="http://www.w3.org/2001/XMLSchema" xmlns:p="http://schemas.microsoft.com/office/2006/metadata/properties" xmlns:ns1="http://schemas.microsoft.com/sharepoint/v3" xmlns:ns2="066e5197-e0d9-4d82-87ff-9454abe15744" targetNamespace="http://schemas.microsoft.com/office/2006/metadata/properties" ma:root="true" ma:fieldsID="8cf24347aa5d08af1da32c1e3d3f0e1b" ns1:_="" ns2:_="">
    <xsd:import namespace="http://schemas.microsoft.com/sharepoint/v3"/>
    <xsd:import namespace="066e5197-e0d9-4d82-87ff-9454abe15744"/>
    <xsd:element name="properties">
      <xsd:complexType>
        <xsd:sequence>
          <xsd:element name="documentManagement">
            <xsd:complexType>
              <xsd:all>
                <xsd:element ref="ns2:p8ad1ecc41eb4f358eb7bf0fce81b896" minOccurs="0"/>
                <xsd:element ref="ns2:TaxCatchAll" minOccurs="0"/>
                <xsd:element ref="ns2:TaxCatchAllLabel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2" nillable="true" ma:displayName="Scheduling Start Date" ma:internalName="PublishingStartDate">
      <xsd:simpleType>
        <xsd:restriction base="dms:Unknown"/>
      </xsd:simpleType>
    </xsd:element>
    <xsd:element name="PublishingExpirationDate" ma:index="13" nillable="true" ma:displayName="Scheduling End Dat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6e5197-e0d9-4d82-87ff-9454abe15744" elementFormDefault="qualified">
    <xsd:import namespace="http://schemas.microsoft.com/office/2006/documentManagement/types"/>
    <xsd:import namespace="http://schemas.microsoft.com/office/infopath/2007/PartnerControls"/>
    <xsd:element name="p8ad1ecc41eb4f358eb7bf0fce81b896" ma:index="8" nillable="true" ma:taxonomy="true" ma:internalName="p8ad1ecc41eb4f358eb7bf0fce81b896" ma:taxonomyFieldName="Tags" ma:displayName="EEI Tags" ma:default="" ma:fieldId="{98ad1ecc-41eb-4f35-8eb7-bf0fce81b896}" ma:taxonomyMulti="true" ma:sspId="b3057462-ad99-4b54-a4bd-faac809f860e" ma:termSetId="7292dfb8-73c6-46fd-8562-ab82e2c90f6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description="" ma:hidden="true" ma:list="{b80ba895-beae-461d-b249-0bb33918798e}" ma:internalName="TaxCatchAll" ma:showField="CatchAllData" ma:web="066e5197-e0d9-4d82-87ff-9454abe157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description="" ma:hidden="true" ma:list="{b80ba895-beae-461d-b249-0bb33918798e}" ma:internalName="TaxCatchAllLabel" ma:readOnly="true" ma:showField="CatchAllDataLabel" ma:web="066e5197-e0d9-4d82-87ff-9454abe157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AD208671-E534-4270-ADA2-92DC490220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46C76E5-BF75-48CE-A6B5-1CCAC67E65E7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066e5197-e0d9-4d82-87ff-9454abe15744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6C3E45A0-CE37-419B-92C6-8DB0E815FB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66e5197-e0d9-4d82-87ff-9454abe157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AF0C69A9-BAE6-498F-BDDE-3FE106CF61B1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42</vt:i4>
      </vt:variant>
      <vt:variant>
        <vt:lpstr>Named Ranges</vt:lpstr>
      </vt:variant>
      <vt:variant>
        <vt:i4>4</vt:i4>
      </vt:variant>
    </vt:vector>
  </HeadingPairs>
  <TitlesOfParts>
    <vt:vector size="46" baseType="lpstr">
      <vt:lpstr>II. Upgrades &amp; Downgrades</vt:lpstr>
      <vt:lpstr>III. Total Ratings Actions</vt:lpstr>
      <vt:lpstr>IV. Direction of Rating Action</vt:lpstr>
      <vt:lpstr>V. S&amp;P Rating by Comp. Category</vt:lpstr>
      <vt:lpstr>VI. Credit Ratings Scales</vt:lpstr>
      <vt:lpstr>Credit_2016Q4</vt:lpstr>
      <vt:lpstr>Credit_2016Q3</vt:lpstr>
      <vt:lpstr>Credit_2016Q2</vt:lpstr>
      <vt:lpstr>Credit_2016Q1</vt:lpstr>
      <vt:lpstr>Credit_2015Q4</vt:lpstr>
      <vt:lpstr>Credit_2015Q3</vt:lpstr>
      <vt:lpstr>Credit_2015Q2</vt:lpstr>
      <vt:lpstr>Credit_2015Q1</vt:lpstr>
      <vt:lpstr>Credit_2014Q4</vt:lpstr>
      <vt:lpstr>Credit_2014Q3</vt:lpstr>
      <vt:lpstr>Credit_2014Q2</vt:lpstr>
      <vt:lpstr>Credit_2014Q1</vt:lpstr>
      <vt:lpstr>Credit_2013Q4</vt:lpstr>
      <vt:lpstr>Credit_2013Q3</vt:lpstr>
      <vt:lpstr>Credit_2013Q2</vt:lpstr>
      <vt:lpstr>Credit_2013Q1</vt:lpstr>
      <vt:lpstr>Credit_2012Q4</vt:lpstr>
      <vt:lpstr>Credit_2012Q3</vt:lpstr>
      <vt:lpstr>Credit_2012Q2</vt:lpstr>
      <vt:lpstr>Credit_2012Q1</vt:lpstr>
      <vt:lpstr>Credit_2011Q4</vt:lpstr>
      <vt:lpstr>Credit_2011Q3</vt:lpstr>
      <vt:lpstr>Credit_2011Q2</vt:lpstr>
      <vt:lpstr>Credit_2011Q1</vt:lpstr>
      <vt:lpstr>Credit_2010Q4</vt:lpstr>
      <vt:lpstr>Credit_2009Q4</vt:lpstr>
      <vt:lpstr>Credit_2008Q4</vt:lpstr>
      <vt:lpstr>Credit_2007Q4</vt:lpstr>
      <vt:lpstr>Credit_2006Q4</vt:lpstr>
      <vt:lpstr>Credit_2001Q4</vt:lpstr>
      <vt:lpstr>Reg_Percent_2015</vt:lpstr>
      <vt:lpstr>Reg_Percent_2014</vt:lpstr>
      <vt:lpstr>Reg_Percent_2013</vt:lpstr>
      <vt:lpstr>Reg_Percent_2012</vt:lpstr>
      <vt:lpstr>Reg_Percent_2011</vt:lpstr>
      <vt:lpstr>Reg_Percent_2010</vt:lpstr>
      <vt:lpstr>Scale</vt:lpstr>
      <vt:lpstr>rating_scale_Fitch</vt:lpstr>
      <vt:lpstr>rating_scale_Moody</vt:lpstr>
      <vt:lpstr>rating_scale_SP</vt:lpstr>
      <vt:lpstr>rating_scale_SP_invest</vt:lpstr>
    </vt:vector>
  </TitlesOfParts>
  <Company>mindSHIFT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Mathew Martin</dc:creator>
  <cp:lastModifiedBy>J. Randall Woolridge</cp:lastModifiedBy>
  <cp:lastPrinted>2013-05-29T14:44:09Z</cp:lastPrinted>
  <dcterms:created xsi:type="dcterms:W3CDTF">2005-10-18T14:13:46Z</dcterms:created>
  <dcterms:modified xsi:type="dcterms:W3CDTF">2017-03-28T13:13:37Z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EEI Document</vt:lpwstr>
  </property>
  <property fmtid="{D5CDD505-2E9C-101B-9397-08002B2CF9AE}" pid="3" name="ContentTypeId">
    <vt:lpwstr>0x010100179678F6415FF94D8C88A2D99DDBB586</vt:lpwstr>
  </property>
  <property fmtid="{D5CDD505-2E9C-101B-9397-08002B2CF9AE}" pid="4" name="Tags">
    <vt:lpwstr/>
  </property>
  <property fmtid="{D5CDD505-2E9C-101B-9397-08002B2CF9AE}" pid="5" name="{A44787D4-0540-4523-9961-78E4036D8C6D}">
    <vt:lpwstr>{016D0BE0-F2C1-40F0-9ED2-5C940D5589A1}</vt:lpwstr>
  </property>
</Properties>
</file>