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meal.psu.edu\data\Users\Faculty\jrw\Desktop\Zdrive\Utility\Current Cases\KY - KPC - 2017\"/>
    </mc:Choice>
  </mc:AlternateContent>
  <bookViews>
    <workbookView xWindow="0" yWindow="0" windowWidth="37185" windowHeight="16215"/>
  </bookViews>
  <sheets>
    <sheet name="Percentages" sheetId="2" r:id="rId1"/>
    <sheet name="10-K Reports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6" i="2"/>
  <c r="C33" i="2" l="1"/>
  <c r="D33" i="2"/>
  <c r="B657" i="1"/>
  <c r="B656" i="1"/>
  <c r="A657" i="1"/>
  <c r="C42" i="2"/>
  <c r="D42" i="2"/>
  <c r="B599" i="1"/>
  <c r="A599" i="1"/>
  <c r="C41" i="2"/>
  <c r="D41" i="2"/>
  <c r="B574" i="1"/>
  <c r="A574" i="1"/>
  <c r="B572" i="1"/>
  <c r="C18" i="2"/>
  <c r="D18" i="2"/>
  <c r="B292" i="1"/>
  <c r="A292" i="1"/>
  <c r="B185" i="1"/>
  <c r="D12" i="2" s="1"/>
  <c r="A185" i="1"/>
  <c r="C12" i="2" s="1"/>
  <c r="A208" i="1" l="1"/>
  <c r="C13" i="2"/>
  <c r="B86" i="1"/>
  <c r="D9" i="2" s="1"/>
  <c r="A82" i="1"/>
  <c r="A86" i="1" s="1"/>
  <c r="C34" i="2"/>
  <c r="B707" i="1"/>
  <c r="D34" i="2" s="1"/>
  <c r="A707" i="1"/>
  <c r="B644" i="1"/>
  <c r="D43" i="2" s="1"/>
  <c r="A644" i="1"/>
  <c r="C43" i="2" s="1"/>
  <c r="A625" i="1"/>
  <c r="C32" i="2" s="1"/>
  <c r="B584" i="1"/>
  <c r="D31" i="2" s="1"/>
  <c r="A584" i="1"/>
  <c r="C31" i="2" s="1"/>
  <c r="A540" i="1"/>
  <c r="C29" i="2" s="1"/>
  <c r="A530" i="1"/>
  <c r="C28" i="2" s="1"/>
  <c r="C27" i="2"/>
  <c r="B511" i="1"/>
  <c r="D26" i="2" s="1"/>
  <c r="A511" i="1"/>
  <c r="C26" i="2" s="1"/>
  <c r="A500" i="1"/>
  <c r="C25" i="2" s="1"/>
  <c r="C24" i="2"/>
  <c r="B473" i="1"/>
  <c r="A473" i="1"/>
  <c r="C23" i="2"/>
  <c r="D23" i="2"/>
  <c r="B422" i="1"/>
  <c r="D22" i="2" s="1"/>
  <c r="A422" i="1"/>
  <c r="C22" i="2" s="1"/>
  <c r="A403" i="1"/>
  <c r="C21" i="2" s="1"/>
  <c r="A386" i="1"/>
  <c r="C20" i="2" s="1"/>
  <c r="C39" i="2"/>
  <c r="A341" i="1"/>
  <c r="C19" i="2" s="1"/>
  <c r="B324" i="1"/>
  <c r="D38" i="2" s="1"/>
  <c r="A324" i="1"/>
  <c r="C38" i="2" s="1"/>
  <c r="B283" i="1"/>
  <c r="D17" i="2" s="1"/>
  <c r="A283" i="1"/>
  <c r="C17" i="2" s="1"/>
  <c r="B222" i="1"/>
  <c r="D14" i="2" s="1"/>
  <c r="A222" i="1"/>
  <c r="C14" i="2" s="1"/>
  <c r="AB213" i="1"/>
  <c r="B208" i="1" s="1"/>
  <c r="D13" i="2" s="1"/>
  <c r="A201" i="1"/>
  <c r="A175" i="1"/>
  <c r="B157" i="1"/>
  <c r="D11" i="2" s="1"/>
  <c r="A157" i="1"/>
  <c r="C11" i="2" s="1"/>
  <c r="C10" i="2"/>
  <c r="B147" i="1"/>
  <c r="D10" i="2" s="1"/>
  <c r="A147" i="1"/>
  <c r="B126" i="1"/>
  <c r="D37" i="2" s="1"/>
  <c r="A126" i="1"/>
  <c r="C37" i="2" s="1"/>
  <c r="B105" i="1"/>
  <c r="D36" i="2" s="1"/>
  <c r="A105" i="1"/>
  <c r="C36" i="2" s="1"/>
  <c r="A69" i="1"/>
  <c r="C8" i="2" s="1"/>
  <c r="B53" i="1"/>
  <c r="D7" i="2" s="1"/>
  <c r="A53" i="1"/>
  <c r="C7" i="2" s="1"/>
  <c r="B28" i="1"/>
  <c r="D6" i="2" s="1"/>
  <c r="A28" i="1"/>
  <c r="C6" i="2" s="1"/>
  <c r="A8" i="1"/>
  <c r="C5" i="2" s="1"/>
  <c r="V7" i="1"/>
</calcChain>
</file>

<file path=xl/sharedStrings.xml><?xml version="1.0" encoding="utf-8"?>
<sst xmlns="http://schemas.openxmlformats.org/spreadsheetml/2006/main" count="316" uniqueCount="134">
  <si>
    <t>ameren</t>
  </si>
  <si>
    <t>aep</t>
  </si>
  <si>
    <t>ava</t>
  </si>
  <si>
    <t>bkh</t>
  </si>
  <si>
    <t>cnp</t>
  </si>
  <si>
    <t>cms</t>
  </si>
  <si>
    <t>ed</t>
  </si>
  <si>
    <t>d</t>
  </si>
  <si>
    <t>DUK</t>
  </si>
  <si>
    <t>eix</t>
  </si>
  <si>
    <t>ee</t>
  </si>
  <si>
    <t>etr</t>
  </si>
  <si>
    <t>fe</t>
  </si>
  <si>
    <t>gxp</t>
  </si>
  <si>
    <t>he</t>
  </si>
  <si>
    <t>ida</t>
  </si>
  <si>
    <t>mge</t>
  </si>
  <si>
    <t>NEE</t>
  </si>
  <si>
    <t>NEW</t>
  </si>
  <si>
    <t>OGE</t>
  </si>
  <si>
    <t>OTTR</t>
  </si>
  <si>
    <t>pge</t>
  </si>
  <si>
    <t>PPL</t>
  </si>
  <si>
    <t>PNM</t>
  </si>
  <si>
    <t>PNW</t>
  </si>
  <si>
    <t>POR</t>
  </si>
  <si>
    <t>PEG</t>
  </si>
  <si>
    <t>SCG</t>
  </si>
  <si>
    <t>SRE</t>
  </si>
  <si>
    <t>SO</t>
  </si>
  <si>
    <t>VVC</t>
  </si>
  <si>
    <t>WEC</t>
  </si>
  <si>
    <t>XEL</t>
  </si>
  <si>
    <t>ALLETE, Inc. (NYSE-ALE)</t>
  </si>
  <si>
    <t>Alliant  Energy Corporation (NYSE-LNT)</t>
  </si>
  <si>
    <t>Ameren Corporation (NYSE-AEE)</t>
  </si>
  <si>
    <t>American Electric Power Co. (NYSE-AEP)</t>
  </si>
  <si>
    <t>Avista Corporation (NYSE-AVA)</t>
  </si>
  <si>
    <t>Black Hills Corporation (NYSE-BKH)</t>
  </si>
  <si>
    <t>CMS Energy Corporation (NYSE-CMS)</t>
  </si>
  <si>
    <t>Consolidated Edison, Inc. (NYSE-ED)</t>
  </si>
  <si>
    <t>Dominion Resources, Inc. (NYSE-D)</t>
  </si>
  <si>
    <t>DTE Energy Company (NYSE-DTE)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</si>
  <si>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</si>
  <si>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</si>
  <si>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</si>
  <si>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</si>
  <si>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</si>
  <si>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FirstEnergy Corporation (NYSE-FE)</t>
  </si>
  <si>
    <t>Hawaiian Electric Inductries (NYSE-HEC)</t>
  </si>
  <si>
    <t>IDACORP, Inc. (NYSE-IDA)</t>
  </si>
  <si>
    <t>MGE Energy, Inc. (NYSE-MGEE)</t>
  </si>
  <si>
    <t>NorthWestern Corporation (NYSE-NWE)</t>
  </si>
  <si>
    <t>OGE Energy Corp. (NYSE-OGE)</t>
  </si>
  <si>
    <t>Otter Tail Corporation (NDQ-OTTR)</t>
  </si>
  <si>
    <t>PG&amp;E Corporation (NYSE-PCG)</t>
  </si>
  <si>
    <t>Pinnacle West Capital Corp. (NYSE-PNW)</t>
  </si>
  <si>
    <t>PNM Resources, Inc. (NYSE-PNM)</t>
  </si>
  <si>
    <t>Portland General Electric Company (NYSE-POR)</t>
  </si>
  <si>
    <t>PPL Corporation (NYSE-PPL)</t>
  </si>
  <si>
    <t>SCANA Corporation (NYSE-SCG)</t>
  </si>
  <si>
    <t>Southern Company (NYSE-SO)</t>
  </si>
  <si>
    <t>WEC Energy Group (NYSE-WEC)</t>
  </si>
  <si>
    <t>Xcel Energy Inc. (NYSE-XEL)</t>
  </si>
  <si>
    <t>=</t>
  </si>
  <si>
    <t>Centerpoint</t>
  </si>
  <si>
    <t>Exelon</t>
  </si>
  <si>
    <t>Great Plains</t>
  </si>
  <si>
    <t>Nextera</t>
  </si>
  <si>
    <t>PSEG</t>
  </si>
  <si>
    <t>Sempra</t>
  </si>
  <si>
    <t>AVA</t>
  </si>
  <si>
    <t>Alliant</t>
  </si>
  <si>
    <t>ALLETE</t>
  </si>
  <si>
    <t>AEP</t>
  </si>
  <si>
    <t>BKH</t>
  </si>
  <si>
    <t>CNP</t>
  </si>
  <si>
    <t>CMS</t>
  </si>
  <si>
    <t>ED</t>
  </si>
  <si>
    <t>D</t>
  </si>
  <si>
    <t>DTE</t>
  </si>
  <si>
    <t>Percent Regulated</t>
  </si>
  <si>
    <t>Electric</t>
  </si>
  <si>
    <t>Gas</t>
  </si>
  <si>
    <t>ETR</t>
  </si>
  <si>
    <t>EE</t>
  </si>
  <si>
    <t>ES</t>
  </si>
  <si>
    <t>EXC</t>
  </si>
  <si>
    <t>CL&amp;P</t>
  </si>
  <si>
    <t/>
  </si>
  <si>
    <t>% of Total</t>
  </si>
  <si>
    <t>%</t>
  </si>
  <si>
    <t>WESTERN MASSACHUSETTS ELECTRIC COMPANY</t>
  </si>
  <si>
    <t>NSTAR Electric</t>
  </si>
  <si>
    <t>(Thousands of Dollars, except percentages)</t>
  </si>
  <si>
    <t>Residential</t>
  </si>
  <si>
    <t>Commercial</t>
  </si>
  <si>
    <t>Industrial</t>
  </si>
  <si>
    <t>Other</t>
  </si>
  <si>
    <t>Total Retail Electric Revenues</t>
  </si>
  <si>
    <t>PUBLIC SERVICE COMPANY OF NEW HAMPSHIRE</t>
  </si>
  <si>
    <t>PSNH</t>
  </si>
  <si>
    <t>Wholesale Transmission Revenues</t>
  </si>
  <si>
    <t>(Thousands of Dollars)</t>
  </si>
  <si>
    <t>WMECO</t>
  </si>
  <si>
    <t>Total Wholesale Transmission Revenues</t>
  </si>
  <si>
    <t>NATURAL GAS DISTRIBUTION SEGMENT</t>
  </si>
  <si>
    <t>Total Retail Natural Gas Revenues</t>
  </si>
  <si>
    <t>Eversource Selected Consolidated Sales</t>
  </si>
  <si>
    <t>Statistics</t>
  </si>
  <si>
    <t>Revenues: (Thousands)</t>
  </si>
  <si>
    <t xml:space="preserve">   Residential</t>
  </si>
  <si>
    <t xml:space="preserve">   Commercial</t>
  </si>
  <si>
    <t xml:space="preserve">   Industrial</t>
  </si>
  <si>
    <t xml:space="preserve">   Wholesale</t>
  </si>
  <si>
    <t xml:space="preserve">   Other and Eliminations</t>
  </si>
  <si>
    <t>Total Electric</t>
  </si>
  <si>
    <t>Natural Gas</t>
  </si>
  <si>
    <t>Total - Regulated Companies</t>
  </si>
  <si>
    <t>Total</t>
  </si>
  <si>
    <t>Regulated Companies - Sales Volumes:</t>
  </si>
  <si>
    <t>Electric (GWh)</t>
  </si>
  <si>
    <t>Wholesale</t>
  </si>
  <si>
    <t>Natural Gas (million cubic feet)</t>
  </si>
  <si>
    <t>Regulated Companies - Customers: (Average)</t>
  </si>
  <si>
    <t>FE</t>
  </si>
  <si>
    <t>GXP</t>
  </si>
  <si>
    <t>HE</t>
  </si>
  <si>
    <t>IDA</t>
  </si>
  <si>
    <t>MGE</t>
  </si>
  <si>
    <t>PGE</t>
  </si>
  <si>
    <t>wi</t>
  </si>
  <si>
    <t>ill</t>
  </si>
  <si>
    <t>Other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</si>
</sst>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;[Red]\(&quot;$&quot;##,#00\)"/>
    <numFmt numFmtId="165" formatCode="#,##0;[Red]\(#,##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9"/>
      <color indexed="0"/>
      <name val="Courier New"/>
      <family val="3"/>
    </font>
    <font>
      <b/>
      <sz val="9"/>
      <color indexed="0"/>
      <name val="Courier New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9" fontId="3" fillId="0" borderId="0" xfId="1" applyFont="1"/>
    <xf numFmtId="9" fontId="3" fillId="0" borderId="0" xfId="1" applyFont="1" applyFill="1"/>
    <xf numFmtId="0" fontId="0" fillId="0" borderId="0" xfId="0" applyFill="1"/>
    <xf numFmtId="0" fontId="2" fillId="0" borderId="4" xfId="0" applyFont="1" applyFill="1" applyBorder="1" applyAlignment="1">
      <alignment horizontal="left"/>
    </xf>
    <xf numFmtId="0" fontId="0" fillId="2" borderId="0" xfId="0" applyFill="1"/>
    <xf numFmtId="0" fontId="0" fillId="0" borderId="0" xfId="0"/>
    <xf numFmtId="0" fontId="4" fillId="0" borderId="0" xfId="0" applyFont="1" applyFill="1" applyAlignment="1" applyProtection="1">
      <alignment horizontal="right"/>
    </xf>
    <xf numFmtId="165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 applyProtection="1"/>
    <xf numFmtId="0" fontId="5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  <xf numFmtId="10" fontId="0" fillId="0" borderId="0" xfId="1" applyNumberFormat="1" applyFont="1"/>
    <xf numFmtId="0" fontId="0" fillId="0" borderId="0" xfId="0" quotePrefix="1"/>
    <xf numFmtId="165" fontId="4" fillId="0" borderId="0" xfId="0" applyNumberFormat="1" applyFont="1" applyFill="1" applyAlignment="1" applyProtection="1">
      <alignment horizontal="right"/>
    </xf>
    <xf numFmtId="0" fontId="0" fillId="0" borderId="0" xfId="0"/>
    <xf numFmtId="0" fontId="4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76200</xdr:colOff>
      <xdr:row>81</xdr:row>
      <xdr:rowOff>38100</xdr:rowOff>
    </xdr:from>
    <xdr:to>
      <xdr:col>30</xdr:col>
      <xdr:colOff>484733</xdr:colOff>
      <xdr:row>93</xdr:row>
      <xdr:rowOff>94957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400" y="15468600"/>
          <a:ext cx="8333333" cy="23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17</xdr:col>
      <xdr:colOff>265471</xdr:colOff>
      <xdr:row>20</xdr:row>
      <xdr:rowOff>171024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9828571" cy="34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21</xdr:row>
      <xdr:rowOff>1</xdr:rowOff>
    </xdr:from>
    <xdr:to>
      <xdr:col>18</xdr:col>
      <xdr:colOff>476502</xdr:colOff>
      <xdr:row>45</xdr:row>
      <xdr:rowOff>66131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0" y="4000501"/>
          <a:ext cx="10420602" cy="46381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17</xdr:col>
      <xdr:colOff>189281</xdr:colOff>
      <xdr:row>61</xdr:row>
      <xdr:rowOff>113929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763000"/>
          <a:ext cx="9752381" cy="2971429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51</xdr:row>
      <xdr:rowOff>123825</xdr:rowOff>
    </xdr:from>
    <xdr:to>
      <xdr:col>19</xdr:col>
      <xdr:colOff>46401</xdr:colOff>
      <xdr:row>60</xdr:row>
      <xdr:rowOff>104563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76625" y="9839325"/>
          <a:ext cx="9790476" cy="1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485774</xdr:colOff>
      <xdr:row>63</xdr:row>
      <xdr:rowOff>142874</xdr:rowOff>
    </xdr:from>
    <xdr:to>
      <xdr:col>18</xdr:col>
      <xdr:colOff>141661</xdr:colOff>
      <xdr:row>74</xdr:row>
      <xdr:rowOff>114299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4974" y="12144374"/>
          <a:ext cx="11647862" cy="2066925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381000</xdr:colOff>
      <xdr:row>61</xdr:row>
      <xdr:rowOff>161925</xdr:rowOff>
    </xdr:from>
    <xdr:to>
      <xdr:col>37</xdr:col>
      <xdr:colOff>455971</xdr:colOff>
      <xdr:row>78</xdr:row>
      <xdr:rowOff>47234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82600" y="11782425"/>
          <a:ext cx="9828571" cy="31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80</xdr:row>
      <xdr:rowOff>0</xdr:rowOff>
    </xdr:from>
    <xdr:to>
      <xdr:col>11</xdr:col>
      <xdr:colOff>93710</xdr:colOff>
      <xdr:row>88</xdr:row>
      <xdr:rowOff>180975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3050" y="15240000"/>
          <a:ext cx="7494635" cy="1704975"/>
        </a:xfrm>
        <a:prstGeom prst="rect">
          <a:avLst/>
        </a:prstGeom>
      </xdr:spPr>
    </xdr:pic>
    <xdr:clientData/>
  </xdr:twoCellAnchor>
  <xdr:twoCellAnchor editAs="oneCell">
    <xdr:from>
      <xdr:col>28</xdr:col>
      <xdr:colOff>533400</xdr:colOff>
      <xdr:row>80</xdr:row>
      <xdr:rowOff>47625</xdr:rowOff>
    </xdr:from>
    <xdr:to>
      <xdr:col>44</xdr:col>
      <xdr:colOff>532181</xdr:colOff>
      <xdr:row>93</xdr:row>
      <xdr:rowOff>152077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02200" y="15287625"/>
          <a:ext cx="9752381" cy="2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17</xdr:col>
      <xdr:colOff>465471</xdr:colOff>
      <xdr:row>118</xdr:row>
      <xdr:rowOff>123357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859500"/>
          <a:ext cx="10028571" cy="3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97</xdr:row>
      <xdr:rowOff>67978</xdr:rowOff>
    </xdr:from>
    <xdr:to>
      <xdr:col>21</xdr:col>
      <xdr:colOff>495300</xdr:colOff>
      <xdr:row>118</xdr:row>
      <xdr:rowOff>94814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90900" y="18546478"/>
          <a:ext cx="11544300" cy="4027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0</xdr:rowOff>
    </xdr:from>
    <xdr:to>
      <xdr:col>17</xdr:col>
      <xdr:colOff>132138</xdr:colOff>
      <xdr:row>140</xdr:row>
      <xdr:rowOff>66214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050500"/>
          <a:ext cx="9695238" cy="3685714"/>
        </a:xfrm>
        <a:prstGeom prst="rect">
          <a:avLst/>
        </a:prstGeom>
      </xdr:spPr>
    </xdr:pic>
    <xdr:clientData/>
  </xdr:twoCellAnchor>
  <xdr:twoCellAnchor editAs="oneCell">
    <xdr:from>
      <xdr:col>7</xdr:col>
      <xdr:colOff>162009</xdr:colOff>
      <xdr:row>122</xdr:row>
      <xdr:rowOff>0</xdr:rowOff>
    </xdr:from>
    <xdr:to>
      <xdr:col>22</xdr:col>
      <xdr:colOff>522798</xdr:colOff>
      <xdr:row>135</xdr:row>
      <xdr:rowOff>47625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29209" y="23241000"/>
          <a:ext cx="11143089" cy="2524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143</xdr:row>
      <xdr:rowOff>0</xdr:rowOff>
    </xdr:from>
    <xdr:to>
      <xdr:col>17</xdr:col>
      <xdr:colOff>436900</xdr:colOff>
      <xdr:row>152</xdr:row>
      <xdr:rowOff>47405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7241500"/>
          <a:ext cx="10000000" cy="17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142</xdr:row>
      <xdr:rowOff>123825</xdr:rowOff>
    </xdr:from>
    <xdr:to>
      <xdr:col>19</xdr:col>
      <xdr:colOff>475115</xdr:colOff>
      <xdr:row>151</xdr:row>
      <xdr:rowOff>37896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19625" y="27174825"/>
          <a:ext cx="9076190" cy="1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17</xdr:col>
      <xdr:colOff>370233</xdr:colOff>
      <xdr:row>162</xdr:row>
      <xdr:rowOff>85524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9337000"/>
          <a:ext cx="9933333" cy="1609524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190500</xdr:colOff>
      <xdr:row>150</xdr:row>
      <xdr:rowOff>123825</xdr:rowOff>
    </xdr:from>
    <xdr:to>
      <xdr:col>27</xdr:col>
      <xdr:colOff>370995</xdr:colOff>
      <xdr:row>165</xdr:row>
      <xdr:rowOff>47277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992100" y="28698825"/>
          <a:ext cx="3838095" cy="27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295275</xdr:colOff>
      <xdr:row>166</xdr:row>
      <xdr:rowOff>161925</xdr:rowOff>
    </xdr:from>
    <xdr:to>
      <xdr:col>34</xdr:col>
      <xdr:colOff>436913</xdr:colOff>
      <xdr:row>189</xdr:row>
      <xdr:rowOff>56615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268075" y="31784925"/>
          <a:ext cx="9895238" cy="42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166</xdr:row>
      <xdr:rowOff>123824</xdr:rowOff>
    </xdr:from>
    <xdr:to>
      <xdr:col>24</xdr:col>
      <xdr:colOff>46916</xdr:colOff>
      <xdr:row>177</xdr:row>
      <xdr:rowOff>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19350" y="31746824"/>
          <a:ext cx="13896266" cy="1971676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171449</xdr:colOff>
      <xdr:row>190</xdr:row>
      <xdr:rowOff>131355</xdr:rowOff>
    </xdr:from>
    <xdr:to>
      <xdr:col>28</xdr:col>
      <xdr:colOff>91906</xdr:colOff>
      <xdr:row>211</xdr:row>
      <xdr:rowOff>74597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67449" y="36326355"/>
          <a:ext cx="10893257" cy="394374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217</xdr:row>
      <xdr:rowOff>0</xdr:rowOff>
    </xdr:from>
    <xdr:to>
      <xdr:col>14</xdr:col>
      <xdr:colOff>132443</xdr:colOff>
      <xdr:row>252</xdr:row>
      <xdr:rowOff>75357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9600" y="41338500"/>
          <a:ext cx="7257143" cy="6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255</xdr:row>
      <xdr:rowOff>0</xdr:rowOff>
    </xdr:from>
    <xdr:to>
      <xdr:col>9</xdr:col>
      <xdr:colOff>466081</xdr:colOff>
      <xdr:row>267</xdr:row>
      <xdr:rowOff>66381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48577500"/>
          <a:ext cx="5152381" cy="23523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271</xdr:row>
      <xdr:rowOff>0</xdr:rowOff>
    </xdr:from>
    <xdr:to>
      <xdr:col>18</xdr:col>
      <xdr:colOff>474995</xdr:colOff>
      <xdr:row>277</xdr:row>
      <xdr:rowOff>142714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51625500"/>
          <a:ext cx="10038095" cy="12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280</xdr:row>
      <xdr:rowOff>0</xdr:rowOff>
    </xdr:from>
    <xdr:to>
      <xdr:col>21</xdr:col>
      <xdr:colOff>398500</xdr:colOff>
      <xdr:row>286</xdr:row>
      <xdr:rowOff>57000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53340000"/>
          <a:ext cx="12400000" cy="12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318</xdr:row>
      <xdr:rowOff>0</xdr:rowOff>
    </xdr:from>
    <xdr:to>
      <xdr:col>18</xdr:col>
      <xdr:colOff>522538</xdr:colOff>
      <xdr:row>327</xdr:row>
      <xdr:rowOff>133119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58102500"/>
          <a:ext cx="10695238" cy="184761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318</xdr:row>
      <xdr:rowOff>0</xdr:rowOff>
    </xdr:from>
    <xdr:to>
      <xdr:col>38</xdr:col>
      <xdr:colOff>551238</xdr:colOff>
      <xdr:row>333</xdr:row>
      <xdr:rowOff>56786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582400" y="58102500"/>
          <a:ext cx="9695238" cy="2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336</xdr:row>
      <xdr:rowOff>0</xdr:rowOff>
    </xdr:from>
    <xdr:to>
      <xdr:col>17</xdr:col>
      <xdr:colOff>246424</xdr:colOff>
      <xdr:row>350</xdr:row>
      <xdr:rowOff>9190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61531500"/>
          <a:ext cx="9809524" cy="267619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336</xdr:row>
      <xdr:rowOff>0</xdr:rowOff>
    </xdr:from>
    <xdr:to>
      <xdr:col>38</xdr:col>
      <xdr:colOff>17828</xdr:colOff>
      <xdr:row>366</xdr:row>
      <xdr:rowOff>180238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972800" y="61531500"/>
          <a:ext cx="9771428" cy="5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</xdr:row>
      <xdr:rowOff>161925</xdr:rowOff>
    </xdr:from>
    <xdr:to>
      <xdr:col>17</xdr:col>
      <xdr:colOff>322614</xdr:colOff>
      <xdr:row>375</xdr:row>
      <xdr:rowOff>133163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67598925"/>
          <a:ext cx="9885714" cy="1495238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369</xdr:row>
      <xdr:rowOff>0</xdr:rowOff>
    </xdr:from>
    <xdr:to>
      <xdr:col>23</xdr:col>
      <xdr:colOff>194571</xdr:colOff>
      <xdr:row>379</xdr:row>
      <xdr:rowOff>133350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95825" y="67818000"/>
          <a:ext cx="11157846" cy="20383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381</xdr:row>
      <xdr:rowOff>0</xdr:rowOff>
    </xdr:from>
    <xdr:to>
      <xdr:col>17</xdr:col>
      <xdr:colOff>151186</xdr:colOff>
      <xdr:row>394</xdr:row>
      <xdr:rowOff>190167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70104000"/>
          <a:ext cx="9714286" cy="2666667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381</xdr:row>
      <xdr:rowOff>66675</xdr:rowOff>
    </xdr:from>
    <xdr:to>
      <xdr:col>22</xdr:col>
      <xdr:colOff>523875</xdr:colOff>
      <xdr:row>390</xdr:row>
      <xdr:rowOff>104775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305175" y="70170675"/>
          <a:ext cx="12268200" cy="1752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</xdr:row>
      <xdr:rowOff>0</xdr:rowOff>
    </xdr:from>
    <xdr:to>
      <xdr:col>17</xdr:col>
      <xdr:colOff>322614</xdr:colOff>
      <xdr:row>410</xdr:row>
      <xdr:rowOff>190238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73723500"/>
          <a:ext cx="9885714" cy="2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401</xdr:row>
      <xdr:rowOff>104775</xdr:rowOff>
    </xdr:from>
    <xdr:to>
      <xdr:col>26</xdr:col>
      <xdr:colOff>608383</xdr:colOff>
      <xdr:row>406</xdr:row>
      <xdr:rowOff>57037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724650" y="74018775"/>
          <a:ext cx="9733333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414</xdr:row>
      <xdr:rowOff>0</xdr:rowOff>
    </xdr:from>
    <xdr:to>
      <xdr:col>14</xdr:col>
      <xdr:colOff>265700</xdr:colOff>
      <xdr:row>444</xdr:row>
      <xdr:rowOff>142143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76390500"/>
          <a:ext cx="8000000" cy="5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17</xdr:col>
      <xdr:colOff>274995</xdr:colOff>
      <xdr:row>458</xdr:row>
      <xdr:rowOff>161690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83058000"/>
          <a:ext cx="9838095" cy="1876190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455</xdr:row>
      <xdr:rowOff>152400</xdr:rowOff>
    </xdr:from>
    <xdr:to>
      <xdr:col>30</xdr:col>
      <xdr:colOff>380125</xdr:colOff>
      <xdr:row>467</xdr:row>
      <xdr:rowOff>37829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668125" y="84353400"/>
          <a:ext cx="7000000" cy="21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467</xdr:row>
      <xdr:rowOff>0</xdr:rowOff>
    </xdr:from>
    <xdr:to>
      <xdr:col>18</xdr:col>
      <xdr:colOff>389205</xdr:colOff>
      <xdr:row>477</xdr:row>
      <xdr:rowOff>95000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86487000"/>
          <a:ext cx="10561905" cy="200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469</xdr:row>
      <xdr:rowOff>0</xdr:rowOff>
    </xdr:from>
    <xdr:to>
      <xdr:col>38</xdr:col>
      <xdr:colOff>55924</xdr:colOff>
      <xdr:row>475</xdr:row>
      <xdr:rowOff>66524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972800" y="86868000"/>
          <a:ext cx="9809524" cy="1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482</xdr:row>
      <xdr:rowOff>0</xdr:rowOff>
    </xdr:from>
    <xdr:to>
      <xdr:col>18</xdr:col>
      <xdr:colOff>455871</xdr:colOff>
      <xdr:row>490</xdr:row>
      <xdr:rowOff>152190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89344500"/>
          <a:ext cx="10628571" cy="1676190"/>
        </a:xfrm>
        <a:prstGeom prst="rect">
          <a:avLst/>
        </a:prstGeom>
      </xdr:spPr>
    </xdr:pic>
    <xdr:clientData/>
  </xdr:twoCellAnchor>
  <xdr:twoCellAnchor editAs="oneCell">
    <xdr:from>
      <xdr:col>22</xdr:col>
      <xdr:colOff>57150</xdr:colOff>
      <xdr:row>482</xdr:row>
      <xdr:rowOff>85725</xdr:rowOff>
    </xdr:from>
    <xdr:to>
      <xdr:col>38</xdr:col>
      <xdr:colOff>160693</xdr:colOff>
      <xdr:row>489</xdr:row>
      <xdr:rowOff>114130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468350" y="89430225"/>
          <a:ext cx="9857143" cy="13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495</xdr:row>
      <xdr:rowOff>0</xdr:rowOff>
    </xdr:from>
    <xdr:to>
      <xdr:col>18</xdr:col>
      <xdr:colOff>322538</xdr:colOff>
      <xdr:row>504</xdr:row>
      <xdr:rowOff>190262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91821000"/>
          <a:ext cx="10495238" cy="190476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495</xdr:row>
      <xdr:rowOff>0</xdr:rowOff>
    </xdr:from>
    <xdr:to>
      <xdr:col>38</xdr:col>
      <xdr:colOff>522667</xdr:colOff>
      <xdr:row>500</xdr:row>
      <xdr:rowOff>47500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582400" y="91821000"/>
          <a:ext cx="9666667" cy="10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508</xdr:row>
      <xdr:rowOff>0</xdr:rowOff>
    </xdr:from>
    <xdr:to>
      <xdr:col>18</xdr:col>
      <xdr:colOff>427300</xdr:colOff>
      <xdr:row>513</xdr:row>
      <xdr:rowOff>18929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94297500"/>
          <a:ext cx="10600000" cy="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516</xdr:row>
      <xdr:rowOff>0</xdr:rowOff>
    </xdr:from>
    <xdr:to>
      <xdr:col>17</xdr:col>
      <xdr:colOff>417852</xdr:colOff>
      <xdr:row>523</xdr:row>
      <xdr:rowOff>66500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95821500"/>
          <a:ext cx="9980952" cy="14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526</xdr:row>
      <xdr:rowOff>0</xdr:rowOff>
    </xdr:from>
    <xdr:to>
      <xdr:col>18</xdr:col>
      <xdr:colOff>389205</xdr:colOff>
      <xdr:row>534</xdr:row>
      <xdr:rowOff>28381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97726500"/>
          <a:ext cx="10561905" cy="1552381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524</xdr:row>
      <xdr:rowOff>57150</xdr:rowOff>
    </xdr:from>
    <xdr:to>
      <xdr:col>35</xdr:col>
      <xdr:colOff>84596</xdr:colOff>
      <xdr:row>531</xdr:row>
      <xdr:rowOff>180793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392025" y="97402650"/>
          <a:ext cx="9028571" cy="14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538</xdr:row>
      <xdr:rowOff>0</xdr:rowOff>
    </xdr:from>
    <xdr:to>
      <xdr:col>22</xdr:col>
      <xdr:colOff>7947</xdr:colOff>
      <xdr:row>542</xdr:row>
      <xdr:rowOff>161810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00012500"/>
          <a:ext cx="12619047" cy="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546</xdr:row>
      <xdr:rowOff>0</xdr:rowOff>
    </xdr:from>
    <xdr:to>
      <xdr:col>18</xdr:col>
      <xdr:colOff>474919</xdr:colOff>
      <xdr:row>560</xdr:row>
      <xdr:rowOff>18714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01536500"/>
          <a:ext cx="10647619" cy="2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564</xdr:row>
      <xdr:rowOff>0</xdr:rowOff>
    </xdr:from>
    <xdr:to>
      <xdr:col>18</xdr:col>
      <xdr:colOff>417776</xdr:colOff>
      <xdr:row>574</xdr:row>
      <xdr:rowOff>47381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04965500"/>
          <a:ext cx="10590476" cy="1952381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564</xdr:row>
      <xdr:rowOff>152400</xdr:rowOff>
    </xdr:from>
    <xdr:to>
      <xdr:col>35</xdr:col>
      <xdr:colOff>208324</xdr:colOff>
      <xdr:row>572</xdr:row>
      <xdr:rowOff>66495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973175" y="107594400"/>
          <a:ext cx="9809524" cy="1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18</xdr:col>
      <xdr:colOff>551109</xdr:colOff>
      <xdr:row>586</xdr:row>
      <xdr:rowOff>95071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07823000"/>
          <a:ext cx="10723809" cy="142857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581</xdr:row>
      <xdr:rowOff>0</xdr:rowOff>
    </xdr:from>
    <xdr:to>
      <xdr:col>40</xdr:col>
      <xdr:colOff>255848</xdr:colOff>
      <xdr:row>589</xdr:row>
      <xdr:rowOff>190286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582400" y="108204000"/>
          <a:ext cx="10619048" cy="17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142876</xdr:colOff>
      <xdr:row>592</xdr:row>
      <xdr:rowOff>149603</xdr:rowOff>
    </xdr:from>
    <xdr:to>
      <xdr:col>21</xdr:col>
      <xdr:colOff>131684</xdr:colOff>
      <xdr:row>599</xdr:row>
      <xdr:rowOff>19050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086851" y="112925603"/>
          <a:ext cx="6084808" cy="12029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619</xdr:row>
      <xdr:rowOff>0</xdr:rowOff>
    </xdr:from>
    <xdr:to>
      <xdr:col>18</xdr:col>
      <xdr:colOff>379681</xdr:colOff>
      <xdr:row>633</xdr:row>
      <xdr:rowOff>180619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112966500"/>
          <a:ext cx="10552381" cy="28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619</xdr:row>
      <xdr:rowOff>152400</xdr:rowOff>
    </xdr:from>
    <xdr:to>
      <xdr:col>24</xdr:col>
      <xdr:colOff>217833</xdr:colOff>
      <xdr:row>629</xdr:row>
      <xdr:rowOff>161686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914900" y="113118900"/>
          <a:ext cx="9933333" cy="1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638</xdr:row>
      <xdr:rowOff>171450</xdr:rowOff>
    </xdr:from>
    <xdr:to>
      <xdr:col>19</xdr:col>
      <xdr:colOff>484368</xdr:colOff>
      <xdr:row>646</xdr:row>
      <xdr:rowOff>123640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447925" y="116757450"/>
          <a:ext cx="11257143" cy="1476190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228600</xdr:colOff>
      <xdr:row>640</xdr:row>
      <xdr:rowOff>28575</xdr:rowOff>
    </xdr:from>
    <xdr:to>
      <xdr:col>38</xdr:col>
      <xdr:colOff>217857</xdr:colOff>
      <xdr:row>655</xdr:row>
      <xdr:rowOff>47265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3639800" y="116995575"/>
          <a:ext cx="9742857" cy="28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650</xdr:row>
      <xdr:rowOff>104775</xdr:rowOff>
    </xdr:from>
    <xdr:to>
      <xdr:col>18</xdr:col>
      <xdr:colOff>170133</xdr:colOff>
      <xdr:row>667</xdr:row>
      <xdr:rowOff>142465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247900" y="118976775"/>
          <a:ext cx="10533333" cy="32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699</xdr:row>
      <xdr:rowOff>133350</xdr:rowOff>
    </xdr:from>
    <xdr:to>
      <xdr:col>19</xdr:col>
      <xdr:colOff>208170</xdr:colOff>
      <xdr:row>708</xdr:row>
      <xdr:rowOff>114088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90775" y="124720350"/>
          <a:ext cx="11038095" cy="169523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700</xdr:row>
      <xdr:rowOff>0</xdr:rowOff>
    </xdr:from>
    <xdr:to>
      <xdr:col>40</xdr:col>
      <xdr:colOff>341562</xdr:colOff>
      <xdr:row>715</xdr:row>
      <xdr:rowOff>37738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582400" y="124777500"/>
          <a:ext cx="10704762" cy="2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710</xdr:row>
      <xdr:rowOff>0</xdr:rowOff>
    </xdr:from>
    <xdr:to>
      <xdr:col>17</xdr:col>
      <xdr:colOff>389281</xdr:colOff>
      <xdr:row>723</xdr:row>
      <xdr:rowOff>75881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126682500"/>
          <a:ext cx="99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85</xdr:row>
      <xdr:rowOff>176043</xdr:rowOff>
    </xdr:from>
    <xdr:to>
      <xdr:col>20</xdr:col>
      <xdr:colOff>285750</xdr:colOff>
      <xdr:row>97</xdr:row>
      <xdr:rowOff>28136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353300" y="16368543"/>
          <a:ext cx="5124450" cy="2138093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581026</xdr:colOff>
      <xdr:row>85</xdr:row>
      <xdr:rowOff>50675</xdr:rowOff>
    </xdr:from>
    <xdr:to>
      <xdr:col>9</xdr:col>
      <xdr:colOff>390526</xdr:colOff>
      <xdr:row>94</xdr:row>
      <xdr:rowOff>104356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019426" y="16243175"/>
          <a:ext cx="4495800" cy="176818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32</xdr:col>
      <xdr:colOff>446781</xdr:colOff>
      <xdr:row>13</xdr:row>
      <xdr:rowOff>180833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801600" y="1524000"/>
          <a:ext cx="7152381" cy="11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27</xdr:row>
      <xdr:rowOff>142875</xdr:rowOff>
    </xdr:from>
    <xdr:to>
      <xdr:col>21</xdr:col>
      <xdr:colOff>276225</xdr:colOff>
      <xdr:row>40</xdr:row>
      <xdr:rowOff>152089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257925" y="5286375"/>
          <a:ext cx="6819900" cy="24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192</xdr:row>
      <xdr:rowOff>47625</xdr:rowOff>
    </xdr:from>
    <xdr:to>
      <xdr:col>17</xdr:col>
      <xdr:colOff>341673</xdr:colOff>
      <xdr:row>204</xdr:row>
      <xdr:rowOff>66387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24125" y="36623625"/>
          <a:ext cx="9819048" cy="23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601</xdr:row>
      <xdr:rowOff>168280</xdr:rowOff>
    </xdr:from>
    <xdr:to>
      <xdr:col>15</xdr:col>
      <xdr:colOff>8845</xdr:colOff>
      <xdr:row>609</xdr:row>
      <xdr:rowOff>94990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591425" y="114658780"/>
          <a:ext cx="3799795" cy="145071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590</xdr:row>
      <xdr:rowOff>142875</xdr:rowOff>
    </xdr:from>
    <xdr:to>
      <xdr:col>8</xdr:col>
      <xdr:colOff>361950</xdr:colOff>
      <xdr:row>603</xdr:row>
      <xdr:rowOff>189248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514475" y="112537875"/>
          <a:ext cx="5962650" cy="2522873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604</xdr:row>
      <xdr:rowOff>26812</xdr:rowOff>
    </xdr:from>
    <xdr:to>
      <xdr:col>8</xdr:col>
      <xdr:colOff>66675</xdr:colOff>
      <xdr:row>611</xdr:row>
      <xdr:rowOff>73812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71650" y="115088812"/>
          <a:ext cx="5410200" cy="13805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668</xdr:row>
      <xdr:rowOff>39646</xdr:rowOff>
    </xdr:from>
    <xdr:to>
      <xdr:col>9</xdr:col>
      <xdr:colOff>66676</xdr:colOff>
      <xdr:row>681</xdr:row>
      <xdr:rowOff>108577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924175" y="127293646"/>
          <a:ext cx="4867276" cy="2545431"/>
        </a:xfrm>
        <a:prstGeom prst="rect">
          <a:avLst/>
        </a:prstGeom>
      </xdr:spPr>
    </xdr:pic>
    <xdr:clientData/>
  </xdr:twoCellAnchor>
  <xdr:twoCellAnchor editAs="oneCell">
    <xdr:from>
      <xdr:col>3</xdr:col>
      <xdr:colOff>580429</xdr:colOff>
      <xdr:row>682</xdr:row>
      <xdr:rowOff>76200</xdr:rowOff>
    </xdr:from>
    <xdr:to>
      <xdr:col>12</xdr:col>
      <xdr:colOff>427614</xdr:colOff>
      <xdr:row>693</xdr:row>
      <xdr:rowOff>85420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009304" y="129997200"/>
          <a:ext cx="6971885" cy="210472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670</xdr:row>
      <xdr:rowOff>179253</xdr:rowOff>
    </xdr:from>
    <xdr:to>
      <xdr:col>20</xdr:col>
      <xdr:colOff>114300</xdr:colOff>
      <xdr:row>681</xdr:row>
      <xdr:rowOff>29797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248650" y="127814253"/>
          <a:ext cx="6296025" cy="1946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43"/>
  <sheetViews>
    <sheetView tabSelected="1" topLeftCell="A25" workbookViewId="0">
      <selection activeCell="E9" sqref="E9"/>
    </sheetView>
  </sheetViews>
  <sheetFormatPr defaultRowHeight="15.75" x14ac:dyDescent="0.25"/>
  <cols>
    <col min="2" max="2" width="49" customWidth="1"/>
    <col min="3" max="4" width="9.140625" style="6"/>
  </cols>
  <sheetData>
    <row r="4" spans="1:7" ht="16.5" thickBot="1" x14ac:dyDescent="0.3"/>
    <row r="5" spans="1:7" x14ac:dyDescent="0.25">
      <c r="A5">
        <v>1</v>
      </c>
      <c r="B5" s="1" t="s">
        <v>33</v>
      </c>
      <c r="C5" s="6">
        <f>'10-K Reports'!A8</f>
        <v>0.74695827424050165</v>
      </c>
    </row>
    <row r="6" spans="1:7" x14ac:dyDescent="0.25">
      <c r="A6">
        <f>A5+1</f>
        <v>2</v>
      </c>
      <c r="B6" s="2" t="s">
        <v>34</v>
      </c>
      <c r="C6" s="7">
        <f>'10-K Reports'!A28</f>
        <v>0.87681048940387252</v>
      </c>
      <c r="D6" s="7">
        <f>'10-K Reports'!B28</f>
        <v>0.10837017838085074</v>
      </c>
    </row>
    <row r="7" spans="1:7" x14ac:dyDescent="0.25">
      <c r="A7" s="11">
        <f t="shared" ref="A7:A34" si="0">A6+1</f>
        <v>3</v>
      </c>
      <c r="B7" s="2" t="s">
        <v>35</v>
      </c>
      <c r="C7" s="6">
        <f>'10-K Reports'!A53</f>
        <v>0.86611445783132535</v>
      </c>
      <c r="D7" s="6">
        <f>'10-K Reports'!B53</f>
        <v>0.10704819277108434</v>
      </c>
    </row>
    <row r="8" spans="1:7" x14ac:dyDescent="0.25">
      <c r="A8" s="11">
        <f t="shared" si="0"/>
        <v>4</v>
      </c>
      <c r="B8" s="2" t="s">
        <v>36</v>
      </c>
      <c r="C8" s="6">
        <f>'10-K Reports'!$A$69</f>
        <v>0.81444557725532818</v>
      </c>
    </row>
    <row r="9" spans="1:7" x14ac:dyDescent="0.25">
      <c r="A9" s="11">
        <f t="shared" si="0"/>
        <v>5</v>
      </c>
      <c r="B9" s="3" t="s">
        <v>37</v>
      </c>
      <c r="C9" s="7">
        <v>0.66</v>
      </c>
      <c r="D9" s="7">
        <f>'10-K Reports'!B86</f>
        <v>0.32644682814286202</v>
      </c>
      <c r="E9" s="8"/>
      <c r="G9" s="10"/>
    </row>
    <row r="10" spans="1:7" x14ac:dyDescent="0.25">
      <c r="A10" s="11">
        <f t="shared" si="0"/>
        <v>6</v>
      </c>
      <c r="B10" s="2" t="s">
        <v>39</v>
      </c>
      <c r="C10" s="6">
        <f>'10-K Reports'!A147</f>
        <v>0.68432567588685733</v>
      </c>
      <c r="D10" s="6">
        <f>'10-K Reports'!B147</f>
        <v>0.26332239412408187</v>
      </c>
    </row>
    <row r="11" spans="1:7" x14ac:dyDescent="0.25">
      <c r="A11" s="11">
        <f t="shared" si="0"/>
        <v>7</v>
      </c>
      <c r="B11" s="2" t="s">
        <v>40</v>
      </c>
      <c r="C11" s="6">
        <f>'10-K Reports'!A157</f>
        <v>0.72389233954451349</v>
      </c>
      <c r="D11" s="6">
        <f>'10-K Reports'!B157</f>
        <v>0.14012422360248447</v>
      </c>
    </row>
    <row r="12" spans="1:7" x14ac:dyDescent="0.25">
      <c r="A12" s="11">
        <f t="shared" si="0"/>
        <v>8</v>
      </c>
      <c r="B12" s="2" t="s">
        <v>41</v>
      </c>
      <c r="C12" s="7">
        <f>'10-K Reports'!A185</f>
        <v>0.62129999999999996</v>
      </c>
      <c r="D12" s="7">
        <f>'10-K Reports'!B185</f>
        <v>0.32869999999999994</v>
      </c>
    </row>
    <row r="13" spans="1:7" x14ac:dyDescent="0.25">
      <c r="A13" s="11">
        <f t="shared" si="0"/>
        <v>9</v>
      </c>
      <c r="B13" s="2" t="s">
        <v>42</v>
      </c>
      <c r="C13" s="6">
        <f>'10-K Reports'!A208</f>
        <v>0.50094073377234238</v>
      </c>
      <c r="D13" s="6">
        <f>'10-K Reports'!B208</f>
        <v>0.12455315145813735</v>
      </c>
    </row>
    <row r="14" spans="1:7" x14ac:dyDescent="0.25">
      <c r="A14" s="11">
        <f t="shared" si="0"/>
        <v>10</v>
      </c>
      <c r="B14" s="2" t="s">
        <v>43</v>
      </c>
      <c r="C14" s="6">
        <f>'10-K Reports'!A222</f>
        <v>0.93307830980961171</v>
      </c>
      <c r="D14" s="6">
        <f>'10-K Reports'!B222</f>
        <v>3.7945741546849578E-2</v>
      </c>
    </row>
    <row r="15" spans="1:7" x14ac:dyDescent="0.25">
      <c r="A15" s="11">
        <f t="shared" si="0"/>
        <v>11</v>
      </c>
      <c r="B15" s="2" t="s">
        <v>44</v>
      </c>
      <c r="C15" s="6">
        <v>1</v>
      </c>
    </row>
    <row r="16" spans="1:7" x14ac:dyDescent="0.25">
      <c r="A16" s="11">
        <f t="shared" si="0"/>
        <v>12</v>
      </c>
      <c r="B16" s="2" t="s">
        <v>45</v>
      </c>
      <c r="C16" s="6">
        <v>1</v>
      </c>
    </row>
    <row r="17" spans="1:5" x14ac:dyDescent="0.25">
      <c r="A17" s="11">
        <f t="shared" si="0"/>
        <v>13</v>
      </c>
      <c r="B17" s="2" t="s">
        <v>46</v>
      </c>
      <c r="C17" s="6">
        <f>'10-K Reports'!A283</f>
        <v>0.81723750184338595</v>
      </c>
      <c r="D17" s="6">
        <f>'10-K Reports'!B283</f>
        <v>1.1921885372870105E-2</v>
      </c>
    </row>
    <row r="18" spans="1:5" x14ac:dyDescent="0.25">
      <c r="A18" s="11">
        <f t="shared" si="0"/>
        <v>14</v>
      </c>
      <c r="B18" s="4" t="s">
        <v>47</v>
      </c>
      <c r="C18" s="7">
        <f>'10-K Reports'!A292</f>
        <v>0.88507681962171347</v>
      </c>
      <c r="D18" s="7">
        <f>'10-K Reports'!B292</f>
        <v>0.11186196750964672</v>
      </c>
    </row>
    <row r="19" spans="1:5" x14ac:dyDescent="0.25">
      <c r="A19" s="11">
        <f t="shared" si="0"/>
        <v>15</v>
      </c>
      <c r="B19" s="2" t="s">
        <v>48</v>
      </c>
      <c r="C19" s="6">
        <f>'10-K Reports'!$A$341</f>
        <v>0.74028292816920749</v>
      </c>
    </row>
    <row r="20" spans="1:5" x14ac:dyDescent="0.25">
      <c r="A20" s="11">
        <f t="shared" si="0"/>
        <v>16</v>
      </c>
      <c r="B20" s="2" t="s">
        <v>49</v>
      </c>
      <c r="C20" s="6">
        <f>'10-K Reports'!$A$386</f>
        <v>0.879462410751785</v>
      </c>
    </row>
    <row r="21" spans="1:5" x14ac:dyDescent="0.25">
      <c r="A21" s="11">
        <f t="shared" si="0"/>
        <v>17</v>
      </c>
      <c r="B21" s="2" t="s">
        <v>50</v>
      </c>
      <c r="C21" s="6">
        <f>'10-K Reports'!$A$403</f>
        <v>0.99762282091917587</v>
      </c>
    </row>
    <row r="22" spans="1:5" x14ac:dyDescent="0.25">
      <c r="A22" s="11">
        <f t="shared" si="0"/>
        <v>18</v>
      </c>
      <c r="B22" s="2" t="s">
        <v>51</v>
      </c>
      <c r="C22" s="6">
        <f>'10-K Reports'!A422</f>
        <v>0.75045871559633026</v>
      </c>
      <c r="D22" s="6">
        <f>'10-K Reports'!B422</f>
        <v>0.24770642201834864</v>
      </c>
    </row>
    <row r="23" spans="1:5" x14ac:dyDescent="0.25">
      <c r="A23" s="11">
        <f t="shared" si="0"/>
        <v>19</v>
      </c>
      <c r="B23" s="2" t="s">
        <v>52</v>
      </c>
      <c r="C23" s="6">
        <f>'10-K Reports'!A473</f>
        <v>0.80493331859213024</v>
      </c>
      <c r="D23" s="6">
        <f>'10-K Reports'!B473</f>
        <v>0.19566560906488542</v>
      </c>
    </row>
    <row r="24" spans="1:5" x14ac:dyDescent="0.25">
      <c r="A24" s="11">
        <f t="shared" si="0"/>
        <v>20</v>
      </c>
      <c r="B24" s="2" t="s">
        <v>53</v>
      </c>
      <c r="C24" s="6">
        <f>'10-K Reports'!$A$488</f>
        <v>1</v>
      </c>
    </row>
    <row r="25" spans="1:5" x14ac:dyDescent="0.25">
      <c r="A25" s="11">
        <f t="shared" si="0"/>
        <v>21</v>
      </c>
      <c r="B25" s="2" t="s">
        <v>54</v>
      </c>
      <c r="C25" s="6">
        <f>'10-K Reports'!$A$500</f>
        <v>0.5318758641459842</v>
      </c>
    </row>
    <row r="26" spans="1:5" x14ac:dyDescent="0.25">
      <c r="A26" s="11">
        <f t="shared" si="0"/>
        <v>22</v>
      </c>
      <c r="B26" s="2" t="s">
        <v>55</v>
      </c>
      <c r="C26" s="6">
        <f>'10-K Reports'!A511</f>
        <v>0.7847843314842069</v>
      </c>
      <c r="D26" s="6">
        <f>'10-K Reports'!B511</f>
        <v>0.21521566851579305</v>
      </c>
    </row>
    <row r="27" spans="1:5" x14ac:dyDescent="0.25">
      <c r="A27" s="11">
        <f t="shared" si="0"/>
        <v>23</v>
      </c>
      <c r="B27" s="2" t="s">
        <v>56</v>
      </c>
      <c r="C27" s="6">
        <f>'10-K Reports'!$A$520</f>
        <v>1</v>
      </c>
    </row>
    <row r="28" spans="1:5" x14ac:dyDescent="0.25">
      <c r="A28" s="11">
        <f t="shared" si="0"/>
        <v>24</v>
      </c>
      <c r="B28" s="2" t="s">
        <v>57</v>
      </c>
      <c r="C28" s="6">
        <f>'10-K Reports'!$A$530</f>
        <v>1</v>
      </c>
    </row>
    <row r="29" spans="1:5" x14ac:dyDescent="0.25">
      <c r="A29" s="11">
        <f t="shared" si="0"/>
        <v>25</v>
      </c>
      <c r="B29" s="2" t="s">
        <v>58</v>
      </c>
      <c r="C29" s="6">
        <f>'10-K Reports'!$A$540</f>
        <v>1</v>
      </c>
    </row>
    <row r="30" spans="1:5" x14ac:dyDescent="0.25">
      <c r="A30" s="11">
        <f t="shared" si="0"/>
        <v>26</v>
      </c>
      <c r="B30" s="2" t="s">
        <v>59</v>
      </c>
      <c r="C30" s="6">
        <v>0.61</v>
      </c>
      <c r="D30" s="6">
        <v>7.0000000000000007E-2</v>
      </c>
    </row>
    <row r="31" spans="1:5" x14ac:dyDescent="0.25">
      <c r="A31" s="11">
        <f t="shared" si="0"/>
        <v>27</v>
      </c>
      <c r="B31" s="2" t="s">
        <v>60</v>
      </c>
      <c r="C31" s="6">
        <f>'10-K Reports'!A584</f>
        <v>0.6032771751673206</v>
      </c>
      <c r="D31" s="6">
        <f>'10-K Reports'!B584</f>
        <v>0.19039926148165243</v>
      </c>
    </row>
    <row r="32" spans="1:5" x14ac:dyDescent="0.25">
      <c r="A32" s="11">
        <f t="shared" si="0"/>
        <v>28</v>
      </c>
      <c r="B32" s="2" t="s">
        <v>61</v>
      </c>
      <c r="C32" s="6">
        <f>'10-K Reports'!$A$625</f>
        <v>0.94293555949453944</v>
      </c>
      <c r="E32" s="6"/>
    </row>
    <row r="33" spans="1:5" x14ac:dyDescent="0.25">
      <c r="A33" s="11">
        <f t="shared" si="0"/>
        <v>29</v>
      </c>
      <c r="B33" s="2" t="s">
        <v>62</v>
      </c>
      <c r="C33" s="7">
        <f>'10-K Reports'!A657</f>
        <v>0.61935414798656374</v>
      </c>
      <c r="D33" s="7">
        <f>'10-K Reports'!B657</f>
        <v>0.37431580637822354</v>
      </c>
      <c r="E33" s="6"/>
    </row>
    <row r="34" spans="1:5" ht="16.5" thickBot="1" x14ac:dyDescent="0.3">
      <c r="A34" s="11">
        <f t="shared" si="0"/>
        <v>30</v>
      </c>
      <c r="B34" s="5" t="s">
        <v>63</v>
      </c>
      <c r="C34" s="6">
        <f>'10-K Reports'!A707</f>
        <v>0.85530616103503221</v>
      </c>
      <c r="D34" s="6">
        <f>'10-K Reports'!B707</f>
        <v>0.13787825585897057</v>
      </c>
      <c r="E34" s="6"/>
    </row>
    <row r="35" spans="1:5" x14ac:dyDescent="0.25">
      <c r="B35" s="9"/>
      <c r="E35" s="6"/>
    </row>
    <row r="36" spans="1:5" x14ac:dyDescent="0.25">
      <c r="B36" s="2" t="s">
        <v>38</v>
      </c>
      <c r="C36" s="6">
        <f>'10-K Reports'!A105</f>
        <v>0.42234117624620943</v>
      </c>
      <c r="D36" s="6">
        <f>'10-K Reports'!B105</f>
        <v>0.53296458770424049</v>
      </c>
    </row>
    <row r="37" spans="1:5" x14ac:dyDescent="0.25">
      <c r="B37" s="2" t="s">
        <v>65</v>
      </c>
      <c r="C37" s="6">
        <f>'10-K Reports'!A126</f>
        <v>0.40648246546227418</v>
      </c>
      <c r="D37" s="6">
        <f>'10-K Reports'!B126</f>
        <v>0.44221572794899044</v>
      </c>
    </row>
    <row r="38" spans="1:5" x14ac:dyDescent="0.25">
      <c r="B38" s="4" t="s">
        <v>66</v>
      </c>
      <c r="C38" s="6">
        <f>'10-K Reports'!A324</f>
        <v>0.47946428571428573</v>
      </c>
      <c r="D38" s="6">
        <f>'10-K Reports'!B324</f>
        <v>3.7181122448979594E-2</v>
      </c>
    </row>
    <row r="39" spans="1:5" x14ac:dyDescent="0.25">
      <c r="B39" s="2" t="s">
        <v>67</v>
      </c>
      <c r="C39" s="6">
        <f>'10-K Reports'!$A$374</f>
        <v>1</v>
      </c>
    </row>
    <row r="40" spans="1:5" x14ac:dyDescent="0.25">
      <c r="B40" s="2" t="s">
        <v>68</v>
      </c>
      <c r="C40" s="6">
        <v>0.67</v>
      </c>
    </row>
    <row r="41" spans="1:5" x14ac:dyDescent="0.25">
      <c r="B41" s="2" t="s">
        <v>69</v>
      </c>
      <c r="C41" s="6">
        <f>'10-K Reports'!A574</f>
        <v>0.48791524114336166</v>
      </c>
      <c r="D41" s="6">
        <f>'10-K Reports'!B574</f>
        <v>0.19865357024610969</v>
      </c>
    </row>
    <row r="42" spans="1:5" s="8" customFormat="1" x14ac:dyDescent="0.25">
      <c r="B42" s="2" t="s">
        <v>70</v>
      </c>
      <c r="C42" s="7">
        <f>'10-K Reports'!A599</f>
        <v>0.36865363841696946</v>
      </c>
      <c r="D42" s="7">
        <f>'10-K Reports'!B599</f>
        <v>0.38986546204458411</v>
      </c>
      <c r="E42" s="7"/>
    </row>
    <row r="43" spans="1:5" x14ac:dyDescent="0.25">
      <c r="B43" s="2" t="s">
        <v>30</v>
      </c>
      <c r="C43" s="6">
        <f>'10-K Reports'!A644</f>
        <v>0.24738647500816724</v>
      </c>
      <c r="D43" s="6">
        <f>'10-K Reports'!B644</f>
        <v>0.3101314150223044</v>
      </c>
      <c r="E43" s="6"/>
    </row>
  </sheetData>
  <pageMargins left="0.7" right="0.7" top="0.75" bottom="0.75" header="0.3" footer="0.3"/>
  <pageSetup paperSize="168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H707"/>
  <sheetViews>
    <sheetView topLeftCell="A652" workbookViewId="0">
      <selection activeCell="A657" sqref="A657:B657"/>
    </sheetView>
  </sheetViews>
  <sheetFormatPr defaultRowHeight="15" x14ac:dyDescent="0.25"/>
  <cols>
    <col min="3" max="3" width="18.140625" customWidth="1"/>
    <col min="8" max="8" width="33.7109375" customWidth="1"/>
  </cols>
  <sheetData>
    <row r="6" spans="1:22" x14ac:dyDescent="0.25">
      <c r="A6" t="s">
        <v>73</v>
      </c>
    </row>
    <row r="7" spans="1:22" x14ac:dyDescent="0.25">
      <c r="V7">
        <f>1000.7/1339.7</f>
        <v>0.74695827424050165</v>
      </c>
    </row>
    <row r="8" spans="1:22" x14ac:dyDescent="0.25">
      <c r="A8">
        <f>1000.7/1339.7</f>
        <v>0.74695827424050165</v>
      </c>
    </row>
    <row r="27" spans="1:2" x14ac:dyDescent="0.25">
      <c r="A27" t="s">
        <v>72</v>
      </c>
    </row>
    <row r="28" spans="1:2" x14ac:dyDescent="0.25">
      <c r="A28">
        <f>2875.5/3279.5</f>
        <v>0.87681048940387252</v>
      </c>
      <c r="B28">
        <f>355.4/3279.5</f>
        <v>0.10837017838085074</v>
      </c>
    </row>
    <row r="46" spans="1:1" x14ac:dyDescent="0.25">
      <c r="A46" t="s">
        <v>0</v>
      </c>
    </row>
    <row r="53" spans="1:5" x14ac:dyDescent="0.25">
      <c r="A53">
        <f>2875.5/3320</f>
        <v>0.86611445783132535</v>
      </c>
      <c r="B53">
        <f>355.4/3320</f>
        <v>0.10704819277108434</v>
      </c>
    </row>
    <row r="63" spans="1:5" x14ac:dyDescent="0.25">
      <c r="E63" t="s">
        <v>1</v>
      </c>
    </row>
    <row r="68" spans="1:5" x14ac:dyDescent="0.25">
      <c r="A68" t="s">
        <v>74</v>
      </c>
    </row>
    <row r="69" spans="1:5" x14ac:dyDescent="0.25">
      <c r="A69">
        <f>(9012.4+4328.3)/16380.1</f>
        <v>0.81444557725532818</v>
      </c>
    </row>
    <row r="76" spans="1:5" x14ac:dyDescent="0.25">
      <c r="E76" t="s">
        <v>2</v>
      </c>
    </row>
    <row r="78" spans="1:5" x14ac:dyDescent="0.25">
      <c r="A78" t="s">
        <v>71</v>
      </c>
    </row>
    <row r="80" spans="1:5" x14ac:dyDescent="0.25">
      <c r="B80">
        <v>470894</v>
      </c>
    </row>
    <row r="81" spans="1:2" x14ac:dyDescent="0.25">
      <c r="A81">
        <v>996959</v>
      </c>
    </row>
    <row r="82" spans="1:2" x14ac:dyDescent="0.25">
      <c r="A82">
        <f>SUM(A80:A81)</f>
        <v>996959</v>
      </c>
    </row>
    <row r="84" spans="1:2" x14ac:dyDescent="0.25">
      <c r="A84">
        <v>1442483</v>
      </c>
    </row>
    <row r="86" spans="1:2" x14ac:dyDescent="0.25">
      <c r="A86">
        <f>A82/A84</f>
        <v>0.69114090079397816</v>
      </c>
      <c r="B86">
        <f>B80/A84</f>
        <v>0.32644682814286202</v>
      </c>
    </row>
    <row r="99" spans="1:5" x14ac:dyDescent="0.25">
      <c r="E99" t="s">
        <v>3</v>
      </c>
    </row>
    <row r="103" spans="1:5" x14ac:dyDescent="0.25">
      <c r="A103" t="s">
        <v>75</v>
      </c>
    </row>
    <row r="105" spans="1:5" x14ac:dyDescent="0.25">
      <c r="A105">
        <f>664.33/1572.97</f>
        <v>0.42234117624620943</v>
      </c>
      <c r="B105">
        <f>838.3/1572.9</f>
        <v>0.53296458770424049</v>
      </c>
    </row>
    <row r="121" spans="1:5" x14ac:dyDescent="0.25">
      <c r="E121" t="s">
        <v>4</v>
      </c>
    </row>
    <row r="124" spans="1:5" x14ac:dyDescent="0.25">
      <c r="A124" t="s">
        <v>76</v>
      </c>
    </row>
    <row r="126" spans="1:5" x14ac:dyDescent="0.25">
      <c r="A126">
        <f>3060/7528</f>
        <v>0.40648246546227418</v>
      </c>
      <c r="B126">
        <f>3329/7528</f>
        <v>0.44221572794899044</v>
      </c>
    </row>
    <row r="129" spans="1:5" x14ac:dyDescent="0.25">
      <c r="A129" t="s">
        <v>64</v>
      </c>
    </row>
    <row r="142" spans="1:5" x14ac:dyDescent="0.25">
      <c r="E142" t="s">
        <v>5</v>
      </c>
    </row>
    <row r="146" spans="1:5" x14ac:dyDescent="0.25">
      <c r="A146" t="s">
        <v>77</v>
      </c>
    </row>
    <row r="147" spans="1:5" x14ac:dyDescent="0.25">
      <c r="A147">
        <f>4379/6399</f>
        <v>0.68432567588685733</v>
      </c>
      <c r="B147">
        <f>1685/6399</f>
        <v>0.26332239412408187</v>
      </c>
    </row>
    <row r="154" spans="1:5" x14ac:dyDescent="0.25">
      <c r="E154" t="s">
        <v>6</v>
      </c>
    </row>
    <row r="156" spans="1:5" x14ac:dyDescent="0.25">
      <c r="A156" t="s">
        <v>78</v>
      </c>
    </row>
    <row r="157" spans="1:5" x14ac:dyDescent="0.25">
      <c r="A157">
        <f>8741/12075</f>
        <v>0.72389233954451349</v>
      </c>
      <c r="B157">
        <f>1692/12075</f>
        <v>0.14012422360248447</v>
      </c>
    </row>
    <row r="170" spans="1:5" x14ac:dyDescent="0.25">
      <c r="E170" t="s">
        <v>7</v>
      </c>
    </row>
    <row r="174" spans="1:5" x14ac:dyDescent="0.25">
      <c r="A174" t="s">
        <v>79</v>
      </c>
    </row>
    <row r="175" spans="1:5" x14ac:dyDescent="0.25">
      <c r="A175">
        <f>2233/11737</f>
        <v>0.19025304592314901</v>
      </c>
    </row>
    <row r="181" spans="1:2" x14ac:dyDescent="0.25">
      <c r="A181" t="s">
        <v>81</v>
      </c>
    </row>
    <row r="182" spans="1:2" x14ac:dyDescent="0.25">
      <c r="A182">
        <v>0.95</v>
      </c>
    </row>
    <row r="183" spans="1:2" x14ac:dyDescent="0.25">
      <c r="A183" t="s">
        <v>82</v>
      </c>
      <c r="B183" t="s">
        <v>83</v>
      </c>
    </row>
    <row r="184" spans="1:2" x14ac:dyDescent="0.25">
      <c r="A184">
        <v>0.65400000000000003</v>
      </c>
      <c r="B184">
        <v>0.34599999999999997</v>
      </c>
    </row>
    <row r="185" spans="1:2" x14ac:dyDescent="0.25">
      <c r="A185">
        <f>A182*A184</f>
        <v>0.62129999999999996</v>
      </c>
      <c r="B185">
        <f>A182*B184</f>
        <v>0.32869999999999994</v>
      </c>
    </row>
    <row r="192" spans="1:2" x14ac:dyDescent="0.25">
      <c r="A192" t="s">
        <v>80</v>
      </c>
    </row>
    <row r="201" spans="1:2" x14ac:dyDescent="0.25">
      <c r="A201">
        <f>5225</f>
        <v>5225</v>
      </c>
    </row>
    <row r="204" spans="1:2" x14ac:dyDescent="0.25">
      <c r="A204" t="s">
        <v>64</v>
      </c>
    </row>
    <row r="205" spans="1:2" x14ac:dyDescent="0.25">
      <c r="A205" t="s">
        <v>80</v>
      </c>
    </row>
    <row r="208" spans="1:2" x14ac:dyDescent="0.25">
      <c r="A208">
        <f>(5325)/(6497+4133)</f>
        <v>0.50094073377234238</v>
      </c>
      <c r="B208">
        <f>1324/AB213</f>
        <v>0.12455315145813735</v>
      </c>
    </row>
    <row r="213" spans="1:28" x14ac:dyDescent="0.25">
      <c r="AB213">
        <f>6497+4133</f>
        <v>10630</v>
      </c>
    </row>
    <row r="216" spans="1:28" x14ac:dyDescent="0.25">
      <c r="E216" t="s">
        <v>8</v>
      </c>
    </row>
    <row r="222" spans="1:28" x14ac:dyDescent="0.25">
      <c r="A222">
        <f>21221/22743</f>
        <v>0.93307830980961171</v>
      </c>
      <c r="B222">
        <f>863/22743</f>
        <v>3.7945741546849578E-2</v>
      </c>
    </row>
    <row r="255" spans="5:5" x14ac:dyDescent="0.25">
      <c r="E255" t="s">
        <v>9</v>
      </c>
    </row>
    <row r="270" spans="1:5" x14ac:dyDescent="0.25">
      <c r="A270" t="s">
        <v>85</v>
      </c>
      <c r="E270" t="s">
        <v>10</v>
      </c>
    </row>
    <row r="280" spans="1:5" x14ac:dyDescent="0.25">
      <c r="E280" t="s">
        <v>11</v>
      </c>
    </row>
    <row r="281" spans="1:5" x14ac:dyDescent="0.25">
      <c r="A281" t="s">
        <v>84</v>
      </c>
    </row>
    <row r="283" spans="1:5" x14ac:dyDescent="0.25">
      <c r="A283">
        <f>8866.7/10849.6</f>
        <v>0.81723750184338595</v>
      </c>
      <c r="B283">
        <f>129.3/10845.6</f>
        <v>1.1921885372870105E-2</v>
      </c>
    </row>
    <row r="289" spans="1:60" x14ac:dyDescent="0.25">
      <c r="A289" t="s">
        <v>86</v>
      </c>
      <c r="H289" s="22" t="s">
        <v>108</v>
      </c>
      <c r="I289" s="21"/>
      <c r="J289" s="21"/>
      <c r="K289" s="21"/>
      <c r="AO289" s="15" t="s">
        <v>100</v>
      </c>
      <c r="AW289" s="15" t="s">
        <v>102</v>
      </c>
      <c r="BB289" s="15" t="s">
        <v>106</v>
      </c>
    </row>
    <row r="290" spans="1:60" x14ac:dyDescent="0.25">
      <c r="H290" s="22" t="s">
        <v>109</v>
      </c>
      <c r="I290" s="21"/>
      <c r="J290" s="21"/>
      <c r="K290" s="21"/>
      <c r="AO290" s="12" t="s">
        <v>89</v>
      </c>
      <c r="AW290" s="12" t="s">
        <v>89</v>
      </c>
      <c r="BB290" s="12" t="s">
        <v>89</v>
      </c>
    </row>
    <row r="291" spans="1:60" x14ac:dyDescent="0.25">
      <c r="H291" s="12" t="s">
        <v>89</v>
      </c>
      <c r="I291" s="23">
        <v>2016</v>
      </c>
      <c r="J291" s="21"/>
      <c r="K291" s="21"/>
      <c r="Z291" s="22" t="s">
        <v>88</v>
      </c>
      <c r="AA291" s="21"/>
      <c r="AB291" s="21"/>
      <c r="AC291" s="21"/>
      <c r="AD291" s="21"/>
      <c r="AE291" s="21"/>
      <c r="AG291" s="15" t="s">
        <v>92</v>
      </c>
      <c r="AO291" s="12" t="s">
        <v>89</v>
      </c>
      <c r="AW291" s="12" t="s">
        <v>89</v>
      </c>
      <c r="BB291" s="12" t="s">
        <v>89</v>
      </c>
    </row>
    <row r="292" spans="1:60" x14ac:dyDescent="0.25">
      <c r="A292" s="18">
        <f>I298/I302</f>
        <v>0.88507681962171347</v>
      </c>
      <c r="B292" s="18">
        <f>I299/I302</f>
        <v>0.11186196750964672</v>
      </c>
      <c r="H292" s="14" t="s">
        <v>110</v>
      </c>
      <c r="I292" s="12" t="s">
        <v>89</v>
      </c>
      <c r="K292" s="12" t="s">
        <v>89</v>
      </c>
      <c r="Z292" s="23">
        <v>2016</v>
      </c>
      <c r="AA292" s="21"/>
      <c r="AB292" s="21"/>
      <c r="AC292" s="12" t="s">
        <v>89</v>
      </c>
      <c r="AD292" s="22" t="s">
        <v>90</v>
      </c>
      <c r="AE292" s="21"/>
      <c r="AG292" s="12" t="s">
        <v>89</v>
      </c>
      <c r="AO292" s="12" t="s">
        <v>89</v>
      </c>
      <c r="AW292" s="12" t="s">
        <v>89</v>
      </c>
      <c r="BB292" s="12" t="s">
        <v>89</v>
      </c>
    </row>
    <row r="293" spans="1:60" x14ac:dyDescent="0.25">
      <c r="H293" s="14" t="s">
        <v>111</v>
      </c>
      <c r="I293" s="24">
        <v>3448043</v>
      </c>
      <c r="J293" s="21"/>
      <c r="K293" s="12" t="s">
        <v>89</v>
      </c>
      <c r="Z293" s="24">
        <v>1603351</v>
      </c>
      <c r="AA293" s="21"/>
      <c r="AB293" s="12" t="s">
        <v>89</v>
      </c>
      <c r="AC293" s="12" t="s">
        <v>89</v>
      </c>
      <c r="AD293" s="13">
        <v>61</v>
      </c>
      <c r="AE293" s="12" t="s">
        <v>89</v>
      </c>
      <c r="AG293" s="12" t="s">
        <v>89</v>
      </c>
      <c r="AO293" s="12" t="s">
        <v>89</v>
      </c>
      <c r="AW293" s="12" t="s">
        <v>89</v>
      </c>
      <c r="BB293" s="12" t="s">
        <v>89</v>
      </c>
    </row>
    <row r="294" spans="1:60" x14ac:dyDescent="0.25">
      <c r="H294" s="14" t="s">
        <v>112</v>
      </c>
      <c r="I294" s="20">
        <v>2465664</v>
      </c>
      <c r="J294" s="21"/>
      <c r="K294" s="12" t="s">
        <v>89</v>
      </c>
      <c r="Z294" s="20">
        <v>858965</v>
      </c>
      <c r="AA294" s="21"/>
      <c r="AB294" s="12" t="s">
        <v>89</v>
      </c>
      <c r="AC294" s="12" t="s">
        <v>89</v>
      </c>
      <c r="AD294" s="13">
        <v>32</v>
      </c>
      <c r="AE294" s="12" t="s">
        <v>89</v>
      </c>
      <c r="AG294" s="12" t="s">
        <v>89</v>
      </c>
      <c r="AO294" s="12" t="s">
        <v>89</v>
      </c>
      <c r="AP294" s="12" t="s">
        <v>89</v>
      </c>
      <c r="AQ294" s="12" t="s">
        <v>89</v>
      </c>
      <c r="AR294" s="12" t="s">
        <v>89</v>
      </c>
      <c r="AS294" s="12" t="s">
        <v>89</v>
      </c>
      <c r="AT294" s="12" t="s">
        <v>89</v>
      </c>
      <c r="AU294" s="12" t="s">
        <v>89</v>
      </c>
      <c r="AW294" s="12" t="s">
        <v>89</v>
      </c>
      <c r="AX294" s="12" t="s">
        <v>89</v>
      </c>
      <c r="AY294" s="12" t="s">
        <v>89</v>
      </c>
      <c r="AZ294" s="12" t="s">
        <v>89</v>
      </c>
      <c r="BB294" s="12" t="s">
        <v>89</v>
      </c>
      <c r="BC294" s="12" t="s">
        <v>89</v>
      </c>
      <c r="BD294" s="12" t="s">
        <v>89</v>
      </c>
      <c r="BE294" s="12" t="s">
        <v>89</v>
      </c>
      <c r="BF294" s="12" t="s">
        <v>89</v>
      </c>
      <c r="BG294" s="12" t="s">
        <v>89</v>
      </c>
      <c r="BH294" s="12" t="s">
        <v>89</v>
      </c>
    </row>
    <row r="295" spans="1:60" x14ac:dyDescent="0.25">
      <c r="H295" s="14" t="s">
        <v>113</v>
      </c>
      <c r="I295" s="20">
        <v>328103</v>
      </c>
      <c r="J295" s="21"/>
      <c r="K295" s="12" t="s">
        <v>89</v>
      </c>
      <c r="Z295" s="20">
        <v>139556</v>
      </c>
      <c r="AA295" s="21"/>
      <c r="AB295" s="12" t="s">
        <v>89</v>
      </c>
      <c r="AC295" s="12" t="s">
        <v>89</v>
      </c>
      <c r="AD295" s="13">
        <v>5</v>
      </c>
      <c r="AE295" s="12" t="s">
        <v>89</v>
      </c>
      <c r="AG295" s="12" t="s">
        <v>89</v>
      </c>
      <c r="AO295" s="12" t="s">
        <v>89</v>
      </c>
      <c r="AP295" s="14" t="s">
        <v>101</v>
      </c>
      <c r="AQ295" s="14"/>
      <c r="AR295" s="14"/>
      <c r="AS295" s="14"/>
      <c r="AT295" s="14"/>
      <c r="AU295" s="14"/>
      <c r="AW295" s="14" t="s">
        <v>103</v>
      </c>
      <c r="AX295" s="16">
        <v>2016</v>
      </c>
      <c r="AY295" s="16"/>
      <c r="AZ295" s="16"/>
      <c r="BB295" s="14" t="s">
        <v>94</v>
      </c>
      <c r="BC295" s="16">
        <v>2016</v>
      </c>
      <c r="BD295" s="16"/>
      <c r="BE295" s="16"/>
      <c r="BF295" s="12" t="s">
        <v>89</v>
      </c>
      <c r="BG295" s="14" t="s">
        <v>90</v>
      </c>
      <c r="BH295" s="14"/>
    </row>
    <row r="296" spans="1:60" x14ac:dyDescent="0.25">
      <c r="H296" s="14" t="s">
        <v>114</v>
      </c>
      <c r="I296" s="20">
        <v>426171</v>
      </c>
      <c r="J296" s="21"/>
      <c r="K296" s="12" t="s">
        <v>89</v>
      </c>
      <c r="Z296" s="20">
        <v>47672</v>
      </c>
      <c r="AA296" s="21"/>
      <c r="AB296" s="12" t="s">
        <v>89</v>
      </c>
      <c r="AC296" s="12" t="s">
        <v>89</v>
      </c>
      <c r="AD296" s="13">
        <v>2</v>
      </c>
      <c r="AE296" s="12" t="s">
        <v>89</v>
      </c>
      <c r="AG296" s="12" t="s">
        <v>89</v>
      </c>
      <c r="AH296" s="12" t="s">
        <v>89</v>
      </c>
      <c r="AI296" s="12" t="s">
        <v>89</v>
      </c>
      <c r="AJ296" s="12" t="s">
        <v>89</v>
      </c>
      <c r="AK296" s="12" t="s">
        <v>89</v>
      </c>
      <c r="AL296" s="12" t="s">
        <v>89</v>
      </c>
      <c r="AM296" s="12" t="s">
        <v>89</v>
      </c>
      <c r="AO296" s="14" t="s">
        <v>94</v>
      </c>
      <c r="AP296" s="16">
        <v>2016</v>
      </c>
      <c r="AQ296" s="16"/>
      <c r="AR296" s="16"/>
      <c r="AS296" s="12" t="s">
        <v>89</v>
      </c>
      <c r="AT296" s="14" t="s">
        <v>90</v>
      </c>
      <c r="AU296" s="14"/>
      <c r="AW296" s="14" t="s">
        <v>88</v>
      </c>
      <c r="AX296" s="17">
        <v>575735</v>
      </c>
      <c r="AY296" s="17"/>
      <c r="AZ296" s="12" t="s">
        <v>89</v>
      </c>
      <c r="BB296" s="14" t="s">
        <v>95</v>
      </c>
      <c r="BC296" s="17">
        <v>446052</v>
      </c>
      <c r="BD296" s="17"/>
      <c r="BE296" s="12" t="s">
        <v>89</v>
      </c>
      <c r="BF296" s="12" t="s">
        <v>89</v>
      </c>
      <c r="BG296" s="13">
        <v>55</v>
      </c>
      <c r="BH296" s="12" t="s">
        <v>89</v>
      </c>
    </row>
    <row r="297" spans="1:60" x14ac:dyDescent="0.25">
      <c r="H297" s="14" t="s">
        <v>115</v>
      </c>
      <c r="I297" s="20">
        <v>93235</v>
      </c>
      <c r="J297" s="21"/>
      <c r="K297" s="12" t="s">
        <v>89</v>
      </c>
      <c r="Z297" s="24">
        <v>2649544</v>
      </c>
      <c r="AA297" s="21"/>
      <c r="AB297" s="12" t="s">
        <v>89</v>
      </c>
      <c r="AC297" s="12" t="s">
        <v>89</v>
      </c>
      <c r="AD297" s="13">
        <v>100</v>
      </c>
      <c r="AE297" s="14" t="s">
        <v>91</v>
      </c>
      <c r="AG297" s="12" t="s">
        <v>89</v>
      </c>
      <c r="AH297" s="22" t="s">
        <v>93</v>
      </c>
      <c r="AI297" s="21"/>
      <c r="AJ297" s="21"/>
      <c r="AK297" s="21"/>
      <c r="AL297" s="21"/>
      <c r="AM297" s="21"/>
      <c r="AO297" s="14" t="s">
        <v>95</v>
      </c>
      <c r="AP297" s="17">
        <v>521914</v>
      </c>
      <c r="AQ297" s="17"/>
      <c r="AR297" s="12" t="s">
        <v>89</v>
      </c>
      <c r="AS297" s="12" t="s">
        <v>89</v>
      </c>
      <c r="AT297" s="13">
        <v>56</v>
      </c>
      <c r="AU297" s="12" t="s">
        <v>89</v>
      </c>
      <c r="AW297" s="14" t="s">
        <v>93</v>
      </c>
      <c r="AX297" s="13">
        <v>337947</v>
      </c>
      <c r="AY297" s="13"/>
      <c r="AZ297" s="12" t="s">
        <v>89</v>
      </c>
      <c r="BB297" s="14" t="s">
        <v>96</v>
      </c>
      <c r="BC297" s="13">
        <v>279001</v>
      </c>
      <c r="BD297" s="13"/>
      <c r="BE297" s="12" t="s">
        <v>89</v>
      </c>
      <c r="BF297" s="12" t="s">
        <v>89</v>
      </c>
      <c r="BG297" s="13">
        <v>35</v>
      </c>
      <c r="BH297" s="12" t="s">
        <v>89</v>
      </c>
    </row>
    <row r="298" spans="1:60" x14ac:dyDescent="0.25">
      <c r="H298" s="15" t="s">
        <v>116</v>
      </c>
      <c r="I298" s="20">
        <v>6761216</v>
      </c>
      <c r="J298" s="21"/>
      <c r="K298" s="12" t="s">
        <v>89</v>
      </c>
      <c r="AG298" s="14" t="s">
        <v>94</v>
      </c>
      <c r="AH298" s="23">
        <v>2016</v>
      </c>
      <c r="AI298" s="21"/>
      <c r="AJ298" s="21"/>
      <c r="AK298" s="12" t="s">
        <v>89</v>
      </c>
      <c r="AL298" s="22" t="s">
        <v>90</v>
      </c>
      <c r="AM298" s="21"/>
      <c r="AO298" s="14" t="s">
        <v>96</v>
      </c>
      <c r="AP298" s="13">
        <v>295956</v>
      </c>
      <c r="AQ298" s="13"/>
      <c r="AR298" s="12" t="s">
        <v>89</v>
      </c>
      <c r="AS298" s="12" t="s">
        <v>89</v>
      </c>
      <c r="AT298" s="13">
        <v>32</v>
      </c>
      <c r="AU298" s="12" t="s">
        <v>89</v>
      </c>
      <c r="AW298" s="15" t="s">
        <v>101</v>
      </c>
      <c r="AX298" s="13">
        <v>151354</v>
      </c>
      <c r="AY298" s="13"/>
      <c r="AZ298" s="12" t="s">
        <v>89</v>
      </c>
      <c r="BB298" s="14" t="s">
        <v>97</v>
      </c>
      <c r="BC298" s="13">
        <v>80093</v>
      </c>
      <c r="BD298" s="13"/>
      <c r="BE298" s="12" t="s">
        <v>89</v>
      </c>
      <c r="BF298" s="12" t="s">
        <v>89</v>
      </c>
      <c r="BG298" s="13">
        <v>10</v>
      </c>
      <c r="BH298" s="12" t="s">
        <v>89</v>
      </c>
    </row>
    <row r="299" spans="1:60" x14ac:dyDescent="0.25">
      <c r="H299" s="14" t="s">
        <v>117</v>
      </c>
      <c r="I299" s="20">
        <v>854528</v>
      </c>
      <c r="J299" s="21"/>
      <c r="K299" s="12" t="s">
        <v>89</v>
      </c>
      <c r="AG299" s="14" t="s">
        <v>95</v>
      </c>
      <c r="AH299" s="24">
        <v>1097093</v>
      </c>
      <c r="AI299" s="21"/>
      <c r="AJ299" s="12" t="s">
        <v>89</v>
      </c>
      <c r="AK299" s="12" t="s">
        <v>89</v>
      </c>
      <c r="AL299" s="13">
        <v>45</v>
      </c>
      <c r="AM299" s="12" t="s">
        <v>89</v>
      </c>
      <c r="AO299" s="14" t="s">
        <v>97</v>
      </c>
      <c r="AP299" s="13">
        <v>70864</v>
      </c>
      <c r="AQ299" s="13"/>
      <c r="AR299" s="12" t="s">
        <v>89</v>
      </c>
      <c r="AS299" s="12" t="s">
        <v>89</v>
      </c>
      <c r="AT299" s="13">
        <v>8</v>
      </c>
      <c r="AU299" s="12" t="s">
        <v>89</v>
      </c>
      <c r="AW299" s="15" t="s">
        <v>104</v>
      </c>
      <c r="AX299" s="13">
        <v>145103</v>
      </c>
      <c r="AY299" s="13"/>
      <c r="AZ299" s="12" t="s">
        <v>89</v>
      </c>
      <c r="BB299" s="15" t="s">
        <v>107</v>
      </c>
      <c r="BC299" s="17">
        <v>805146</v>
      </c>
      <c r="BD299" s="17"/>
      <c r="BE299" s="12" t="s">
        <v>89</v>
      </c>
      <c r="BF299" s="12" t="s">
        <v>89</v>
      </c>
      <c r="BG299" s="13">
        <v>100</v>
      </c>
      <c r="BH299" s="14" t="s">
        <v>91</v>
      </c>
    </row>
    <row r="300" spans="1:60" x14ac:dyDescent="0.25">
      <c r="H300" s="15" t="s">
        <v>118</v>
      </c>
      <c r="I300" s="20">
        <v>7615744</v>
      </c>
      <c r="J300" s="21"/>
      <c r="K300" s="12" t="s">
        <v>89</v>
      </c>
      <c r="AG300" s="14" t="s">
        <v>96</v>
      </c>
      <c r="AH300" s="20">
        <v>1190597</v>
      </c>
      <c r="AI300" s="21"/>
      <c r="AJ300" s="12" t="s">
        <v>89</v>
      </c>
      <c r="AK300" s="12" t="s">
        <v>89</v>
      </c>
      <c r="AL300" s="13">
        <v>49</v>
      </c>
      <c r="AM300" s="12" t="s">
        <v>89</v>
      </c>
      <c r="AO300" s="14" t="s">
        <v>98</v>
      </c>
      <c r="AP300" s="13">
        <v>37188</v>
      </c>
      <c r="AQ300" s="13"/>
      <c r="AR300" s="12" t="s">
        <v>89</v>
      </c>
      <c r="AS300" s="12" t="s">
        <v>89</v>
      </c>
      <c r="AT300" s="13">
        <v>4</v>
      </c>
      <c r="AU300" s="12" t="s">
        <v>89</v>
      </c>
      <c r="AW300" s="15" t="s">
        <v>105</v>
      </c>
      <c r="AX300" s="17">
        <v>1210139</v>
      </c>
      <c r="AY300" s="17"/>
      <c r="AZ300" s="12" t="s">
        <v>89</v>
      </c>
    </row>
    <row r="301" spans="1:60" x14ac:dyDescent="0.25">
      <c r="H301" s="14" t="s">
        <v>115</v>
      </c>
      <c r="I301" s="20">
        <v>23385</v>
      </c>
      <c r="J301" s="21"/>
      <c r="K301" s="12" t="s">
        <v>89</v>
      </c>
      <c r="AG301" s="14" t="s">
        <v>97</v>
      </c>
      <c r="AH301" s="20">
        <v>84834</v>
      </c>
      <c r="AI301" s="21"/>
      <c r="AJ301" s="12" t="s">
        <v>89</v>
      </c>
      <c r="AK301" s="12" t="s">
        <v>89</v>
      </c>
      <c r="AL301" s="13">
        <v>4</v>
      </c>
      <c r="AM301" s="12" t="s">
        <v>89</v>
      </c>
      <c r="AO301" s="15" t="s">
        <v>99</v>
      </c>
      <c r="AP301" s="17">
        <v>925922</v>
      </c>
      <c r="AQ301" s="17"/>
      <c r="AR301" s="12" t="s">
        <v>89</v>
      </c>
      <c r="AS301" s="12" t="s">
        <v>89</v>
      </c>
      <c r="AT301" s="13">
        <v>100</v>
      </c>
      <c r="AU301" s="14" t="s">
        <v>91</v>
      </c>
    </row>
    <row r="302" spans="1:60" x14ac:dyDescent="0.25">
      <c r="H302" s="15" t="s">
        <v>119</v>
      </c>
      <c r="I302" s="24">
        <v>7639129</v>
      </c>
      <c r="J302" s="21"/>
      <c r="K302" s="12" t="s">
        <v>89</v>
      </c>
      <c r="AG302" s="14" t="s">
        <v>98</v>
      </c>
      <c r="AH302" s="20">
        <v>46756</v>
      </c>
      <c r="AI302" s="21"/>
      <c r="AJ302" s="12" t="s">
        <v>89</v>
      </c>
      <c r="AK302" s="12" t="s">
        <v>89</v>
      </c>
      <c r="AL302" s="13">
        <v>2</v>
      </c>
      <c r="AM302" s="12" t="s">
        <v>89</v>
      </c>
    </row>
    <row r="303" spans="1:60" x14ac:dyDescent="0.25">
      <c r="H303" s="14" t="s">
        <v>120</v>
      </c>
      <c r="I303" s="12" t="s">
        <v>89</v>
      </c>
      <c r="K303" s="12" t="s">
        <v>89</v>
      </c>
      <c r="AG303" s="14"/>
      <c r="AH303" s="13"/>
      <c r="AJ303" s="12"/>
      <c r="AK303" s="12"/>
      <c r="AL303" s="13"/>
      <c r="AM303" s="12"/>
    </row>
    <row r="304" spans="1:60" x14ac:dyDescent="0.25">
      <c r="H304" s="14" t="s">
        <v>121</v>
      </c>
      <c r="I304" s="12" t="s">
        <v>89</v>
      </c>
      <c r="K304" s="12" t="s">
        <v>89</v>
      </c>
      <c r="AG304" s="14"/>
      <c r="AH304" s="13"/>
      <c r="AJ304" s="12"/>
      <c r="AK304" s="12"/>
      <c r="AL304" s="13"/>
      <c r="AM304" s="12"/>
    </row>
    <row r="305" spans="1:39" x14ac:dyDescent="0.25">
      <c r="H305" s="14" t="s">
        <v>95</v>
      </c>
      <c r="I305" s="20">
        <v>21002</v>
      </c>
      <c r="J305" s="21"/>
      <c r="K305" s="12" t="s">
        <v>89</v>
      </c>
      <c r="AG305" s="14"/>
      <c r="AH305" s="13"/>
      <c r="AJ305" s="12"/>
      <c r="AK305" s="12"/>
      <c r="AL305" s="13"/>
      <c r="AM305" s="12"/>
    </row>
    <row r="306" spans="1:39" x14ac:dyDescent="0.25">
      <c r="H306" s="14" t="s">
        <v>96</v>
      </c>
      <c r="I306" s="20">
        <v>27206</v>
      </c>
      <c r="J306" s="21"/>
      <c r="K306" s="12" t="s">
        <v>89</v>
      </c>
      <c r="AG306" s="14"/>
      <c r="AH306" s="13"/>
      <c r="AJ306" s="12"/>
      <c r="AK306" s="12"/>
      <c r="AL306" s="13"/>
      <c r="AM306" s="12"/>
    </row>
    <row r="307" spans="1:39" x14ac:dyDescent="0.25">
      <c r="H307" s="14" t="s">
        <v>97</v>
      </c>
      <c r="I307" s="20">
        <v>5434</v>
      </c>
      <c r="J307" s="21"/>
      <c r="K307" s="12" t="s">
        <v>89</v>
      </c>
      <c r="AG307" s="14"/>
      <c r="AH307" s="13"/>
      <c r="AJ307" s="12"/>
      <c r="AK307" s="12"/>
      <c r="AL307" s="13"/>
      <c r="AM307" s="12"/>
    </row>
    <row r="308" spans="1:39" x14ac:dyDescent="0.25">
      <c r="H308" s="14" t="s">
        <v>122</v>
      </c>
      <c r="I308" s="20">
        <v>3750</v>
      </c>
      <c r="J308" s="21"/>
      <c r="K308" s="12" t="s">
        <v>89</v>
      </c>
      <c r="AG308" s="14"/>
      <c r="AH308" s="13"/>
      <c r="AJ308" s="12"/>
      <c r="AK308" s="12"/>
      <c r="AL308" s="13"/>
      <c r="AM308" s="12"/>
    </row>
    <row r="309" spans="1:39" x14ac:dyDescent="0.25">
      <c r="H309" s="15" t="s">
        <v>116</v>
      </c>
      <c r="I309" s="20">
        <v>57392</v>
      </c>
      <c r="J309" s="21"/>
      <c r="K309" s="12" t="s">
        <v>89</v>
      </c>
      <c r="AG309" s="14"/>
      <c r="AH309" s="13"/>
      <c r="AJ309" s="12"/>
      <c r="AK309" s="12"/>
      <c r="AL309" s="13"/>
      <c r="AM309" s="12"/>
    </row>
    <row r="310" spans="1:39" x14ac:dyDescent="0.25">
      <c r="H310" s="14" t="s">
        <v>123</v>
      </c>
      <c r="I310" s="20">
        <v>98042</v>
      </c>
      <c r="J310" s="21"/>
      <c r="K310" s="12" t="s">
        <v>89</v>
      </c>
      <c r="AG310" s="14"/>
      <c r="AH310" s="13"/>
      <c r="AJ310" s="12"/>
      <c r="AK310" s="12"/>
      <c r="AL310" s="13"/>
      <c r="AM310" s="12"/>
    </row>
    <row r="311" spans="1:39" x14ac:dyDescent="0.25">
      <c r="H311" s="14" t="s">
        <v>124</v>
      </c>
      <c r="I311" s="12" t="s">
        <v>89</v>
      </c>
      <c r="K311" s="12" t="s">
        <v>89</v>
      </c>
      <c r="AG311" s="14"/>
      <c r="AH311" s="13"/>
      <c r="AJ311" s="12"/>
      <c r="AK311" s="12"/>
      <c r="AL311" s="13"/>
      <c r="AM311" s="12"/>
    </row>
    <row r="312" spans="1:39" x14ac:dyDescent="0.25">
      <c r="H312" s="14" t="s">
        <v>111</v>
      </c>
      <c r="I312" s="20">
        <v>2768657</v>
      </c>
      <c r="J312" s="21"/>
      <c r="K312" s="12" t="s">
        <v>89</v>
      </c>
      <c r="AG312" s="14"/>
      <c r="AH312" s="13"/>
      <c r="AJ312" s="12"/>
      <c r="AK312" s="12"/>
      <c r="AL312" s="13"/>
      <c r="AM312" s="12"/>
    </row>
    <row r="313" spans="1:39" x14ac:dyDescent="0.25">
      <c r="H313" s="14" t="s">
        <v>112</v>
      </c>
      <c r="I313" s="20">
        <v>377229</v>
      </c>
      <c r="J313" s="21"/>
      <c r="K313" s="12" t="s">
        <v>89</v>
      </c>
      <c r="AG313" s="14"/>
      <c r="AH313" s="13"/>
      <c r="AJ313" s="12"/>
      <c r="AK313" s="12"/>
      <c r="AL313" s="13"/>
      <c r="AM313" s="12"/>
    </row>
    <row r="314" spans="1:39" x14ac:dyDescent="0.25">
      <c r="H314" s="14" t="s">
        <v>113</v>
      </c>
      <c r="I314" s="20">
        <v>7777</v>
      </c>
      <c r="J314" s="21"/>
      <c r="K314" s="12" t="s">
        <v>89</v>
      </c>
      <c r="AG314" s="14"/>
      <c r="AH314" s="13"/>
      <c r="AJ314" s="12"/>
      <c r="AK314" s="12"/>
      <c r="AL314" s="13"/>
      <c r="AM314" s="12"/>
    </row>
    <row r="315" spans="1:39" x14ac:dyDescent="0.25">
      <c r="H315" s="15" t="s">
        <v>116</v>
      </c>
      <c r="I315" s="20">
        <v>3153663</v>
      </c>
      <c r="J315" s="21"/>
      <c r="K315" s="12" t="s">
        <v>89</v>
      </c>
      <c r="AG315" s="14"/>
      <c r="AH315" s="13"/>
      <c r="AJ315" s="12"/>
      <c r="AK315" s="12"/>
      <c r="AL315" s="13"/>
      <c r="AM315" s="12"/>
    </row>
    <row r="316" spans="1:39" x14ac:dyDescent="0.25">
      <c r="H316" s="14" t="s">
        <v>117</v>
      </c>
      <c r="I316" s="20">
        <v>513683</v>
      </c>
      <c r="J316" s="21"/>
      <c r="K316" s="12" t="s">
        <v>89</v>
      </c>
      <c r="AG316" s="15" t="s">
        <v>99</v>
      </c>
      <c r="AH316" s="24">
        <v>2419280</v>
      </c>
      <c r="AI316" s="21"/>
      <c r="AJ316" s="12" t="s">
        <v>89</v>
      </c>
      <c r="AK316" s="12" t="s">
        <v>89</v>
      </c>
      <c r="AL316" s="13">
        <v>100</v>
      </c>
      <c r="AM316" s="14" t="s">
        <v>91</v>
      </c>
    </row>
    <row r="317" spans="1:39" x14ac:dyDescent="0.25">
      <c r="H317" s="15" t="s">
        <v>118</v>
      </c>
      <c r="I317" s="20">
        <v>3667346</v>
      </c>
      <c r="J317" s="21"/>
      <c r="K317" s="12" t="s">
        <v>89</v>
      </c>
    </row>
    <row r="318" spans="1:39" x14ac:dyDescent="0.25">
      <c r="A318" t="s">
        <v>87</v>
      </c>
      <c r="C318" s="12" t="s">
        <v>89</v>
      </c>
    </row>
    <row r="319" spans="1:39" x14ac:dyDescent="0.25">
      <c r="C319" s="12" t="s">
        <v>89</v>
      </c>
    </row>
    <row r="324" spans="1:5" x14ac:dyDescent="0.25">
      <c r="A324">
        <f>15036/31360</f>
        <v>0.47946428571428573</v>
      </c>
      <c r="B324">
        <f>1166/31360</f>
        <v>3.7181122448979594E-2</v>
      </c>
    </row>
    <row r="336" spans="1:5" x14ac:dyDescent="0.25">
      <c r="A336" t="s">
        <v>125</v>
      </c>
      <c r="E336" t="s">
        <v>12</v>
      </c>
    </row>
    <row r="341" spans="1:1" x14ac:dyDescent="0.25">
      <c r="A341">
        <f>(9629+1151)/14562</f>
        <v>0.74028292816920749</v>
      </c>
    </row>
    <row r="365" spans="1:5" x14ac:dyDescent="0.25">
      <c r="A365" t="s">
        <v>126</v>
      </c>
    </row>
    <row r="366" spans="1:5" x14ac:dyDescent="0.25">
      <c r="E366" t="s">
        <v>13</v>
      </c>
    </row>
    <row r="374" spans="1:5" x14ac:dyDescent="0.25">
      <c r="A374">
        <v>1</v>
      </c>
    </row>
    <row r="381" spans="1:5" x14ac:dyDescent="0.25">
      <c r="E381" t="s">
        <v>14</v>
      </c>
    </row>
    <row r="385" spans="1:5" x14ac:dyDescent="0.25">
      <c r="A385" t="s">
        <v>127</v>
      </c>
    </row>
    <row r="386" spans="1:5" x14ac:dyDescent="0.25">
      <c r="A386">
        <f>2094/2381</f>
        <v>0.879462410751785</v>
      </c>
    </row>
    <row r="399" spans="1:5" x14ac:dyDescent="0.25">
      <c r="E399" t="s">
        <v>15</v>
      </c>
    </row>
    <row r="401" spans="1:5" x14ac:dyDescent="0.25">
      <c r="A401" t="s">
        <v>128</v>
      </c>
    </row>
    <row r="403" spans="1:5" x14ac:dyDescent="0.25">
      <c r="A403">
        <f>1259/1262</f>
        <v>0.99762282091917587</v>
      </c>
    </row>
    <row r="414" spans="1:5" x14ac:dyDescent="0.25">
      <c r="A414" t="s">
        <v>129</v>
      </c>
      <c r="E414" t="s">
        <v>16</v>
      </c>
    </row>
    <row r="422" spans="1:2" x14ac:dyDescent="0.25">
      <c r="A422">
        <f>409/545</f>
        <v>0.75045871559633026</v>
      </c>
      <c r="B422">
        <f>135/545</f>
        <v>0.24770642201834864</v>
      </c>
    </row>
    <row r="448" spans="1:5" x14ac:dyDescent="0.25">
      <c r="A448" t="s">
        <v>17</v>
      </c>
      <c r="E448" t="s">
        <v>17</v>
      </c>
    </row>
    <row r="467" spans="1:5" x14ac:dyDescent="0.25">
      <c r="A467" s="19" t="s">
        <v>18</v>
      </c>
      <c r="E467" t="s">
        <v>18</v>
      </c>
    </row>
    <row r="473" spans="1:5" x14ac:dyDescent="0.25">
      <c r="A473">
        <f>1012/1257.247</f>
        <v>0.80493331859213024</v>
      </c>
      <c r="B473">
        <f>246/1257.247</f>
        <v>0.19566560906488542</v>
      </c>
    </row>
    <row r="482" spans="1:5" x14ac:dyDescent="0.25">
      <c r="E482" t="s">
        <v>19</v>
      </c>
    </row>
    <row r="488" spans="1:5" x14ac:dyDescent="0.25">
      <c r="A488">
        <v>1</v>
      </c>
    </row>
    <row r="494" spans="1:5" x14ac:dyDescent="0.25">
      <c r="A494" t="s">
        <v>20</v>
      </c>
      <c r="E494" t="s">
        <v>20</v>
      </c>
    </row>
    <row r="500" spans="1:5" x14ac:dyDescent="0.25">
      <c r="A500">
        <f>427.383/803.539</f>
        <v>0.5318758641459842</v>
      </c>
    </row>
    <row r="508" spans="1:5" x14ac:dyDescent="0.25">
      <c r="A508" t="s">
        <v>130</v>
      </c>
      <c r="E508" t="s">
        <v>21</v>
      </c>
    </row>
    <row r="511" spans="1:5" x14ac:dyDescent="0.25">
      <c r="A511">
        <f>13864/17666</f>
        <v>0.7847843314842069</v>
      </c>
      <c r="B511">
        <f>3802/17666</f>
        <v>0.21521566851579305</v>
      </c>
    </row>
    <row r="516" spans="1:5" x14ac:dyDescent="0.25">
      <c r="E516" t="s">
        <v>24</v>
      </c>
    </row>
    <row r="517" spans="1:5" x14ac:dyDescent="0.25">
      <c r="A517" t="s">
        <v>24</v>
      </c>
    </row>
    <row r="520" spans="1:5" x14ac:dyDescent="0.25">
      <c r="A520">
        <v>1</v>
      </c>
    </row>
    <row r="526" spans="1:5" x14ac:dyDescent="0.25">
      <c r="E526" t="s">
        <v>23</v>
      </c>
    </row>
    <row r="527" spans="1:5" x14ac:dyDescent="0.25">
      <c r="A527" t="s">
        <v>23</v>
      </c>
    </row>
    <row r="530" spans="1:5" x14ac:dyDescent="0.25">
      <c r="A530">
        <f>1362/1362</f>
        <v>1</v>
      </c>
    </row>
    <row r="538" spans="1:5" x14ac:dyDescent="0.25">
      <c r="A538" t="s">
        <v>25</v>
      </c>
      <c r="E538" t="s">
        <v>25</v>
      </c>
    </row>
    <row r="540" spans="1:5" x14ac:dyDescent="0.25">
      <c r="A540">
        <f>1923/1923</f>
        <v>1</v>
      </c>
    </row>
    <row r="546" spans="1:5" x14ac:dyDescent="0.25">
      <c r="A546" t="s">
        <v>22</v>
      </c>
      <c r="E546" t="s">
        <v>22</v>
      </c>
    </row>
    <row r="564" spans="1:5" x14ac:dyDescent="0.25">
      <c r="A564" t="s">
        <v>26</v>
      </c>
      <c r="E564" t="s">
        <v>26</v>
      </c>
    </row>
    <row r="570" spans="1:5" x14ac:dyDescent="0.25">
      <c r="A570">
        <v>6221</v>
      </c>
    </row>
    <row r="572" spans="1:5" x14ac:dyDescent="0.25">
      <c r="A572">
        <v>4421</v>
      </c>
      <c r="B572">
        <f>A570-A572</f>
        <v>1800</v>
      </c>
    </row>
    <row r="574" spans="1:5" x14ac:dyDescent="0.25">
      <c r="A574">
        <f>A572/9061</f>
        <v>0.48791524114336166</v>
      </c>
      <c r="B574">
        <f>B572/9061</f>
        <v>0.19865357024610969</v>
      </c>
    </row>
    <row r="579" spans="1:5" x14ac:dyDescent="0.25">
      <c r="E579" t="s">
        <v>27</v>
      </c>
    </row>
    <row r="584" spans="1:5" x14ac:dyDescent="0.25">
      <c r="A584">
        <f>2614/4333</f>
        <v>0.6032771751673206</v>
      </c>
      <c r="B584">
        <f>825/4333</f>
        <v>0.19039926148165243</v>
      </c>
    </row>
    <row r="590" spans="1:5" x14ac:dyDescent="0.25">
      <c r="A590" t="s">
        <v>28</v>
      </c>
    </row>
    <row r="596" spans="1:2" x14ac:dyDescent="0.25">
      <c r="A596">
        <v>10183</v>
      </c>
    </row>
    <row r="599" spans="1:2" x14ac:dyDescent="0.25">
      <c r="A599">
        <f>3754/A596</f>
        <v>0.36865363841696946</v>
      </c>
      <c r="B599">
        <f>(499+3471)/A596</f>
        <v>0.38986546204458411</v>
      </c>
    </row>
    <row r="618" spans="1:5" x14ac:dyDescent="0.25">
      <c r="A618" t="s">
        <v>29</v>
      </c>
      <c r="E618" t="s">
        <v>29</v>
      </c>
    </row>
    <row r="625" spans="1:5" x14ac:dyDescent="0.25">
      <c r="A625">
        <f>16491/17489</f>
        <v>0.94293555949453944</v>
      </c>
    </row>
    <row r="639" spans="1:5" x14ac:dyDescent="0.25">
      <c r="A639" t="s">
        <v>30</v>
      </c>
      <c r="E639" t="s">
        <v>30</v>
      </c>
    </row>
    <row r="644" spans="1:3" x14ac:dyDescent="0.25">
      <c r="A644">
        <f>605.8/2448.8</f>
        <v>0.24738647500816724</v>
      </c>
      <c r="B644">
        <f>771.7/2488.3</f>
        <v>0.3101314150223044</v>
      </c>
    </row>
    <row r="651" spans="1:3" x14ac:dyDescent="0.25">
      <c r="A651" t="s">
        <v>31</v>
      </c>
    </row>
    <row r="652" spans="1:3" x14ac:dyDescent="0.25">
      <c r="A652">
        <v>7472.3</v>
      </c>
    </row>
    <row r="653" spans="1:3" x14ac:dyDescent="0.25">
      <c r="A653">
        <v>4628</v>
      </c>
      <c r="B653">
        <v>1178</v>
      </c>
      <c r="C653" t="s">
        <v>131</v>
      </c>
    </row>
    <row r="654" spans="1:3" x14ac:dyDescent="0.25">
      <c r="B654">
        <v>1242</v>
      </c>
      <c r="C654" t="s">
        <v>132</v>
      </c>
    </row>
    <row r="655" spans="1:3" x14ac:dyDescent="0.25">
      <c r="B655">
        <v>377</v>
      </c>
      <c r="C655" t="s">
        <v>133</v>
      </c>
    </row>
    <row r="656" spans="1:3" x14ac:dyDescent="0.25">
      <c r="B656">
        <f>SUM(B653:B655)</f>
        <v>2797</v>
      </c>
    </row>
    <row r="657" spans="1:5" x14ac:dyDescent="0.25">
      <c r="A657">
        <f>A653/A652</f>
        <v>0.61935414798656374</v>
      </c>
      <c r="B657">
        <f>B656/A652</f>
        <v>0.37431580637822354</v>
      </c>
    </row>
    <row r="658" spans="1:5" x14ac:dyDescent="0.25">
      <c r="E658" t="s">
        <v>31</v>
      </c>
    </row>
    <row r="699" spans="1:5" x14ac:dyDescent="0.25">
      <c r="A699" t="s">
        <v>32</v>
      </c>
      <c r="E699" t="s">
        <v>32</v>
      </c>
    </row>
    <row r="707" spans="1:2" x14ac:dyDescent="0.25">
      <c r="A707">
        <f>9499.8/11106.9</f>
        <v>0.85530616103503221</v>
      </c>
      <c r="B707">
        <f>1531.4/11106.9</f>
        <v>0.13787825585897057</v>
      </c>
    </row>
  </sheetData>
  <mergeCells count="41">
    <mergeCell ref="Z295:AA295"/>
    <mergeCell ref="Z291:AE291"/>
    <mergeCell ref="Z292:AB292"/>
    <mergeCell ref="AD292:AE292"/>
    <mergeCell ref="Z293:AA293"/>
    <mergeCell ref="Z294:AA294"/>
    <mergeCell ref="AH300:AI300"/>
    <mergeCell ref="AH301:AI301"/>
    <mergeCell ref="AH302:AI302"/>
    <mergeCell ref="AH316:AI316"/>
    <mergeCell ref="Z296:AA296"/>
    <mergeCell ref="Z297:AA297"/>
    <mergeCell ref="AH297:AM297"/>
    <mergeCell ref="AH298:AJ298"/>
    <mergeCell ref="AL298:AM298"/>
    <mergeCell ref="AH299:AI299"/>
    <mergeCell ref="I295:J295"/>
    <mergeCell ref="I296:J296"/>
    <mergeCell ref="I297:J297"/>
    <mergeCell ref="I298:J298"/>
    <mergeCell ref="I315:J315"/>
    <mergeCell ref="I302:J302"/>
    <mergeCell ref="I305:J305"/>
    <mergeCell ref="I306:J306"/>
    <mergeCell ref="I307:J307"/>
    <mergeCell ref="I299:J299"/>
    <mergeCell ref="I300:J300"/>
    <mergeCell ref="I301:J301"/>
    <mergeCell ref="H289:K289"/>
    <mergeCell ref="H290:K290"/>
    <mergeCell ref="I291:K291"/>
    <mergeCell ref="I293:J293"/>
    <mergeCell ref="I294:J294"/>
    <mergeCell ref="I317:J317"/>
    <mergeCell ref="I308:J308"/>
    <mergeCell ref="I309:J309"/>
    <mergeCell ref="I310:J310"/>
    <mergeCell ref="I312:J312"/>
    <mergeCell ref="I313:J313"/>
    <mergeCell ref="I314:J314"/>
    <mergeCell ref="I316:J316"/>
  </mergeCells>
  <pageMargins left="0.7" right="0.7" top="0.75" bottom="0.75" header="0.3" footer="0.3"/>
  <pageSetup paperSize="168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Percentages</vt:lpstr>
      <vt:lpstr>10-K Reports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Randall Woolridge</dc:creator>
  <cp:lastModifiedBy>J. Randall Woolridge</cp:lastModifiedBy>
  <dcterms:created xsi:type="dcterms:W3CDTF">2017-03-22T15:41:51Z</dcterms:created>
  <dcterms:modified xsi:type="dcterms:W3CDTF">2017-10-19T12:04:03Z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{5C3F3B95-953C-4BDF-B17E-AA37E13D01A1}</vt:lpwstr>
  </property>
</Properties>
</file>