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75" windowWidth="19215" windowHeight="6285" tabRatio="903" activeTab="15"/>
  </bookViews>
  <sheets>
    <sheet name="Sch 1" sheetId="8" r:id="rId1"/>
    <sheet name="Sch 2" sheetId="9" r:id="rId2"/>
    <sheet name="2 P1" sheetId="10" r:id="rId3"/>
    <sheet name="2 P2" sheetId="11" r:id="rId4"/>
    <sheet name="2 P3" sheetId="12" r:id="rId5"/>
    <sheet name="Sch 3" sheetId="13" r:id="rId6"/>
    <sheet name="3 P1" sheetId="14" r:id="rId7"/>
    <sheet name="3 P2" sheetId="15" r:id="rId8"/>
    <sheet name="3 P3" sheetId="16" r:id="rId9"/>
    <sheet name="3 P4" sheetId="17" r:id="rId10"/>
    <sheet name="Sch 4" sheetId="1" r:id="rId11"/>
    <sheet name="Sch 5" sheetId="4" r:id="rId12"/>
    <sheet name="Sch 6" sheetId="5" r:id="rId13"/>
    <sheet name="Sch 7" sheetId="6" r:id="rId14"/>
    <sheet name="Sch 8" sheetId="7" r:id="rId15"/>
    <sheet name="Sch 9" sheetId="18" r:id="rId16"/>
    <sheet name="Sch 10" sheetId="19" r:id="rId17"/>
    <sheet name="Allocation Factors" sheetId="3" r:id="rId18"/>
    <sheet name="Olive Hill - Vanceburg" sheetId="20" r:id="rId19"/>
  </sheets>
  <externalReferences>
    <externalReference r:id="rId20"/>
    <externalReference r:id="rId21"/>
  </externalReferences>
  <definedNames>
    <definedName name="AllocFactors">[1]Table!$G$6:$H$13</definedName>
    <definedName name="Begin_Print1">'[2]Big Sandy Detail'!#REF!</definedName>
    <definedName name="Begin_Print2">'[2]Big Sandy Detail'!#REF!</definedName>
    <definedName name="End_of_Report">'[2]Big Sandy Detail'!#REF!</definedName>
    <definedName name="End_Print1">'[2]Big Sandy Detail'!#REF!</definedName>
    <definedName name="End_Print2">'[2]Big Sandy Detail'!#REF!</definedName>
    <definedName name="NvsASD">"V2013-03-31"</definedName>
    <definedName name="NvsAutoDrillOk">"VN"</definedName>
    <definedName name="NvsElapsedTime">0.000115740738692693</definedName>
    <definedName name="NvsEndTime">41370.633587963</definedName>
    <definedName name="NvsInstanceHook">"""nvsMacro"""</definedName>
    <definedName name="NvsInstLang">"VENG"</definedName>
    <definedName name="NvsInstSpec">"%,FBUSINESS_UNIT,V117"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_xlnm.Print_Area" localSheetId="7">'3 P2'!$A$10:$F$43</definedName>
    <definedName name="_xlnm.Print_Area" localSheetId="9">'3 P4'!$A$1:$I$45</definedName>
    <definedName name="_xlnm.Print_Area" localSheetId="0">'Sch 1'!$A$1:$J$58</definedName>
    <definedName name="_xlnm.Print_Area" localSheetId="16">'Sch 10'!$B$1:$P$44</definedName>
    <definedName name="_xlnm.Print_Area" localSheetId="5">'Sch 3'!$A$1:$AE$57</definedName>
    <definedName name="_xlnm.Print_Area" localSheetId="10">'Sch 4'!$A$1:$K$521</definedName>
    <definedName name="_xlnm.Print_Area" localSheetId="11">'Sch 5'!$C$4:$BF$508</definedName>
    <definedName name="_xlnm.Print_Area" localSheetId="12">'Sch 6'!$A$1:$I$60</definedName>
    <definedName name="_xlnm.Print_Area" localSheetId="14">'Sch 8'!$A$1:$AC$57</definedName>
    <definedName name="_xlnm.Print_Area" localSheetId="15">'Sch 9'!$B$1:$Q$47</definedName>
    <definedName name="_xlnm.Print_Titles" localSheetId="7">'3 P2'!$1:$9</definedName>
    <definedName name="_xlnm.Print_Titles" localSheetId="0">'Sch 1'!$1:$9</definedName>
    <definedName name="_xlnm.Print_Titles" localSheetId="10">'Sch 4'!$1:$5</definedName>
    <definedName name="_xlnm.Print_Titles" localSheetId="11">'Sch 5'!$A:$B,'Sch 5'!$1:$4</definedName>
    <definedName name="search_directory_name">"R:\fcm90prd\nvision\rpts\Fin_Reports\"</definedName>
  </definedNames>
  <calcPr calcId="145621"/>
</workbook>
</file>

<file path=xl/calcChain.xml><?xml version="1.0" encoding="utf-8"?>
<calcChain xmlns="http://schemas.openxmlformats.org/spreadsheetml/2006/main">
  <c r="F468" i="1" l="1"/>
  <c r="H394" i="1"/>
  <c r="C394" i="1"/>
  <c r="E59" i="5" l="1"/>
  <c r="E34" i="17"/>
  <c r="E30" i="17"/>
  <c r="E28" i="17"/>
  <c r="E26" i="17"/>
  <c r="E20" i="17"/>
  <c r="E18" i="17"/>
  <c r="C10" i="13"/>
  <c r="E10" i="13" s="1"/>
  <c r="G10" i="13" s="1"/>
  <c r="I10" i="13" s="1"/>
  <c r="K10" i="13" s="1"/>
  <c r="M10" i="13" s="1"/>
  <c r="G12" i="13"/>
  <c r="G20" i="13" s="1"/>
  <c r="G24" i="13" s="1"/>
  <c r="E14" i="13"/>
  <c r="AA16" i="13"/>
  <c r="E20" i="13"/>
  <c r="M12" i="13" s="1"/>
  <c r="M20" i="13"/>
  <c r="M24" i="13" s="1"/>
  <c r="O20" i="13"/>
  <c r="Q20" i="13"/>
  <c r="W20" i="13"/>
  <c r="W24" i="13" s="1"/>
  <c r="AA22" i="13"/>
  <c r="O24" i="13"/>
  <c r="Q24" i="13"/>
  <c r="U24" i="13"/>
  <c r="Y24" i="13"/>
  <c r="M14" i="13" l="1"/>
  <c r="O10" i="13"/>
  <c r="Q10" i="13" s="1"/>
  <c r="S10" i="13"/>
  <c r="U10" i="13" s="1"/>
  <c r="W10" i="13" s="1"/>
  <c r="Y10" i="13" s="1"/>
  <c r="AA10" i="13" s="1"/>
  <c r="AC10" i="13" s="1"/>
  <c r="AE10" i="13" s="1"/>
  <c r="Y18" i="13"/>
  <c r="O18" i="13"/>
  <c r="U12" i="13"/>
  <c r="W18" i="13"/>
  <c r="M18" i="13"/>
  <c r="Y14" i="13"/>
  <c r="Q14" i="13"/>
  <c r="Q12" i="13"/>
  <c r="E24" i="13"/>
  <c r="U18" i="13"/>
  <c r="W14" i="13"/>
  <c r="O14" i="13"/>
  <c r="Y12" i="13"/>
  <c r="O12" i="13"/>
  <c r="Q18" i="13"/>
  <c r="U14" i="13"/>
  <c r="W12" i="13"/>
  <c r="O36" i="14"/>
  <c r="J36" i="14"/>
  <c r="H36" i="14"/>
  <c r="A33" i="14"/>
  <c r="A34" i="14" s="1"/>
  <c r="G36" i="3" l="1"/>
  <c r="J173" i="1" l="1"/>
  <c r="G24" i="11" l="1"/>
  <c r="C503" i="4" l="1"/>
  <c r="I515" i="1"/>
  <c r="BF498" i="4" l="1"/>
  <c r="BF34" i="4" s="1"/>
  <c r="BF492" i="4"/>
  <c r="BF29" i="4" s="1"/>
  <c r="BF463" i="4"/>
  <c r="BF475" i="4" s="1"/>
  <c r="BF26" i="4" s="1"/>
  <c r="BF454" i="4"/>
  <c r="BF450" i="4"/>
  <c r="BF442" i="4"/>
  <c r="BF419" i="4"/>
  <c r="BF423" i="4" s="1"/>
  <c r="BF402" i="4"/>
  <c r="BF19" i="4" s="1"/>
  <c r="BF395" i="4"/>
  <c r="BF388" i="4"/>
  <c r="BF431" i="4" s="1"/>
  <c r="BF379" i="4"/>
  <c r="BF17" i="4" s="1"/>
  <c r="BF377" i="4"/>
  <c r="BF364" i="4"/>
  <c r="BF349" i="4"/>
  <c r="BF339" i="4"/>
  <c r="BF323" i="4"/>
  <c r="BF314" i="4"/>
  <c r="BF316" i="4" s="1"/>
  <c r="BF428" i="4" s="1"/>
  <c r="BF307" i="4"/>
  <c r="BF287" i="4"/>
  <c r="BF275" i="4"/>
  <c r="BF289" i="4" s="1"/>
  <c r="BF10" i="4" s="1"/>
  <c r="BF260" i="4"/>
  <c r="BF247" i="4"/>
  <c r="BF238" i="4"/>
  <c r="BF234" i="4"/>
  <c r="BF229" i="4"/>
  <c r="BF221" i="4"/>
  <c r="BF212" i="4"/>
  <c r="BF208" i="4"/>
  <c r="BF204" i="4"/>
  <c r="BF200" i="4"/>
  <c r="BF196" i="4"/>
  <c r="BF187" i="4"/>
  <c r="BF184" i="4"/>
  <c r="BF189" i="4" s="1"/>
  <c r="BF176" i="4"/>
  <c r="BF167" i="4"/>
  <c r="BF163" i="4"/>
  <c r="BF155" i="4"/>
  <c r="BF140" i="4"/>
  <c r="BF122" i="4"/>
  <c r="BF104" i="4"/>
  <c r="BF94" i="4"/>
  <c r="BF83" i="4"/>
  <c r="BF74" i="4"/>
  <c r="BF62" i="4"/>
  <c r="BF52" i="4"/>
  <c r="BF51" i="4"/>
  <c r="BF50" i="4"/>
  <c r="BF48" i="4"/>
  <c r="BF47" i="4"/>
  <c r="BF46" i="4"/>
  <c r="BF40" i="4"/>
  <c r="BF36" i="4"/>
  <c r="BF35" i="4"/>
  <c r="BF28" i="4"/>
  <c r="BF27" i="4"/>
  <c r="BF20" i="4"/>
  <c r="BF9" i="4"/>
  <c r="BF8" i="4"/>
  <c r="BF7" i="4"/>
  <c r="BE492" i="4"/>
  <c r="BE29" i="4" s="1"/>
  <c r="BE463" i="4"/>
  <c r="BE475" i="4" s="1"/>
  <c r="BE26" i="4" s="1"/>
  <c r="BE454" i="4"/>
  <c r="BE450" i="4"/>
  <c r="BE442" i="4"/>
  <c r="BE419" i="4"/>
  <c r="BE423" i="4" s="1"/>
  <c r="BE402" i="4"/>
  <c r="BE395" i="4"/>
  <c r="BE388" i="4"/>
  <c r="BE431" i="4" s="1"/>
  <c r="BE379" i="4"/>
  <c r="BE430" i="4" s="1"/>
  <c r="BE377" i="4"/>
  <c r="BE364" i="4"/>
  <c r="BE349" i="4"/>
  <c r="BE339" i="4"/>
  <c r="BE323" i="4"/>
  <c r="BE314" i="4"/>
  <c r="BE316" i="4" s="1"/>
  <c r="BE428" i="4" s="1"/>
  <c r="BE307" i="4"/>
  <c r="BE287" i="4"/>
  <c r="BE275" i="4"/>
  <c r="BE289" i="4" s="1"/>
  <c r="BE10" i="4" s="1"/>
  <c r="BE260" i="4"/>
  <c r="BE11" i="4" s="1"/>
  <c r="BE247" i="4"/>
  <c r="BE238" i="4"/>
  <c r="BE234" i="4"/>
  <c r="BE229" i="4"/>
  <c r="BE221" i="4"/>
  <c r="BE212" i="4"/>
  <c r="BE208" i="4"/>
  <c r="BE204" i="4"/>
  <c r="BE200" i="4"/>
  <c r="BE196" i="4"/>
  <c r="BE187" i="4"/>
  <c r="BE184" i="4"/>
  <c r="BE189" i="4" s="1"/>
  <c r="BE176" i="4"/>
  <c r="BE167" i="4"/>
  <c r="BE163" i="4"/>
  <c r="BE155" i="4"/>
  <c r="BE140" i="4"/>
  <c r="BE122" i="4"/>
  <c r="BE104" i="4"/>
  <c r="BE94" i="4"/>
  <c r="BE83" i="4"/>
  <c r="BE74" i="4"/>
  <c r="BE62" i="4"/>
  <c r="BE52" i="4"/>
  <c r="BE51" i="4"/>
  <c r="BE50" i="4"/>
  <c r="BE48" i="4"/>
  <c r="BE47" i="4"/>
  <c r="BE46" i="4"/>
  <c r="BE40" i="4"/>
  <c r="BE36" i="4"/>
  <c r="BE35" i="4"/>
  <c r="BE34" i="4"/>
  <c r="BE28" i="4"/>
  <c r="BE20" i="4"/>
  <c r="BE19" i="4"/>
  <c r="BE9" i="4"/>
  <c r="BE8" i="4"/>
  <c r="BE7" i="4"/>
  <c r="AX498" i="4"/>
  <c r="AW498" i="4"/>
  <c r="AV498" i="4"/>
  <c r="AT498" i="4"/>
  <c r="AS498" i="4"/>
  <c r="AR498" i="4"/>
  <c r="AQ498" i="4"/>
  <c r="AP498" i="4"/>
  <c r="AO498" i="4"/>
  <c r="AN498" i="4"/>
  <c r="AM498" i="4"/>
  <c r="AL498" i="4"/>
  <c r="AK498" i="4"/>
  <c r="AJ498" i="4"/>
  <c r="AI498" i="4"/>
  <c r="AH498" i="4"/>
  <c r="AG498" i="4"/>
  <c r="AF498" i="4"/>
  <c r="AE498" i="4"/>
  <c r="AD498" i="4"/>
  <c r="AC498" i="4"/>
  <c r="AB498" i="4"/>
  <c r="AA498" i="4"/>
  <c r="Z498" i="4"/>
  <c r="Y498" i="4"/>
  <c r="X498" i="4"/>
  <c r="W498" i="4"/>
  <c r="V498" i="4"/>
  <c r="U498" i="4"/>
  <c r="T498" i="4"/>
  <c r="S498" i="4"/>
  <c r="R498" i="4"/>
  <c r="Q498" i="4"/>
  <c r="P498" i="4"/>
  <c r="O498" i="4"/>
  <c r="N498" i="4"/>
  <c r="M498" i="4"/>
  <c r="L498" i="4"/>
  <c r="K498" i="4"/>
  <c r="J498" i="4"/>
  <c r="I498" i="4"/>
  <c r="H498" i="4"/>
  <c r="G498" i="4"/>
  <c r="F498" i="4"/>
  <c r="E498" i="4"/>
  <c r="D498" i="4"/>
  <c r="BF291" i="4" l="1"/>
  <c r="BE108" i="4"/>
  <c r="BE429" i="4"/>
  <c r="BF11" i="4"/>
  <c r="BF12" i="4" s="1"/>
  <c r="BF108" i="4"/>
  <c r="BF351" i="4"/>
  <c r="BF16" i="4" s="1"/>
  <c r="BE12" i="4"/>
  <c r="BE169" i="4"/>
  <c r="BE191" i="4" s="1"/>
  <c r="BE249" i="4" s="1"/>
  <c r="BE291" i="4"/>
  <c r="BF169" i="4"/>
  <c r="BE44" i="4"/>
  <c r="BE214" i="4"/>
  <c r="BE325" i="4"/>
  <c r="BE15" i="4" s="1"/>
  <c r="BE456" i="4"/>
  <c r="BE25" i="4" s="1"/>
  <c r="BF44" i="4"/>
  <c r="BF214" i="4"/>
  <c r="BF325" i="4"/>
  <c r="BF15" i="4" s="1"/>
  <c r="BF456" i="4"/>
  <c r="BF25" i="4" s="1"/>
  <c r="BF43" i="4"/>
  <c r="BF45" i="4" s="1"/>
  <c r="BF191" i="4"/>
  <c r="BF249" i="4" s="1"/>
  <c r="BF432" i="4"/>
  <c r="BF21" i="4"/>
  <c r="BF425" i="4"/>
  <c r="BF23" i="4"/>
  <c r="BF430" i="4"/>
  <c r="BF18" i="4"/>
  <c r="BF429" i="4"/>
  <c r="BF433" i="4" s="1"/>
  <c r="BF434" i="4" s="1"/>
  <c r="BF49" i="4" s="1"/>
  <c r="BE43" i="4"/>
  <c r="BE45" i="4" s="1"/>
  <c r="BE432" i="4"/>
  <c r="BE433" i="4" s="1"/>
  <c r="BE434" i="4" s="1"/>
  <c r="BE49" i="4" s="1"/>
  <c r="BE21" i="4"/>
  <c r="BE17" i="4"/>
  <c r="BE351" i="4"/>
  <c r="BE16" i="4" s="1"/>
  <c r="BE18" i="4"/>
  <c r="BF497" i="4" l="1"/>
  <c r="BF501" i="4" s="1"/>
  <c r="BE23" i="4"/>
  <c r="BF53" i="4"/>
  <c r="BF30" i="4"/>
  <c r="BE425" i="4"/>
  <c r="BE53" i="4"/>
  <c r="AC461" i="4"/>
  <c r="BF33" i="4" l="1"/>
  <c r="BF37" i="4" s="1"/>
  <c r="BF39" i="4" s="1"/>
  <c r="BF41" i="4" s="1"/>
  <c r="G7" i="4"/>
  <c r="AE2" i="4"/>
  <c r="AF2" i="4" s="1"/>
  <c r="AG2" i="4" s="1"/>
  <c r="AH2" i="4" s="1"/>
  <c r="AI2" i="4" s="1"/>
  <c r="AJ2" i="4" s="1"/>
  <c r="AK2" i="4" s="1"/>
  <c r="AL2" i="4" s="1"/>
  <c r="AM2" i="4" s="1"/>
  <c r="AN2" i="4" s="1"/>
  <c r="AO2" i="4" s="1"/>
  <c r="AP2" i="4" s="1"/>
  <c r="AQ2" i="4" s="1"/>
  <c r="AR2" i="4" s="1"/>
  <c r="AS2" i="4" s="1"/>
  <c r="AT2" i="4" s="1"/>
  <c r="AU2" i="4" s="1"/>
  <c r="AV2" i="4" s="1"/>
  <c r="AW2" i="4" s="1"/>
  <c r="AX2" i="4" s="1"/>
  <c r="AY2" i="4" s="1"/>
  <c r="AZ2" i="4" s="1"/>
  <c r="BA2" i="4" s="1"/>
  <c r="BB2" i="4" s="1"/>
  <c r="BC2" i="4" s="1"/>
  <c r="BD2" i="4" s="1"/>
  <c r="BE2" i="4" s="1"/>
  <c r="BF2" i="4" s="1"/>
  <c r="BA492" i="4"/>
  <c r="BA463" i="4"/>
  <c r="BA475" i="4" s="1"/>
  <c r="BA26" i="4" s="1"/>
  <c r="BA454" i="4"/>
  <c r="BA456" i="4" s="1"/>
  <c r="BA25" i="4" s="1"/>
  <c r="BA450" i="4"/>
  <c r="BA442" i="4"/>
  <c r="BA419" i="4"/>
  <c r="BA423" i="4" s="1"/>
  <c r="BA432" i="4" s="1"/>
  <c r="BA402" i="4"/>
  <c r="BA395" i="4"/>
  <c r="BA20" i="4" s="1"/>
  <c r="BA388" i="4"/>
  <c r="BA431" i="4" s="1"/>
  <c r="BA377" i="4"/>
  <c r="BA364" i="4"/>
  <c r="BA349" i="4"/>
  <c r="BA339" i="4"/>
  <c r="BA323" i="4"/>
  <c r="BA314" i="4"/>
  <c r="BA307" i="4"/>
  <c r="BA287" i="4"/>
  <c r="BA275" i="4"/>
  <c r="BA260" i="4"/>
  <c r="BA11" i="4" s="1"/>
  <c r="BA247" i="4"/>
  <c r="BA238" i="4"/>
  <c r="BA234" i="4"/>
  <c r="BA229" i="4"/>
  <c r="BA221" i="4"/>
  <c r="BA212" i="4"/>
  <c r="BA208" i="4"/>
  <c r="BA204" i="4"/>
  <c r="BA200" i="4"/>
  <c r="BA196" i="4"/>
  <c r="BA187" i="4"/>
  <c r="BA184" i="4"/>
  <c r="BA176" i="4"/>
  <c r="BA167" i="4"/>
  <c r="BA163" i="4"/>
  <c r="BA155" i="4"/>
  <c r="BA140" i="4"/>
  <c r="BA122" i="4"/>
  <c r="BA104" i="4"/>
  <c r="BA94" i="4"/>
  <c r="BA83" i="4"/>
  <c r="BA74" i="4"/>
  <c r="BA62" i="4"/>
  <c r="BA52" i="4"/>
  <c r="BA51" i="4"/>
  <c r="BA50" i="4"/>
  <c r="BA48" i="4"/>
  <c r="BA47" i="4"/>
  <c r="BA46" i="4"/>
  <c r="BA40" i="4"/>
  <c r="BA36" i="4"/>
  <c r="BA35" i="4"/>
  <c r="BA34" i="4"/>
  <c r="BA29" i="4"/>
  <c r="BA28" i="4"/>
  <c r="BA19" i="4"/>
  <c r="BA9" i="4"/>
  <c r="BA8" i="4"/>
  <c r="BA7" i="4"/>
  <c r="AZ492" i="4"/>
  <c r="AZ29" i="4" s="1"/>
  <c r="AZ463" i="4"/>
  <c r="AZ475" i="4" s="1"/>
  <c r="AZ26" i="4" s="1"/>
  <c r="AZ454" i="4"/>
  <c r="AZ450" i="4"/>
  <c r="AZ442" i="4"/>
  <c r="AZ419" i="4"/>
  <c r="AZ423" i="4" s="1"/>
  <c r="AZ402" i="4"/>
  <c r="AZ19" i="4" s="1"/>
  <c r="AZ395" i="4"/>
  <c r="AZ20" i="4" s="1"/>
  <c r="AZ388" i="4"/>
  <c r="AZ377" i="4"/>
  <c r="AZ364" i="4"/>
  <c r="AZ349" i="4"/>
  <c r="AZ339" i="4"/>
  <c r="AZ323" i="4"/>
  <c r="AZ314" i="4"/>
  <c r="AZ307" i="4"/>
  <c r="AZ287" i="4"/>
  <c r="AZ275" i="4"/>
  <c r="AZ260" i="4"/>
  <c r="AZ11" i="4" s="1"/>
  <c r="AZ247" i="4"/>
  <c r="AZ238" i="4"/>
  <c r="AZ234" i="4"/>
  <c r="AZ229" i="4"/>
  <c r="AZ221" i="4"/>
  <c r="AZ212" i="4"/>
  <c r="AZ208" i="4"/>
  <c r="AZ204" i="4"/>
  <c r="AZ200" i="4"/>
  <c r="AZ196" i="4"/>
  <c r="AZ187" i="4"/>
  <c r="AZ184" i="4"/>
  <c r="AZ176" i="4"/>
  <c r="AZ167" i="4"/>
  <c r="AZ163" i="4"/>
  <c r="AZ155" i="4"/>
  <c r="AZ140" i="4"/>
  <c r="AZ122" i="4"/>
  <c r="AZ104" i="4"/>
  <c r="AZ94" i="4"/>
  <c r="AZ83" i="4"/>
  <c r="AZ74" i="4"/>
  <c r="AZ62" i="4"/>
  <c r="AZ52" i="4"/>
  <c r="AZ51" i="4"/>
  <c r="AZ50" i="4"/>
  <c r="AZ48" i="4"/>
  <c r="AZ47" i="4"/>
  <c r="AZ46" i="4"/>
  <c r="AZ40" i="4"/>
  <c r="AZ36" i="4"/>
  <c r="AZ35" i="4"/>
  <c r="AZ33" i="4"/>
  <c r="AZ28" i="4"/>
  <c r="AZ27" i="4"/>
  <c r="AZ9" i="4"/>
  <c r="AZ8" i="4"/>
  <c r="AZ7" i="4"/>
  <c r="AY492" i="4"/>
  <c r="AY29" i="4" s="1"/>
  <c r="AY463" i="4"/>
  <c r="AY475" i="4" s="1"/>
  <c r="AY26" i="4" s="1"/>
  <c r="AY454" i="4"/>
  <c r="AY450" i="4"/>
  <c r="AY442" i="4"/>
  <c r="AY419" i="4"/>
  <c r="AY423" i="4" s="1"/>
  <c r="AY432" i="4" s="1"/>
  <c r="AY402" i="4"/>
  <c r="AY19" i="4" s="1"/>
  <c r="AY395" i="4"/>
  <c r="AY20" i="4" s="1"/>
  <c r="AY388" i="4"/>
  <c r="AY18" i="4" s="1"/>
  <c r="AY377" i="4"/>
  <c r="AY364" i="4"/>
  <c r="AY349" i="4"/>
  <c r="AY339" i="4"/>
  <c r="AY323" i="4"/>
  <c r="AY314" i="4"/>
  <c r="AY307" i="4"/>
  <c r="AY287" i="4"/>
  <c r="AY275" i="4"/>
  <c r="AY260" i="4"/>
  <c r="AY11" i="4" s="1"/>
  <c r="AY247" i="4"/>
  <c r="AY238" i="4"/>
  <c r="AY234" i="4"/>
  <c r="AY229" i="4"/>
  <c r="AY221" i="4"/>
  <c r="AY212" i="4"/>
  <c r="AY208" i="4"/>
  <c r="AY204" i="4"/>
  <c r="AY200" i="4"/>
  <c r="AY196" i="4"/>
  <c r="AY187" i="4"/>
  <c r="AY184" i="4"/>
  <c r="AY176" i="4"/>
  <c r="AY167" i="4"/>
  <c r="AY163" i="4"/>
  <c r="AY155" i="4"/>
  <c r="AY140" i="4"/>
  <c r="AY122" i="4"/>
  <c r="AY104" i="4"/>
  <c r="AY94" i="4"/>
  <c r="AY83" i="4"/>
  <c r="AY74" i="4"/>
  <c r="AY62" i="4"/>
  <c r="AY52" i="4"/>
  <c r="AY51" i="4"/>
  <c r="AY50" i="4"/>
  <c r="AY48" i="4"/>
  <c r="AY47" i="4"/>
  <c r="AY46" i="4"/>
  <c r="AY40" i="4"/>
  <c r="AY36" i="4"/>
  <c r="AY35" i="4"/>
  <c r="AY34" i="4"/>
  <c r="AY28" i="4"/>
  <c r="AY9" i="4"/>
  <c r="AY8" i="4"/>
  <c r="AY7" i="4"/>
  <c r="AX492" i="4"/>
  <c r="AX29" i="4" s="1"/>
  <c r="AW492" i="4"/>
  <c r="AW29" i="4" s="1"/>
  <c r="AV492" i="4"/>
  <c r="AV29" i="4" s="1"/>
  <c r="AX463" i="4"/>
  <c r="AX475" i="4" s="1"/>
  <c r="AX26" i="4" s="1"/>
  <c r="AW463" i="4"/>
  <c r="AW475" i="4" s="1"/>
  <c r="AW26" i="4" s="1"/>
  <c r="AV463" i="4"/>
  <c r="AV475" i="4" s="1"/>
  <c r="AV26" i="4" s="1"/>
  <c r="AX454" i="4"/>
  <c r="AW454" i="4"/>
  <c r="AV454" i="4"/>
  <c r="AX450" i="4"/>
  <c r="AW450" i="4"/>
  <c r="AV450" i="4"/>
  <c r="AX442" i="4"/>
  <c r="AW442" i="4"/>
  <c r="AV442" i="4"/>
  <c r="AX419" i="4"/>
  <c r="AX423" i="4" s="1"/>
  <c r="AW419" i="4"/>
  <c r="AW423" i="4" s="1"/>
  <c r="AV419" i="4"/>
  <c r="AV423" i="4" s="1"/>
  <c r="AX402" i="4"/>
  <c r="AX19" i="4" s="1"/>
  <c r="AW402" i="4"/>
  <c r="AW19" i="4" s="1"/>
  <c r="AV402" i="4"/>
  <c r="AV19" i="4" s="1"/>
  <c r="AX395" i="4"/>
  <c r="AX20" i="4" s="1"/>
  <c r="AW395" i="4"/>
  <c r="AW20" i="4" s="1"/>
  <c r="AV395" i="4"/>
  <c r="AV20" i="4" s="1"/>
  <c r="AX388" i="4"/>
  <c r="AX18" i="4" s="1"/>
  <c r="AW388" i="4"/>
  <c r="AV388" i="4"/>
  <c r="AV18" i="4" s="1"/>
  <c r="AX377" i="4"/>
  <c r="AW377" i="4"/>
  <c r="AV377" i="4"/>
  <c r="AX364" i="4"/>
  <c r="AW364" i="4"/>
  <c r="AV364" i="4"/>
  <c r="AX349" i="4"/>
  <c r="AW349" i="4"/>
  <c r="AV349" i="4"/>
  <c r="AX339" i="4"/>
  <c r="AW339" i="4"/>
  <c r="AV339" i="4"/>
  <c r="AX323" i="4"/>
  <c r="AW323" i="4"/>
  <c r="AV323" i="4"/>
  <c r="AX314" i="4"/>
  <c r="AW314" i="4"/>
  <c r="AV314" i="4"/>
  <c r="AX307" i="4"/>
  <c r="AW307" i="4"/>
  <c r="AV307" i="4"/>
  <c r="AX287" i="4"/>
  <c r="AW287" i="4"/>
  <c r="AV287" i="4"/>
  <c r="AX275" i="4"/>
  <c r="AW275" i="4"/>
  <c r="AV275" i="4"/>
  <c r="AX260" i="4"/>
  <c r="AX11" i="4" s="1"/>
  <c r="AW260" i="4"/>
  <c r="AV260" i="4"/>
  <c r="AV11" i="4" s="1"/>
  <c r="AX247" i="4"/>
  <c r="AW247" i="4"/>
  <c r="AV247" i="4"/>
  <c r="AX238" i="4"/>
  <c r="AW238" i="4"/>
  <c r="AV238" i="4"/>
  <c r="AX234" i="4"/>
  <c r="AW234" i="4"/>
  <c r="AV234" i="4"/>
  <c r="AX229" i="4"/>
  <c r="AW229" i="4"/>
  <c r="AV229" i="4"/>
  <c r="AX221" i="4"/>
  <c r="AW221" i="4"/>
  <c r="AV221" i="4"/>
  <c r="AX212" i="4"/>
  <c r="AW212" i="4"/>
  <c r="AV212" i="4"/>
  <c r="AX208" i="4"/>
  <c r="AW208" i="4"/>
  <c r="AV208" i="4"/>
  <c r="AX204" i="4"/>
  <c r="AW204" i="4"/>
  <c r="AV204" i="4"/>
  <c r="AX200" i="4"/>
  <c r="AW200" i="4"/>
  <c r="AV200" i="4"/>
  <c r="AX196" i="4"/>
  <c r="AW196" i="4"/>
  <c r="AV196" i="4"/>
  <c r="AX187" i="4"/>
  <c r="AW187" i="4"/>
  <c r="AV187" i="4"/>
  <c r="AX184" i="4"/>
  <c r="AW184" i="4"/>
  <c r="AV184" i="4"/>
  <c r="AX176" i="4"/>
  <c r="AW176" i="4"/>
  <c r="AV176" i="4"/>
  <c r="AX167" i="4"/>
  <c r="AW167" i="4"/>
  <c r="AV167" i="4"/>
  <c r="AX163" i="4"/>
  <c r="AW163" i="4"/>
  <c r="AV163" i="4"/>
  <c r="AX155" i="4"/>
  <c r="AW155" i="4"/>
  <c r="AV155" i="4"/>
  <c r="AX140" i="4"/>
  <c r="AW140" i="4"/>
  <c r="AV140" i="4"/>
  <c r="AX122" i="4"/>
  <c r="AW122" i="4"/>
  <c r="AV122" i="4"/>
  <c r="AX104" i="4"/>
  <c r="AW104" i="4"/>
  <c r="AV104" i="4"/>
  <c r="AX94" i="4"/>
  <c r="AW94" i="4"/>
  <c r="AV94" i="4"/>
  <c r="AX83" i="4"/>
  <c r="AW83" i="4"/>
  <c r="AV83" i="4"/>
  <c r="AX74" i="4"/>
  <c r="AW74" i="4"/>
  <c r="AV74" i="4"/>
  <c r="AX62" i="4"/>
  <c r="AW62" i="4"/>
  <c r="AV62" i="4"/>
  <c r="AX52" i="4"/>
  <c r="AW52" i="4"/>
  <c r="AV52" i="4"/>
  <c r="AX51" i="4"/>
  <c r="AW51" i="4"/>
  <c r="AV51" i="4"/>
  <c r="AX50" i="4"/>
  <c r="AW50" i="4"/>
  <c r="AV50" i="4"/>
  <c r="AX48" i="4"/>
  <c r="AW48" i="4"/>
  <c r="AV48" i="4"/>
  <c r="AX47" i="4"/>
  <c r="AW47" i="4"/>
  <c r="AV47" i="4"/>
  <c r="AX46" i="4"/>
  <c r="AW46" i="4"/>
  <c r="AV46" i="4"/>
  <c r="AX40" i="4"/>
  <c r="AW40" i="4"/>
  <c r="AV40" i="4"/>
  <c r="AX36" i="4"/>
  <c r="AW36" i="4"/>
  <c r="AV36" i="4"/>
  <c r="AX35" i="4"/>
  <c r="AW35" i="4"/>
  <c r="AV35" i="4"/>
  <c r="AX34" i="4"/>
  <c r="AW34" i="4"/>
  <c r="AV34" i="4"/>
  <c r="AX28" i="4"/>
  <c r="AW28" i="4"/>
  <c r="AV28" i="4"/>
  <c r="AX9" i="4"/>
  <c r="AW9" i="4"/>
  <c r="AV9" i="4"/>
  <c r="AX8" i="4"/>
  <c r="AW8" i="4"/>
  <c r="AV8" i="4"/>
  <c r="AX7" i="4"/>
  <c r="AW7" i="4"/>
  <c r="AV7" i="4"/>
  <c r="AU501" i="4"/>
  <c r="AU492" i="4"/>
  <c r="AU29" i="4" s="1"/>
  <c r="AU463" i="4"/>
  <c r="AU475" i="4" s="1"/>
  <c r="AU26" i="4" s="1"/>
  <c r="AU454" i="4"/>
  <c r="AU450" i="4"/>
  <c r="AU442" i="4"/>
  <c r="AU419" i="4"/>
  <c r="AU423" i="4" s="1"/>
  <c r="AU402" i="4"/>
  <c r="AU19" i="4" s="1"/>
  <c r="AU395" i="4"/>
  <c r="AU20" i="4" s="1"/>
  <c r="AU388" i="4"/>
  <c r="AU18" i="4" s="1"/>
  <c r="AU377" i="4"/>
  <c r="AU364" i="4"/>
  <c r="AU349" i="4"/>
  <c r="AU339" i="4"/>
  <c r="AU323" i="4"/>
  <c r="AU314" i="4"/>
  <c r="AU307" i="4"/>
  <c r="AU287" i="4"/>
  <c r="AU275" i="4"/>
  <c r="AU260" i="4"/>
  <c r="AU11" i="4" s="1"/>
  <c r="AU247" i="4"/>
  <c r="AU238" i="4"/>
  <c r="AU234" i="4"/>
  <c r="AU229" i="4"/>
  <c r="AU221" i="4"/>
  <c r="AU212" i="4"/>
  <c r="AU208" i="4"/>
  <c r="AU204" i="4"/>
  <c r="AU200" i="4"/>
  <c r="AU196" i="4"/>
  <c r="AU187" i="4"/>
  <c r="AU184" i="4"/>
  <c r="AU176" i="4"/>
  <c r="AU167" i="4"/>
  <c r="AU163" i="4"/>
  <c r="AU155" i="4"/>
  <c r="AU140" i="4"/>
  <c r="AU122" i="4"/>
  <c r="AU104" i="4"/>
  <c r="AU94" i="4"/>
  <c r="AU83" i="4"/>
  <c r="AU74" i="4"/>
  <c r="AU62" i="4"/>
  <c r="AU52" i="4"/>
  <c r="AU51" i="4"/>
  <c r="AU50" i="4"/>
  <c r="AU48" i="4"/>
  <c r="AU47" i="4"/>
  <c r="AU46" i="4"/>
  <c r="AU40" i="4"/>
  <c r="AU36" i="4"/>
  <c r="AU35" i="4"/>
  <c r="AU34" i="4"/>
  <c r="AU33" i="4"/>
  <c r="AU28" i="4"/>
  <c r="AU27" i="4"/>
  <c r="AU9" i="4"/>
  <c r="AU8" i="4"/>
  <c r="AU7" i="4"/>
  <c r="AT492" i="4"/>
  <c r="AT29" i="4" s="1"/>
  <c r="AS492" i="4"/>
  <c r="AS29" i="4" s="1"/>
  <c r="AT463" i="4"/>
  <c r="AT475" i="4" s="1"/>
  <c r="AT26" i="4" s="1"/>
  <c r="AS463" i="4"/>
  <c r="AS475" i="4" s="1"/>
  <c r="AS26" i="4" s="1"/>
  <c r="AT454" i="4"/>
  <c r="AS454" i="4"/>
  <c r="AT450" i="4"/>
  <c r="AS450" i="4"/>
  <c r="AT442" i="4"/>
  <c r="AS442" i="4"/>
  <c r="AT419" i="4"/>
  <c r="AT423" i="4" s="1"/>
  <c r="AS419" i="4"/>
  <c r="AS423" i="4" s="1"/>
  <c r="AS21" i="4" s="1"/>
  <c r="AT402" i="4"/>
  <c r="AT19" i="4" s="1"/>
  <c r="AS402" i="4"/>
  <c r="AS19" i="4" s="1"/>
  <c r="AT395" i="4"/>
  <c r="AT20" i="4" s="1"/>
  <c r="AS395" i="4"/>
  <c r="AS20" i="4" s="1"/>
  <c r="AT388" i="4"/>
  <c r="AT18" i="4" s="1"/>
  <c r="AS388" i="4"/>
  <c r="AT377" i="4"/>
  <c r="AS377" i="4"/>
  <c r="AT364" i="4"/>
  <c r="AS364" i="4"/>
  <c r="AT349" i="4"/>
  <c r="AS349" i="4"/>
  <c r="AT339" i="4"/>
  <c r="AS339" i="4"/>
  <c r="AT323" i="4"/>
  <c r="AS323" i="4"/>
  <c r="AT314" i="4"/>
  <c r="AS314" i="4"/>
  <c r="AT307" i="4"/>
  <c r="AS307" i="4"/>
  <c r="AT287" i="4"/>
  <c r="AS287" i="4"/>
  <c r="AT275" i="4"/>
  <c r="AS275" i="4"/>
  <c r="AT260" i="4"/>
  <c r="AT11" i="4" s="1"/>
  <c r="AS260" i="4"/>
  <c r="AS11" i="4" s="1"/>
  <c r="AT247" i="4"/>
  <c r="AS247" i="4"/>
  <c r="AT238" i="4"/>
  <c r="AS238" i="4"/>
  <c r="AT234" i="4"/>
  <c r="AS234" i="4"/>
  <c r="AT229" i="4"/>
  <c r="AS229" i="4"/>
  <c r="AT221" i="4"/>
  <c r="AS221" i="4"/>
  <c r="AS46" i="4" s="1"/>
  <c r="AT212" i="4"/>
  <c r="AS212" i="4"/>
  <c r="AT208" i="4"/>
  <c r="AS208" i="4"/>
  <c r="AT204" i="4"/>
  <c r="AS204" i="4"/>
  <c r="AT200" i="4"/>
  <c r="AS200" i="4"/>
  <c r="AT196" i="4"/>
  <c r="AS196" i="4"/>
  <c r="AT187" i="4"/>
  <c r="AS187" i="4"/>
  <c r="AT184" i="4"/>
  <c r="AS184" i="4"/>
  <c r="AT176" i="4"/>
  <c r="AS176" i="4"/>
  <c r="AT167" i="4"/>
  <c r="AS167" i="4"/>
  <c r="AT163" i="4"/>
  <c r="AS163" i="4"/>
  <c r="AT155" i="4"/>
  <c r="AS155" i="4"/>
  <c r="AT140" i="4"/>
  <c r="AS140" i="4"/>
  <c r="AT122" i="4"/>
  <c r="AS122" i="4"/>
  <c r="AT104" i="4"/>
  <c r="AS104" i="4"/>
  <c r="AT94" i="4"/>
  <c r="AS94" i="4"/>
  <c r="AT83" i="4"/>
  <c r="AS83" i="4"/>
  <c r="AT74" i="4"/>
  <c r="AS74" i="4"/>
  <c r="AT62" i="4"/>
  <c r="AS62" i="4"/>
  <c r="AT52" i="4"/>
  <c r="AS52" i="4"/>
  <c r="AT51" i="4"/>
  <c r="AS51" i="4"/>
  <c r="AT50" i="4"/>
  <c r="AS50" i="4"/>
  <c r="AT48" i="4"/>
  <c r="AS48" i="4"/>
  <c r="AT47" i="4"/>
  <c r="AS47" i="4"/>
  <c r="AT46" i="4"/>
  <c r="AT40" i="4"/>
  <c r="AS40" i="4"/>
  <c r="AT36" i="4"/>
  <c r="AS36" i="4"/>
  <c r="AT35" i="4"/>
  <c r="AS35" i="4"/>
  <c r="AT34" i="4"/>
  <c r="AS34" i="4"/>
  <c r="AT28" i="4"/>
  <c r="AS28" i="4"/>
  <c r="AT9" i="4"/>
  <c r="AS9" i="4"/>
  <c r="AT8" i="4"/>
  <c r="AS8" i="4"/>
  <c r="AT7" i="4"/>
  <c r="AS7" i="4"/>
  <c r="AR492" i="4"/>
  <c r="AR29" i="4" s="1"/>
  <c r="AR463" i="4"/>
  <c r="AR475" i="4" s="1"/>
  <c r="AR26" i="4" s="1"/>
  <c r="AR454" i="4"/>
  <c r="AR450" i="4"/>
  <c r="AR442" i="4"/>
  <c r="AR419" i="4"/>
  <c r="AR423" i="4" s="1"/>
  <c r="AR21" i="4" s="1"/>
  <c r="AR402" i="4"/>
  <c r="AR19" i="4" s="1"/>
  <c r="AR395" i="4"/>
  <c r="AR20" i="4" s="1"/>
  <c r="AR388" i="4"/>
  <c r="AR377" i="4"/>
  <c r="AR364" i="4"/>
  <c r="AR349" i="4"/>
  <c r="AR339" i="4"/>
  <c r="AR323" i="4"/>
  <c r="AR314" i="4"/>
  <c r="AR307" i="4"/>
  <c r="AR287" i="4"/>
  <c r="AR275" i="4"/>
  <c r="AR260" i="4"/>
  <c r="AR247" i="4"/>
  <c r="AR238" i="4"/>
  <c r="AR234" i="4"/>
  <c r="AR229" i="4"/>
  <c r="AR221" i="4"/>
  <c r="AR46" i="4" s="1"/>
  <c r="AR212" i="4"/>
  <c r="AR208" i="4"/>
  <c r="AR204" i="4"/>
  <c r="AR200" i="4"/>
  <c r="AR196" i="4"/>
  <c r="AR187" i="4"/>
  <c r="AR184" i="4"/>
  <c r="AR176" i="4"/>
  <c r="AR167" i="4"/>
  <c r="AR163" i="4"/>
  <c r="AR155" i="4"/>
  <c r="AR140" i="4"/>
  <c r="AR122" i="4"/>
  <c r="AR104" i="4"/>
  <c r="AR94" i="4"/>
  <c r="AR83" i="4"/>
  <c r="AR74" i="4"/>
  <c r="AR62" i="4"/>
  <c r="AR52" i="4"/>
  <c r="AR51" i="4"/>
  <c r="AR50" i="4"/>
  <c r="AR48" i="4"/>
  <c r="AR47" i="4"/>
  <c r="AR40" i="4"/>
  <c r="AR36" i="4"/>
  <c r="AR35" i="4"/>
  <c r="AR34" i="4"/>
  <c r="AR28" i="4"/>
  <c r="AR9" i="4"/>
  <c r="AR8" i="4"/>
  <c r="AR7" i="4"/>
  <c r="AQ492" i="4"/>
  <c r="AQ29" i="4" s="1"/>
  <c r="AQ463" i="4"/>
  <c r="AQ475" i="4" s="1"/>
  <c r="AQ26" i="4" s="1"/>
  <c r="AQ454" i="4"/>
  <c r="AQ450" i="4"/>
  <c r="AQ442" i="4"/>
  <c r="AQ419" i="4"/>
  <c r="AQ423" i="4" s="1"/>
  <c r="AQ402" i="4"/>
  <c r="AQ19" i="4" s="1"/>
  <c r="AQ395" i="4"/>
  <c r="AQ20" i="4" s="1"/>
  <c r="AQ388" i="4"/>
  <c r="AQ377" i="4"/>
  <c r="AQ364" i="4"/>
  <c r="AQ349" i="4"/>
  <c r="AQ339" i="4"/>
  <c r="AQ323" i="4"/>
  <c r="AQ314" i="4"/>
  <c r="AQ307" i="4"/>
  <c r="AQ287" i="4"/>
  <c r="AQ275" i="4"/>
  <c r="AQ260" i="4"/>
  <c r="AQ11" i="4" s="1"/>
  <c r="AQ247" i="4"/>
  <c r="AQ238" i="4"/>
  <c r="AQ234" i="4"/>
  <c r="AQ229" i="4"/>
  <c r="AQ221" i="4"/>
  <c r="AQ212" i="4"/>
  <c r="AQ208" i="4"/>
  <c r="AQ204" i="4"/>
  <c r="AQ200" i="4"/>
  <c r="AQ196" i="4"/>
  <c r="AQ187" i="4"/>
  <c r="AQ184" i="4"/>
  <c r="AQ176" i="4"/>
  <c r="AQ167" i="4"/>
  <c r="AQ163" i="4"/>
  <c r="AQ155" i="4"/>
  <c r="AQ140" i="4"/>
  <c r="AQ122" i="4"/>
  <c r="AQ104" i="4"/>
  <c r="AQ94" i="4"/>
  <c r="AQ83" i="4"/>
  <c r="AQ74" i="4"/>
  <c r="AQ62" i="4"/>
  <c r="AQ52" i="4"/>
  <c r="AQ51" i="4"/>
  <c r="AQ50" i="4"/>
  <c r="AQ48" i="4"/>
  <c r="AQ47" i="4"/>
  <c r="AQ46" i="4"/>
  <c r="AQ40" i="4"/>
  <c r="AQ36" i="4"/>
  <c r="AQ35" i="4"/>
  <c r="AQ34" i="4"/>
  <c r="AQ28" i="4"/>
  <c r="AQ9" i="4"/>
  <c r="AQ8" i="4"/>
  <c r="AQ7" i="4"/>
  <c r="AP492" i="4"/>
  <c r="AP463" i="4"/>
  <c r="AP475" i="4" s="1"/>
  <c r="AP26" i="4" s="1"/>
  <c r="AP454" i="4"/>
  <c r="AP450" i="4"/>
  <c r="AP442" i="4"/>
  <c r="AP419" i="4"/>
  <c r="AP423" i="4" s="1"/>
  <c r="AP402" i="4"/>
  <c r="AP19" i="4" s="1"/>
  <c r="AP395" i="4"/>
  <c r="AP20" i="4" s="1"/>
  <c r="AP388" i="4"/>
  <c r="AP377" i="4"/>
  <c r="AP364" i="4"/>
  <c r="AP349" i="4"/>
  <c r="AP339" i="4"/>
  <c r="AP323" i="4"/>
  <c r="AP314" i="4"/>
  <c r="AP307" i="4"/>
  <c r="AP287" i="4"/>
  <c r="AP275" i="4"/>
  <c r="AP260" i="4"/>
  <c r="AP247" i="4"/>
  <c r="AP238" i="4"/>
  <c r="AP234" i="4"/>
  <c r="AP229" i="4"/>
  <c r="AP221" i="4"/>
  <c r="AP212" i="4"/>
  <c r="AP208" i="4"/>
  <c r="AP204" i="4"/>
  <c r="AP200" i="4"/>
  <c r="AP196" i="4"/>
  <c r="AP187" i="4"/>
  <c r="AP184" i="4"/>
  <c r="AP176" i="4"/>
  <c r="AP167" i="4"/>
  <c r="AP163" i="4"/>
  <c r="AP155" i="4"/>
  <c r="AP140" i="4"/>
  <c r="AP122" i="4"/>
  <c r="AP104" i="4"/>
  <c r="AP94" i="4"/>
  <c r="AP83" i="4"/>
  <c r="AP74" i="4"/>
  <c r="AP62" i="4"/>
  <c r="AP52" i="4"/>
  <c r="AP51" i="4"/>
  <c r="AP50" i="4"/>
  <c r="AP48" i="4"/>
  <c r="AP47" i="4"/>
  <c r="AP46" i="4"/>
  <c r="AP40" i="4"/>
  <c r="AP36" i="4"/>
  <c r="AP35" i="4"/>
  <c r="AP34" i="4"/>
  <c r="AP29" i="4"/>
  <c r="AP28" i="4"/>
  <c r="AP9" i="4"/>
  <c r="AP8" i="4"/>
  <c r="AP7" i="4"/>
  <c r="AO492" i="4"/>
  <c r="AO29" i="4" s="1"/>
  <c r="AO463" i="4"/>
  <c r="AO475" i="4" s="1"/>
  <c r="AO26" i="4" s="1"/>
  <c r="AO454" i="4"/>
  <c r="AO450" i="4"/>
  <c r="AO442" i="4"/>
  <c r="AO34" i="4" s="1"/>
  <c r="AO419" i="4"/>
  <c r="AO423" i="4" s="1"/>
  <c r="AO402" i="4"/>
  <c r="AO19" i="4" s="1"/>
  <c r="AO395" i="4"/>
  <c r="AO20" i="4" s="1"/>
  <c r="AO388" i="4"/>
  <c r="AO377" i="4"/>
  <c r="AO364" i="4"/>
  <c r="AO349" i="4"/>
  <c r="AO339" i="4"/>
  <c r="AO323" i="4"/>
  <c r="AO314" i="4"/>
  <c r="AO307" i="4"/>
  <c r="AO287" i="4"/>
  <c r="AO275" i="4"/>
  <c r="AO260" i="4"/>
  <c r="AO247" i="4"/>
  <c r="AO238" i="4"/>
  <c r="AO234" i="4"/>
  <c r="AO229" i="4"/>
  <c r="AO221" i="4"/>
  <c r="AO212" i="4"/>
  <c r="AO208" i="4"/>
  <c r="AO204" i="4"/>
  <c r="AO200" i="4"/>
  <c r="AO196" i="4"/>
  <c r="AO187" i="4"/>
  <c r="AO184" i="4"/>
  <c r="AO176" i="4"/>
  <c r="AO167" i="4"/>
  <c r="AO163" i="4"/>
  <c r="AO155" i="4"/>
  <c r="AO140" i="4"/>
  <c r="AO122" i="4"/>
  <c r="AO104" i="4"/>
  <c r="AO94" i="4"/>
  <c r="AO83" i="4"/>
  <c r="AO74" i="4"/>
  <c r="AO62" i="4"/>
  <c r="AO52" i="4"/>
  <c r="AO51" i="4"/>
  <c r="AO50" i="4"/>
  <c r="AO48" i="4"/>
  <c r="AO47" i="4"/>
  <c r="AO46" i="4"/>
  <c r="AO40" i="4"/>
  <c r="AO36" i="4"/>
  <c r="AO35" i="4"/>
  <c r="AO28" i="4"/>
  <c r="AO9" i="4"/>
  <c r="AO8" i="4"/>
  <c r="AO7" i="4"/>
  <c r="AN492" i="4"/>
  <c r="AN29" i="4" s="1"/>
  <c r="AN463" i="4"/>
  <c r="AN475" i="4" s="1"/>
  <c r="AN26" i="4" s="1"/>
  <c r="AN454" i="4"/>
  <c r="AN450" i="4"/>
  <c r="AN442" i="4"/>
  <c r="AN419" i="4"/>
  <c r="AN423" i="4" s="1"/>
  <c r="AN402" i="4"/>
  <c r="AN19" i="4" s="1"/>
  <c r="AN395" i="4"/>
  <c r="AN20" i="4" s="1"/>
  <c r="AN388" i="4"/>
  <c r="AN377" i="4"/>
  <c r="AN364" i="4"/>
  <c r="AN349" i="4"/>
  <c r="AN339" i="4"/>
  <c r="AN323" i="4"/>
  <c r="AN314" i="4"/>
  <c r="AN307" i="4"/>
  <c r="AN287" i="4"/>
  <c r="AN275" i="4"/>
  <c r="AN260" i="4"/>
  <c r="AN11" i="4" s="1"/>
  <c r="AN247" i="4"/>
  <c r="AN238" i="4"/>
  <c r="AN234" i="4"/>
  <c r="AN229" i="4"/>
  <c r="AN221" i="4"/>
  <c r="AN46" i="4" s="1"/>
  <c r="AN212" i="4"/>
  <c r="AN208" i="4"/>
  <c r="AN204" i="4"/>
  <c r="AN200" i="4"/>
  <c r="AN196" i="4"/>
  <c r="AN187" i="4"/>
  <c r="AN184" i="4"/>
  <c r="AN176" i="4"/>
  <c r="AN167" i="4"/>
  <c r="AN163" i="4"/>
  <c r="AN155" i="4"/>
  <c r="AN140" i="4"/>
  <c r="AN122" i="4"/>
  <c r="AN104" i="4"/>
  <c r="AN94" i="4"/>
  <c r="AN83" i="4"/>
  <c r="AN74" i="4"/>
  <c r="AN62" i="4"/>
  <c r="AN52" i="4"/>
  <c r="AN51" i="4"/>
  <c r="AN50" i="4"/>
  <c r="AN48" i="4"/>
  <c r="AN47" i="4"/>
  <c r="AN40" i="4"/>
  <c r="AN36" i="4"/>
  <c r="AN35" i="4"/>
  <c r="AN34" i="4"/>
  <c r="AN28" i="4"/>
  <c r="AN9" i="4"/>
  <c r="AN8" i="4"/>
  <c r="AN7" i="4"/>
  <c r="AM492" i="4"/>
  <c r="AM29" i="4" s="1"/>
  <c r="AM463" i="4"/>
  <c r="AM475" i="4" s="1"/>
  <c r="AM26" i="4" s="1"/>
  <c r="AM454" i="4"/>
  <c r="AM450" i="4"/>
  <c r="AM419" i="4"/>
  <c r="AM423" i="4" s="1"/>
  <c r="AM402" i="4"/>
  <c r="AM19" i="4" s="1"/>
  <c r="AM395" i="4"/>
  <c r="AM20" i="4" s="1"/>
  <c r="AM388" i="4"/>
  <c r="AM18" i="4" s="1"/>
  <c r="AM377" i="4"/>
  <c r="AM364" i="4"/>
  <c r="AM349" i="4"/>
  <c r="AM339" i="4"/>
  <c r="AM323" i="4"/>
  <c r="AM314" i="4"/>
  <c r="AM307" i="4"/>
  <c r="AM287" i="4"/>
  <c r="AM275" i="4"/>
  <c r="AM260" i="4"/>
  <c r="AM11" i="4" s="1"/>
  <c r="AM247" i="4"/>
  <c r="AM238" i="4"/>
  <c r="AM234" i="4"/>
  <c r="AM229" i="4"/>
  <c r="AM221" i="4"/>
  <c r="AM212" i="4"/>
  <c r="AM208" i="4"/>
  <c r="AM204" i="4"/>
  <c r="AM200" i="4"/>
  <c r="AM196" i="4"/>
  <c r="AM187" i="4"/>
  <c r="AM184" i="4"/>
  <c r="AM176" i="4"/>
  <c r="AM167" i="4"/>
  <c r="AM163" i="4"/>
  <c r="AM155" i="4"/>
  <c r="AM140" i="4"/>
  <c r="AM122" i="4"/>
  <c r="AM104" i="4"/>
  <c r="AM94" i="4"/>
  <c r="AM83" i="4"/>
  <c r="AM74" i="4"/>
  <c r="AM62" i="4"/>
  <c r="AM52" i="4"/>
  <c r="AM51" i="4"/>
  <c r="AM50" i="4"/>
  <c r="AM48" i="4"/>
  <c r="AM47" i="4"/>
  <c r="AM46" i="4"/>
  <c r="AM40" i="4"/>
  <c r="AM36" i="4"/>
  <c r="AM35" i="4"/>
  <c r="AM28" i="4"/>
  <c r="AM9" i="4"/>
  <c r="AM8" i="4"/>
  <c r="AM7" i="4"/>
  <c r="AL492" i="4"/>
  <c r="AL29" i="4" s="1"/>
  <c r="AL463" i="4"/>
  <c r="AL475" i="4" s="1"/>
  <c r="AL26" i="4" s="1"/>
  <c r="AL454" i="4"/>
  <c r="AL450" i="4"/>
  <c r="AL442" i="4"/>
  <c r="AL419" i="4"/>
  <c r="AL423" i="4" s="1"/>
  <c r="AL402" i="4"/>
  <c r="AL19" i="4" s="1"/>
  <c r="AL395" i="4"/>
  <c r="AL20" i="4" s="1"/>
  <c r="AL388" i="4"/>
  <c r="AL377" i="4"/>
  <c r="AL364" i="4"/>
  <c r="AL349" i="4"/>
  <c r="AL339" i="4"/>
  <c r="AL323" i="4"/>
  <c r="AL314" i="4"/>
  <c r="AL307" i="4"/>
  <c r="AL287" i="4"/>
  <c r="AL275" i="4"/>
  <c r="AL260" i="4"/>
  <c r="AL247" i="4"/>
  <c r="AL238" i="4"/>
  <c r="AL234" i="4"/>
  <c r="AL229" i="4"/>
  <c r="AL221" i="4"/>
  <c r="AL212" i="4"/>
  <c r="AL208" i="4"/>
  <c r="AL204" i="4"/>
  <c r="AL200" i="4"/>
  <c r="AL196" i="4"/>
  <c r="AL187" i="4"/>
  <c r="AL184" i="4"/>
  <c r="AL176" i="4"/>
  <c r="AL167" i="4"/>
  <c r="AL163" i="4"/>
  <c r="AL155" i="4"/>
  <c r="AL140" i="4"/>
  <c r="AL122" i="4"/>
  <c r="AL104" i="4"/>
  <c r="AL94" i="4"/>
  <c r="AL83" i="4"/>
  <c r="AL74" i="4"/>
  <c r="AL62" i="4"/>
  <c r="AL52" i="4"/>
  <c r="AL51" i="4"/>
  <c r="AL50" i="4"/>
  <c r="AL48" i="4"/>
  <c r="AL47" i="4"/>
  <c r="AL46" i="4"/>
  <c r="AL40" i="4"/>
  <c r="AL36" i="4"/>
  <c r="AL35" i="4"/>
  <c r="AL28" i="4"/>
  <c r="AL9" i="4"/>
  <c r="AL8" i="4"/>
  <c r="AL7" i="4"/>
  <c r="AK492" i="4"/>
  <c r="AK29" i="4" s="1"/>
  <c r="AK463" i="4"/>
  <c r="AK475" i="4" s="1"/>
  <c r="AK26" i="4" s="1"/>
  <c r="AK454" i="4"/>
  <c r="AK450" i="4"/>
  <c r="AK442" i="4"/>
  <c r="AK419" i="4"/>
  <c r="AK423" i="4" s="1"/>
  <c r="AK402" i="4"/>
  <c r="AK19" i="4" s="1"/>
  <c r="AK395" i="4"/>
  <c r="AK20" i="4" s="1"/>
  <c r="AK388" i="4"/>
  <c r="AK377" i="4"/>
  <c r="AK364" i="4"/>
  <c r="AK349" i="4"/>
  <c r="AK339" i="4"/>
  <c r="AK323" i="4"/>
  <c r="AK314" i="4"/>
  <c r="AK307" i="4"/>
  <c r="AK287" i="4"/>
  <c r="AK275" i="4"/>
  <c r="AK260" i="4"/>
  <c r="AK247" i="4"/>
  <c r="AK238" i="4"/>
  <c r="AK234" i="4"/>
  <c r="AK229" i="4"/>
  <c r="AK221" i="4"/>
  <c r="AK46" i="4" s="1"/>
  <c r="AK212" i="4"/>
  <c r="AK208" i="4"/>
  <c r="AK204" i="4"/>
  <c r="AK200" i="4"/>
  <c r="AK196" i="4"/>
  <c r="AK187" i="4"/>
  <c r="AK184" i="4"/>
  <c r="AK176" i="4"/>
  <c r="AK167" i="4"/>
  <c r="AK163" i="4"/>
  <c r="AK155" i="4"/>
  <c r="AK140" i="4"/>
  <c r="AK122" i="4"/>
  <c r="AK104" i="4"/>
  <c r="AK94" i="4"/>
  <c r="AK83" i="4"/>
  <c r="AK74" i="4"/>
  <c r="AK62" i="4"/>
  <c r="AK52" i="4"/>
  <c r="AK51" i="4"/>
  <c r="AK50" i="4"/>
  <c r="AK48" i="4"/>
  <c r="AK47" i="4"/>
  <c r="AK40" i="4"/>
  <c r="AK36" i="4"/>
  <c r="AK35" i="4"/>
  <c r="AK28" i="4"/>
  <c r="AK9" i="4"/>
  <c r="AK8" i="4"/>
  <c r="AK7" i="4"/>
  <c r="AJ492" i="4"/>
  <c r="AJ29" i="4" s="1"/>
  <c r="AJ463" i="4"/>
  <c r="AJ475" i="4" s="1"/>
  <c r="AJ26" i="4" s="1"/>
  <c r="AJ454" i="4"/>
  <c r="AJ450" i="4"/>
  <c r="AJ419" i="4"/>
  <c r="AJ423" i="4" s="1"/>
  <c r="AJ402" i="4"/>
  <c r="AJ19" i="4" s="1"/>
  <c r="AJ395" i="4"/>
  <c r="AJ20" i="4" s="1"/>
  <c r="AJ388" i="4"/>
  <c r="AJ18" i="4" s="1"/>
  <c r="AJ377" i="4"/>
  <c r="AJ364" i="4"/>
  <c r="AJ349" i="4"/>
  <c r="AJ339" i="4"/>
  <c r="AJ323" i="4"/>
  <c r="AJ314" i="4"/>
  <c r="AJ307" i="4"/>
  <c r="AJ287" i="4"/>
  <c r="AJ275" i="4"/>
  <c r="AJ260" i="4"/>
  <c r="AJ11" i="4" s="1"/>
  <c r="AJ247" i="4"/>
  <c r="AJ238" i="4"/>
  <c r="AJ234" i="4"/>
  <c r="AJ229" i="4"/>
  <c r="AJ221" i="4"/>
  <c r="AJ46" i="4" s="1"/>
  <c r="AJ212" i="4"/>
  <c r="AJ208" i="4"/>
  <c r="AJ204" i="4"/>
  <c r="AJ200" i="4"/>
  <c r="AJ196" i="4"/>
  <c r="AJ187" i="4"/>
  <c r="AJ184" i="4"/>
  <c r="AJ176" i="4"/>
  <c r="AJ167" i="4"/>
  <c r="AJ163" i="4"/>
  <c r="AJ155" i="4"/>
  <c r="AJ140" i="4"/>
  <c r="AJ122" i="4"/>
  <c r="AJ104" i="4"/>
  <c r="AJ94" i="4"/>
  <c r="AJ83" i="4"/>
  <c r="AJ74" i="4"/>
  <c r="AJ62" i="4"/>
  <c r="AJ52" i="4"/>
  <c r="AJ51" i="4"/>
  <c r="AJ50" i="4"/>
  <c r="AJ48" i="4"/>
  <c r="AJ47" i="4"/>
  <c r="AJ40" i="4"/>
  <c r="AJ36" i="4"/>
  <c r="AJ35" i="4"/>
  <c r="AJ28" i="4"/>
  <c r="AJ9" i="4"/>
  <c r="AJ8" i="4"/>
  <c r="AJ7" i="4"/>
  <c r="AI492" i="4"/>
  <c r="AI29" i="4" s="1"/>
  <c r="AI463" i="4"/>
  <c r="AI475" i="4" s="1"/>
  <c r="AI26" i="4" s="1"/>
  <c r="AI454" i="4"/>
  <c r="AI450" i="4"/>
  <c r="AI442" i="4"/>
  <c r="AI419" i="4"/>
  <c r="AI423" i="4" s="1"/>
  <c r="AI402" i="4"/>
  <c r="AI19" i="4" s="1"/>
  <c r="AI395" i="4"/>
  <c r="AI20" i="4" s="1"/>
  <c r="AI388" i="4"/>
  <c r="AI377" i="4"/>
  <c r="AI364" i="4"/>
  <c r="AI349" i="4"/>
  <c r="AI339" i="4"/>
  <c r="AI323" i="4"/>
  <c r="AI314" i="4"/>
  <c r="AI307" i="4"/>
  <c r="AI287" i="4"/>
  <c r="AI275" i="4"/>
  <c r="AI260" i="4"/>
  <c r="AI11" i="4" s="1"/>
  <c r="AI247" i="4"/>
  <c r="AI238" i="4"/>
  <c r="AI234" i="4"/>
  <c r="AI229" i="4"/>
  <c r="AI221" i="4"/>
  <c r="AI212" i="4"/>
  <c r="AI208" i="4"/>
  <c r="AI204" i="4"/>
  <c r="AI200" i="4"/>
  <c r="AI196" i="4"/>
  <c r="AI187" i="4"/>
  <c r="AI184" i="4"/>
  <c r="AI176" i="4"/>
  <c r="AI167" i="4"/>
  <c r="AI163" i="4"/>
  <c r="AI155" i="4"/>
  <c r="AI140" i="4"/>
  <c r="AI122" i="4"/>
  <c r="AI104" i="4"/>
  <c r="AI94" i="4"/>
  <c r="AI83" i="4"/>
  <c r="AI74" i="4"/>
  <c r="AI62" i="4"/>
  <c r="AI52" i="4"/>
  <c r="AI51" i="4"/>
  <c r="AI50" i="4"/>
  <c r="AI48" i="4"/>
  <c r="AI47" i="4"/>
  <c r="AI46" i="4"/>
  <c r="AI40" i="4"/>
  <c r="AI36" i="4"/>
  <c r="AI35" i="4"/>
  <c r="AI34" i="4"/>
  <c r="AI28" i="4"/>
  <c r="AI9" i="4"/>
  <c r="AI8" i="4"/>
  <c r="AI7" i="4"/>
  <c r="AH492" i="4"/>
  <c r="AH29" i="4" s="1"/>
  <c r="AH463" i="4"/>
  <c r="AH475" i="4" s="1"/>
  <c r="AH26" i="4" s="1"/>
  <c r="AH454" i="4"/>
  <c r="AH450" i="4"/>
  <c r="AH442" i="4"/>
  <c r="AH419" i="4"/>
  <c r="AH423" i="4" s="1"/>
  <c r="AH402" i="4"/>
  <c r="AH19" i="4" s="1"/>
  <c r="AH395" i="4"/>
  <c r="AH20" i="4" s="1"/>
  <c r="AH388" i="4"/>
  <c r="AH377" i="4"/>
  <c r="AH364" i="4"/>
  <c r="AH349" i="4"/>
  <c r="AH339" i="4"/>
  <c r="AH323" i="4"/>
  <c r="AH314" i="4"/>
  <c r="AH307" i="4"/>
  <c r="AH287" i="4"/>
  <c r="AH275" i="4"/>
  <c r="AH260" i="4"/>
  <c r="AH247" i="4"/>
  <c r="AH238" i="4"/>
  <c r="AH234" i="4"/>
  <c r="AH229" i="4"/>
  <c r="AH221" i="4"/>
  <c r="AH212" i="4"/>
  <c r="AH208" i="4"/>
  <c r="AH204" i="4"/>
  <c r="AH200" i="4"/>
  <c r="AH196" i="4"/>
  <c r="AH187" i="4"/>
  <c r="AH184" i="4"/>
  <c r="AH176" i="4"/>
  <c r="AH167" i="4"/>
  <c r="AH163" i="4"/>
  <c r="AH155" i="4"/>
  <c r="AH140" i="4"/>
  <c r="AH122" i="4"/>
  <c r="AH104" i="4"/>
  <c r="AH94" i="4"/>
  <c r="AH83" i="4"/>
  <c r="AH74" i="4"/>
  <c r="AH62" i="4"/>
  <c r="AH52" i="4"/>
  <c r="AH51" i="4"/>
  <c r="AH50" i="4"/>
  <c r="AH48" i="4"/>
  <c r="AH47" i="4"/>
  <c r="AH46" i="4"/>
  <c r="AH40" i="4"/>
  <c r="AH36" i="4"/>
  <c r="AH35" i="4"/>
  <c r="AH34" i="4"/>
  <c r="AH28" i="4"/>
  <c r="AH9" i="4"/>
  <c r="AH8" i="4"/>
  <c r="AH7" i="4"/>
  <c r="AG492" i="4"/>
  <c r="AG29" i="4" s="1"/>
  <c r="AG463" i="4"/>
  <c r="AG475" i="4" s="1"/>
  <c r="AG26" i="4" s="1"/>
  <c r="AG454" i="4"/>
  <c r="AG450" i="4"/>
  <c r="AG442" i="4"/>
  <c r="AG419" i="4"/>
  <c r="AG423" i="4" s="1"/>
  <c r="AG402" i="4"/>
  <c r="AG19" i="4" s="1"/>
  <c r="AG395" i="4"/>
  <c r="AG20" i="4" s="1"/>
  <c r="AG388" i="4"/>
  <c r="AG377" i="4"/>
  <c r="AG364" i="4"/>
  <c r="AG349" i="4"/>
  <c r="AG339" i="4"/>
  <c r="AG323" i="4"/>
  <c r="AG314" i="4"/>
  <c r="AG307" i="4"/>
  <c r="AG287" i="4"/>
  <c r="AG275" i="4"/>
  <c r="AG260" i="4"/>
  <c r="AG11" i="4" s="1"/>
  <c r="AG247" i="4"/>
  <c r="AG238" i="4"/>
  <c r="AG234" i="4"/>
  <c r="AG229" i="4"/>
  <c r="AG221" i="4"/>
  <c r="AG212" i="4"/>
  <c r="AG208" i="4"/>
  <c r="AG204" i="4"/>
  <c r="AG200" i="4"/>
  <c r="AG196" i="4"/>
  <c r="AG187" i="4"/>
  <c r="AG184" i="4"/>
  <c r="AG176" i="4"/>
  <c r="AG167" i="4"/>
  <c r="AG163" i="4"/>
  <c r="AG155" i="4"/>
  <c r="AG140" i="4"/>
  <c r="AG122" i="4"/>
  <c r="AG104" i="4"/>
  <c r="AG94" i="4"/>
  <c r="AG83" i="4"/>
  <c r="AG74" i="4"/>
  <c r="AG62" i="4"/>
  <c r="AG52" i="4"/>
  <c r="AG51" i="4"/>
  <c r="AG50" i="4"/>
  <c r="AG48" i="4"/>
  <c r="AG47" i="4"/>
  <c r="AG46" i="4"/>
  <c r="AG40" i="4"/>
  <c r="AG36" i="4"/>
  <c r="AG35" i="4"/>
  <c r="AG34" i="4"/>
  <c r="AG28" i="4"/>
  <c r="AG9" i="4"/>
  <c r="AG8" i="4"/>
  <c r="AG7" i="4"/>
  <c r="AF492" i="4"/>
  <c r="AF29" i="4" s="1"/>
  <c r="AF463" i="4"/>
  <c r="AF475" i="4" s="1"/>
  <c r="AF26" i="4" s="1"/>
  <c r="AF454" i="4"/>
  <c r="AF450" i="4"/>
  <c r="AF442" i="4"/>
  <c r="AF421" i="4"/>
  <c r="AF419" i="4"/>
  <c r="AF402" i="4"/>
  <c r="AF19" i="4" s="1"/>
  <c r="AF395" i="4"/>
  <c r="AF20" i="4" s="1"/>
  <c r="AF388" i="4"/>
  <c r="AF377" i="4"/>
  <c r="AF364" i="4"/>
  <c r="AF349" i="4"/>
  <c r="AF339" i="4"/>
  <c r="AF323" i="4"/>
  <c r="AF314" i="4"/>
  <c r="AF307" i="4"/>
  <c r="AF287" i="4"/>
  <c r="AF275" i="4"/>
  <c r="AF260" i="4"/>
  <c r="AF247" i="4"/>
  <c r="AF238" i="4"/>
  <c r="AF234" i="4"/>
  <c r="AF229" i="4"/>
  <c r="AF221" i="4"/>
  <c r="AF212" i="4"/>
  <c r="AF208" i="4"/>
  <c r="AF204" i="4"/>
  <c r="AF200" i="4"/>
  <c r="AF196" i="4"/>
  <c r="AF187" i="4"/>
  <c r="AF184" i="4"/>
  <c r="AF176" i="4"/>
  <c r="AF167" i="4"/>
  <c r="AF163" i="4"/>
  <c r="AF155" i="4"/>
  <c r="AF140" i="4"/>
  <c r="AF122" i="4"/>
  <c r="AF104" i="4"/>
  <c r="AF94" i="4"/>
  <c r="AF83" i="4"/>
  <c r="AF74" i="4"/>
  <c r="AF62" i="4"/>
  <c r="AF52" i="4"/>
  <c r="AF51" i="4"/>
  <c r="AF50" i="4"/>
  <c r="AF48" i="4"/>
  <c r="AF47" i="4"/>
  <c r="AF46" i="4"/>
  <c r="AF40" i="4"/>
  <c r="AF36" i="4"/>
  <c r="AF35" i="4"/>
  <c r="AF34" i="4"/>
  <c r="AF28" i="4"/>
  <c r="AF9" i="4"/>
  <c r="AF8" i="4"/>
  <c r="AF7" i="4"/>
  <c r="AE492" i="4"/>
  <c r="AE463" i="4"/>
  <c r="AE475" i="4" s="1"/>
  <c r="AE26" i="4" s="1"/>
  <c r="AE454" i="4"/>
  <c r="AE450" i="4"/>
  <c r="AE442" i="4"/>
  <c r="AE419" i="4"/>
  <c r="AE423" i="4" s="1"/>
  <c r="AE402" i="4"/>
  <c r="AE395" i="4"/>
  <c r="AE20" i="4" s="1"/>
  <c r="AE388" i="4"/>
  <c r="AE377" i="4"/>
  <c r="AE364" i="4"/>
  <c r="AE349" i="4"/>
  <c r="AE339" i="4"/>
  <c r="AE323" i="4"/>
  <c r="AE314" i="4"/>
  <c r="AE307" i="4"/>
  <c r="AE287" i="4"/>
  <c r="AE275" i="4"/>
  <c r="AE260" i="4"/>
  <c r="AE11" i="4" s="1"/>
  <c r="AE247" i="4"/>
  <c r="AE238" i="4"/>
  <c r="AE234" i="4"/>
  <c r="AE229" i="4"/>
  <c r="AE221" i="4"/>
  <c r="AE212" i="4"/>
  <c r="AE208" i="4"/>
  <c r="AE204" i="4"/>
  <c r="AE200" i="4"/>
  <c r="AE196" i="4"/>
  <c r="AE187" i="4"/>
  <c r="AE184" i="4"/>
  <c r="AE176" i="4"/>
  <c r="AE167" i="4"/>
  <c r="AE163" i="4"/>
  <c r="AE155" i="4"/>
  <c r="AE140" i="4"/>
  <c r="AE122" i="4"/>
  <c r="AE104" i="4"/>
  <c r="AE94" i="4"/>
  <c r="AE83" i="4"/>
  <c r="AE74" i="4"/>
  <c r="AE62" i="4"/>
  <c r="AE52" i="4"/>
  <c r="AE51" i="4"/>
  <c r="AE50" i="4"/>
  <c r="AE48" i="4"/>
  <c r="AE47" i="4"/>
  <c r="AE46" i="4"/>
  <c r="AE40" i="4"/>
  <c r="AE36" i="4"/>
  <c r="AE35" i="4"/>
  <c r="AE34" i="4"/>
  <c r="AE29" i="4"/>
  <c r="AE28" i="4"/>
  <c r="AE19" i="4"/>
  <c r="AE9" i="4"/>
  <c r="AE8" i="4"/>
  <c r="AE7" i="4"/>
  <c r="AD492" i="4"/>
  <c r="AD29" i="4" s="1"/>
  <c r="AD462" i="4"/>
  <c r="AD463" i="4" s="1"/>
  <c r="AD475" i="4" s="1"/>
  <c r="AD26" i="4" s="1"/>
  <c r="AD454" i="4"/>
  <c r="AD450" i="4"/>
  <c r="AD442" i="4"/>
  <c r="AD419" i="4"/>
  <c r="AD423" i="4" s="1"/>
  <c r="AD432" i="4" s="1"/>
  <c r="AD402" i="4"/>
  <c r="AD19" i="4" s="1"/>
  <c r="AD395" i="4"/>
  <c r="AD20" i="4" s="1"/>
  <c r="AD388" i="4"/>
  <c r="AD18" i="4" s="1"/>
  <c r="AD377" i="4"/>
  <c r="AD364" i="4"/>
  <c r="AD349" i="4"/>
  <c r="AD339" i="4"/>
  <c r="AD323" i="4"/>
  <c r="AD314" i="4"/>
  <c r="AD307" i="4"/>
  <c r="AD287" i="4"/>
  <c r="AD275" i="4"/>
  <c r="AD260" i="4"/>
  <c r="AD11" i="4" s="1"/>
  <c r="AD247" i="4"/>
  <c r="AD238" i="4"/>
  <c r="AD234" i="4"/>
  <c r="AD229" i="4"/>
  <c r="AD221" i="4"/>
  <c r="AD212" i="4"/>
  <c r="AD208" i="4"/>
  <c r="AD204" i="4"/>
  <c r="AD200" i="4"/>
  <c r="AD196" i="4"/>
  <c r="AD187" i="4"/>
  <c r="AD184" i="4"/>
  <c r="AD176" i="4"/>
  <c r="AD167" i="4"/>
  <c r="AD163" i="4"/>
  <c r="AD155" i="4"/>
  <c r="AD140" i="4"/>
  <c r="AD122" i="4"/>
  <c r="AD104" i="4"/>
  <c r="AD94" i="4"/>
  <c r="AD83" i="4"/>
  <c r="AD74" i="4"/>
  <c r="AD62" i="4"/>
  <c r="AD52" i="4"/>
  <c r="AD51" i="4"/>
  <c r="AD50" i="4"/>
  <c r="AD48" i="4"/>
  <c r="AD47" i="4"/>
  <c r="AD46" i="4"/>
  <c r="AD40" i="4"/>
  <c r="AD36" i="4"/>
  <c r="AD35" i="4"/>
  <c r="AD34" i="4"/>
  <c r="AD28" i="4"/>
  <c r="AD9" i="4"/>
  <c r="AD8" i="4"/>
  <c r="AD7" i="4"/>
  <c r="AC492" i="4"/>
  <c r="AC29" i="4" s="1"/>
  <c r="AC463" i="4"/>
  <c r="AC475" i="4" s="1"/>
  <c r="AC26" i="4" s="1"/>
  <c r="AC454" i="4"/>
  <c r="AC450" i="4"/>
  <c r="AC442" i="4"/>
  <c r="AC419" i="4"/>
  <c r="AC423" i="4" s="1"/>
  <c r="AC432" i="4" s="1"/>
  <c r="AC402" i="4"/>
  <c r="AC19" i="4" s="1"/>
  <c r="AC395" i="4"/>
  <c r="AC20" i="4" s="1"/>
  <c r="AC388" i="4"/>
  <c r="AC377" i="4"/>
  <c r="AC364" i="4"/>
  <c r="AC349" i="4"/>
  <c r="AC339" i="4"/>
  <c r="AC323" i="4"/>
  <c r="AC314" i="4"/>
  <c r="AC307" i="4"/>
  <c r="AC287" i="4"/>
  <c r="AC275" i="4"/>
  <c r="AC260" i="4"/>
  <c r="AC247" i="4"/>
  <c r="AC238" i="4"/>
  <c r="AC234" i="4"/>
  <c r="AC229" i="4"/>
  <c r="AC221" i="4"/>
  <c r="AC46" i="4" s="1"/>
  <c r="AC212" i="4"/>
  <c r="AC208" i="4"/>
  <c r="AC204" i="4"/>
  <c r="AC200" i="4"/>
  <c r="AC196" i="4"/>
  <c r="AC187" i="4"/>
  <c r="AC184" i="4"/>
  <c r="AC176" i="4"/>
  <c r="AC167" i="4"/>
  <c r="AC163" i="4"/>
  <c r="AC155" i="4"/>
  <c r="AC140" i="4"/>
  <c r="AC122" i="4"/>
  <c r="AC104" i="4"/>
  <c r="AC94" i="4"/>
  <c r="AC83" i="4"/>
  <c r="AC74" i="4"/>
  <c r="AC62" i="4"/>
  <c r="AC52" i="4"/>
  <c r="AC51" i="4"/>
  <c r="AC50" i="4"/>
  <c r="AC48" i="4"/>
  <c r="AC47" i="4"/>
  <c r="AC40" i="4"/>
  <c r="AC36" i="4"/>
  <c r="AC35" i="4"/>
  <c r="AC34" i="4"/>
  <c r="AC28" i="4"/>
  <c r="AC9" i="4"/>
  <c r="AC8" i="4"/>
  <c r="AC7" i="4"/>
  <c r="AB492" i="4"/>
  <c r="AB29" i="4" s="1"/>
  <c r="AA492" i="4"/>
  <c r="AA29" i="4" s="1"/>
  <c r="AB463" i="4"/>
  <c r="AB475" i="4" s="1"/>
  <c r="AB26" i="4" s="1"/>
  <c r="AA463" i="4"/>
  <c r="AA475" i="4" s="1"/>
  <c r="AA26" i="4" s="1"/>
  <c r="AB454" i="4"/>
  <c r="AA454" i="4"/>
  <c r="AB450" i="4"/>
  <c r="AA450" i="4"/>
  <c r="AB442" i="4"/>
  <c r="AA442" i="4"/>
  <c r="AB419" i="4"/>
  <c r="AB423" i="4" s="1"/>
  <c r="AA419" i="4"/>
  <c r="AA423" i="4" s="1"/>
  <c r="AB402" i="4"/>
  <c r="AA402" i="4"/>
  <c r="AA19" i="4" s="1"/>
  <c r="AB395" i="4"/>
  <c r="AA395" i="4"/>
  <c r="AB388" i="4"/>
  <c r="AB18" i="4" s="1"/>
  <c r="AA388" i="4"/>
  <c r="AA18" i="4" s="1"/>
  <c r="AB377" i="4"/>
  <c r="AA377" i="4"/>
  <c r="AB364" i="4"/>
  <c r="AA364" i="4"/>
  <c r="AB349" i="4"/>
  <c r="AA349" i="4"/>
  <c r="AB339" i="4"/>
  <c r="AA339" i="4"/>
  <c r="AB323" i="4"/>
  <c r="AA323" i="4"/>
  <c r="AB314" i="4"/>
  <c r="AA314" i="4"/>
  <c r="AB307" i="4"/>
  <c r="AA307" i="4"/>
  <c r="AB287" i="4"/>
  <c r="AA287" i="4"/>
  <c r="AB275" i="4"/>
  <c r="AA275" i="4"/>
  <c r="AB260" i="4"/>
  <c r="AA260" i="4"/>
  <c r="AB247" i="4"/>
  <c r="AA247" i="4"/>
  <c r="AB238" i="4"/>
  <c r="AA238" i="4"/>
  <c r="AB234" i="4"/>
  <c r="AA234" i="4"/>
  <c r="AB229" i="4"/>
  <c r="AA229" i="4"/>
  <c r="AB221" i="4"/>
  <c r="AA221" i="4"/>
  <c r="AB212" i="4"/>
  <c r="AA212" i="4"/>
  <c r="AB208" i="4"/>
  <c r="AA208" i="4"/>
  <c r="AB204" i="4"/>
  <c r="AA204" i="4"/>
  <c r="AB200" i="4"/>
  <c r="AA200" i="4"/>
  <c r="AB196" i="4"/>
  <c r="AA196" i="4"/>
  <c r="AB187" i="4"/>
  <c r="AA187" i="4"/>
  <c r="AB184" i="4"/>
  <c r="AA184" i="4"/>
  <c r="AB176" i="4"/>
  <c r="AA176" i="4"/>
  <c r="AB167" i="4"/>
  <c r="AA167" i="4"/>
  <c r="AB163" i="4"/>
  <c r="AA163" i="4"/>
  <c r="AB155" i="4"/>
  <c r="AA155" i="4"/>
  <c r="AB140" i="4"/>
  <c r="AA140" i="4"/>
  <c r="AB122" i="4"/>
  <c r="AA122" i="4"/>
  <c r="AB104" i="4"/>
  <c r="AA104" i="4"/>
  <c r="AB94" i="4"/>
  <c r="AA94" i="4"/>
  <c r="AB83" i="4"/>
  <c r="AA83" i="4"/>
  <c r="AB74" i="4"/>
  <c r="AA74" i="4"/>
  <c r="AB62" i="4"/>
  <c r="AA62" i="4"/>
  <c r="AB52" i="4"/>
  <c r="AA52" i="4"/>
  <c r="AB51" i="4"/>
  <c r="AA51" i="4"/>
  <c r="AB50" i="4"/>
  <c r="AA50" i="4"/>
  <c r="AB48" i="4"/>
  <c r="AA48" i="4"/>
  <c r="AB47" i="4"/>
  <c r="AA47" i="4"/>
  <c r="AB46" i="4"/>
  <c r="AA46" i="4"/>
  <c r="AB40" i="4"/>
  <c r="AA40" i="4"/>
  <c r="AB36" i="4"/>
  <c r="AA36" i="4"/>
  <c r="AB35" i="4"/>
  <c r="AA35" i="4"/>
  <c r="AB34" i="4"/>
  <c r="AB28" i="4"/>
  <c r="AA28" i="4"/>
  <c r="AA20" i="4"/>
  <c r="AB19" i="4"/>
  <c r="AB9" i="4"/>
  <c r="AA9" i="4"/>
  <c r="AB8" i="4"/>
  <c r="AA8" i="4"/>
  <c r="AB7" i="4"/>
  <c r="AA7" i="4"/>
  <c r="Z492" i="4"/>
  <c r="Z29" i="4" s="1"/>
  <c r="Y492" i="4"/>
  <c r="Y29" i="4" s="1"/>
  <c r="X492" i="4"/>
  <c r="X29" i="4" s="1"/>
  <c r="W492" i="4"/>
  <c r="W29" i="4" s="1"/>
  <c r="Z463" i="4"/>
  <c r="Z475" i="4" s="1"/>
  <c r="Z26" i="4" s="1"/>
  <c r="Y463" i="4"/>
  <c r="Y475" i="4" s="1"/>
  <c r="Y26" i="4" s="1"/>
  <c r="X463" i="4"/>
  <c r="X475" i="4" s="1"/>
  <c r="X26" i="4" s="1"/>
  <c r="W463" i="4"/>
  <c r="W475" i="4" s="1"/>
  <c r="W26" i="4" s="1"/>
  <c r="Z454" i="4"/>
  <c r="Y454" i="4"/>
  <c r="X454" i="4"/>
  <c r="W454" i="4"/>
  <c r="Z450" i="4"/>
  <c r="Y450" i="4"/>
  <c r="X450" i="4"/>
  <c r="W450" i="4"/>
  <c r="Z442" i="4"/>
  <c r="Z456" i="4" s="1"/>
  <c r="Z25" i="4" s="1"/>
  <c r="Y442" i="4"/>
  <c r="Y456" i="4" s="1"/>
  <c r="Y25" i="4" s="1"/>
  <c r="X442" i="4"/>
  <c r="X456" i="4" s="1"/>
  <c r="X25" i="4" s="1"/>
  <c r="W442" i="4"/>
  <c r="Z419" i="4"/>
  <c r="Z423" i="4" s="1"/>
  <c r="Y419" i="4"/>
  <c r="Y423" i="4" s="1"/>
  <c r="X419" i="4"/>
  <c r="X423" i="4" s="1"/>
  <c r="W419" i="4"/>
  <c r="W423" i="4" s="1"/>
  <c r="Z402" i="4"/>
  <c r="Z19" i="4" s="1"/>
  <c r="Y402" i="4"/>
  <c r="Y19" i="4" s="1"/>
  <c r="X402" i="4"/>
  <c r="X19" i="4" s="1"/>
  <c r="W402" i="4"/>
  <c r="W19" i="4" s="1"/>
  <c r="Z395" i="4"/>
  <c r="Z20" i="4" s="1"/>
  <c r="Y395" i="4"/>
  <c r="Y20" i="4" s="1"/>
  <c r="X395" i="4"/>
  <c r="X20" i="4" s="1"/>
  <c r="W395" i="4"/>
  <c r="W20" i="4" s="1"/>
  <c r="Z388" i="4"/>
  <c r="Y388" i="4"/>
  <c r="Y431" i="4" s="1"/>
  <c r="X388" i="4"/>
  <c r="X431" i="4" s="1"/>
  <c r="W388" i="4"/>
  <c r="W431" i="4" s="1"/>
  <c r="Z377" i="4"/>
  <c r="Y377" i="4"/>
  <c r="X377" i="4"/>
  <c r="W377" i="4"/>
  <c r="Z364" i="4"/>
  <c r="Y364" i="4"/>
  <c r="X364" i="4"/>
  <c r="W364" i="4"/>
  <c r="W379" i="4" s="1"/>
  <c r="Z349" i="4"/>
  <c r="Y349" i="4"/>
  <c r="X349" i="4"/>
  <c r="W349" i="4"/>
  <c r="Z339" i="4"/>
  <c r="Z429" i="4" s="1"/>
  <c r="Y339" i="4"/>
  <c r="Y429" i="4" s="1"/>
  <c r="X339" i="4"/>
  <c r="X351" i="4" s="1"/>
  <c r="X16" i="4" s="1"/>
  <c r="W339" i="4"/>
  <c r="Z323" i="4"/>
  <c r="Y323" i="4"/>
  <c r="X323" i="4"/>
  <c r="W323" i="4"/>
  <c r="Z314" i="4"/>
  <c r="Y314" i="4"/>
  <c r="X314" i="4"/>
  <c r="W314" i="4"/>
  <c r="Z307" i="4"/>
  <c r="Y307" i="4"/>
  <c r="X307" i="4"/>
  <c r="W307" i="4"/>
  <c r="Z287" i="4"/>
  <c r="Y287" i="4"/>
  <c r="X287" i="4"/>
  <c r="W287" i="4"/>
  <c r="Z275" i="4"/>
  <c r="Y275" i="4"/>
  <c r="Y289" i="4" s="1"/>
  <c r="Y10" i="4" s="1"/>
  <c r="X275" i="4"/>
  <c r="W275" i="4"/>
  <c r="W289" i="4" s="1"/>
  <c r="W10" i="4" s="1"/>
  <c r="Z260" i="4"/>
  <c r="Z11" i="4" s="1"/>
  <c r="Y260" i="4"/>
  <c r="Y11" i="4" s="1"/>
  <c r="X260" i="4"/>
  <c r="X11" i="4" s="1"/>
  <c r="W260" i="4"/>
  <c r="Z247" i="4"/>
  <c r="Y247" i="4"/>
  <c r="X247" i="4"/>
  <c r="W247" i="4"/>
  <c r="Z238" i="4"/>
  <c r="Y238" i="4"/>
  <c r="X238" i="4"/>
  <c r="W238" i="4"/>
  <c r="Z234" i="4"/>
  <c r="Y234" i="4"/>
  <c r="X234" i="4"/>
  <c r="W234" i="4"/>
  <c r="Z229" i="4"/>
  <c r="Y229" i="4"/>
  <c r="X229" i="4"/>
  <c r="W229" i="4"/>
  <c r="Z221" i="4"/>
  <c r="Y221" i="4"/>
  <c r="X221" i="4"/>
  <c r="X46" i="4" s="1"/>
  <c r="W221" i="4"/>
  <c r="W46" i="4" s="1"/>
  <c r="Z212" i="4"/>
  <c r="Y212" i="4"/>
  <c r="X212" i="4"/>
  <c r="W212" i="4"/>
  <c r="Z208" i="4"/>
  <c r="Y208" i="4"/>
  <c r="X208" i="4"/>
  <c r="W208" i="4"/>
  <c r="Z204" i="4"/>
  <c r="Y204" i="4"/>
  <c r="X204" i="4"/>
  <c r="W204" i="4"/>
  <c r="Z200" i="4"/>
  <c r="Y200" i="4"/>
  <c r="X200" i="4"/>
  <c r="W200" i="4"/>
  <c r="Z196" i="4"/>
  <c r="Y196" i="4"/>
  <c r="X196" i="4"/>
  <c r="W196" i="4"/>
  <c r="Z187" i="4"/>
  <c r="Y187" i="4"/>
  <c r="X187" i="4"/>
  <c r="W187" i="4"/>
  <c r="Z184" i="4"/>
  <c r="Y184" i="4"/>
  <c r="X184" i="4"/>
  <c r="W184" i="4"/>
  <c r="Z176" i="4"/>
  <c r="Z44" i="4" s="1"/>
  <c r="Y176" i="4"/>
  <c r="X176" i="4"/>
  <c r="X44" i="4" s="1"/>
  <c r="W176" i="4"/>
  <c r="Z167" i="4"/>
  <c r="Y167" i="4"/>
  <c r="X167" i="4"/>
  <c r="W167" i="4"/>
  <c r="Z163" i="4"/>
  <c r="Y163" i="4"/>
  <c r="X163" i="4"/>
  <c r="W163" i="4"/>
  <c r="Z155" i="4"/>
  <c r="Y155" i="4"/>
  <c r="X155" i="4"/>
  <c r="W155" i="4"/>
  <c r="Z140" i="4"/>
  <c r="Y140" i="4"/>
  <c r="X140" i="4"/>
  <c r="W140" i="4"/>
  <c r="Z122" i="4"/>
  <c r="Y122" i="4"/>
  <c r="X122" i="4"/>
  <c r="W122" i="4"/>
  <c r="Z104" i="4"/>
  <c r="Y104" i="4"/>
  <c r="X104" i="4"/>
  <c r="W104" i="4"/>
  <c r="Z94" i="4"/>
  <c r="Y94" i="4"/>
  <c r="X94" i="4"/>
  <c r="W94" i="4"/>
  <c r="Z83" i="4"/>
  <c r="Y83" i="4"/>
  <c r="X83" i="4"/>
  <c r="W83" i="4"/>
  <c r="Z74" i="4"/>
  <c r="Y74" i="4"/>
  <c r="X74" i="4"/>
  <c r="W74" i="4"/>
  <c r="Z62" i="4"/>
  <c r="Y62" i="4"/>
  <c r="X62" i="4"/>
  <c r="W62" i="4"/>
  <c r="Z52" i="4"/>
  <c r="Y52" i="4"/>
  <c r="X52" i="4"/>
  <c r="W52" i="4"/>
  <c r="Z51" i="4"/>
  <c r="Y51" i="4"/>
  <c r="X51" i="4"/>
  <c r="W51" i="4"/>
  <c r="Z50" i="4"/>
  <c r="Y50" i="4"/>
  <c r="X50" i="4"/>
  <c r="W50" i="4"/>
  <c r="Z48" i="4"/>
  <c r="Y48" i="4"/>
  <c r="X48" i="4"/>
  <c r="W48" i="4"/>
  <c r="Z47" i="4"/>
  <c r="Y47" i="4"/>
  <c r="X47" i="4"/>
  <c r="W47" i="4"/>
  <c r="Z46" i="4"/>
  <c r="Y46" i="4"/>
  <c r="Z40" i="4"/>
  <c r="Y40" i="4"/>
  <c r="X40" i="4"/>
  <c r="W40" i="4"/>
  <c r="Z36" i="4"/>
  <c r="Y36" i="4"/>
  <c r="X36" i="4"/>
  <c r="W36" i="4"/>
  <c r="Z35" i="4"/>
  <c r="Y35" i="4"/>
  <c r="X35" i="4"/>
  <c r="W35" i="4"/>
  <c r="W34" i="4"/>
  <c r="Z28" i="4"/>
  <c r="Y28" i="4"/>
  <c r="X28" i="4"/>
  <c r="W28" i="4"/>
  <c r="Z9" i="4"/>
  <c r="Y9" i="4"/>
  <c r="X9" i="4"/>
  <c r="W9" i="4"/>
  <c r="Z8" i="4"/>
  <c r="Y8" i="4"/>
  <c r="X8" i="4"/>
  <c r="W8" i="4"/>
  <c r="Z7" i="4"/>
  <c r="Y7" i="4"/>
  <c r="X7" i="4"/>
  <c r="W7" i="4"/>
  <c r="V492" i="4"/>
  <c r="V29" i="4" s="1"/>
  <c r="U492" i="4"/>
  <c r="U29" i="4" s="1"/>
  <c r="V463" i="4"/>
  <c r="V475" i="4" s="1"/>
  <c r="V26" i="4" s="1"/>
  <c r="U463" i="4"/>
  <c r="U475" i="4" s="1"/>
  <c r="U26" i="4" s="1"/>
  <c r="V454" i="4"/>
  <c r="U454" i="4"/>
  <c r="V450" i="4"/>
  <c r="U450" i="4"/>
  <c r="V442" i="4"/>
  <c r="U442" i="4"/>
  <c r="V419" i="4"/>
  <c r="V423" i="4" s="1"/>
  <c r="U419" i="4"/>
  <c r="U423" i="4" s="1"/>
  <c r="U21" i="4" s="1"/>
  <c r="V402" i="4"/>
  <c r="V19" i="4" s="1"/>
  <c r="U402" i="4"/>
  <c r="U19" i="4" s="1"/>
  <c r="V395" i="4"/>
  <c r="U395" i="4"/>
  <c r="U20" i="4" s="1"/>
  <c r="V388" i="4"/>
  <c r="V18" i="4" s="1"/>
  <c r="U388" i="4"/>
  <c r="V377" i="4"/>
  <c r="U377" i="4"/>
  <c r="V364" i="4"/>
  <c r="U364" i="4"/>
  <c r="V349" i="4"/>
  <c r="U349" i="4"/>
  <c r="V339" i="4"/>
  <c r="U339" i="4"/>
  <c r="V323" i="4"/>
  <c r="U323" i="4"/>
  <c r="V314" i="4"/>
  <c r="U314" i="4"/>
  <c r="V307" i="4"/>
  <c r="U307" i="4"/>
  <c r="V287" i="4"/>
  <c r="U287" i="4"/>
  <c r="V275" i="4"/>
  <c r="U275" i="4"/>
  <c r="V260" i="4"/>
  <c r="V11" i="4" s="1"/>
  <c r="U260" i="4"/>
  <c r="U11" i="4" s="1"/>
  <c r="V247" i="4"/>
  <c r="U247" i="4"/>
  <c r="V238" i="4"/>
  <c r="U238" i="4"/>
  <c r="V234" i="4"/>
  <c r="U234" i="4"/>
  <c r="V229" i="4"/>
  <c r="U229" i="4"/>
  <c r="V221" i="4"/>
  <c r="U221" i="4"/>
  <c r="U46" i="4" s="1"/>
  <c r="V212" i="4"/>
  <c r="U212" i="4"/>
  <c r="V208" i="4"/>
  <c r="U208" i="4"/>
  <c r="V204" i="4"/>
  <c r="U204" i="4"/>
  <c r="V200" i="4"/>
  <c r="U200" i="4"/>
  <c r="V196" i="4"/>
  <c r="U196" i="4"/>
  <c r="V187" i="4"/>
  <c r="U187" i="4"/>
  <c r="V184" i="4"/>
  <c r="U184" i="4"/>
  <c r="V176" i="4"/>
  <c r="U176" i="4"/>
  <c r="V167" i="4"/>
  <c r="U167" i="4"/>
  <c r="V163" i="4"/>
  <c r="U163" i="4"/>
  <c r="V155" i="4"/>
  <c r="U155" i="4"/>
  <c r="V140" i="4"/>
  <c r="U140" i="4"/>
  <c r="V122" i="4"/>
  <c r="U122" i="4"/>
  <c r="V104" i="4"/>
  <c r="U104" i="4"/>
  <c r="V94" i="4"/>
  <c r="U94" i="4"/>
  <c r="V83" i="4"/>
  <c r="U83" i="4"/>
  <c r="V74" i="4"/>
  <c r="U74" i="4"/>
  <c r="V62" i="4"/>
  <c r="U62" i="4"/>
  <c r="V52" i="4"/>
  <c r="U52" i="4"/>
  <c r="V51" i="4"/>
  <c r="U51" i="4"/>
  <c r="V50" i="4"/>
  <c r="U50" i="4"/>
  <c r="V48" i="4"/>
  <c r="U48" i="4"/>
  <c r="V47" i="4"/>
  <c r="U47" i="4"/>
  <c r="V46" i="4"/>
  <c r="V40" i="4"/>
  <c r="U40" i="4"/>
  <c r="V36" i="4"/>
  <c r="U36" i="4"/>
  <c r="V35" i="4"/>
  <c r="U35" i="4"/>
  <c r="V34" i="4"/>
  <c r="U34" i="4"/>
  <c r="V28" i="4"/>
  <c r="U28" i="4"/>
  <c r="V9" i="4"/>
  <c r="U9" i="4"/>
  <c r="V8" i="4"/>
  <c r="U8" i="4"/>
  <c r="V7" i="4"/>
  <c r="U7" i="4"/>
  <c r="T492" i="4"/>
  <c r="T29" i="4" s="1"/>
  <c r="T463" i="4"/>
  <c r="T475" i="4" s="1"/>
  <c r="T26" i="4" s="1"/>
  <c r="T454" i="4"/>
  <c r="T450" i="4"/>
  <c r="T442" i="4"/>
  <c r="T419" i="4"/>
  <c r="T423" i="4" s="1"/>
  <c r="T432" i="4" s="1"/>
  <c r="T402" i="4"/>
  <c r="T19" i="4" s="1"/>
  <c r="T395" i="4"/>
  <c r="T20" i="4" s="1"/>
  <c r="T388" i="4"/>
  <c r="T377" i="4"/>
  <c r="T364" i="4"/>
  <c r="T349" i="4"/>
  <c r="T339" i="4"/>
  <c r="T323" i="4"/>
  <c r="T314" i="4"/>
  <c r="T307" i="4"/>
  <c r="T287" i="4"/>
  <c r="T275" i="4"/>
  <c r="T260" i="4"/>
  <c r="T11" i="4" s="1"/>
  <c r="T247" i="4"/>
  <c r="T238" i="4"/>
  <c r="T234" i="4"/>
  <c r="T229" i="4"/>
  <c r="T221" i="4"/>
  <c r="T46" i="4" s="1"/>
  <c r="T212" i="4"/>
  <c r="T208" i="4"/>
  <c r="T204" i="4"/>
  <c r="T200" i="4"/>
  <c r="T196" i="4"/>
  <c r="T187" i="4"/>
  <c r="T184" i="4"/>
  <c r="T176" i="4"/>
  <c r="T167" i="4"/>
  <c r="T163" i="4"/>
  <c r="T155" i="4"/>
  <c r="T140" i="4"/>
  <c r="T122" i="4"/>
  <c r="T104" i="4"/>
  <c r="T94" i="4"/>
  <c r="T83" i="4"/>
  <c r="T74" i="4"/>
  <c r="T62" i="4"/>
  <c r="T52" i="4"/>
  <c r="T51" i="4"/>
  <c r="T50" i="4"/>
  <c r="T48" i="4"/>
  <c r="T47" i="4"/>
  <c r="T40" i="4"/>
  <c r="T36" i="4"/>
  <c r="T35" i="4"/>
  <c r="T34" i="4"/>
  <c r="T28" i="4"/>
  <c r="T9" i="4"/>
  <c r="T8" i="4"/>
  <c r="T7" i="4"/>
  <c r="S492" i="4"/>
  <c r="S29" i="4" s="1"/>
  <c r="S463" i="4"/>
  <c r="S475" i="4" s="1"/>
  <c r="S26" i="4" s="1"/>
  <c r="S454" i="4"/>
  <c r="S450" i="4"/>
  <c r="S442" i="4"/>
  <c r="S419" i="4"/>
  <c r="S423" i="4" s="1"/>
  <c r="S402" i="4"/>
  <c r="S19" i="4" s="1"/>
  <c r="S395" i="4"/>
  <c r="S20" i="4" s="1"/>
  <c r="S388" i="4"/>
  <c r="S377" i="4"/>
  <c r="S364" i="4"/>
  <c r="S349" i="4"/>
  <c r="S339" i="4"/>
  <c r="S323" i="4"/>
  <c r="S314" i="4"/>
  <c r="S307" i="4"/>
  <c r="S287" i="4"/>
  <c r="S275" i="4"/>
  <c r="S260" i="4"/>
  <c r="S11" i="4" s="1"/>
  <c r="S247" i="4"/>
  <c r="S238" i="4"/>
  <c r="S234" i="4"/>
  <c r="S229" i="4"/>
  <c r="S221" i="4"/>
  <c r="S212" i="4"/>
  <c r="S208" i="4"/>
  <c r="S204" i="4"/>
  <c r="S200" i="4"/>
  <c r="S196" i="4"/>
  <c r="S187" i="4"/>
  <c r="S184" i="4"/>
  <c r="S176" i="4"/>
  <c r="S167" i="4"/>
  <c r="S163" i="4"/>
  <c r="S155" i="4"/>
  <c r="S140" i="4"/>
  <c r="S122" i="4"/>
  <c r="S104" i="4"/>
  <c r="S94" i="4"/>
  <c r="S83" i="4"/>
  <c r="S74" i="4"/>
  <c r="S62" i="4"/>
  <c r="S52" i="4"/>
  <c r="S51" i="4"/>
  <c r="S50" i="4"/>
  <c r="S48" i="4"/>
  <c r="S47" i="4"/>
  <c r="S46" i="4"/>
  <c r="S40" i="4"/>
  <c r="S36" i="4"/>
  <c r="S35" i="4"/>
  <c r="S34" i="4"/>
  <c r="S28" i="4"/>
  <c r="S9" i="4"/>
  <c r="S8" i="4"/>
  <c r="S7" i="4"/>
  <c r="R492" i="4"/>
  <c r="R29" i="4" s="1"/>
  <c r="Q492" i="4"/>
  <c r="Q29" i="4" s="1"/>
  <c r="P492" i="4"/>
  <c r="P29" i="4" s="1"/>
  <c r="R463" i="4"/>
  <c r="R475" i="4" s="1"/>
  <c r="R26" i="4" s="1"/>
  <c r="Q463" i="4"/>
  <c r="Q475" i="4" s="1"/>
  <c r="Q26" i="4" s="1"/>
  <c r="P463" i="4"/>
  <c r="P475" i="4" s="1"/>
  <c r="P26" i="4" s="1"/>
  <c r="R454" i="4"/>
  <c r="Q454" i="4"/>
  <c r="P454" i="4"/>
  <c r="R450" i="4"/>
  <c r="Q450" i="4"/>
  <c r="P450" i="4"/>
  <c r="R442" i="4"/>
  <c r="Q442" i="4"/>
  <c r="P442" i="4"/>
  <c r="R419" i="4"/>
  <c r="R423" i="4" s="1"/>
  <c r="R21" i="4" s="1"/>
  <c r="Q419" i="4"/>
  <c r="Q423" i="4" s="1"/>
  <c r="P419" i="4"/>
  <c r="P423" i="4" s="1"/>
  <c r="P21" i="4" s="1"/>
  <c r="R402" i="4"/>
  <c r="R19" i="4" s="1"/>
  <c r="Q402" i="4"/>
  <c r="Q19" i="4" s="1"/>
  <c r="P402" i="4"/>
  <c r="P19" i="4" s="1"/>
  <c r="R395" i="4"/>
  <c r="R20" i="4" s="1"/>
  <c r="Q395" i="4"/>
  <c r="P395" i="4"/>
  <c r="P20" i="4" s="1"/>
  <c r="R388" i="4"/>
  <c r="Q388" i="4"/>
  <c r="Q18" i="4" s="1"/>
  <c r="P388" i="4"/>
  <c r="R377" i="4"/>
  <c r="Q377" i="4"/>
  <c r="P377" i="4"/>
  <c r="R364" i="4"/>
  <c r="Q364" i="4"/>
  <c r="P364" i="4"/>
  <c r="R349" i="4"/>
  <c r="Q349" i="4"/>
  <c r="P349" i="4"/>
  <c r="R339" i="4"/>
  <c r="Q339" i="4"/>
  <c r="P339" i="4"/>
  <c r="R323" i="4"/>
  <c r="Q323" i="4"/>
  <c r="P323" i="4"/>
  <c r="R314" i="4"/>
  <c r="Q314" i="4"/>
  <c r="P314" i="4"/>
  <c r="R307" i="4"/>
  <c r="Q307" i="4"/>
  <c r="P307" i="4"/>
  <c r="R287" i="4"/>
  <c r="Q287" i="4"/>
  <c r="P287" i="4"/>
  <c r="R275" i="4"/>
  <c r="Q275" i="4"/>
  <c r="P275" i="4"/>
  <c r="R260" i="4"/>
  <c r="R11" i="4" s="1"/>
  <c r="Q260" i="4"/>
  <c r="Q11" i="4" s="1"/>
  <c r="P260" i="4"/>
  <c r="P11" i="4" s="1"/>
  <c r="R247" i="4"/>
  <c r="Q247" i="4"/>
  <c r="P247" i="4"/>
  <c r="R238" i="4"/>
  <c r="Q238" i="4"/>
  <c r="P238" i="4"/>
  <c r="R234" i="4"/>
  <c r="Q234" i="4"/>
  <c r="P234" i="4"/>
  <c r="R229" i="4"/>
  <c r="Q229" i="4"/>
  <c r="P229" i="4"/>
  <c r="R221" i="4"/>
  <c r="R46" i="4" s="1"/>
  <c r="Q221" i="4"/>
  <c r="Q46" i="4" s="1"/>
  <c r="P221" i="4"/>
  <c r="P46" i="4" s="1"/>
  <c r="R212" i="4"/>
  <c r="Q212" i="4"/>
  <c r="P212" i="4"/>
  <c r="R208" i="4"/>
  <c r="Q208" i="4"/>
  <c r="P208" i="4"/>
  <c r="R204" i="4"/>
  <c r="Q204" i="4"/>
  <c r="P204" i="4"/>
  <c r="R200" i="4"/>
  <c r="Q200" i="4"/>
  <c r="P200" i="4"/>
  <c r="R196" i="4"/>
  <c r="Q196" i="4"/>
  <c r="P196" i="4"/>
  <c r="R187" i="4"/>
  <c r="Q187" i="4"/>
  <c r="P187" i="4"/>
  <c r="R184" i="4"/>
  <c r="Q184" i="4"/>
  <c r="P184" i="4"/>
  <c r="R176" i="4"/>
  <c r="Q176" i="4"/>
  <c r="P176" i="4"/>
  <c r="R167" i="4"/>
  <c r="Q167" i="4"/>
  <c r="P167" i="4"/>
  <c r="R163" i="4"/>
  <c r="Q163" i="4"/>
  <c r="P163" i="4"/>
  <c r="R155" i="4"/>
  <c r="Q155" i="4"/>
  <c r="P155" i="4"/>
  <c r="R140" i="4"/>
  <c r="Q140" i="4"/>
  <c r="P140" i="4"/>
  <c r="R122" i="4"/>
  <c r="Q122" i="4"/>
  <c r="P122" i="4"/>
  <c r="R104" i="4"/>
  <c r="Q104" i="4"/>
  <c r="P104" i="4"/>
  <c r="R94" i="4"/>
  <c r="Q94" i="4"/>
  <c r="P94" i="4"/>
  <c r="R83" i="4"/>
  <c r="Q83" i="4"/>
  <c r="P83" i="4"/>
  <c r="R74" i="4"/>
  <c r="Q74" i="4"/>
  <c r="P74" i="4"/>
  <c r="R62" i="4"/>
  <c r="Q62" i="4"/>
  <c r="P62" i="4"/>
  <c r="R52" i="4"/>
  <c r="Q52" i="4"/>
  <c r="P52" i="4"/>
  <c r="R51" i="4"/>
  <c r="Q51" i="4"/>
  <c r="P51" i="4"/>
  <c r="R50" i="4"/>
  <c r="Q50" i="4"/>
  <c r="P50" i="4"/>
  <c r="R48" i="4"/>
  <c r="Q48" i="4"/>
  <c r="P48" i="4"/>
  <c r="R47" i="4"/>
  <c r="Q47" i="4"/>
  <c r="P47" i="4"/>
  <c r="R40" i="4"/>
  <c r="Q40" i="4"/>
  <c r="P40" i="4"/>
  <c r="R36" i="4"/>
  <c r="Q36" i="4"/>
  <c r="P36" i="4"/>
  <c r="R35" i="4"/>
  <c r="Q35" i="4"/>
  <c r="P35" i="4"/>
  <c r="R34" i="4"/>
  <c r="P34" i="4"/>
  <c r="R28" i="4"/>
  <c r="Q28" i="4"/>
  <c r="P28" i="4"/>
  <c r="R9" i="4"/>
  <c r="Q9" i="4"/>
  <c r="P9" i="4"/>
  <c r="R8" i="4"/>
  <c r="Q8" i="4"/>
  <c r="P8" i="4"/>
  <c r="R7" i="4"/>
  <c r="Q7" i="4"/>
  <c r="P7" i="4"/>
  <c r="O492" i="4"/>
  <c r="O29" i="4" s="1"/>
  <c r="O463" i="4"/>
  <c r="O475" i="4" s="1"/>
  <c r="O26" i="4" s="1"/>
  <c r="O454" i="4"/>
  <c r="O450" i="4"/>
  <c r="O442" i="4"/>
  <c r="O419" i="4"/>
  <c r="O423" i="4" s="1"/>
  <c r="O402" i="4"/>
  <c r="O19" i="4" s="1"/>
  <c r="O395" i="4"/>
  <c r="O20" i="4" s="1"/>
  <c r="O388" i="4"/>
  <c r="O377" i="4"/>
  <c r="O364" i="4"/>
  <c r="O349" i="4"/>
  <c r="O339" i="4"/>
  <c r="O323" i="4"/>
  <c r="O314" i="4"/>
  <c r="O307" i="4"/>
  <c r="O287" i="4"/>
  <c r="O275" i="4"/>
  <c r="O260" i="4"/>
  <c r="O247" i="4"/>
  <c r="O238" i="4"/>
  <c r="O234" i="4"/>
  <c r="O229" i="4"/>
  <c r="O221" i="4"/>
  <c r="O46" i="4" s="1"/>
  <c r="O212" i="4"/>
  <c r="O208" i="4"/>
  <c r="O204" i="4"/>
  <c r="O200" i="4"/>
  <c r="O196" i="4"/>
  <c r="O187" i="4"/>
  <c r="O184" i="4"/>
  <c r="O176" i="4"/>
  <c r="O167" i="4"/>
  <c r="O163" i="4"/>
  <c r="O155" i="4"/>
  <c r="O140" i="4"/>
  <c r="O122" i="4"/>
  <c r="O104" i="4"/>
  <c r="O94" i="4"/>
  <c r="O83" i="4"/>
  <c r="O74" i="4"/>
  <c r="O62" i="4"/>
  <c r="O52" i="4"/>
  <c r="O51" i="4"/>
  <c r="O50" i="4"/>
  <c r="O48" i="4"/>
  <c r="O47" i="4"/>
  <c r="O40" i="4"/>
  <c r="O36" i="4"/>
  <c r="O35" i="4"/>
  <c r="O34" i="4"/>
  <c r="O28" i="4"/>
  <c r="O9" i="4"/>
  <c r="O8" i="4"/>
  <c r="O7" i="4"/>
  <c r="N492" i="4"/>
  <c r="N463" i="4"/>
  <c r="N475" i="4" s="1"/>
  <c r="N26" i="4" s="1"/>
  <c r="N454" i="4"/>
  <c r="N450" i="4"/>
  <c r="N442" i="4"/>
  <c r="N419" i="4"/>
  <c r="N423" i="4" s="1"/>
  <c r="N402" i="4"/>
  <c r="N19" i="4" s="1"/>
  <c r="N395" i="4"/>
  <c r="N20" i="4" s="1"/>
  <c r="N388" i="4"/>
  <c r="N18" i="4" s="1"/>
  <c r="N377" i="4"/>
  <c r="N364" i="4"/>
  <c r="N349" i="4"/>
  <c r="N339" i="4"/>
  <c r="N323" i="4"/>
  <c r="N314" i="4"/>
  <c r="N307" i="4"/>
  <c r="N287" i="4"/>
  <c r="N275" i="4"/>
  <c r="N260" i="4"/>
  <c r="N247" i="4"/>
  <c r="N238" i="4"/>
  <c r="N234" i="4"/>
  <c r="N229" i="4"/>
  <c r="N221" i="4"/>
  <c r="N212" i="4"/>
  <c r="N208" i="4"/>
  <c r="N204" i="4"/>
  <c r="N200" i="4"/>
  <c r="N196" i="4"/>
  <c r="N187" i="4"/>
  <c r="N184" i="4"/>
  <c r="N176" i="4"/>
  <c r="N167" i="4"/>
  <c r="N163" i="4"/>
  <c r="N155" i="4"/>
  <c r="N140" i="4"/>
  <c r="N122" i="4"/>
  <c r="N104" i="4"/>
  <c r="N94" i="4"/>
  <c r="N83" i="4"/>
  <c r="N74" i="4"/>
  <c r="N62" i="4"/>
  <c r="N52" i="4"/>
  <c r="N51" i="4"/>
  <c r="N50" i="4"/>
  <c r="N48" i="4"/>
  <c r="N47" i="4"/>
  <c r="N46" i="4"/>
  <c r="N40" i="4"/>
  <c r="N36" i="4"/>
  <c r="N35" i="4"/>
  <c r="N34" i="4"/>
  <c r="N29" i="4"/>
  <c r="N28" i="4"/>
  <c r="N9" i="4"/>
  <c r="N8" i="4"/>
  <c r="N7" i="4"/>
  <c r="M492" i="4"/>
  <c r="M463" i="4"/>
  <c r="M475" i="4" s="1"/>
  <c r="M26" i="4" s="1"/>
  <c r="M454" i="4"/>
  <c r="M450" i="4"/>
  <c r="M442" i="4"/>
  <c r="M432" i="4"/>
  <c r="M419" i="4"/>
  <c r="M423" i="4" s="1"/>
  <c r="M402" i="4"/>
  <c r="M19" i="4" s="1"/>
  <c r="M395" i="4"/>
  <c r="M20" i="4" s="1"/>
  <c r="M388" i="4"/>
  <c r="M18" i="4" s="1"/>
  <c r="M377" i="4"/>
  <c r="M364" i="4"/>
  <c r="M349" i="4"/>
  <c r="M339" i="4"/>
  <c r="M323" i="4"/>
  <c r="M314" i="4"/>
  <c r="M307" i="4"/>
  <c r="M287" i="4"/>
  <c r="M275" i="4"/>
  <c r="M260" i="4"/>
  <c r="M11" i="4" s="1"/>
  <c r="M247" i="4"/>
  <c r="M238" i="4"/>
  <c r="M234" i="4"/>
  <c r="M229" i="4"/>
  <c r="M221" i="4"/>
  <c r="M46" i="4" s="1"/>
  <c r="M212" i="4"/>
  <c r="M208" i="4"/>
  <c r="M204" i="4"/>
  <c r="M200" i="4"/>
  <c r="M196" i="4"/>
  <c r="M187" i="4"/>
  <c r="M184" i="4"/>
  <c r="M176" i="4"/>
  <c r="M167" i="4"/>
  <c r="M163" i="4"/>
  <c r="M155" i="4"/>
  <c r="M140" i="4"/>
  <c r="M122" i="4"/>
  <c r="M104" i="4"/>
  <c r="M94" i="4"/>
  <c r="M83" i="4"/>
  <c r="M74" i="4"/>
  <c r="M62" i="4"/>
  <c r="M52" i="4"/>
  <c r="M51" i="4"/>
  <c r="M50" i="4"/>
  <c r="M48" i="4"/>
  <c r="M47" i="4"/>
  <c r="M40" i="4"/>
  <c r="M36" i="4"/>
  <c r="M35" i="4"/>
  <c r="M34" i="4"/>
  <c r="M29" i="4"/>
  <c r="M28" i="4"/>
  <c r="M9" i="4"/>
  <c r="M8" i="4"/>
  <c r="M7" i="4"/>
  <c r="L492" i="4"/>
  <c r="L29" i="4" s="1"/>
  <c r="L463" i="4"/>
  <c r="L475" i="4" s="1"/>
  <c r="L26" i="4" s="1"/>
  <c r="L454" i="4"/>
  <c r="L450" i="4"/>
  <c r="L442" i="4"/>
  <c r="L419" i="4"/>
  <c r="L423" i="4" s="1"/>
  <c r="L402" i="4"/>
  <c r="L19" i="4" s="1"/>
  <c r="L395" i="4"/>
  <c r="L388" i="4"/>
  <c r="L18" i="4" s="1"/>
  <c r="L377" i="4"/>
  <c r="L364" i="4"/>
  <c r="L349" i="4"/>
  <c r="L339" i="4"/>
  <c r="L323" i="4"/>
  <c r="L314" i="4"/>
  <c r="L307" i="4"/>
  <c r="L287" i="4"/>
  <c r="L275" i="4"/>
  <c r="L260" i="4"/>
  <c r="L11" i="4" s="1"/>
  <c r="L247" i="4"/>
  <c r="L238" i="4"/>
  <c r="L234" i="4"/>
  <c r="L229" i="4"/>
  <c r="L221" i="4"/>
  <c r="L212" i="4"/>
  <c r="L208" i="4"/>
  <c r="L204" i="4"/>
  <c r="L200" i="4"/>
  <c r="L196" i="4"/>
  <c r="L187" i="4"/>
  <c r="L184" i="4"/>
  <c r="L176" i="4"/>
  <c r="L167" i="4"/>
  <c r="L163" i="4"/>
  <c r="L155" i="4"/>
  <c r="L140" i="4"/>
  <c r="L122" i="4"/>
  <c r="L104" i="4"/>
  <c r="L94" i="4"/>
  <c r="L83" i="4"/>
  <c r="L74" i="4"/>
  <c r="L62" i="4"/>
  <c r="L52" i="4"/>
  <c r="L51" i="4"/>
  <c r="L50" i="4"/>
  <c r="L48" i="4"/>
  <c r="L47" i="4"/>
  <c r="L46" i="4"/>
  <c r="L40" i="4"/>
  <c r="L36" i="4"/>
  <c r="L35" i="4"/>
  <c r="L34" i="4"/>
  <c r="L28" i="4"/>
  <c r="L9" i="4"/>
  <c r="L8" i="4"/>
  <c r="L7" i="4"/>
  <c r="C499" i="4"/>
  <c r="C500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77" i="4"/>
  <c r="C466" i="4"/>
  <c r="C467" i="4"/>
  <c r="C468" i="4"/>
  <c r="C469" i="4"/>
  <c r="C470" i="4"/>
  <c r="C471" i="4"/>
  <c r="C472" i="4"/>
  <c r="C473" i="4"/>
  <c r="C474" i="4"/>
  <c r="C465" i="4"/>
  <c r="C461" i="4"/>
  <c r="C460" i="4"/>
  <c r="C453" i="4"/>
  <c r="C449" i="4"/>
  <c r="C448" i="4"/>
  <c r="C447" i="4"/>
  <c r="C446" i="4"/>
  <c r="C445" i="4"/>
  <c r="C422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1" i="4"/>
  <c r="C400" i="4"/>
  <c r="C399" i="4"/>
  <c r="C398" i="4"/>
  <c r="C394" i="4"/>
  <c r="C393" i="4"/>
  <c r="C392" i="4"/>
  <c r="C391" i="4"/>
  <c r="C383" i="4"/>
  <c r="C384" i="4"/>
  <c r="C385" i="4"/>
  <c r="C386" i="4"/>
  <c r="C387" i="4"/>
  <c r="C382" i="4"/>
  <c r="C367" i="4"/>
  <c r="C368" i="4"/>
  <c r="C369" i="4"/>
  <c r="C370" i="4"/>
  <c r="C371" i="4"/>
  <c r="C372" i="4"/>
  <c r="C373" i="4"/>
  <c r="C374" i="4"/>
  <c r="C375" i="4"/>
  <c r="C376" i="4"/>
  <c r="C366" i="4"/>
  <c r="C355" i="4"/>
  <c r="C356" i="4"/>
  <c r="C357" i="4"/>
  <c r="C358" i="4"/>
  <c r="C359" i="4"/>
  <c r="C360" i="4"/>
  <c r="C361" i="4"/>
  <c r="C362" i="4"/>
  <c r="C363" i="4"/>
  <c r="C354" i="4"/>
  <c r="C343" i="4"/>
  <c r="C344" i="4"/>
  <c r="C345" i="4"/>
  <c r="C346" i="4"/>
  <c r="C347" i="4"/>
  <c r="C348" i="4"/>
  <c r="C342" i="4"/>
  <c r="C329" i="4"/>
  <c r="C330" i="4"/>
  <c r="C331" i="4"/>
  <c r="C332" i="4"/>
  <c r="C333" i="4"/>
  <c r="C334" i="4"/>
  <c r="C335" i="4"/>
  <c r="C336" i="4"/>
  <c r="C337" i="4"/>
  <c r="C338" i="4"/>
  <c r="C328" i="4"/>
  <c r="C320" i="4"/>
  <c r="C321" i="4"/>
  <c r="C322" i="4"/>
  <c r="C319" i="4"/>
  <c r="C310" i="4"/>
  <c r="C311" i="4"/>
  <c r="C312" i="4"/>
  <c r="C313" i="4"/>
  <c r="C309" i="4"/>
  <c r="C296" i="4"/>
  <c r="C297" i="4"/>
  <c r="C298" i="4"/>
  <c r="C299" i="4"/>
  <c r="C300" i="4"/>
  <c r="C301" i="4"/>
  <c r="C302" i="4"/>
  <c r="C303" i="4"/>
  <c r="C304" i="4"/>
  <c r="C305" i="4"/>
  <c r="C306" i="4"/>
  <c r="C295" i="4"/>
  <c r="C279" i="4"/>
  <c r="C280" i="4"/>
  <c r="C281" i="4"/>
  <c r="C282" i="4"/>
  <c r="C283" i="4"/>
  <c r="C284" i="4"/>
  <c r="C285" i="4"/>
  <c r="C286" i="4"/>
  <c r="C278" i="4"/>
  <c r="C267" i="4"/>
  <c r="C268" i="4"/>
  <c r="C269" i="4"/>
  <c r="C270" i="4"/>
  <c r="C271" i="4"/>
  <c r="C272" i="4"/>
  <c r="C273" i="4"/>
  <c r="C274" i="4"/>
  <c r="C266" i="4"/>
  <c r="C264" i="4"/>
  <c r="C263" i="4"/>
  <c r="C258" i="4"/>
  <c r="C257" i="4"/>
  <c r="C253" i="4"/>
  <c r="C254" i="4"/>
  <c r="C252" i="4"/>
  <c r="C242" i="4"/>
  <c r="C243" i="4"/>
  <c r="C244" i="4"/>
  <c r="C245" i="4"/>
  <c r="C246" i="4"/>
  <c r="C241" i="4"/>
  <c r="C237" i="4"/>
  <c r="C236" i="4"/>
  <c r="C233" i="4"/>
  <c r="C232" i="4"/>
  <c r="C228" i="4"/>
  <c r="C227" i="4"/>
  <c r="C226" i="4"/>
  <c r="C225" i="4"/>
  <c r="C224" i="4"/>
  <c r="C220" i="4"/>
  <c r="C219" i="4"/>
  <c r="C218" i="4"/>
  <c r="C217" i="4"/>
  <c r="C211" i="4"/>
  <c r="C210" i="4"/>
  <c r="C207" i="4"/>
  <c r="C206" i="4"/>
  <c r="C203" i="4"/>
  <c r="C202" i="4"/>
  <c r="C199" i="4"/>
  <c r="C198" i="4"/>
  <c r="C195" i="4"/>
  <c r="C194" i="4"/>
  <c r="C186" i="4"/>
  <c r="C180" i="4"/>
  <c r="C181" i="4"/>
  <c r="C182" i="4"/>
  <c r="C183" i="4"/>
  <c r="C179" i="4"/>
  <c r="C174" i="4"/>
  <c r="C175" i="4"/>
  <c r="C166" i="4"/>
  <c r="C165" i="4"/>
  <c r="C162" i="4"/>
  <c r="C161" i="4"/>
  <c r="C160" i="4"/>
  <c r="C159" i="4"/>
  <c r="C158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1" i="4"/>
  <c r="C120" i="4"/>
  <c r="C119" i="4"/>
  <c r="C118" i="4"/>
  <c r="C117" i="4"/>
  <c r="C116" i="4"/>
  <c r="C113" i="4"/>
  <c r="C112" i="4"/>
  <c r="C111" i="4"/>
  <c r="C107" i="4"/>
  <c r="C106" i="4"/>
  <c r="C103" i="4"/>
  <c r="C102" i="4"/>
  <c r="C101" i="4"/>
  <c r="C100" i="4"/>
  <c r="C99" i="4"/>
  <c r="C98" i="4"/>
  <c r="C97" i="4"/>
  <c r="C93" i="4"/>
  <c r="C92" i="4"/>
  <c r="C91" i="4"/>
  <c r="C90" i="4"/>
  <c r="C89" i="4"/>
  <c r="C88" i="4"/>
  <c r="C87" i="4"/>
  <c r="C86" i="4"/>
  <c r="C82" i="4"/>
  <c r="C81" i="4"/>
  <c r="C80" i="4"/>
  <c r="C79" i="4"/>
  <c r="C78" i="4"/>
  <c r="C77" i="4"/>
  <c r="C73" i="4"/>
  <c r="C66" i="4"/>
  <c r="C61" i="4"/>
  <c r="C60" i="4"/>
  <c r="C22" i="4"/>
  <c r="K492" i="4"/>
  <c r="K463" i="4"/>
  <c r="K475" i="4" s="1"/>
  <c r="K26" i="4" s="1"/>
  <c r="K454" i="4"/>
  <c r="K450" i="4"/>
  <c r="K442" i="4"/>
  <c r="K419" i="4"/>
  <c r="K423" i="4" s="1"/>
  <c r="K402" i="4"/>
  <c r="K395" i="4"/>
  <c r="K20" i="4" s="1"/>
  <c r="K388" i="4"/>
  <c r="K377" i="4"/>
  <c r="K364" i="4"/>
  <c r="K349" i="4"/>
  <c r="K339" i="4"/>
  <c r="K323" i="4"/>
  <c r="K314" i="4"/>
  <c r="K307" i="4"/>
  <c r="K287" i="4"/>
  <c r="K275" i="4"/>
  <c r="K260" i="4"/>
  <c r="K11" i="4" s="1"/>
  <c r="K247" i="4"/>
  <c r="K238" i="4"/>
  <c r="K234" i="4"/>
  <c r="K229" i="4"/>
  <c r="K221" i="4"/>
  <c r="K212" i="4"/>
  <c r="K208" i="4"/>
  <c r="K204" i="4"/>
  <c r="K200" i="4"/>
  <c r="K196" i="4"/>
  <c r="K187" i="4"/>
  <c r="K184" i="4"/>
  <c r="K176" i="4"/>
  <c r="K167" i="4"/>
  <c r="K163" i="4"/>
  <c r="K155" i="4"/>
  <c r="K140" i="4"/>
  <c r="K122" i="4"/>
  <c r="K104" i="4"/>
  <c r="K94" i="4"/>
  <c r="K83" i="4"/>
  <c r="K74" i="4"/>
  <c r="K62" i="4"/>
  <c r="K52" i="4"/>
  <c r="K51" i="4"/>
  <c r="K50" i="4"/>
  <c r="K48" i="4"/>
  <c r="K47" i="4"/>
  <c r="K46" i="4"/>
  <c r="K40" i="4"/>
  <c r="K36" i="4"/>
  <c r="K35" i="4"/>
  <c r="K34" i="4"/>
  <c r="K29" i="4"/>
  <c r="K28" i="4"/>
  <c r="K19" i="4"/>
  <c r="K9" i="4"/>
  <c r="K8" i="4"/>
  <c r="K7" i="4"/>
  <c r="J492" i="4"/>
  <c r="J29" i="4" s="1"/>
  <c r="J463" i="4"/>
  <c r="J475" i="4" s="1"/>
  <c r="J26" i="4" s="1"/>
  <c r="J454" i="4"/>
  <c r="J450" i="4"/>
  <c r="J442" i="4"/>
  <c r="J419" i="4"/>
  <c r="J423" i="4" s="1"/>
  <c r="J402" i="4"/>
  <c r="J19" i="4" s="1"/>
  <c r="J395" i="4"/>
  <c r="J20" i="4" s="1"/>
  <c r="J388" i="4"/>
  <c r="J377" i="4"/>
  <c r="J364" i="4"/>
  <c r="J349" i="4"/>
  <c r="J339" i="4"/>
  <c r="J323" i="4"/>
  <c r="J314" i="4"/>
  <c r="J307" i="4"/>
  <c r="J287" i="4"/>
  <c r="J275" i="4"/>
  <c r="J260" i="4"/>
  <c r="J11" i="4" s="1"/>
  <c r="J247" i="4"/>
  <c r="J238" i="4"/>
  <c r="J234" i="4"/>
  <c r="J229" i="4"/>
  <c r="J221" i="4"/>
  <c r="J212" i="4"/>
  <c r="J208" i="4"/>
  <c r="J204" i="4"/>
  <c r="J200" i="4"/>
  <c r="J196" i="4"/>
  <c r="J187" i="4"/>
  <c r="J184" i="4"/>
  <c r="J176" i="4"/>
  <c r="J167" i="4"/>
  <c r="J163" i="4"/>
  <c r="J155" i="4"/>
  <c r="J140" i="4"/>
  <c r="J122" i="4"/>
  <c r="J104" i="4"/>
  <c r="J94" i="4"/>
  <c r="J83" i="4"/>
  <c r="J74" i="4"/>
  <c r="J62" i="4"/>
  <c r="J52" i="4"/>
  <c r="J51" i="4"/>
  <c r="J50" i="4"/>
  <c r="J48" i="4"/>
  <c r="J47" i="4"/>
  <c r="J46" i="4"/>
  <c r="J40" i="4"/>
  <c r="J36" i="4"/>
  <c r="J35" i="4"/>
  <c r="J28" i="4"/>
  <c r="J9" i="4"/>
  <c r="J8" i="4"/>
  <c r="J7" i="4"/>
  <c r="I492" i="4"/>
  <c r="I29" i="4" s="1"/>
  <c r="I463" i="4"/>
  <c r="I475" i="4" s="1"/>
  <c r="I26" i="4" s="1"/>
  <c r="I454" i="4"/>
  <c r="I450" i="4"/>
  <c r="I442" i="4"/>
  <c r="I419" i="4"/>
  <c r="I423" i="4" s="1"/>
  <c r="I402" i="4"/>
  <c r="I19" i="4" s="1"/>
  <c r="I395" i="4"/>
  <c r="I20" i="4" s="1"/>
  <c r="I388" i="4"/>
  <c r="I18" i="4" s="1"/>
  <c r="I377" i="4"/>
  <c r="I364" i="4"/>
  <c r="I349" i="4"/>
  <c r="I339" i="4"/>
  <c r="I323" i="4"/>
  <c r="I314" i="4"/>
  <c r="I307" i="4"/>
  <c r="I287" i="4"/>
  <c r="I275" i="4"/>
  <c r="I260" i="4"/>
  <c r="I11" i="4" s="1"/>
  <c r="I247" i="4"/>
  <c r="I238" i="4"/>
  <c r="I234" i="4"/>
  <c r="I229" i="4"/>
  <c r="I221" i="4"/>
  <c r="I46" i="4" s="1"/>
  <c r="I212" i="4"/>
  <c r="I208" i="4"/>
  <c r="I204" i="4"/>
  <c r="I200" i="4"/>
  <c r="I196" i="4"/>
  <c r="I187" i="4"/>
  <c r="I184" i="4"/>
  <c r="I176" i="4"/>
  <c r="I167" i="4"/>
  <c r="I163" i="4"/>
  <c r="I155" i="4"/>
  <c r="I140" i="4"/>
  <c r="I122" i="4"/>
  <c r="I104" i="4"/>
  <c r="I94" i="4"/>
  <c r="I83" i="4"/>
  <c r="I74" i="4"/>
  <c r="I62" i="4"/>
  <c r="I52" i="4"/>
  <c r="I51" i="4"/>
  <c r="I50" i="4"/>
  <c r="I48" i="4"/>
  <c r="I47" i="4"/>
  <c r="I40" i="4"/>
  <c r="I36" i="4"/>
  <c r="I35" i="4"/>
  <c r="I34" i="4"/>
  <c r="I28" i="4"/>
  <c r="I9" i="4"/>
  <c r="I8" i="4"/>
  <c r="I7" i="4"/>
  <c r="H492" i="4"/>
  <c r="H29" i="4" s="1"/>
  <c r="G492" i="4"/>
  <c r="G29" i="4" s="1"/>
  <c r="H463" i="4"/>
  <c r="H475" i="4" s="1"/>
  <c r="H26" i="4" s="1"/>
  <c r="G463" i="4"/>
  <c r="G475" i="4" s="1"/>
  <c r="G26" i="4" s="1"/>
  <c r="H454" i="4"/>
  <c r="G454" i="4"/>
  <c r="H450" i="4"/>
  <c r="G450" i="4"/>
  <c r="H442" i="4"/>
  <c r="G442" i="4"/>
  <c r="H419" i="4"/>
  <c r="H423" i="4" s="1"/>
  <c r="G419" i="4"/>
  <c r="G423" i="4" s="1"/>
  <c r="G432" i="4" s="1"/>
  <c r="H402" i="4"/>
  <c r="H19" i="4" s="1"/>
  <c r="G402" i="4"/>
  <c r="G19" i="4" s="1"/>
  <c r="H395" i="4"/>
  <c r="G395" i="4"/>
  <c r="G20" i="4" s="1"/>
  <c r="H388" i="4"/>
  <c r="H18" i="4" s="1"/>
  <c r="G388" i="4"/>
  <c r="H377" i="4"/>
  <c r="G377" i="4"/>
  <c r="H364" i="4"/>
  <c r="G364" i="4"/>
  <c r="H349" i="4"/>
  <c r="G349" i="4"/>
  <c r="H339" i="4"/>
  <c r="G339" i="4"/>
  <c r="H323" i="4"/>
  <c r="G323" i="4"/>
  <c r="H314" i="4"/>
  <c r="G314" i="4"/>
  <c r="H307" i="4"/>
  <c r="G307" i="4"/>
  <c r="H287" i="4"/>
  <c r="G287" i="4"/>
  <c r="H275" i="4"/>
  <c r="G275" i="4"/>
  <c r="H260" i="4"/>
  <c r="H11" i="4" s="1"/>
  <c r="G260" i="4"/>
  <c r="H247" i="4"/>
  <c r="G247" i="4"/>
  <c r="H238" i="4"/>
  <c r="G238" i="4"/>
  <c r="H234" i="4"/>
  <c r="G234" i="4"/>
  <c r="H229" i="4"/>
  <c r="G229" i="4"/>
  <c r="H221" i="4"/>
  <c r="G221" i="4"/>
  <c r="G46" i="4" s="1"/>
  <c r="H212" i="4"/>
  <c r="G212" i="4"/>
  <c r="H208" i="4"/>
  <c r="G208" i="4"/>
  <c r="H204" i="4"/>
  <c r="G204" i="4"/>
  <c r="H200" i="4"/>
  <c r="G200" i="4"/>
  <c r="H196" i="4"/>
  <c r="G196" i="4"/>
  <c r="H187" i="4"/>
  <c r="G187" i="4"/>
  <c r="H184" i="4"/>
  <c r="G184" i="4"/>
  <c r="H176" i="4"/>
  <c r="G176" i="4"/>
  <c r="H167" i="4"/>
  <c r="G167" i="4"/>
  <c r="H163" i="4"/>
  <c r="G163" i="4"/>
  <c r="H155" i="4"/>
  <c r="G155" i="4"/>
  <c r="H140" i="4"/>
  <c r="G140" i="4"/>
  <c r="H122" i="4"/>
  <c r="G122" i="4"/>
  <c r="H104" i="4"/>
  <c r="G104" i="4"/>
  <c r="H94" i="4"/>
  <c r="G94" i="4"/>
  <c r="H83" i="4"/>
  <c r="G83" i="4"/>
  <c r="H74" i="4"/>
  <c r="G74" i="4"/>
  <c r="H62" i="4"/>
  <c r="G62" i="4"/>
  <c r="H52" i="4"/>
  <c r="G52" i="4"/>
  <c r="H51" i="4"/>
  <c r="G51" i="4"/>
  <c r="H50" i="4"/>
  <c r="G50" i="4"/>
  <c r="H48" i="4"/>
  <c r="G48" i="4"/>
  <c r="H47" i="4"/>
  <c r="G47" i="4"/>
  <c r="H46" i="4"/>
  <c r="H40" i="4"/>
  <c r="G40" i="4"/>
  <c r="H36" i="4"/>
  <c r="G36" i="4"/>
  <c r="H35" i="4"/>
  <c r="G35" i="4"/>
  <c r="H34" i="4"/>
  <c r="G34" i="4"/>
  <c r="H28" i="4"/>
  <c r="G28" i="4"/>
  <c r="G11" i="4"/>
  <c r="H9" i="4"/>
  <c r="G9" i="4"/>
  <c r="H8" i="4"/>
  <c r="G8" i="4"/>
  <c r="H7" i="4"/>
  <c r="F492" i="4"/>
  <c r="F463" i="4"/>
  <c r="F475" i="4" s="1"/>
  <c r="F26" i="4" s="1"/>
  <c r="F454" i="4"/>
  <c r="F450" i="4"/>
  <c r="F442" i="4"/>
  <c r="F419" i="4"/>
  <c r="F423" i="4" s="1"/>
  <c r="F402" i="4"/>
  <c r="F395" i="4"/>
  <c r="F20" i="4" s="1"/>
  <c r="F388" i="4"/>
  <c r="F18" i="4" s="1"/>
  <c r="F377" i="4"/>
  <c r="F364" i="4"/>
  <c r="F349" i="4"/>
  <c r="F339" i="4"/>
  <c r="F323" i="4"/>
  <c r="F314" i="4"/>
  <c r="F307" i="4"/>
  <c r="F287" i="4"/>
  <c r="F275" i="4"/>
  <c r="F260" i="4"/>
  <c r="F11" i="4" s="1"/>
  <c r="F247" i="4"/>
  <c r="F238" i="4"/>
  <c r="F234" i="4"/>
  <c r="F229" i="4"/>
  <c r="F221" i="4"/>
  <c r="F212" i="4"/>
  <c r="F208" i="4"/>
  <c r="F204" i="4"/>
  <c r="F200" i="4"/>
  <c r="F196" i="4"/>
  <c r="F187" i="4"/>
  <c r="F184" i="4"/>
  <c r="F176" i="4"/>
  <c r="F167" i="4"/>
  <c r="F163" i="4"/>
  <c r="F155" i="4"/>
  <c r="F140" i="4"/>
  <c r="F122" i="4"/>
  <c r="F104" i="4"/>
  <c r="F94" i="4"/>
  <c r="F83" i="4"/>
  <c r="F74" i="4"/>
  <c r="F62" i="4"/>
  <c r="F52" i="4"/>
  <c r="F51" i="4"/>
  <c r="F50" i="4"/>
  <c r="F48" i="4"/>
  <c r="F47" i="4"/>
  <c r="F46" i="4"/>
  <c r="F40" i="4"/>
  <c r="F36" i="4"/>
  <c r="F35" i="4"/>
  <c r="F34" i="4"/>
  <c r="F29" i="4"/>
  <c r="F28" i="4"/>
  <c r="F19" i="4"/>
  <c r="F9" i="4"/>
  <c r="F8" i="4"/>
  <c r="F7" i="4"/>
  <c r="D492" i="4"/>
  <c r="D29" i="4" s="1"/>
  <c r="D463" i="4"/>
  <c r="D475" i="4" s="1"/>
  <c r="D26" i="4" s="1"/>
  <c r="D454" i="4"/>
  <c r="D450" i="4"/>
  <c r="D442" i="4"/>
  <c r="D419" i="4"/>
  <c r="D423" i="4" s="1"/>
  <c r="D402" i="4"/>
  <c r="D19" i="4" s="1"/>
  <c r="D395" i="4"/>
  <c r="D20" i="4" s="1"/>
  <c r="D388" i="4"/>
  <c r="D18" i="4" s="1"/>
  <c r="D377" i="4"/>
  <c r="D364" i="4"/>
  <c r="D349" i="4"/>
  <c r="D339" i="4"/>
  <c r="D323" i="4"/>
  <c r="D314" i="4"/>
  <c r="D307" i="4"/>
  <c r="D287" i="4"/>
  <c r="D275" i="4"/>
  <c r="D260" i="4"/>
  <c r="D11" i="4" s="1"/>
  <c r="D247" i="4"/>
  <c r="D238" i="4"/>
  <c r="D234" i="4"/>
  <c r="D229" i="4"/>
  <c r="D221" i="4"/>
  <c r="D46" i="4" s="1"/>
  <c r="D212" i="4"/>
  <c r="D208" i="4"/>
  <c r="D204" i="4"/>
  <c r="D200" i="4"/>
  <c r="D196" i="4"/>
  <c r="D187" i="4"/>
  <c r="D184" i="4"/>
  <c r="D176" i="4"/>
  <c r="D167" i="4"/>
  <c r="D163" i="4"/>
  <c r="D155" i="4"/>
  <c r="D140" i="4"/>
  <c r="D122" i="4"/>
  <c r="D104" i="4"/>
  <c r="D94" i="4"/>
  <c r="D83" i="4"/>
  <c r="D74" i="4"/>
  <c r="D62" i="4"/>
  <c r="D52" i="4"/>
  <c r="D51" i="4"/>
  <c r="D50" i="4"/>
  <c r="D48" i="4"/>
  <c r="D47" i="4"/>
  <c r="D40" i="4"/>
  <c r="D36" i="4"/>
  <c r="D35" i="4"/>
  <c r="D34" i="4"/>
  <c r="D28" i="4"/>
  <c r="D9" i="4"/>
  <c r="D8" i="4"/>
  <c r="D7" i="4"/>
  <c r="D2" i="4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E492" i="4"/>
  <c r="E29" i="4" s="1"/>
  <c r="E463" i="4"/>
  <c r="E475" i="4" s="1"/>
  <c r="E26" i="4" s="1"/>
  <c r="E454" i="4"/>
  <c r="E450" i="4"/>
  <c r="E442" i="4"/>
  <c r="E419" i="4"/>
  <c r="E423" i="4" s="1"/>
  <c r="E402" i="4"/>
  <c r="E19" i="4" s="1"/>
  <c r="E395" i="4"/>
  <c r="E388" i="4"/>
  <c r="E18" i="4" s="1"/>
  <c r="E377" i="4"/>
  <c r="E364" i="4"/>
  <c r="E349" i="4"/>
  <c r="E339" i="4"/>
  <c r="E323" i="4"/>
  <c r="E314" i="4"/>
  <c r="E307" i="4"/>
  <c r="E287" i="4"/>
  <c r="E275" i="4"/>
  <c r="E260" i="4"/>
  <c r="E11" i="4" s="1"/>
  <c r="E247" i="4"/>
  <c r="E238" i="4"/>
  <c r="E234" i="4"/>
  <c r="E229" i="4"/>
  <c r="E221" i="4"/>
  <c r="E212" i="4"/>
  <c r="E208" i="4"/>
  <c r="E204" i="4"/>
  <c r="E200" i="4"/>
  <c r="E196" i="4"/>
  <c r="E187" i="4"/>
  <c r="E184" i="4"/>
  <c r="E176" i="4"/>
  <c r="E167" i="4"/>
  <c r="E163" i="4"/>
  <c r="E155" i="4"/>
  <c r="E140" i="4"/>
  <c r="E122" i="4"/>
  <c r="E104" i="4"/>
  <c r="E94" i="4"/>
  <c r="E83" i="4"/>
  <c r="E74" i="4"/>
  <c r="E62" i="4"/>
  <c r="E52" i="4"/>
  <c r="E51" i="4"/>
  <c r="E50" i="4"/>
  <c r="E48" i="4"/>
  <c r="E47" i="4"/>
  <c r="E46" i="4"/>
  <c r="E40" i="4"/>
  <c r="E36" i="4"/>
  <c r="E35" i="4"/>
  <c r="E34" i="4"/>
  <c r="E28" i="4"/>
  <c r="E9" i="4"/>
  <c r="E8" i="4"/>
  <c r="E7" i="4"/>
  <c r="G53" i="8"/>
  <c r="AY289" i="4" l="1"/>
  <c r="AY10" i="4" s="1"/>
  <c r="AY12" i="4" s="1"/>
  <c r="Z379" i="4"/>
  <c r="Z430" i="4" s="1"/>
  <c r="W456" i="4"/>
  <c r="W25" i="4" s="1"/>
  <c r="X289" i="4"/>
  <c r="X291" i="4" s="1"/>
  <c r="AY456" i="4"/>
  <c r="AY25" i="4" s="1"/>
  <c r="BA189" i="4"/>
  <c r="BA351" i="4"/>
  <c r="BA16" i="4" s="1"/>
  <c r="AZ289" i="4"/>
  <c r="AZ10" i="4" s="1"/>
  <c r="AZ12" i="4" s="1"/>
  <c r="BA108" i="4"/>
  <c r="BA169" i="4" s="1"/>
  <c r="BA289" i="4"/>
  <c r="BA10" i="4" s="1"/>
  <c r="BA12" i="4" s="1"/>
  <c r="AZ316" i="4"/>
  <c r="AZ428" i="4" s="1"/>
  <c r="AZ456" i="4"/>
  <c r="AZ25" i="4" s="1"/>
  <c r="BA379" i="4"/>
  <c r="BA17" i="4" s="1"/>
  <c r="BA291" i="4"/>
  <c r="AY379" i="4"/>
  <c r="AY17" i="4" s="1"/>
  <c r="BA21" i="4"/>
  <c r="BA214" i="4"/>
  <c r="BA429" i="4"/>
  <c r="AV289" i="4"/>
  <c r="AV10" i="4" s="1"/>
  <c r="AV12" i="4" s="1"/>
  <c r="AZ379" i="4"/>
  <c r="AZ17" i="4" s="1"/>
  <c r="BA316" i="4"/>
  <c r="BA428" i="4" s="1"/>
  <c r="AY214" i="4"/>
  <c r="AY351" i="4"/>
  <c r="AY16" i="4" s="1"/>
  <c r="AZ44" i="4"/>
  <c r="AZ214" i="4"/>
  <c r="BA18" i="4"/>
  <c r="BA44" i="4"/>
  <c r="AV44" i="4"/>
  <c r="AW189" i="4"/>
  <c r="AV214" i="4"/>
  <c r="AX289" i="4"/>
  <c r="AX10" i="4" s="1"/>
  <c r="AX12" i="4" s="1"/>
  <c r="AV316" i="4"/>
  <c r="AV428" i="4" s="1"/>
  <c r="AZ189" i="4"/>
  <c r="AZ108" i="4"/>
  <c r="AZ169" i="4" s="1"/>
  <c r="AZ351" i="4"/>
  <c r="AZ16" i="4" s="1"/>
  <c r="AZ431" i="4"/>
  <c r="AZ432" i="4"/>
  <c r="AZ21" i="4"/>
  <c r="AZ429" i="4"/>
  <c r="AZ18" i="4"/>
  <c r="AQ379" i="4"/>
  <c r="AQ430" i="4" s="1"/>
  <c r="AW289" i="4"/>
  <c r="AW10" i="4" s="1"/>
  <c r="AW351" i="4"/>
  <c r="AW16" i="4" s="1"/>
  <c r="AY108" i="4"/>
  <c r="AY429" i="4"/>
  <c r="AW316" i="4"/>
  <c r="AW428" i="4" s="1"/>
  <c r="AY21" i="4"/>
  <c r="AY169" i="4"/>
  <c r="AY43" i="4" s="1"/>
  <c r="AY189" i="4"/>
  <c r="AY291" i="4"/>
  <c r="AY316" i="4"/>
  <c r="AY428" i="4" s="1"/>
  <c r="AS429" i="4"/>
  <c r="AY431" i="4"/>
  <c r="AY44" i="4"/>
  <c r="AU289" i="4"/>
  <c r="AU10" i="4" s="1"/>
  <c r="AU12" i="4" s="1"/>
  <c r="W44" i="4"/>
  <c r="AX44" i="4"/>
  <c r="AW379" i="4"/>
  <c r="AW430" i="4" s="1"/>
  <c r="AQ189" i="4"/>
  <c r="AU189" i="4"/>
  <c r="AU316" i="4"/>
  <c r="AU325" i="4" s="1"/>
  <c r="AU15" i="4" s="1"/>
  <c r="AW456" i="4"/>
  <c r="AW25" i="4" s="1"/>
  <c r="AU37" i="4"/>
  <c r="AU108" i="4"/>
  <c r="AU169" i="4" s="1"/>
  <c r="AW44" i="4"/>
  <c r="AX189" i="4"/>
  <c r="AX429" i="4"/>
  <c r="AX379" i="4"/>
  <c r="AX430" i="4" s="1"/>
  <c r="AT44" i="4"/>
  <c r="AT289" i="4"/>
  <c r="AT10" i="4" s="1"/>
  <c r="AT12" i="4" s="1"/>
  <c r="AT351" i="4"/>
  <c r="AT16" i="4" s="1"/>
  <c r="AT379" i="4"/>
  <c r="AT430" i="4" s="1"/>
  <c r="AU44" i="4"/>
  <c r="AU431" i="4"/>
  <c r="AV429" i="4"/>
  <c r="AX351" i="4"/>
  <c r="AX16" i="4" s="1"/>
  <c r="AV379" i="4"/>
  <c r="AV430" i="4" s="1"/>
  <c r="AV456" i="4"/>
  <c r="AV25" i="4" s="1"/>
  <c r="AW432" i="4"/>
  <c r="AW21" i="4"/>
  <c r="AX432" i="4"/>
  <c r="AX21" i="4"/>
  <c r="AU379" i="4"/>
  <c r="AU17" i="4" s="1"/>
  <c r="AX316" i="4"/>
  <c r="AX428" i="4" s="1"/>
  <c r="AU351" i="4"/>
  <c r="AU16" i="4" s="1"/>
  <c r="AW11" i="4"/>
  <c r="AW214" i="4"/>
  <c r="AV351" i="4"/>
  <c r="AV16" i="4" s="1"/>
  <c r="AW429" i="4"/>
  <c r="AV431" i="4"/>
  <c r="AM429" i="4"/>
  <c r="AQ289" i="4"/>
  <c r="AQ10" i="4" s="1"/>
  <c r="AQ12" i="4" s="1"/>
  <c r="AQ351" i="4"/>
  <c r="AQ16" i="4" s="1"/>
  <c r="AR351" i="4"/>
  <c r="AR16" i="4" s="1"/>
  <c r="AU214" i="4"/>
  <c r="AU456" i="4"/>
  <c r="AU25" i="4" s="1"/>
  <c r="AW108" i="4"/>
  <c r="AW169" i="4" s="1"/>
  <c r="AX108" i="4"/>
  <c r="AX169" i="4" s="1"/>
  <c r="AV108" i="4"/>
  <c r="AV169" i="4" s="1"/>
  <c r="AX214" i="4"/>
  <c r="AW431" i="4"/>
  <c r="AX456" i="4"/>
  <c r="AX25" i="4" s="1"/>
  <c r="AV432" i="4"/>
  <c r="AV21" i="4"/>
  <c r="AX431" i="4"/>
  <c r="AW18" i="4"/>
  <c r="AV189" i="4"/>
  <c r="AU21" i="4"/>
  <c r="AU432" i="4"/>
  <c r="AU429" i="4"/>
  <c r="AQ456" i="4"/>
  <c r="AQ25" i="4" s="1"/>
  <c r="Z431" i="4"/>
  <c r="AR289" i="4"/>
  <c r="AR10" i="4" s="1"/>
  <c r="AR456" i="4"/>
  <c r="AR25" i="4" s="1"/>
  <c r="AS214" i="4"/>
  <c r="AS289" i="4"/>
  <c r="AS10" i="4" s="1"/>
  <c r="AS12" i="4" s="1"/>
  <c r="AQ432" i="4"/>
  <c r="AQ21" i="4"/>
  <c r="AM379" i="4"/>
  <c r="AM17" i="4" s="1"/>
  <c r="AR429" i="4"/>
  <c r="AL379" i="4"/>
  <c r="AL17" i="4" s="1"/>
  <c r="AP429" i="4"/>
  <c r="AR44" i="4"/>
  <c r="AR316" i="4"/>
  <c r="AR428" i="4" s="1"/>
  <c r="AQ108" i="4"/>
  <c r="AQ169" i="4" s="1"/>
  <c r="AQ43" i="4" s="1"/>
  <c r="AT214" i="4"/>
  <c r="AP289" i="4"/>
  <c r="AP10" i="4" s="1"/>
  <c r="AQ316" i="4"/>
  <c r="AQ428" i="4" s="1"/>
  <c r="AR214" i="4"/>
  <c r="AR431" i="4"/>
  <c r="AT189" i="4"/>
  <c r="AS316" i="4"/>
  <c r="AS428" i="4" s="1"/>
  <c r="AS379" i="4"/>
  <c r="AS431" i="4"/>
  <c r="AN351" i="4"/>
  <c r="AN16" i="4" s="1"/>
  <c r="AN431" i="4"/>
  <c r="AQ214" i="4"/>
  <c r="AQ429" i="4"/>
  <c r="AR379" i="4"/>
  <c r="AR430" i="4" s="1"/>
  <c r="AT108" i="4"/>
  <c r="AT169" i="4" s="1"/>
  <c r="AT456" i="4"/>
  <c r="AT25" i="4" s="1"/>
  <c r="AP456" i="4"/>
  <c r="AP25" i="4" s="1"/>
  <c r="AQ431" i="4"/>
  <c r="AR11" i="4"/>
  <c r="AR108" i="4"/>
  <c r="AR169" i="4" s="1"/>
  <c r="AS108" i="4"/>
  <c r="AS169" i="4" s="1"/>
  <c r="AS189" i="4"/>
  <c r="AT316" i="4"/>
  <c r="AT325" i="4" s="1"/>
  <c r="AT429" i="4"/>
  <c r="AT431" i="4"/>
  <c r="AS456" i="4"/>
  <c r="AS25" i="4" s="1"/>
  <c r="AT432" i="4"/>
  <c r="AT21" i="4"/>
  <c r="AS351" i="4"/>
  <c r="AS16" i="4" s="1"/>
  <c r="AS432" i="4"/>
  <c r="AS18" i="4"/>
  <c r="AS44" i="4"/>
  <c r="AR189" i="4"/>
  <c r="AR432" i="4"/>
  <c r="AR18" i="4"/>
  <c r="AQ18" i="4"/>
  <c r="AQ44" i="4"/>
  <c r="AP214" i="4"/>
  <c r="AP431" i="4"/>
  <c r="AP432" i="4"/>
  <c r="AP21" i="4"/>
  <c r="AP189" i="4"/>
  <c r="AP11" i="4"/>
  <c r="AP316" i="4"/>
  <c r="AP428" i="4" s="1"/>
  <c r="AP351" i="4"/>
  <c r="AP16" i="4" s="1"/>
  <c r="Z289" i="4"/>
  <c r="Z10" i="4" s="1"/>
  <c r="Z12" i="4" s="1"/>
  <c r="AN44" i="4"/>
  <c r="AP108" i="4"/>
  <c r="AP169" i="4" s="1"/>
  <c r="AP379" i="4"/>
  <c r="AP17" i="4" s="1"/>
  <c r="AP18" i="4"/>
  <c r="AP44" i="4"/>
  <c r="AO189" i="4"/>
  <c r="AN189" i="4"/>
  <c r="AO289" i="4"/>
  <c r="AO10" i="4" s="1"/>
  <c r="AL431" i="4"/>
  <c r="X379" i="4"/>
  <c r="X430" i="4" s="1"/>
  <c r="AL289" i="4"/>
  <c r="AL10" i="4" s="1"/>
  <c r="AK214" i="4"/>
  <c r="AK456" i="4"/>
  <c r="AK25" i="4" s="1"/>
  <c r="AO379" i="4"/>
  <c r="AO430" i="4" s="1"/>
  <c r="AJ214" i="4"/>
  <c r="AH379" i="4"/>
  <c r="AH430" i="4" s="1"/>
  <c r="AM289" i="4"/>
  <c r="AM10" i="4" s="1"/>
  <c r="AM12" i="4" s="1"/>
  <c r="AN18" i="4"/>
  <c r="AO316" i="4"/>
  <c r="AO428" i="4" s="1"/>
  <c r="AJ189" i="4"/>
  <c r="AK189" i="4"/>
  <c r="AL189" i="4"/>
  <c r="AL316" i="4"/>
  <c r="AL428" i="4" s="1"/>
  <c r="AN456" i="4"/>
  <c r="AN25" i="4" s="1"/>
  <c r="AO431" i="4"/>
  <c r="AM432" i="4"/>
  <c r="AM21" i="4"/>
  <c r="AN432" i="4"/>
  <c r="AN21" i="4"/>
  <c r="AF289" i="4"/>
  <c r="AF10" i="4" s="1"/>
  <c r="AJ44" i="4"/>
  <c r="AJ289" i="4"/>
  <c r="AJ10" i="4" s="1"/>
  <c r="AJ12" i="4" s="1"/>
  <c r="AJ351" i="4"/>
  <c r="AJ16" i="4" s="1"/>
  <c r="AJ431" i="4"/>
  <c r="AK44" i="4"/>
  <c r="AK289" i="4"/>
  <c r="AK10" i="4" s="1"/>
  <c r="AK351" i="4"/>
  <c r="AK16" i="4" s="1"/>
  <c r="AK431" i="4"/>
  <c r="AL44" i="4"/>
  <c r="AL214" i="4"/>
  <c r="AL456" i="4"/>
  <c r="AL25" i="4" s="1"/>
  <c r="AM44" i="4"/>
  <c r="AM316" i="4"/>
  <c r="AM428" i="4" s="1"/>
  <c r="AM351" i="4"/>
  <c r="AM16" i="4" s="1"/>
  <c r="AN108" i="4"/>
  <c r="AN169" i="4" s="1"/>
  <c r="AN43" i="4" s="1"/>
  <c r="AN316" i="4"/>
  <c r="AN428" i="4" s="1"/>
  <c r="AN379" i="4"/>
  <c r="AN430" i="4" s="1"/>
  <c r="AO44" i="4"/>
  <c r="AO214" i="4"/>
  <c r="AO456" i="4"/>
  <c r="AO25" i="4" s="1"/>
  <c r="AJ108" i="4"/>
  <c r="AJ169" i="4" s="1"/>
  <c r="AJ316" i="4"/>
  <c r="AJ428" i="4" s="1"/>
  <c r="AK108" i="4"/>
  <c r="AK169" i="4" s="1"/>
  <c r="AK316" i="4"/>
  <c r="AK428" i="4" s="1"/>
  <c r="AL108" i="4"/>
  <c r="AL169" i="4" s="1"/>
  <c r="AL351" i="4"/>
  <c r="AL16" i="4" s="1"/>
  <c r="AM108" i="4"/>
  <c r="AM169" i="4" s="1"/>
  <c r="AM43" i="4" s="1"/>
  <c r="AN289" i="4"/>
  <c r="AN10" i="4" s="1"/>
  <c r="AN12" i="4" s="1"/>
  <c r="AO108" i="4"/>
  <c r="AO169" i="4" s="1"/>
  <c r="AO351" i="4"/>
  <c r="AO16" i="4" s="1"/>
  <c r="AI316" i="4"/>
  <c r="AI428" i="4" s="1"/>
  <c r="AI456" i="4"/>
  <c r="AI25" i="4" s="1"/>
  <c r="AJ379" i="4"/>
  <c r="AJ430" i="4" s="1"/>
  <c r="AK11" i="4"/>
  <c r="AK379" i="4"/>
  <c r="AK17" i="4" s="1"/>
  <c r="AL11" i="4"/>
  <c r="AM214" i="4"/>
  <c r="AN214" i="4"/>
  <c r="AO11" i="4"/>
  <c r="AO432" i="4"/>
  <c r="AO21" i="4"/>
  <c r="AO429" i="4"/>
  <c r="AO18" i="4"/>
  <c r="AN429" i="4"/>
  <c r="AM431" i="4"/>
  <c r="AM189" i="4"/>
  <c r="AL432" i="4"/>
  <c r="AL21" i="4"/>
  <c r="AL429" i="4"/>
  <c r="AL18" i="4"/>
  <c r="AL34" i="4"/>
  <c r="AK21" i="4"/>
  <c r="AK432" i="4"/>
  <c r="AK429" i="4"/>
  <c r="AK18" i="4"/>
  <c r="AJ21" i="4"/>
  <c r="AJ432" i="4"/>
  <c r="AJ429" i="4"/>
  <c r="AG351" i="4"/>
  <c r="AG16" i="4" s="1"/>
  <c r="AD379" i="4"/>
  <c r="AD17" i="4" s="1"/>
  <c r="AD456" i="4"/>
  <c r="AD25" i="4" s="1"/>
  <c r="AF431" i="4"/>
  <c r="AI289" i="4"/>
  <c r="AI10" i="4" s="1"/>
  <c r="AI12" i="4" s="1"/>
  <c r="AE108" i="4"/>
  <c r="AE169" i="4" s="1"/>
  <c r="AF379" i="4"/>
  <c r="AF430" i="4" s="1"/>
  <c r="AH289" i="4"/>
  <c r="AH10" i="4" s="1"/>
  <c r="AG316" i="4"/>
  <c r="AG428" i="4" s="1"/>
  <c r="AF429" i="4"/>
  <c r="AH316" i="4"/>
  <c r="AH428" i="4" s="1"/>
  <c r="AD289" i="4"/>
  <c r="AD10" i="4" s="1"/>
  <c r="AD12" i="4" s="1"/>
  <c r="AE189" i="4"/>
  <c r="AE316" i="4"/>
  <c r="AE428" i="4" s="1"/>
  <c r="AG289" i="4"/>
  <c r="AG10" i="4" s="1"/>
  <c r="AG12" i="4" s="1"/>
  <c r="AG379" i="4"/>
  <c r="AG430" i="4" s="1"/>
  <c r="AH189" i="4"/>
  <c r="AH431" i="4"/>
  <c r="AD214" i="4"/>
  <c r="AE429" i="4"/>
  <c r="AE456" i="4"/>
  <c r="AE25" i="4" s="1"/>
  <c r="AF316" i="4"/>
  <c r="AF428" i="4" s="1"/>
  <c r="AI379" i="4"/>
  <c r="AI430" i="4" s="1"/>
  <c r="AF108" i="4"/>
  <c r="AF169" i="4" s="1"/>
  <c r="AF43" i="4" s="1"/>
  <c r="AI44" i="4"/>
  <c r="AI214" i="4"/>
  <c r="AE432" i="4"/>
  <c r="AE21" i="4"/>
  <c r="AD108" i="4"/>
  <c r="AD169" i="4" s="1"/>
  <c r="AD429" i="4"/>
  <c r="AE289" i="4"/>
  <c r="AE10" i="4" s="1"/>
  <c r="AE12" i="4" s="1"/>
  <c r="AE379" i="4"/>
  <c r="AE430" i="4" s="1"/>
  <c r="AF189" i="4"/>
  <c r="AF423" i="4"/>
  <c r="AF21" i="4" s="1"/>
  <c r="AG108" i="4"/>
  <c r="AG169" i="4" s="1"/>
  <c r="AG431" i="4"/>
  <c r="AH44" i="4"/>
  <c r="AH214" i="4"/>
  <c r="AH456" i="4"/>
  <c r="AH25" i="4" s="1"/>
  <c r="AD44" i="4"/>
  <c r="AD316" i="4"/>
  <c r="AD428" i="4" s="1"/>
  <c r="AD351" i="4"/>
  <c r="AD16" i="4" s="1"/>
  <c r="AE214" i="4"/>
  <c r="AE431" i="4"/>
  <c r="AF11" i="4"/>
  <c r="AG44" i="4"/>
  <c r="AG214" i="4"/>
  <c r="AG456" i="4"/>
  <c r="AG25" i="4" s="1"/>
  <c r="AH108" i="4"/>
  <c r="AH169" i="4" s="1"/>
  <c r="AH429" i="4"/>
  <c r="AI189" i="4"/>
  <c r="AD21" i="4"/>
  <c r="AE351" i="4"/>
  <c r="AE16" i="4" s="1"/>
  <c r="AF44" i="4"/>
  <c r="AF214" i="4"/>
  <c r="AF456" i="4"/>
  <c r="AF25" i="4" s="1"/>
  <c r="AG189" i="4"/>
  <c r="AH11" i="4"/>
  <c r="AI108" i="4"/>
  <c r="AI169" i="4" s="1"/>
  <c r="AI351" i="4"/>
  <c r="AI16" i="4" s="1"/>
  <c r="AI431" i="4"/>
  <c r="AI432" i="4"/>
  <c r="AI21" i="4"/>
  <c r="AI429" i="4"/>
  <c r="AI18" i="4"/>
  <c r="AH432" i="4"/>
  <c r="AH21" i="4"/>
  <c r="AH351" i="4"/>
  <c r="AH16" i="4" s="1"/>
  <c r="AH18" i="4"/>
  <c r="AG432" i="4"/>
  <c r="AG21" i="4"/>
  <c r="AG429" i="4"/>
  <c r="AG18" i="4"/>
  <c r="AF351" i="4"/>
  <c r="AF16" i="4" s="1"/>
  <c r="AF18" i="4"/>
  <c r="AE18" i="4"/>
  <c r="AE44" i="4"/>
  <c r="AD431" i="4"/>
  <c r="AD189" i="4"/>
  <c r="Y44" i="4"/>
  <c r="Y379" i="4"/>
  <c r="Y430" i="4" s="1"/>
  <c r="M351" i="4"/>
  <c r="M16" i="4" s="1"/>
  <c r="Y291" i="4"/>
  <c r="S316" i="4"/>
  <c r="S325" i="4" s="1"/>
  <c r="S15" i="4" s="1"/>
  <c r="W429" i="4"/>
  <c r="AC456" i="4"/>
  <c r="AC25" i="4" s="1"/>
  <c r="AA44" i="4"/>
  <c r="AC431" i="4"/>
  <c r="Y12" i="4"/>
  <c r="Y18" i="4"/>
  <c r="AB44" i="4"/>
  <c r="AB316" i="4"/>
  <c r="AB325" i="4" s="1"/>
  <c r="AB15" i="4" s="1"/>
  <c r="AB429" i="4"/>
  <c r="AB431" i="4"/>
  <c r="M379" i="4"/>
  <c r="M17" i="4" s="1"/>
  <c r="N289" i="4"/>
  <c r="N10" i="4" s="1"/>
  <c r="S379" i="4"/>
  <c r="S430" i="4" s="1"/>
  <c r="W214" i="4"/>
  <c r="X429" i="4"/>
  <c r="AC21" i="4"/>
  <c r="AC108" i="4"/>
  <c r="AC169" i="4" s="1"/>
  <c r="AC289" i="4"/>
  <c r="AC10" i="4" s="1"/>
  <c r="V44" i="4"/>
  <c r="V214" i="4"/>
  <c r="V289" i="4"/>
  <c r="V10" i="4" s="1"/>
  <c r="V12" i="4" s="1"/>
  <c r="V316" i="4"/>
  <c r="V428" i="4" s="1"/>
  <c r="V429" i="4"/>
  <c r="V431" i="4"/>
  <c r="U456" i="4"/>
  <c r="U25" i="4" s="1"/>
  <c r="X18" i="4"/>
  <c r="AB20" i="4"/>
  <c r="AA189" i="4"/>
  <c r="AA351" i="4"/>
  <c r="AA16" i="4" s="1"/>
  <c r="AA379" i="4"/>
  <c r="AA430" i="4" s="1"/>
  <c r="AA456" i="4"/>
  <c r="AA25" i="4" s="1"/>
  <c r="AC214" i="4"/>
  <c r="AC351" i="4"/>
  <c r="AC16" i="4" s="1"/>
  <c r="U108" i="4"/>
  <c r="U169" i="4" s="1"/>
  <c r="U43" i="4" s="1"/>
  <c r="U44" i="4"/>
  <c r="U316" i="4"/>
  <c r="U428" i="4" s="1"/>
  <c r="U351" i="4"/>
  <c r="U16" i="4" s="1"/>
  <c r="U379" i="4"/>
  <c r="U17" i="4" s="1"/>
  <c r="AB189" i="4"/>
  <c r="AB289" i="4"/>
  <c r="AB10" i="4" s="1"/>
  <c r="AC379" i="4"/>
  <c r="AC430" i="4" s="1"/>
  <c r="V108" i="4"/>
  <c r="V169" i="4" s="1"/>
  <c r="Z108" i="4"/>
  <c r="Z169" i="4" s="1"/>
  <c r="Z189" i="4"/>
  <c r="Z214" i="4"/>
  <c r="U431" i="4"/>
  <c r="W189" i="4"/>
  <c r="W316" i="4"/>
  <c r="W428" i="4" s="1"/>
  <c r="F289" i="4"/>
  <c r="F10" i="4" s="1"/>
  <c r="F12" i="4" s="1"/>
  <c r="J289" i="4"/>
  <c r="J10" i="4" s="1"/>
  <c r="J12" i="4" s="1"/>
  <c r="T456" i="4"/>
  <c r="T25" i="4" s="1"/>
  <c r="U214" i="4"/>
  <c r="U289" i="4"/>
  <c r="U10" i="4" s="1"/>
  <c r="U12" i="4" s="1"/>
  <c r="V456" i="4"/>
  <c r="V25" i="4" s="1"/>
  <c r="Z18" i="4"/>
  <c r="Y108" i="4"/>
  <c r="Y169" i="4" s="1"/>
  <c r="Y43" i="4" s="1"/>
  <c r="Y189" i="4"/>
  <c r="Y214" i="4"/>
  <c r="Y316" i="4"/>
  <c r="Y428" i="4" s="1"/>
  <c r="AB108" i="4"/>
  <c r="AB169" i="4" s="1"/>
  <c r="AB214" i="4"/>
  <c r="AA316" i="4"/>
  <c r="AA325" i="4" s="1"/>
  <c r="AA15" i="4" s="1"/>
  <c r="AA429" i="4"/>
  <c r="AA431" i="4"/>
  <c r="AC429" i="4"/>
  <c r="Z316" i="4"/>
  <c r="Z428" i="4" s="1"/>
  <c r="W108" i="4"/>
  <c r="W169" i="4" s="1"/>
  <c r="W291" i="4"/>
  <c r="AA11" i="4"/>
  <c r="AC189" i="4"/>
  <c r="AC316" i="4"/>
  <c r="AC428" i="4" s="1"/>
  <c r="M44" i="4"/>
  <c r="V20" i="4"/>
  <c r="V189" i="4"/>
  <c r="V351" i="4"/>
  <c r="V16" i="4" s="1"/>
  <c r="V379" i="4"/>
  <c r="V17" i="4" s="1"/>
  <c r="X108" i="4"/>
  <c r="X169" i="4" s="1"/>
  <c r="X189" i="4"/>
  <c r="X214" i="4"/>
  <c r="X316" i="4"/>
  <c r="X428" i="4" s="1"/>
  <c r="AB11" i="4"/>
  <c r="AA108" i="4"/>
  <c r="AA169" i="4" s="1"/>
  <c r="AA214" i="4"/>
  <c r="AA289" i="4"/>
  <c r="AA10" i="4" s="1"/>
  <c r="AB351" i="4"/>
  <c r="AB16" i="4" s="1"/>
  <c r="AB379" i="4"/>
  <c r="AB430" i="4" s="1"/>
  <c r="AB456" i="4"/>
  <c r="AB25" i="4" s="1"/>
  <c r="AC11" i="4"/>
  <c r="AC18" i="4"/>
  <c r="AC44" i="4"/>
  <c r="AB432" i="4"/>
  <c r="AB21" i="4"/>
  <c r="AA432" i="4"/>
  <c r="AA21" i="4"/>
  <c r="W17" i="4"/>
  <c r="W430" i="4"/>
  <c r="W21" i="4"/>
  <c r="W432" i="4"/>
  <c r="X21" i="4"/>
  <c r="X432" i="4"/>
  <c r="W351" i="4"/>
  <c r="W16" i="4" s="1"/>
  <c r="Z432" i="4"/>
  <c r="Z21" i="4"/>
  <c r="W11" i="4"/>
  <c r="W12" i="4" s="1"/>
  <c r="W18" i="4"/>
  <c r="Y432" i="4"/>
  <c r="Y21" i="4"/>
  <c r="Y351" i="4"/>
  <c r="Y16" i="4" s="1"/>
  <c r="Z351" i="4"/>
  <c r="Z16" i="4" s="1"/>
  <c r="V432" i="4"/>
  <c r="V21" i="4"/>
  <c r="U189" i="4"/>
  <c r="U432" i="4"/>
  <c r="U18" i="4"/>
  <c r="U429" i="4"/>
  <c r="L44" i="4"/>
  <c r="F379" i="4"/>
  <c r="F430" i="4" s="1"/>
  <c r="I289" i="4"/>
  <c r="I10" i="4" s="1"/>
  <c r="I12" i="4" s="1"/>
  <c r="K429" i="4"/>
  <c r="K431" i="4"/>
  <c r="L316" i="4"/>
  <c r="L428" i="4" s="1"/>
  <c r="T431" i="4"/>
  <c r="L289" i="4"/>
  <c r="L10" i="4" s="1"/>
  <c r="L12" i="4" s="1"/>
  <c r="L351" i="4"/>
  <c r="L16" i="4" s="1"/>
  <c r="M456" i="4"/>
  <c r="M25" i="4" s="1"/>
  <c r="N379" i="4"/>
  <c r="N430" i="4" s="1"/>
  <c r="R316" i="4"/>
  <c r="R428" i="4" s="1"/>
  <c r="Q429" i="4"/>
  <c r="T379" i="4"/>
  <c r="T430" i="4" s="1"/>
  <c r="N189" i="4"/>
  <c r="N316" i="4"/>
  <c r="N428" i="4" s="1"/>
  <c r="S289" i="4"/>
  <c r="S10" i="4" s="1"/>
  <c r="S12" i="4" s="1"/>
  <c r="T214" i="4"/>
  <c r="T351" i="4"/>
  <c r="T16" i="4" s="1"/>
  <c r="L431" i="4"/>
  <c r="O214" i="4"/>
  <c r="Q456" i="4"/>
  <c r="Q25" i="4" s="1"/>
  <c r="R456" i="4"/>
  <c r="R25" i="4" s="1"/>
  <c r="S44" i="4"/>
  <c r="L379" i="4"/>
  <c r="L430" i="4" s="1"/>
  <c r="N351" i="4"/>
  <c r="N16" i="4" s="1"/>
  <c r="O189" i="4"/>
  <c r="Q189" i="4"/>
  <c r="P214" i="4"/>
  <c r="R289" i="4"/>
  <c r="R10" i="4" s="1"/>
  <c r="R12" i="4" s="1"/>
  <c r="Q379" i="4"/>
  <c r="Q430" i="4" s="1"/>
  <c r="T289" i="4"/>
  <c r="T10" i="4" s="1"/>
  <c r="T12" i="4" s="1"/>
  <c r="L214" i="4"/>
  <c r="N11" i="4"/>
  <c r="O108" i="4"/>
  <c r="O169" i="4" s="1"/>
  <c r="O316" i="4"/>
  <c r="O428" i="4" s="1"/>
  <c r="Q44" i="4"/>
  <c r="R108" i="4"/>
  <c r="R169" i="4" s="1"/>
  <c r="R43" i="4" s="1"/>
  <c r="R44" i="4"/>
  <c r="Q214" i="4"/>
  <c r="Q316" i="4"/>
  <c r="Q428" i="4" s="1"/>
  <c r="P429" i="4"/>
  <c r="R379" i="4"/>
  <c r="R17" i="4" s="1"/>
  <c r="Q431" i="4"/>
  <c r="S214" i="4"/>
  <c r="T316" i="4"/>
  <c r="T428" i="4" s="1"/>
  <c r="K108" i="4"/>
  <c r="K169" i="4" s="1"/>
  <c r="K43" i="4" s="1"/>
  <c r="L20" i="4"/>
  <c r="L108" i="4"/>
  <c r="L169" i="4" s="1"/>
  <c r="L429" i="4"/>
  <c r="L456" i="4"/>
  <c r="L25" i="4" s="1"/>
  <c r="M108" i="4"/>
  <c r="M169" i="4" s="1"/>
  <c r="M189" i="4"/>
  <c r="M289" i="4"/>
  <c r="M10" i="4" s="1"/>
  <c r="M12" i="4" s="1"/>
  <c r="N214" i="4"/>
  <c r="O11" i="4"/>
  <c r="O44" i="4"/>
  <c r="O289" i="4"/>
  <c r="O10" i="4" s="1"/>
  <c r="O351" i="4"/>
  <c r="O16" i="4" s="1"/>
  <c r="O431" i="4"/>
  <c r="Q20" i="4"/>
  <c r="P108" i="4"/>
  <c r="P169" i="4" s="1"/>
  <c r="P43" i="4" s="1"/>
  <c r="Q108" i="4"/>
  <c r="Q169" i="4" s="1"/>
  <c r="P44" i="4"/>
  <c r="Q289" i="4"/>
  <c r="Q10" i="4" s="1"/>
  <c r="Q12" i="4" s="1"/>
  <c r="P316" i="4"/>
  <c r="P428" i="4" s="1"/>
  <c r="R429" i="4"/>
  <c r="P379" i="4"/>
  <c r="P17" i="4" s="1"/>
  <c r="R431" i="4"/>
  <c r="S108" i="4"/>
  <c r="S169" i="4" s="1"/>
  <c r="S429" i="4"/>
  <c r="S431" i="4"/>
  <c r="T108" i="4"/>
  <c r="T169" i="4" s="1"/>
  <c r="T429" i="4"/>
  <c r="M214" i="4"/>
  <c r="N108" i="4"/>
  <c r="N169" i="4" s="1"/>
  <c r="O456" i="4"/>
  <c r="O25" i="4" s="1"/>
  <c r="P431" i="4"/>
  <c r="S456" i="4"/>
  <c r="S25" i="4" s="1"/>
  <c r="T189" i="4"/>
  <c r="L189" i="4"/>
  <c r="M291" i="4"/>
  <c r="M316" i="4"/>
  <c r="M325" i="4" s="1"/>
  <c r="N44" i="4"/>
  <c r="N456" i="4"/>
  <c r="N25" i="4" s="1"/>
  <c r="O379" i="4"/>
  <c r="O17" i="4" s="1"/>
  <c r="R214" i="4"/>
  <c r="P289" i="4"/>
  <c r="P10" i="4" s="1"/>
  <c r="P12" i="4" s="1"/>
  <c r="Q351" i="4"/>
  <c r="Q16" i="4" s="1"/>
  <c r="P456" i="4"/>
  <c r="P25" i="4" s="1"/>
  <c r="S189" i="4"/>
  <c r="T21" i="4"/>
  <c r="T18" i="4"/>
  <c r="T44" i="4"/>
  <c r="S432" i="4"/>
  <c r="S21" i="4"/>
  <c r="S351" i="4"/>
  <c r="S16" i="4" s="1"/>
  <c r="S18" i="4"/>
  <c r="Q432" i="4"/>
  <c r="Q21" i="4"/>
  <c r="R189" i="4"/>
  <c r="P351" i="4"/>
  <c r="P16" i="4" s="1"/>
  <c r="R432" i="4"/>
  <c r="R18" i="4"/>
  <c r="P189" i="4"/>
  <c r="R351" i="4"/>
  <c r="R16" i="4" s="1"/>
  <c r="P432" i="4"/>
  <c r="P18" i="4"/>
  <c r="O21" i="4"/>
  <c r="O429" i="4"/>
  <c r="O18" i="4"/>
  <c r="N432" i="4"/>
  <c r="N21" i="4"/>
  <c r="N431" i="4"/>
  <c r="N429" i="4"/>
  <c r="M21" i="4"/>
  <c r="M431" i="4"/>
  <c r="M429" i="4"/>
  <c r="L432" i="4"/>
  <c r="L21" i="4"/>
  <c r="E189" i="4"/>
  <c r="E316" i="4"/>
  <c r="E428" i="4" s="1"/>
  <c r="D351" i="4"/>
  <c r="D16" i="4" s="1"/>
  <c r="D456" i="4"/>
  <c r="D25" i="4" s="1"/>
  <c r="F44" i="4"/>
  <c r="F214" i="4"/>
  <c r="E289" i="4"/>
  <c r="E10" i="4" s="1"/>
  <c r="E351" i="4"/>
  <c r="E16" i="4" s="1"/>
  <c r="E456" i="4"/>
  <c r="E25" i="4" s="1"/>
  <c r="E214" i="4"/>
  <c r="J456" i="4"/>
  <c r="J25" i="4" s="1"/>
  <c r="H44" i="4"/>
  <c r="H214" i="4"/>
  <c r="H289" i="4"/>
  <c r="H10" i="4" s="1"/>
  <c r="H12" i="4" s="1"/>
  <c r="H316" i="4"/>
  <c r="H428" i="4" s="1"/>
  <c r="H429" i="4"/>
  <c r="H431" i="4"/>
  <c r="G456" i="4"/>
  <c r="G25" i="4" s="1"/>
  <c r="I108" i="4"/>
  <c r="I169" i="4" s="1"/>
  <c r="I189" i="4"/>
  <c r="J379" i="4"/>
  <c r="J17" i="4" s="1"/>
  <c r="E379" i="4"/>
  <c r="E430" i="4" s="1"/>
  <c r="D189" i="4"/>
  <c r="D289" i="4"/>
  <c r="D10" i="4" s="1"/>
  <c r="D12" i="4" s="1"/>
  <c r="G108" i="4"/>
  <c r="G169" i="4" s="1"/>
  <c r="G43" i="4" s="1"/>
  <c r="G44" i="4"/>
  <c r="G316" i="4"/>
  <c r="G428" i="4" s="1"/>
  <c r="G351" i="4"/>
  <c r="G16" i="4" s="1"/>
  <c r="G379" i="4"/>
  <c r="G17" i="4" s="1"/>
  <c r="G431" i="4"/>
  <c r="I351" i="4"/>
  <c r="I16" i="4" s="1"/>
  <c r="I456" i="4"/>
  <c r="I25" i="4" s="1"/>
  <c r="J44" i="4"/>
  <c r="J214" i="4"/>
  <c r="K456" i="4"/>
  <c r="K25" i="4" s="1"/>
  <c r="J316" i="4"/>
  <c r="J428" i="4" s="1"/>
  <c r="K432" i="4"/>
  <c r="K21" i="4"/>
  <c r="E12" i="4"/>
  <c r="E431" i="4"/>
  <c r="F316" i="4"/>
  <c r="F428" i="4" s="1"/>
  <c r="K214" i="4"/>
  <c r="E20" i="4"/>
  <c r="E108" i="4"/>
  <c r="E169" i="4" s="1"/>
  <c r="D108" i="4"/>
  <c r="D169" i="4" s="1"/>
  <c r="D316" i="4"/>
  <c r="D428" i="4" s="1"/>
  <c r="D379" i="4"/>
  <c r="D430" i="4" s="1"/>
  <c r="F351" i="4"/>
  <c r="F16" i="4" s="1"/>
  <c r="F456" i="4"/>
  <c r="F25" i="4" s="1"/>
  <c r="G21" i="4"/>
  <c r="G214" i="4"/>
  <c r="G289" i="4"/>
  <c r="G10" i="4" s="1"/>
  <c r="G12" i="4" s="1"/>
  <c r="H456" i="4"/>
  <c r="H25" i="4" s="1"/>
  <c r="I316" i="4"/>
  <c r="I325" i="4" s="1"/>
  <c r="I379" i="4"/>
  <c r="I17" i="4" s="1"/>
  <c r="K289" i="4"/>
  <c r="K10" i="4" s="1"/>
  <c r="K12" i="4" s="1"/>
  <c r="K379" i="4"/>
  <c r="K17" i="4" s="1"/>
  <c r="H108" i="4"/>
  <c r="H169" i="4" s="1"/>
  <c r="E429" i="4"/>
  <c r="F189" i="4"/>
  <c r="J189" i="4"/>
  <c r="D44" i="4"/>
  <c r="D214" i="4"/>
  <c r="F108" i="4"/>
  <c r="F169" i="4" s="1"/>
  <c r="H20" i="4"/>
  <c r="H189" i="4"/>
  <c r="H351" i="4"/>
  <c r="H16" i="4" s="1"/>
  <c r="H379" i="4"/>
  <c r="H17" i="4" s="1"/>
  <c r="I44" i="4"/>
  <c r="I214" i="4"/>
  <c r="J108" i="4"/>
  <c r="J169" i="4" s="1"/>
  <c r="J351" i="4"/>
  <c r="J16" i="4" s="1"/>
  <c r="J431" i="4"/>
  <c r="K189" i="4"/>
  <c r="K316" i="4"/>
  <c r="K428" i="4" s="1"/>
  <c r="K351" i="4"/>
  <c r="K16" i="4" s="1"/>
  <c r="K18" i="4"/>
  <c r="K44" i="4"/>
  <c r="J432" i="4"/>
  <c r="J21" i="4"/>
  <c r="J429" i="4"/>
  <c r="J18" i="4"/>
  <c r="I21" i="4"/>
  <c r="I432" i="4"/>
  <c r="I431" i="4"/>
  <c r="I429" i="4"/>
  <c r="H432" i="4"/>
  <c r="H21" i="4"/>
  <c r="G189" i="4"/>
  <c r="G18" i="4"/>
  <c r="G429" i="4"/>
  <c r="F432" i="4"/>
  <c r="F21" i="4"/>
  <c r="F431" i="4"/>
  <c r="F429" i="4"/>
  <c r="D21" i="4"/>
  <c r="D432" i="4"/>
  <c r="D431" i="4"/>
  <c r="D429" i="4"/>
  <c r="E432" i="4"/>
  <c r="E21" i="4"/>
  <c r="E44" i="4"/>
  <c r="D51" i="1"/>
  <c r="E51" i="1"/>
  <c r="F51" i="1"/>
  <c r="G51" i="1"/>
  <c r="D52" i="1"/>
  <c r="E52" i="1"/>
  <c r="G251" i="1"/>
  <c r="C52" i="1"/>
  <c r="C51" i="1"/>
  <c r="D40" i="1"/>
  <c r="D50" i="1"/>
  <c r="E50" i="1"/>
  <c r="C50" i="1"/>
  <c r="D226" i="1"/>
  <c r="D227" i="1"/>
  <c r="E227" i="1"/>
  <c r="C227" i="1"/>
  <c r="A226" i="1"/>
  <c r="A227" i="1"/>
  <c r="A228" i="1" s="1"/>
  <c r="A229" i="1" s="1"/>
  <c r="E205" i="1"/>
  <c r="E204" i="1"/>
  <c r="D224" i="1"/>
  <c r="D204" i="1"/>
  <c r="AC291" i="4" l="1"/>
  <c r="X10" i="4"/>
  <c r="X12" i="4" s="1"/>
  <c r="BA325" i="4"/>
  <c r="BA15" i="4" s="1"/>
  <c r="Z17" i="4"/>
  <c r="AW17" i="4"/>
  <c r="AZ325" i="4"/>
  <c r="AZ15" i="4" s="1"/>
  <c r="AZ23" i="4" s="1"/>
  <c r="AZ30" i="4" s="1"/>
  <c r="AX325" i="4"/>
  <c r="AX15" i="4" s="1"/>
  <c r="AV17" i="4"/>
  <c r="BA191" i="4"/>
  <c r="BA249" i="4" s="1"/>
  <c r="BA43" i="4"/>
  <c r="BA45" i="4" s="1"/>
  <c r="AS325" i="4"/>
  <c r="AS15" i="4" s="1"/>
  <c r="AV291" i="4"/>
  <c r="AZ430" i="4"/>
  <c r="AZ433" i="4" s="1"/>
  <c r="AZ434" i="4" s="1"/>
  <c r="AZ49" i="4" s="1"/>
  <c r="AZ291" i="4"/>
  <c r="BA430" i="4"/>
  <c r="BA433" i="4" s="1"/>
  <c r="BA434" i="4" s="1"/>
  <c r="BA49" i="4" s="1"/>
  <c r="AQ17" i="4"/>
  <c r="AU428" i="4"/>
  <c r="AY430" i="4"/>
  <c r="AY433" i="4" s="1"/>
  <c r="AY434" i="4" s="1"/>
  <c r="AY49" i="4" s="1"/>
  <c r="BA23" i="4"/>
  <c r="BA425" i="4"/>
  <c r="AZ43" i="4"/>
  <c r="AZ45" i="4" s="1"/>
  <c r="AZ191" i="4"/>
  <c r="AZ249" i="4" s="1"/>
  <c r="AX291" i="4"/>
  <c r="AV325" i="4"/>
  <c r="AV15" i="4" s="1"/>
  <c r="AW325" i="4"/>
  <c r="AW15" i="4" s="1"/>
  <c r="AY45" i="4"/>
  <c r="AY191" i="4"/>
  <c r="AY249" i="4" s="1"/>
  <c r="AR17" i="4"/>
  <c r="AU430" i="4"/>
  <c r="AU433" i="4" s="1"/>
  <c r="AU434" i="4" s="1"/>
  <c r="AU49" i="4" s="1"/>
  <c r="AY325" i="4"/>
  <c r="AT291" i="4"/>
  <c r="AU291" i="4"/>
  <c r="AW433" i="4"/>
  <c r="AW434" i="4" s="1"/>
  <c r="AW49" i="4" s="1"/>
  <c r="AW12" i="4"/>
  <c r="AW291" i="4"/>
  <c r="AT17" i="4"/>
  <c r="AQ291" i="4"/>
  <c r="AX191" i="4"/>
  <c r="AX249" i="4" s="1"/>
  <c r="AX43" i="4"/>
  <c r="AX45" i="4" s="1"/>
  <c r="AX17" i="4"/>
  <c r="AV433" i="4"/>
  <c r="AV434" i="4" s="1"/>
  <c r="AV49" i="4" s="1"/>
  <c r="AW191" i="4"/>
  <c r="AW249" i="4" s="1"/>
  <c r="AW43" i="4"/>
  <c r="AW45" i="4" s="1"/>
  <c r="AV425" i="4"/>
  <c r="AR12" i="4"/>
  <c r="AP291" i="4"/>
  <c r="AR325" i="4"/>
  <c r="AR15" i="4" s="1"/>
  <c r="AU23" i="4"/>
  <c r="AU30" i="4" s="1"/>
  <c r="AU39" i="4" s="1"/>
  <c r="AU41" i="4" s="1"/>
  <c r="AX433" i="4"/>
  <c r="AX434" i="4" s="1"/>
  <c r="AX49" i="4" s="1"/>
  <c r="AV191" i="4"/>
  <c r="AV249" i="4" s="1"/>
  <c r="AV43" i="4"/>
  <c r="AV45" i="4" s="1"/>
  <c r="AU425" i="4"/>
  <c r="AU43" i="4"/>
  <c r="AU45" i="4" s="1"/>
  <c r="AU191" i="4"/>
  <c r="AU249" i="4" s="1"/>
  <c r="AM430" i="4"/>
  <c r="AM433" i="4" s="1"/>
  <c r="AM434" i="4" s="1"/>
  <c r="AM49" i="4" s="1"/>
  <c r="AP12" i="4"/>
  <c r="AS291" i="4"/>
  <c r="AR291" i="4"/>
  <c r="Z291" i="4"/>
  <c r="AL430" i="4"/>
  <c r="AL433" i="4" s="1"/>
  <c r="AL434" i="4" s="1"/>
  <c r="AL49" i="4" s="1"/>
  <c r="AO291" i="4"/>
  <c r="AR433" i="4"/>
  <c r="AR434" i="4" s="1"/>
  <c r="AR49" i="4" s="1"/>
  <c r="AT428" i="4"/>
  <c r="AT433" i="4" s="1"/>
  <c r="AT434" i="4" s="1"/>
  <c r="AT49" i="4" s="1"/>
  <c r="AS430" i="4"/>
  <c r="AS433" i="4" s="1"/>
  <c r="AS434" i="4" s="1"/>
  <c r="AS49" i="4" s="1"/>
  <c r="AT15" i="4"/>
  <c r="AT425" i="4"/>
  <c r="AS191" i="4"/>
  <c r="AS249" i="4" s="1"/>
  <c r="AS43" i="4"/>
  <c r="AS45" i="4" s="1"/>
  <c r="AQ325" i="4"/>
  <c r="AQ433" i="4"/>
  <c r="AQ434" i="4" s="1"/>
  <c r="AQ49" i="4" s="1"/>
  <c r="AQ191" i="4"/>
  <c r="AQ249" i="4" s="1"/>
  <c r="AS17" i="4"/>
  <c r="AN45" i="4"/>
  <c r="AT43" i="4"/>
  <c r="AT45" i="4" s="1"/>
  <c r="AT191" i="4"/>
  <c r="AT249" i="4" s="1"/>
  <c r="AR43" i="4"/>
  <c r="AR45" i="4" s="1"/>
  <c r="AR191" i="4"/>
  <c r="AR249" i="4" s="1"/>
  <c r="AQ45" i="4"/>
  <c r="AQ53" i="4" s="1"/>
  <c r="AO17" i="4"/>
  <c r="AP430" i="4"/>
  <c r="AP433" i="4" s="1"/>
  <c r="AP434" i="4" s="1"/>
  <c r="AP49" i="4" s="1"/>
  <c r="AP191" i="4"/>
  <c r="AP249" i="4" s="1"/>
  <c r="AP43" i="4"/>
  <c r="AP45" i="4" s="1"/>
  <c r="X17" i="4"/>
  <c r="AP325" i="4"/>
  <c r="AP15" i="4" s="1"/>
  <c r="AP23" i="4" s="1"/>
  <c r="AM291" i="4"/>
  <c r="AK12" i="4"/>
  <c r="AO12" i="4"/>
  <c r="AK291" i="4"/>
  <c r="AJ17" i="4"/>
  <c r="AL12" i="4"/>
  <c r="AO191" i="4"/>
  <c r="AO249" i="4" s="1"/>
  <c r="AO43" i="4"/>
  <c r="AO45" i="4" s="1"/>
  <c r="AH17" i="4"/>
  <c r="AJ325" i="4"/>
  <c r="AJ15" i="4" s="1"/>
  <c r="AL291" i="4"/>
  <c r="AM325" i="4"/>
  <c r="AM15" i="4" s="1"/>
  <c r="AM23" i="4" s="1"/>
  <c r="AD430" i="4"/>
  <c r="AD433" i="4" s="1"/>
  <c r="AD434" i="4" s="1"/>
  <c r="AD49" i="4" s="1"/>
  <c r="AI291" i="4"/>
  <c r="AK430" i="4"/>
  <c r="AN191" i="4"/>
  <c r="AN249" i="4" s="1"/>
  <c r="AM45" i="4"/>
  <c r="AF12" i="4"/>
  <c r="AK433" i="4"/>
  <c r="AK434" i="4" s="1"/>
  <c r="AK49" i="4" s="1"/>
  <c r="AF17" i="4"/>
  <c r="AN325" i="4"/>
  <c r="AN15" i="4" s="1"/>
  <c r="AF291" i="4"/>
  <c r="AO325" i="4"/>
  <c r="AL325" i="4"/>
  <c r="AN291" i="4"/>
  <c r="AL43" i="4"/>
  <c r="AL45" i="4" s="1"/>
  <c r="AL191" i="4"/>
  <c r="AL249" i="4" s="1"/>
  <c r="AE43" i="4"/>
  <c r="AE45" i="4" s="1"/>
  <c r="AE191" i="4"/>
  <c r="AE249" i="4" s="1"/>
  <c r="AJ43" i="4"/>
  <c r="AJ45" i="4" s="1"/>
  <c r="AJ191" i="4"/>
  <c r="AJ249" i="4" s="1"/>
  <c r="AI325" i="4"/>
  <c r="AI15" i="4" s="1"/>
  <c r="AJ291" i="4"/>
  <c r="AK325" i="4"/>
  <c r="AK15" i="4" s="1"/>
  <c r="AK23" i="4" s="1"/>
  <c r="AN17" i="4"/>
  <c r="AF325" i="4"/>
  <c r="AF15" i="4" s="1"/>
  <c r="AF23" i="4" s="1"/>
  <c r="AM191" i="4"/>
  <c r="AM249" i="4" s="1"/>
  <c r="AN433" i="4"/>
  <c r="AN434" i="4" s="1"/>
  <c r="AN49" i="4" s="1"/>
  <c r="AO433" i="4"/>
  <c r="AO434" i="4" s="1"/>
  <c r="AO49" i="4" s="1"/>
  <c r="AM34" i="4"/>
  <c r="AK43" i="4"/>
  <c r="AK45" i="4" s="1"/>
  <c r="AK191" i="4"/>
  <c r="AK249" i="4" s="1"/>
  <c r="AJ433" i="4"/>
  <c r="AJ434" i="4" s="1"/>
  <c r="AJ49" i="4" s="1"/>
  <c r="AH325" i="4"/>
  <c r="AH15" i="4" s="1"/>
  <c r="AH12" i="4"/>
  <c r="AH433" i="4"/>
  <c r="AH434" i="4" s="1"/>
  <c r="AH49" i="4" s="1"/>
  <c r="AG291" i="4"/>
  <c r="AG17" i="4"/>
  <c r="AF45" i="4"/>
  <c r="AF432" i="4"/>
  <c r="AF433" i="4" s="1"/>
  <c r="AF434" i="4" s="1"/>
  <c r="AF49" i="4" s="1"/>
  <c r="AD325" i="4"/>
  <c r="AD15" i="4" s="1"/>
  <c r="AD23" i="4" s="1"/>
  <c r="AE17" i="4"/>
  <c r="AI17" i="4"/>
  <c r="AG325" i="4"/>
  <c r="AG15" i="4" s="1"/>
  <c r="Y45" i="4"/>
  <c r="AD291" i="4"/>
  <c r="AH291" i="4"/>
  <c r="AE325" i="4"/>
  <c r="AE15" i="4" s="1"/>
  <c r="AF191" i="4"/>
  <c r="AF249" i="4" s="1"/>
  <c r="AE433" i="4"/>
  <c r="AE434" i="4" s="1"/>
  <c r="AE49" i="4" s="1"/>
  <c r="AH43" i="4"/>
  <c r="AH45" i="4" s="1"/>
  <c r="AH191" i="4"/>
  <c r="AH249" i="4" s="1"/>
  <c r="AG43" i="4"/>
  <c r="AG45" i="4" s="1"/>
  <c r="AG191" i="4"/>
  <c r="AG249" i="4" s="1"/>
  <c r="AI43" i="4"/>
  <c r="AI45" i="4" s="1"/>
  <c r="AI191" i="4"/>
  <c r="AI249" i="4" s="1"/>
  <c r="AE291" i="4"/>
  <c r="AG433" i="4"/>
  <c r="AG434" i="4" s="1"/>
  <c r="AG49" i="4" s="1"/>
  <c r="AI433" i="4"/>
  <c r="AI434" i="4" s="1"/>
  <c r="AI49" i="4" s="1"/>
  <c r="Y17" i="4"/>
  <c r="AD191" i="4"/>
  <c r="AD249" i="4" s="1"/>
  <c r="AD43" i="4"/>
  <c r="AD45" i="4" s="1"/>
  <c r="AB12" i="4"/>
  <c r="W325" i="4"/>
  <c r="W15" i="4" s="1"/>
  <c r="W23" i="4" s="1"/>
  <c r="Q325" i="4"/>
  <c r="Q15" i="4" s="1"/>
  <c r="AC17" i="4"/>
  <c r="M430" i="4"/>
  <c r="S17" i="4"/>
  <c r="S23" i="4" s="1"/>
  <c r="V291" i="4"/>
  <c r="S428" i="4"/>
  <c r="S433" i="4" s="1"/>
  <c r="S434" i="4" s="1"/>
  <c r="S49" i="4" s="1"/>
  <c r="J291" i="4"/>
  <c r="X325" i="4"/>
  <c r="X15" i="4" s="1"/>
  <c r="F17" i="4"/>
  <c r="AB428" i="4"/>
  <c r="N325" i="4"/>
  <c r="N15" i="4" s="1"/>
  <c r="N12" i="4"/>
  <c r="N291" i="4"/>
  <c r="AC325" i="4"/>
  <c r="AC15" i="4" s="1"/>
  <c r="AC23" i="4" s="1"/>
  <c r="R325" i="4"/>
  <c r="R15" i="4" s="1"/>
  <c r="R23" i="4" s="1"/>
  <c r="V430" i="4"/>
  <c r="V433" i="4" s="1"/>
  <c r="V434" i="4" s="1"/>
  <c r="V49" i="4" s="1"/>
  <c r="L17" i="4"/>
  <c r="U430" i="4"/>
  <c r="U433" i="4" s="1"/>
  <c r="U434" i="4" s="1"/>
  <c r="U49" i="4" s="1"/>
  <c r="P291" i="4"/>
  <c r="U291" i="4"/>
  <c r="AB291" i="4"/>
  <c r="W433" i="4"/>
  <c r="W434" i="4" s="1"/>
  <c r="W49" i="4" s="1"/>
  <c r="AC433" i="4"/>
  <c r="AC434" i="4" s="1"/>
  <c r="AC49" i="4" s="1"/>
  <c r="U325" i="4"/>
  <c r="U15" i="4" s="1"/>
  <c r="U23" i="4" s="1"/>
  <c r="AA428" i="4"/>
  <c r="AA433" i="4" s="1"/>
  <c r="AA434" i="4" s="1"/>
  <c r="AA49" i="4" s="1"/>
  <c r="U45" i="4"/>
  <c r="AC43" i="4"/>
  <c r="AC45" i="4" s="1"/>
  <c r="AC191" i="4"/>
  <c r="AC249" i="4" s="1"/>
  <c r="AA17" i="4"/>
  <c r="AA23" i="4" s="1"/>
  <c r="V325" i="4"/>
  <c r="V15" i="4" s="1"/>
  <c r="V23" i="4" s="1"/>
  <c r="AA12" i="4"/>
  <c r="G430" i="4"/>
  <c r="G433" i="4" s="1"/>
  <c r="G434" i="4" s="1"/>
  <c r="G49" i="4" s="1"/>
  <c r="P430" i="4"/>
  <c r="P433" i="4" s="1"/>
  <c r="P434" i="4" s="1"/>
  <c r="P49" i="4" s="1"/>
  <c r="U191" i="4"/>
  <c r="U249" i="4" s="1"/>
  <c r="Y325" i="4"/>
  <c r="Y15" i="4" s="1"/>
  <c r="AB425" i="4"/>
  <c r="AC12" i="4"/>
  <c r="AB43" i="4"/>
  <c r="AB45" i="4" s="1"/>
  <c r="AB191" i="4"/>
  <c r="AB249" i="4" s="1"/>
  <c r="R430" i="4"/>
  <c r="R433" i="4" s="1"/>
  <c r="R434" i="4" s="1"/>
  <c r="R49" i="4" s="1"/>
  <c r="T325" i="4"/>
  <c r="T15" i="4" s="1"/>
  <c r="AB17" i="4"/>
  <c r="AB23" i="4" s="1"/>
  <c r="Y191" i="4"/>
  <c r="Y249" i="4" s="1"/>
  <c r="X433" i="4"/>
  <c r="X434" i="4" s="1"/>
  <c r="X49" i="4" s="1"/>
  <c r="Y433" i="4"/>
  <c r="Y434" i="4" s="1"/>
  <c r="Y49" i="4" s="1"/>
  <c r="AA191" i="4"/>
  <c r="AA249" i="4" s="1"/>
  <c r="AA43" i="4"/>
  <c r="AA45" i="4" s="1"/>
  <c r="V43" i="4"/>
  <c r="V45" i="4" s="1"/>
  <c r="V191" i="4"/>
  <c r="V249" i="4" s="1"/>
  <c r="P325" i="4"/>
  <c r="P15" i="4" s="1"/>
  <c r="P23" i="4" s="1"/>
  <c r="N17" i="4"/>
  <c r="O430" i="4"/>
  <c r="O433" i="4" s="1"/>
  <c r="O434" i="4" s="1"/>
  <c r="O49" i="4" s="1"/>
  <c r="Q17" i="4"/>
  <c r="L291" i="4"/>
  <c r="T433" i="4"/>
  <c r="T434" i="4" s="1"/>
  <c r="T49" i="4" s="1"/>
  <c r="Z433" i="4"/>
  <c r="Z434" i="4" s="1"/>
  <c r="Z49" i="4" s="1"/>
  <c r="F291" i="4"/>
  <c r="Q291" i="4"/>
  <c r="Z325" i="4"/>
  <c r="Z15" i="4" s="1"/>
  <c r="AA291" i="4"/>
  <c r="AA425" i="4"/>
  <c r="AB433" i="4"/>
  <c r="AB434" i="4" s="1"/>
  <c r="AB49" i="4" s="1"/>
  <c r="X43" i="4"/>
  <c r="X45" i="4" s="1"/>
  <c r="X191" i="4"/>
  <c r="X249" i="4" s="1"/>
  <c r="W191" i="4"/>
  <c r="W249" i="4" s="1"/>
  <c r="W43" i="4"/>
  <c r="W45" i="4" s="1"/>
  <c r="Z191" i="4"/>
  <c r="Z249" i="4" s="1"/>
  <c r="Z43" i="4"/>
  <c r="Z45" i="4" s="1"/>
  <c r="S43" i="4"/>
  <c r="S45" i="4" s="1"/>
  <c r="S191" i="4"/>
  <c r="S249" i="4" s="1"/>
  <c r="T17" i="4"/>
  <c r="I291" i="4"/>
  <c r="L325" i="4"/>
  <c r="L15" i="4" s="1"/>
  <c r="R45" i="4"/>
  <c r="H325" i="4"/>
  <c r="H15" i="4" s="1"/>
  <c r="H23" i="4" s="1"/>
  <c r="M428" i="4"/>
  <c r="R291" i="4"/>
  <c r="L433" i="4"/>
  <c r="L434" i="4" s="1"/>
  <c r="L49" i="4" s="1"/>
  <c r="P45" i="4"/>
  <c r="O12" i="4"/>
  <c r="Q43" i="4"/>
  <c r="Q45" i="4" s="1"/>
  <c r="Q191" i="4"/>
  <c r="Q249" i="4" s="1"/>
  <c r="Q433" i="4"/>
  <c r="Q434" i="4" s="1"/>
  <c r="Q49" i="4" s="1"/>
  <c r="T291" i="4"/>
  <c r="G325" i="4"/>
  <c r="G15" i="4" s="1"/>
  <c r="G23" i="4" s="1"/>
  <c r="K291" i="4"/>
  <c r="E291" i="4"/>
  <c r="O325" i="4"/>
  <c r="O15" i="4" s="1"/>
  <c r="O23" i="4" s="1"/>
  <c r="R191" i="4"/>
  <c r="R249" i="4" s="1"/>
  <c r="S291" i="4"/>
  <c r="N191" i="4"/>
  <c r="N249" i="4" s="1"/>
  <c r="N43" i="4"/>
  <c r="N45" i="4" s="1"/>
  <c r="T191" i="4"/>
  <c r="T249" i="4" s="1"/>
  <c r="T43" i="4"/>
  <c r="T45" i="4" s="1"/>
  <c r="L43" i="4"/>
  <c r="L45" i="4" s="1"/>
  <c r="L191" i="4"/>
  <c r="L249" i="4" s="1"/>
  <c r="M15" i="4"/>
  <c r="M23" i="4" s="1"/>
  <c r="M425" i="4"/>
  <c r="D291" i="4"/>
  <c r="P191" i="4"/>
  <c r="P249" i="4" s="1"/>
  <c r="K325" i="4"/>
  <c r="K15" i="4" s="1"/>
  <c r="K23" i="4" s="1"/>
  <c r="S425" i="4"/>
  <c r="O291" i="4"/>
  <c r="O43" i="4"/>
  <c r="O45" i="4" s="1"/>
  <c r="O191" i="4"/>
  <c r="O249" i="4" s="1"/>
  <c r="N433" i="4"/>
  <c r="N434" i="4" s="1"/>
  <c r="N49" i="4" s="1"/>
  <c r="M43" i="4"/>
  <c r="M45" i="4" s="1"/>
  <c r="M191" i="4"/>
  <c r="M249" i="4" s="1"/>
  <c r="E325" i="4"/>
  <c r="E15" i="4" s="1"/>
  <c r="I428" i="4"/>
  <c r="G45" i="4"/>
  <c r="E17" i="4"/>
  <c r="G291" i="4"/>
  <c r="J430" i="4"/>
  <c r="J433" i="4" s="1"/>
  <c r="J434" i="4" s="1"/>
  <c r="J49" i="4" s="1"/>
  <c r="D17" i="4"/>
  <c r="G191" i="4"/>
  <c r="G249" i="4" s="1"/>
  <c r="K430" i="4"/>
  <c r="K433" i="4" s="1"/>
  <c r="K434" i="4" s="1"/>
  <c r="K49" i="4" s="1"/>
  <c r="K191" i="4"/>
  <c r="K249" i="4" s="1"/>
  <c r="D325" i="4"/>
  <c r="D15" i="4" s="1"/>
  <c r="H291" i="4"/>
  <c r="J325" i="4"/>
  <c r="J15" i="4" s="1"/>
  <c r="J23" i="4" s="1"/>
  <c r="J191" i="4"/>
  <c r="J249" i="4" s="1"/>
  <c r="J43" i="4"/>
  <c r="J45" i="4" s="1"/>
  <c r="I15" i="4"/>
  <c r="I23" i="4" s="1"/>
  <c r="I425" i="4"/>
  <c r="E43" i="4"/>
  <c r="E45" i="4" s="1"/>
  <c r="E191" i="4"/>
  <c r="E249" i="4" s="1"/>
  <c r="H430" i="4"/>
  <c r="H433" i="4" s="1"/>
  <c r="H434" i="4" s="1"/>
  <c r="H49" i="4" s="1"/>
  <c r="I430" i="4"/>
  <c r="F325" i="4"/>
  <c r="F15" i="4" s="1"/>
  <c r="K45" i="4"/>
  <c r="I43" i="4"/>
  <c r="I45" i="4" s="1"/>
  <c r="I191" i="4"/>
  <c r="I249" i="4" s="1"/>
  <c r="H43" i="4"/>
  <c r="H45" i="4" s="1"/>
  <c r="H191" i="4"/>
  <c r="H249" i="4" s="1"/>
  <c r="F433" i="4"/>
  <c r="F434" i="4" s="1"/>
  <c r="F49" i="4" s="1"/>
  <c r="F43" i="4"/>
  <c r="F45" i="4" s="1"/>
  <c r="F191" i="4"/>
  <c r="F249" i="4" s="1"/>
  <c r="D433" i="4"/>
  <c r="D434" i="4" s="1"/>
  <c r="D49" i="4" s="1"/>
  <c r="D43" i="4"/>
  <c r="D191" i="4"/>
  <c r="D249" i="4" s="1"/>
  <c r="E433" i="4"/>
  <c r="E434" i="4" s="1"/>
  <c r="E49" i="4" s="1"/>
  <c r="AV53" i="4" l="1"/>
  <c r="AX425" i="4"/>
  <c r="AZ53" i="4"/>
  <c r="Z23" i="4"/>
  <c r="AR23" i="4"/>
  <c r="AW23" i="4"/>
  <c r="AZ425" i="4"/>
  <c r="AZ498" i="4" s="1"/>
  <c r="AZ501" i="4" s="1"/>
  <c r="AV23" i="4"/>
  <c r="AS23" i="4"/>
  <c r="AX23" i="4"/>
  <c r="AW425" i="4"/>
  <c r="BA53" i="4"/>
  <c r="AS425" i="4"/>
  <c r="AN53" i="4"/>
  <c r="AY53" i="4"/>
  <c r="AR53" i="4"/>
  <c r="AT23" i="4"/>
  <c r="AY15" i="4"/>
  <c r="AY23" i="4" s="1"/>
  <c r="AY425" i="4"/>
  <c r="AW53" i="4"/>
  <c r="AU53" i="4"/>
  <c r="AX53" i="4"/>
  <c r="AJ34" i="4"/>
  <c r="AR425" i="4"/>
  <c r="AL53" i="4"/>
  <c r="AS53" i="4"/>
  <c r="AM425" i="4"/>
  <c r="AJ23" i="4"/>
  <c r="AO53" i="4"/>
  <c r="AK425" i="4"/>
  <c r="AN23" i="4"/>
  <c r="AJ53" i="4"/>
  <c r="AT53" i="4"/>
  <c r="AM53" i="4"/>
  <c r="AP425" i="4"/>
  <c r="AQ15" i="4"/>
  <c r="AQ23" i="4" s="1"/>
  <c r="AQ425" i="4"/>
  <c r="X23" i="4"/>
  <c r="AP53" i="4"/>
  <c r="AI23" i="4"/>
  <c r="AK53" i="4"/>
  <c r="AK34" i="4"/>
  <c r="AH23" i="4"/>
  <c r="AG425" i="4"/>
  <c r="AN425" i="4"/>
  <c r="AF425" i="4"/>
  <c r="AJ425" i="4"/>
  <c r="AH53" i="4"/>
  <c r="AL15" i="4"/>
  <c r="AL23" i="4" s="1"/>
  <c r="AL425" i="4"/>
  <c r="AO15" i="4"/>
  <c r="AO23" i="4" s="1"/>
  <c r="AO425" i="4"/>
  <c r="Y23" i="4"/>
  <c r="AI425" i="4"/>
  <c r="AH425" i="4"/>
  <c r="AG23" i="4"/>
  <c r="AF53" i="4"/>
  <c r="AE425" i="4"/>
  <c r="AD425" i="4"/>
  <c r="Y53" i="4"/>
  <c r="AE23" i="4"/>
  <c r="AE53" i="4"/>
  <c r="AG53" i="4"/>
  <c r="W425" i="4"/>
  <c r="AI53" i="4"/>
  <c r="AD53" i="4"/>
  <c r="Q425" i="4"/>
  <c r="L23" i="4"/>
  <c r="AC53" i="4"/>
  <c r="J34" i="4"/>
  <c r="Q23" i="4"/>
  <c r="W53" i="4"/>
  <c r="N425" i="4"/>
  <c r="V425" i="4"/>
  <c r="M433" i="4"/>
  <c r="M434" i="4" s="1"/>
  <c r="M49" i="4" s="1"/>
  <c r="M53" i="4" s="1"/>
  <c r="AB53" i="4"/>
  <c r="N23" i="4"/>
  <c r="X53" i="4"/>
  <c r="R425" i="4"/>
  <c r="X425" i="4"/>
  <c r="AC425" i="4"/>
  <c r="F23" i="4"/>
  <c r="Y425" i="4"/>
  <c r="U53" i="4"/>
  <c r="L425" i="4"/>
  <c r="Q53" i="4"/>
  <c r="T23" i="4"/>
  <c r="T425" i="4"/>
  <c r="O425" i="4"/>
  <c r="U425" i="4"/>
  <c r="R53" i="4"/>
  <c r="P425" i="4"/>
  <c r="H425" i="4"/>
  <c r="V53" i="4"/>
  <c r="Z53" i="4"/>
  <c r="P53" i="4"/>
  <c r="T53" i="4"/>
  <c r="Z425" i="4"/>
  <c r="K425" i="4"/>
  <c r="E23" i="4"/>
  <c r="S53" i="4"/>
  <c r="L53" i="4"/>
  <c r="AA53" i="4"/>
  <c r="AA34" i="4"/>
  <c r="Y34" i="4"/>
  <c r="D23" i="4"/>
  <c r="G425" i="4"/>
  <c r="E425" i="4"/>
  <c r="Q34" i="4"/>
  <c r="G53" i="4"/>
  <c r="O53" i="4"/>
  <c r="I433" i="4"/>
  <c r="I434" i="4" s="1"/>
  <c r="I49" i="4" s="1"/>
  <c r="I53" i="4" s="1"/>
  <c r="N53" i="4"/>
  <c r="J53" i="4"/>
  <c r="K53" i="4"/>
  <c r="J425" i="4"/>
  <c r="F53" i="4"/>
  <c r="D425" i="4"/>
  <c r="D45" i="4"/>
  <c r="F425" i="4"/>
  <c r="H53" i="4"/>
  <c r="E53" i="4"/>
  <c r="AZ34" i="4" l="1"/>
  <c r="AZ37" i="4" s="1"/>
  <c r="AZ39" i="4" s="1"/>
  <c r="AZ41" i="4" s="1"/>
  <c r="X34" i="4"/>
  <c r="Z34" i="4"/>
  <c r="D53" i="4"/>
  <c r="C462" i="4" l="1"/>
  <c r="C421" i="4"/>
  <c r="C343" i="1"/>
  <c r="C342" i="1"/>
  <c r="E343" i="1"/>
  <c r="H505" i="1" l="1"/>
  <c r="H506" i="1"/>
  <c r="E505" i="1"/>
  <c r="E506" i="1"/>
  <c r="D504" i="1"/>
  <c r="H494" i="1"/>
  <c r="H495" i="1"/>
  <c r="H496" i="1"/>
  <c r="D502" i="1"/>
  <c r="C34" i="5"/>
  <c r="H348" i="1"/>
  <c r="H349" i="1"/>
  <c r="H350" i="1"/>
  <c r="C350" i="1"/>
  <c r="D350" i="1" s="1"/>
  <c r="C347" i="1"/>
  <c r="C348" i="1"/>
  <c r="H299" i="1"/>
  <c r="H297" i="1"/>
  <c r="I297" i="1" s="1"/>
  <c r="BB287" i="4"/>
  <c r="BC287" i="4"/>
  <c r="BD287" i="4"/>
  <c r="D293" i="1"/>
  <c r="D297" i="1"/>
  <c r="E297" i="1" s="1"/>
  <c r="F297" i="1" s="1"/>
  <c r="E350" i="1" l="1"/>
  <c r="C505" i="4"/>
  <c r="BE496" i="4" s="1"/>
  <c r="C496" i="1"/>
  <c r="E496" i="1" s="1"/>
  <c r="C495" i="1"/>
  <c r="E495" i="1" s="1"/>
  <c r="C494" i="1"/>
  <c r="E494" i="1" s="1"/>
  <c r="C493" i="1"/>
  <c r="C431" i="1"/>
  <c r="H239" i="1"/>
  <c r="C239" i="1"/>
  <c r="E239" i="1" s="1"/>
  <c r="D267" i="1"/>
  <c r="BE497" i="4" l="1"/>
  <c r="BE33" i="4" s="1"/>
  <c r="BE37" i="4" s="1"/>
  <c r="BE501" i="4"/>
  <c r="BE27" i="4"/>
  <c r="BE30" i="4" s="1"/>
  <c r="K496" i="4"/>
  <c r="K497" i="4" s="1"/>
  <c r="P496" i="4"/>
  <c r="P497" i="4" s="1"/>
  <c r="AD496" i="4"/>
  <c r="AD497" i="4" s="1"/>
  <c r="R496" i="4"/>
  <c r="R497" i="4" s="1"/>
  <c r="G496" i="4"/>
  <c r="G497" i="4" s="1"/>
  <c r="M496" i="4"/>
  <c r="M497" i="4" s="1"/>
  <c r="W496" i="4"/>
  <c r="W497" i="4" s="1"/>
  <c r="O496" i="4"/>
  <c r="O497" i="4" s="1"/>
  <c r="AF496" i="4"/>
  <c r="AF497" i="4" s="1"/>
  <c r="AC496" i="4"/>
  <c r="AC497" i="4" s="1"/>
  <c r="AR496" i="4"/>
  <c r="AR497" i="4" s="1"/>
  <c r="AB496" i="4"/>
  <c r="AB497" i="4" s="1"/>
  <c r="S496" i="4"/>
  <c r="S497" i="4" s="1"/>
  <c r="I496" i="4"/>
  <c r="I497" i="4" s="1"/>
  <c r="H496" i="4"/>
  <c r="H497" i="4" s="1"/>
  <c r="AK496" i="4"/>
  <c r="J496" i="4"/>
  <c r="AA496" i="4"/>
  <c r="U496" i="4"/>
  <c r="U497" i="4" s="1"/>
  <c r="V496" i="4"/>
  <c r="V497" i="4" s="1"/>
  <c r="AH496" i="4"/>
  <c r="AH497" i="4" s="1"/>
  <c r="AP496" i="4"/>
  <c r="AP497" i="4" s="1"/>
  <c r="T496" i="4"/>
  <c r="T497" i="4" s="1"/>
  <c r="AO496" i="4"/>
  <c r="AO497" i="4" s="1"/>
  <c r="AX496" i="4"/>
  <c r="AX497" i="4" s="1"/>
  <c r="AI496" i="4"/>
  <c r="AI497" i="4" s="1"/>
  <c r="AT496" i="4"/>
  <c r="AT497" i="4" s="1"/>
  <c r="Y496" i="4"/>
  <c r="Z496" i="4"/>
  <c r="AW497" i="4"/>
  <c r="AW33" i="4" s="1"/>
  <c r="AW37" i="4" s="1"/>
  <c r="AQ496" i="4"/>
  <c r="AQ497" i="4" s="1"/>
  <c r="AS496" i="4"/>
  <c r="AS497" i="4" s="1"/>
  <c r="L496" i="4"/>
  <c r="L497" i="4" s="1"/>
  <c r="AN496" i="4"/>
  <c r="AN497" i="4" s="1"/>
  <c r="E496" i="4"/>
  <c r="E497" i="4" s="1"/>
  <c r="AL496" i="4"/>
  <c r="Q496" i="4"/>
  <c r="AE496" i="4"/>
  <c r="AE497" i="4" s="1"/>
  <c r="X496" i="4"/>
  <c r="AV496" i="4"/>
  <c r="AV497" i="4" s="1"/>
  <c r="N496" i="4"/>
  <c r="N497" i="4" s="1"/>
  <c r="AG496" i="4"/>
  <c r="AG497" i="4" s="1"/>
  <c r="D496" i="4"/>
  <c r="D497" i="4" s="1"/>
  <c r="F496" i="4"/>
  <c r="F497" i="4" s="1"/>
  <c r="BA496" i="4"/>
  <c r="BA27" i="4" s="1"/>
  <c r="BA30" i="4" s="1"/>
  <c r="AY496" i="4"/>
  <c r="AW27" i="4" l="1"/>
  <c r="AW30" i="4" s="1"/>
  <c r="AW39" i="4" s="1"/>
  <c r="AW41" i="4" s="1"/>
  <c r="BE39" i="4"/>
  <c r="BE41" i="4" s="1"/>
  <c r="X497" i="4"/>
  <c r="X33" i="4" s="1"/>
  <c r="X37" i="4" s="1"/>
  <c r="X39" i="4" s="1"/>
  <c r="X41" i="4" s="1"/>
  <c r="X27" i="4"/>
  <c r="X30" i="4" s="1"/>
  <c r="X501" i="4"/>
  <c r="AP27" i="4"/>
  <c r="AP30" i="4" s="1"/>
  <c r="BA497" i="4"/>
  <c r="BA33" i="4" s="1"/>
  <c r="BA37" i="4" s="1"/>
  <c r="Q497" i="4"/>
  <c r="Q33" i="4" s="1"/>
  <c r="Q37" i="4" s="1"/>
  <c r="Q27" i="4"/>
  <c r="Q30" i="4" s="1"/>
  <c r="Q39" i="4" s="1"/>
  <c r="Q41" i="4" s="1"/>
  <c r="Q501" i="4"/>
  <c r="Z497" i="4"/>
  <c r="Z33" i="4" s="1"/>
  <c r="Z37" i="4" s="1"/>
  <c r="Z39" i="4" s="1"/>
  <c r="Z41" i="4" s="1"/>
  <c r="Z27" i="4"/>
  <c r="Z30" i="4" s="1"/>
  <c r="AA497" i="4"/>
  <c r="AA33" i="4" s="1"/>
  <c r="AA37" i="4" s="1"/>
  <c r="AA27" i="4"/>
  <c r="AA30" i="4" s="1"/>
  <c r="AK497" i="4"/>
  <c r="AK33" i="4" s="1"/>
  <c r="AK37" i="4" s="1"/>
  <c r="AK27" i="4"/>
  <c r="AK30" i="4" s="1"/>
  <c r="AW501" i="4"/>
  <c r="AL497" i="4"/>
  <c r="AL33" i="4" s="1"/>
  <c r="AL37" i="4" s="1"/>
  <c r="AL27" i="4"/>
  <c r="AL30" i="4" s="1"/>
  <c r="Y497" i="4"/>
  <c r="Y33" i="4" s="1"/>
  <c r="Y37" i="4" s="1"/>
  <c r="Y27" i="4"/>
  <c r="Y30" i="4" s="1"/>
  <c r="Y501" i="4"/>
  <c r="J497" i="4"/>
  <c r="J33" i="4" s="1"/>
  <c r="J37" i="4" s="1"/>
  <c r="J27" i="4"/>
  <c r="J30" i="4" s="1"/>
  <c r="AX33" i="4"/>
  <c r="AX37" i="4" s="1"/>
  <c r="AX27" i="4"/>
  <c r="AX30" i="4" s="1"/>
  <c r="AX501" i="4"/>
  <c r="W33" i="4"/>
  <c r="W37" i="4" s="1"/>
  <c r="W27" i="4"/>
  <c r="W30" i="4" s="1"/>
  <c r="BA501" i="4"/>
  <c r="AV33" i="4"/>
  <c r="AV37" i="4" s="1"/>
  <c r="AV27" i="4"/>
  <c r="AV30" i="4" s="1"/>
  <c r="BA39" i="4"/>
  <c r="BA41" i="4" s="1"/>
  <c r="AY27" i="4"/>
  <c r="AY30" i="4" s="1"/>
  <c r="AY497" i="4"/>
  <c r="AY33" i="4" s="1"/>
  <c r="AY37" i="4" s="1"/>
  <c r="AP33" i="4"/>
  <c r="AP37" i="4" s="1"/>
  <c r="AT33" i="4"/>
  <c r="AT37" i="4" s="1"/>
  <c r="AT27" i="4"/>
  <c r="AT30" i="4" s="1"/>
  <c r="AS33" i="4"/>
  <c r="AS37" i="4" s="1"/>
  <c r="AS27" i="4"/>
  <c r="AS30" i="4" s="1"/>
  <c r="AR27" i="4"/>
  <c r="AR30" i="4" s="1"/>
  <c r="AR33" i="4"/>
  <c r="AR37" i="4" s="1"/>
  <c r="AQ33" i="4"/>
  <c r="AQ37" i="4" s="1"/>
  <c r="AQ27" i="4"/>
  <c r="AQ30" i="4" s="1"/>
  <c r="AN27" i="4"/>
  <c r="AN30" i="4" s="1"/>
  <c r="AN33" i="4"/>
  <c r="AN37" i="4" s="1"/>
  <c r="AO33" i="4"/>
  <c r="AO37" i="4" s="1"/>
  <c r="AO27" i="4"/>
  <c r="AO30" i="4" s="1"/>
  <c r="AE27" i="4"/>
  <c r="AE30" i="4" s="1"/>
  <c r="AE33" i="4"/>
  <c r="AE37" i="4" s="1"/>
  <c r="AI27" i="4"/>
  <c r="AI30" i="4" s="1"/>
  <c r="AI33" i="4"/>
  <c r="AI37" i="4" s="1"/>
  <c r="AD27" i="4"/>
  <c r="AD30" i="4" s="1"/>
  <c r="AD33" i="4"/>
  <c r="AD37" i="4" s="1"/>
  <c r="AH27" i="4"/>
  <c r="AH30" i="4" s="1"/>
  <c r="AH33" i="4"/>
  <c r="AH37" i="4" s="1"/>
  <c r="AG33" i="4"/>
  <c r="AG37" i="4" s="1"/>
  <c r="AG27" i="4"/>
  <c r="AG30" i="4" s="1"/>
  <c r="AF27" i="4"/>
  <c r="AF30" i="4" s="1"/>
  <c r="AF33" i="4"/>
  <c r="AF37" i="4" s="1"/>
  <c r="U33" i="4"/>
  <c r="U37" i="4" s="1"/>
  <c r="U27" i="4"/>
  <c r="U30" i="4" s="1"/>
  <c r="AB33" i="4"/>
  <c r="AB37" i="4" s="1"/>
  <c r="AB27" i="4"/>
  <c r="AB30" i="4" s="1"/>
  <c r="V27" i="4"/>
  <c r="V30" i="4" s="1"/>
  <c r="V33" i="4"/>
  <c r="V37" i="4" s="1"/>
  <c r="AC27" i="4"/>
  <c r="AC30" i="4" s="1"/>
  <c r="AC33" i="4"/>
  <c r="AC37" i="4" s="1"/>
  <c r="S33" i="4"/>
  <c r="S37" i="4" s="1"/>
  <c r="S27" i="4"/>
  <c r="S30" i="4" s="1"/>
  <c r="M27" i="4"/>
  <c r="M30" i="4" s="1"/>
  <c r="M33" i="4"/>
  <c r="M37" i="4" s="1"/>
  <c r="T33" i="4"/>
  <c r="T37" i="4" s="1"/>
  <c r="T27" i="4"/>
  <c r="T30" i="4" s="1"/>
  <c r="P33" i="4"/>
  <c r="P37" i="4" s="1"/>
  <c r="P27" i="4"/>
  <c r="P30" i="4" s="1"/>
  <c r="O27" i="4"/>
  <c r="O30" i="4" s="1"/>
  <c r="O33" i="4"/>
  <c r="O37" i="4" s="1"/>
  <c r="L27" i="4"/>
  <c r="L30" i="4" s="1"/>
  <c r="L33" i="4"/>
  <c r="L37" i="4" s="1"/>
  <c r="R33" i="4"/>
  <c r="R37" i="4" s="1"/>
  <c r="R27" i="4"/>
  <c r="R30" i="4" s="1"/>
  <c r="N27" i="4"/>
  <c r="N30" i="4" s="1"/>
  <c r="N33" i="4"/>
  <c r="N37" i="4" s="1"/>
  <c r="F33" i="4"/>
  <c r="F37" i="4" s="1"/>
  <c r="F27" i="4"/>
  <c r="F30" i="4" s="1"/>
  <c r="I33" i="4"/>
  <c r="I37" i="4" s="1"/>
  <c r="I27" i="4"/>
  <c r="I30" i="4" s="1"/>
  <c r="G33" i="4"/>
  <c r="G37" i="4" s="1"/>
  <c r="G27" i="4"/>
  <c r="G30" i="4" s="1"/>
  <c r="D27" i="4"/>
  <c r="H27" i="4"/>
  <c r="H30" i="4" s="1"/>
  <c r="H33" i="4"/>
  <c r="H37" i="4" s="1"/>
  <c r="E27" i="4"/>
  <c r="E30" i="4" s="1"/>
  <c r="E33" i="4"/>
  <c r="E37" i="4" s="1"/>
  <c r="K33" i="4"/>
  <c r="K37" i="4" s="1"/>
  <c r="K27" i="4"/>
  <c r="K30" i="4" s="1"/>
  <c r="G12" i="17"/>
  <c r="G28" i="17" s="1"/>
  <c r="G10" i="17"/>
  <c r="G26" i="17" s="1"/>
  <c r="E32" i="17"/>
  <c r="I12" i="16"/>
  <c r="E12" i="16"/>
  <c r="A12" i="16"/>
  <c r="I28" i="17" l="1"/>
  <c r="I32" i="17" s="1"/>
  <c r="AL501" i="4"/>
  <c r="AK501" i="4"/>
  <c r="AL39" i="4"/>
  <c r="AL41" i="4" s="1"/>
  <c r="AK39" i="4"/>
  <c r="AK41" i="4" s="1"/>
  <c r="Z501" i="4"/>
  <c r="J39" i="4"/>
  <c r="J41" i="4" s="1"/>
  <c r="AP39" i="4"/>
  <c r="AP41" i="4" s="1"/>
  <c r="Y39" i="4"/>
  <c r="Y41" i="4" s="1"/>
  <c r="AA501" i="4"/>
  <c r="J501" i="4"/>
  <c r="AA39" i="4"/>
  <c r="AA41" i="4" s="1"/>
  <c r="AX39" i="4"/>
  <c r="AX41" i="4" s="1"/>
  <c r="AV39" i="4"/>
  <c r="AV41" i="4" s="1"/>
  <c r="W39" i="4"/>
  <c r="W41" i="4" s="1"/>
  <c r="AV501" i="4"/>
  <c r="W501" i="4"/>
  <c r="AY501" i="4"/>
  <c r="AY39" i="4"/>
  <c r="AY41" i="4" s="1"/>
  <c r="AP501" i="4"/>
  <c r="AT501" i="4"/>
  <c r="AQ501" i="4"/>
  <c r="AQ39" i="4"/>
  <c r="AQ41" i="4" s="1"/>
  <c r="AS501" i="4"/>
  <c r="AT39" i="4"/>
  <c r="AT41" i="4" s="1"/>
  <c r="AR39" i="4"/>
  <c r="AR41" i="4" s="1"/>
  <c r="AR501" i="4"/>
  <c r="AS39" i="4"/>
  <c r="AS41" i="4" s="1"/>
  <c r="AN501" i="4"/>
  <c r="AO39" i="4"/>
  <c r="AO41" i="4" s="1"/>
  <c r="AO501" i="4"/>
  <c r="AN39" i="4"/>
  <c r="AN41" i="4" s="1"/>
  <c r="AF39" i="4"/>
  <c r="AF41" i="4" s="1"/>
  <c r="AI39" i="4"/>
  <c r="AI41" i="4" s="1"/>
  <c r="AF501" i="4"/>
  <c r="AG39" i="4"/>
  <c r="AG41" i="4" s="1"/>
  <c r="AH39" i="4"/>
  <c r="AH41" i="4" s="1"/>
  <c r="AD39" i="4"/>
  <c r="AD41" i="4" s="1"/>
  <c r="AE501" i="4"/>
  <c r="AG501" i="4"/>
  <c r="AH501" i="4"/>
  <c r="AI501" i="4"/>
  <c r="AD501" i="4"/>
  <c r="AE39" i="4"/>
  <c r="AE41" i="4" s="1"/>
  <c r="U501" i="4"/>
  <c r="AC501" i="4"/>
  <c r="S39" i="4"/>
  <c r="S41" i="4" s="1"/>
  <c r="AC39" i="4"/>
  <c r="AC41" i="4" s="1"/>
  <c r="AB39" i="4"/>
  <c r="AB41" i="4" s="1"/>
  <c r="U39" i="4"/>
  <c r="U41" i="4" s="1"/>
  <c r="V39" i="4"/>
  <c r="V41" i="4" s="1"/>
  <c r="P39" i="4"/>
  <c r="P41" i="4" s="1"/>
  <c r="M501" i="4"/>
  <c r="V501" i="4"/>
  <c r="AB501" i="4"/>
  <c r="S501" i="4"/>
  <c r="O501" i="4"/>
  <c r="L501" i="4"/>
  <c r="R39" i="4"/>
  <c r="R41" i="4" s="1"/>
  <c r="N501" i="4"/>
  <c r="R501" i="4"/>
  <c r="L39" i="4"/>
  <c r="L41" i="4" s="1"/>
  <c r="P501" i="4"/>
  <c r="T501" i="4"/>
  <c r="M39" i="4"/>
  <c r="M41" i="4" s="1"/>
  <c r="N39" i="4"/>
  <c r="N41" i="4" s="1"/>
  <c r="O39" i="4"/>
  <c r="O41" i="4" s="1"/>
  <c r="T39" i="4"/>
  <c r="T41" i="4" s="1"/>
  <c r="H39" i="4"/>
  <c r="H41" i="4" s="1"/>
  <c r="G501" i="4"/>
  <c r="H501" i="4"/>
  <c r="F501" i="4"/>
  <c r="D30" i="4"/>
  <c r="E501" i="4"/>
  <c r="D33" i="4"/>
  <c r="F39" i="4"/>
  <c r="F41" i="4" s="1"/>
  <c r="K39" i="4"/>
  <c r="K41" i="4" s="1"/>
  <c r="I501" i="4"/>
  <c r="K501" i="4"/>
  <c r="E39" i="4"/>
  <c r="E41" i="4" s="1"/>
  <c r="D501" i="4"/>
  <c r="G39" i="4"/>
  <c r="G41" i="4" s="1"/>
  <c r="I39" i="4"/>
  <c r="I41" i="4" s="1"/>
  <c r="C271" i="1"/>
  <c r="E266" i="1"/>
  <c r="D37" i="4" l="1"/>
  <c r="D39" i="4" s="1"/>
  <c r="Q35" i="14"/>
  <c r="Q34" i="14"/>
  <c r="Q36" i="14" s="1"/>
  <c r="Q26" i="14"/>
  <c r="D41" i="4" l="1"/>
  <c r="E18" i="18" l="1"/>
  <c r="E21" i="18" s="1"/>
  <c r="J17" i="14" l="1"/>
  <c r="L35" i="14"/>
  <c r="M35" i="14" s="1"/>
  <c r="L34" i="14"/>
  <c r="H23" i="14"/>
  <c r="O27" i="14"/>
  <c r="J27" i="14"/>
  <c r="H27" i="14"/>
  <c r="Q27" i="14"/>
  <c r="Q18" i="14"/>
  <c r="L26" i="14"/>
  <c r="L27" i="14" s="1"/>
  <c r="Q21" i="14"/>
  <c r="L21" i="14"/>
  <c r="M21" i="14" s="1"/>
  <c r="F18" i="6"/>
  <c r="F26" i="6" s="1"/>
  <c r="D26" i="6"/>
  <c r="B26" i="6"/>
  <c r="M34" i="14" l="1"/>
  <c r="L36" i="14"/>
  <c r="H39" i="14"/>
  <c r="M26" i="14"/>
  <c r="A36" i="3" l="1"/>
  <c r="H502" i="1" l="1"/>
  <c r="E502" i="1"/>
  <c r="C462" i="1"/>
  <c r="I24" i="20" l="1"/>
  <c r="C300" i="1"/>
  <c r="E486" i="1" l="1"/>
  <c r="C335" i="1" l="1"/>
  <c r="C319" i="1"/>
  <c r="C316" i="1"/>
  <c r="C312" i="1"/>
  <c r="C309" i="1"/>
  <c r="C308" i="1"/>
  <c r="L270" i="1"/>
  <c r="C504" i="1"/>
  <c r="C508" i="1" s="1"/>
  <c r="H486" i="1"/>
  <c r="C488" i="1"/>
  <c r="C490" i="1"/>
  <c r="C484" i="1"/>
  <c r="C481" i="1"/>
  <c r="C478" i="1"/>
  <c r="C487" i="1"/>
  <c r="C483" i="1"/>
  <c r="C489" i="1"/>
  <c r="C477" i="1"/>
  <c r="C476" i="1"/>
  <c r="C435" i="1"/>
  <c r="C432" i="1"/>
  <c r="C430" i="1"/>
  <c r="C429" i="1"/>
  <c r="C428" i="1"/>
  <c r="C425" i="1" l="1"/>
  <c r="C424" i="1"/>
  <c r="C422" i="1"/>
  <c r="C421" i="1"/>
  <c r="C420" i="1"/>
  <c r="C413" i="1"/>
  <c r="C406" i="1"/>
  <c r="C405" i="1"/>
  <c r="C398" i="1"/>
  <c r="C397" i="1"/>
  <c r="C385" i="1"/>
  <c r="C377" i="1"/>
  <c r="C372" i="1"/>
  <c r="C362" i="1"/>
  <c r="C357" i="1"/>
  <c r="C333" i="1"/>
  <c r="C332" i="1"/>
  <c r="C310" i="1"/>
  <c r="C51" i="5" l="1"/>
  <c r="C237" i="1"/>
  <c r="C185" i="1"/>
  <c r="C184" i="1"/>
  <c r="C183" i="1"/>
  <c r="C182" i="1"/>
  <c r="G58" i="5" l="1"/>
  <c r="G57" i="5"/>
  <c r="G59" i="5" s="1"/>
  <c r="C217" i="1"/>
  <c r="C213" i="1"/>
  <c r="C209" i="1"/>
  <c r="W39" i="7"/>
  <c r="U39" i="7"/>
  <c r="Y39" i="7" s="1"/>
  <c r="W37" i="7"/>
  <c r="U37" i="7"/>
  <c r="Y37" i="7" s="1"/>
  <c r="W35" i="7"/>
  <c r="U35" i="7"/>
  <c r="Y35" i="7" s="1"/>
  <c r="Y33" i="7"/>
  <c r="W33" i="7"/>
  <c r="U33" i="7"/>
  <c r="W31" i="7"/>
  <c r="U31" i="7"/>
  <c r="Y31" i="7" s="1"/>
  <c r="W29" i="7"/>
  <c r="U29" i="7"/>
  <c r="Y27" i="7"/>
  <c r="W27" i="7"/>
  <c r="U27" i="7"/>
  <c r="Y25" i="7"/>
  <c r="W25" i="7"/>
  <c r="U25" i="7"/>
  <c r="W23" i="7"/>
  <c r="U23" i="7"/>
  <c r="Y23" i="7" s="1"/>
  <c r="W21" i="7"/>
  <c r="U21" i="7"/>
  <c r="Y21" i="7" s="1"/>
  <c r="Y19" i="7"/>
  <c r="W19" i="7"/>
  <c r="U19" i="7"/>
  <c r="Y17" i="7"/>
  <c r="W17" i="7"/>
  <c r="U17" i="7"/>
  <c r="S42" i="7"/>
  <c r="C221" i="1" s="1"/>
  <c r="Q42" i="7"/>
  <c r="O42" i="7"/>
  <c r="M42" i="7"/>
  <c r="K42" i="7"/>
  <c r="I42" i="7"/>
  <c r="G42" i="7"/>
  <c r="E42" i="7"/>
  <c r="C226" i="1" l="1"/>
  <c r="C40" i="1" s="1"/>
  <c r="Y29" i="7"/>
  <c r="Y42" i="7" s="1"/>
  <c r="U42" i="7"/>
  <c r="W42" i="7"/>
  <c r="G19" i="12"/>
  <c r="E287" i="1" l="1"/>
  <c r="D163" i="1" l="1"/>
  <c r="C163" i="1"/>
  <c r="E162" i="1"/>
  <c r="E161" i="1"/>
  <c r="G161" i="1" s="1"/>
  <c r="E160" i="1"/>
  <c r="E159" i="1"/>
  <c r="E158" i="1"/>
  <c r="E163" i="1" l="1"/>
  <c r="F161" i="1"/>
  <c r="H190" i="1"/>
  <c r="D190" i="1"/>
  <c r="E190" i="1" s="1"/>
  <c r="I27" i="20" l="1"/>
  <c r="H27" i="20"/>
  <c r="F27" i="20"/>
  <c r="E27" i="20"/>
  <c r="F12" i="19"/>
  <c r="H24" i="20"/>
  <c r="F24" i="20"/>
  <c r="F15" i="19" s="1"/>
  <c r="E24" i="20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4" i="20" s="1"/>
  <c r="A27" i="20" s="1"/>
  <c r="A11" i="20"/>
  <c r="L36" i="19"/>
  <c r="L40" i="19" s="1"/>
  <c r="M33" i="19"/>
  <c r="M31" i="19"/>
  <c r="H31" i="19"/>
  <c r="M30" i="19"/>
  <c r="H30" i="19"/>
  <c r="G26" i="19"/>
  <c r="F26" i="19"/>
  <c r="H24" i="19"/>
  <c r="H23" i="19"/>
  <c r="H22" i="19"/>
  <c r="G15" i="19"/>
  <c r="B15" i="19"/>
  <c r="B22" i="19" s="1"/>
  <c r="B23" i="19" s="1"/>
  <c r="B24" i="19" s="1"/>
  <c r="B26" i="19" s="1"/>
  <c r="B30" i="19" s="1"/>
  <c r="B31" i="19" s="1"/>
  <c r="B33" i="19" s="1"/>
  <c r="B34" i="19" s="1"/>
  <c r="B35" i="19" s="1"/>
  <c r="B36" i="19" s="1"/>
  <c r="B38" i="19" s="1"/>
  <c r="B40" i="19" s="1"/>
  <c r="B42" i="19" s="1"/>
  <c r="G12" i="19"/>
  <c r="B12" i="19"/>
  <c r="G10" i="19"/>
  <c r="D7" i="19"/>
  <c r="F7" i="19" s="1"/>
  <c r="P32" i="18"/>
  <c r="O32" i="18"/>
  <c r="N32" i="18"/>
  <c r="M32" i="18"/>
  <c r="L32" i="18"/>
  <c r="K32" i="18"/>
  <c r="J32" i="18"/>
  <c r="J33" i="18" s="1"/>
  <c r="I32" i="18"/>
  <c r="H32" i="18"/>
  <c r="G32" i="18"/>
  <c r="F32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E33" i="18" s="1"/>
  <c r="P27" i="18"/>
  <c r="O27" i="18"/>
  <c r="N27" i="18"/>
  <c r="M27" i="18"/>
  <c r="L27" i="18"/>
  <c r="K27" i="18"/>
  <c r="J27" i="18"/>
  <c r="I27" i="18"/>
  <c r="H27" i="18"/>
  <c r="G27" i="18"/>
  <c r="F27" i="18"/>
  <c r="P26" i="18"/>
  <c r="P28" i="18" s="1"/>
  <c r="O26" i="18"/>
  <c r="N26" i="18"/>
  <c r="M26" i="18"/>
  <c r="L26" i="18"/>
  <c r="L28" i="18" s="1"/>
  <c r="K26" i="18"/>
  <c r="J26" i="18"/>
  <c r="I26" i="18"/>
  <c r="H26" i="18"/>
  <c r="H28" i="18" s="1"/>
  <c r="G26" i="18"/>
  <c r="F26" i="18"/>
  <c r="E26" i="18"/>
  <c r="E28" i="18" s="1"/>
  <c r="N18" i="18"/>
  <c r="N21" i="18" s="1"/>
  <c r="P18" i="18"/>
  <c r="P21" i="18" s="1"/>
  <c r="O18" i="18"/>
  <c r="O21" i="18" s="1"/>
  <c r="M18" i="18"/>
  <c r="M21" i="18" s="1"/>
  <c r="L18" i="18"/>
  <c r="L21" i="18" s="1"/>
  <c r="K18" i="18"/>
  <c r="K21" i="18" s="1"/>
  <c r="J18" i="18"/>
  <c r="J21" i="18" s="1"/>
  <c r="I18" i="18"/>
  <c r="I21" i="18" s="1"/>
  <c r="H18" i="18"/>
  <c r="H21" i="18" s="1"/>
  <c r="G18" i="18"/>
  <c r="G21" i="18" s="1"/>
  <c r="F18" i="18"/>
  <c r="F21" i="18" s="1"/>
  <c r="Q14" i="18"/>
  <c r="Q15" i="18" s="1"/>
  <c r="B11" i="18"/>
  <c r="B14" i="18" s="1"/>
  <c r="B15" i="18" s="1"/>
  <c r="B16" i="18" s="1"/>
  <c r="B17" i="18" s="1"/>
  <c r="B18" i="18" s="1"/>
  <c r="B19" i="18" s="1"/>
  <c r="B21" i="18" s="1"/>
  <c r="B22" i="18" s="1"/>
  <c r="B26" i="18" s="1"/>
  <c r="B27" i="18" s="1"/>
  <c r="B28" i="18" s="1"/>
  <c r="B29" i="18" s="1"/>
  <c r="B31" i="18" s="1"/>
  <c r="B32" i="18" s="1"/>
  <c r="B33" i="18" s="1"/>
  <c r="B34" i="18" s="1"/>
  <c r="B36" i="18" s="1"/>
  <c r="B37" i="18" s="1"/>
  <c r="B39" i="18" s="1"/>
  <c r="B41" i="18" s="1"/>
  <c r="B42" i="18" s="1"/>
  <c r="B44" i="18" s="1"/>
  <c r="N31" i="19" l="1"/>
  <c r="H26" i="19"/>
  <c r="F28" i="18"/>
  <c r="J28" i="18"/>
  <c r="J36" i="18" s="1"/>
  <c r="J41" i="18" s="1"/>
  <c r="N28" i="18"/>
  <c r="M33" i="18"/>
  <c r="E36" i="18"/>
  <c r="E41" i="18" s="1"/>
  <c r="F33" i="18"/>
  <c r="N33" i="18"/>
  <c r="N36" i="18" s="1"/>
  <c r="N41" i="18" s="1"/>
  <c r="G33" i="18"/>
  <c r="K33" i="18"/>
  <c r="O33" i="18"/>
  <c r="H33" i="18"/>
  <c r="H36" i="18" s="1"/>
  <c r="H41" i="18" s="1"/>
  <c r="L33" i="18"/>
  <c r="L36" i="18" s="1"/>
  <c r="L41" i="18" s="1"/>
  <c r="P33" i="18"/>
  <c r="P36" i="18" s="1"/>
  <c r="P41" i="18" s="1"/>
  <c r="I28" i="18"/>
  <c r="M28" i="18"/>
  <c r="M36" i="18" s="1"/>
  <c r="M41" i="18" s="1"/>
  <c r="G28" i="18"/>
  <c r="K28" i="18"/>
  <c r="K36" i="18" s="1"/>
  <c r="K41" i="18" s="1"/>
  <c r="O28" i="18"/>
  <c r="O36" i="18" s="1"/>
  <c r="O41" i="18" s="1"/>
  <c r="Q16" i="18"/>
  <c r="I33" i="18"/>
  <c r="F36" i="18"/>
  <c r="F41" i="18" s="1"/>
  <c r="Q31" i="18"/>
  <c r="F19" i="19"/>
  <c r="G7" i="19"/>
  <c r="Q18" i="18"/>
  <c r="Q19" i="18" s="1"/>
  <c r="H15" i="19"/>
  <c r="J38" i="19" s="1"/>
  <c r="F34" i="19"/>
  <c r="F35" i="19"/>
  <c r="H35" i="19" s="1"/>
  <c r="H12" i="19"/>
  <c r="K38" i="19" s="1"/>
  <c r="N30" i="19"/>
  <c r="Q26" i="18"/>
  <c r="H34" i="19" l="1"/>
  <c r="J34" i="19" s="1"/>
  <c r="Q28" i="18"/>
  <c r="Q29" i="18" s="1"/>
  <c r="G36" i="18"/>
  <c r="G41" i="18" s="1"/>
  <c r="Q33" i="18"/>
  <c r="Q34" i="18" s="1"/>
  <c r="I36" i="18"/>
  <c r="I41" i="18" s="1"/>
  <c r="J15" i="19"/>
  <c r="Q21" i="18"/>
  <c r="Q22" i="18" s="1"/>
  <c r="G33" i="19"/>
  <c r="G36" i="19" s="1"/>
  <c r="H10" i="19"/>
  <c r="F33" i="19"/>
  <c r="F36" i="19" s="1"/>
  <c r="K35" i="19"/>
  <c r="M38" i="19"/>
  <c r="H7" i="19"/>
  <c r="G19" i="19"/>
  <c r="J12" i="19"/>
  <c r="H38" i="19" l="1"/>
  <c r="N38" i="19" s="1"/>
  <c r="G38" i="19"/>
  <c r="G40" i="19" s="1"/>
  <c r="Q41" i="18"/>
  <c r="Q42" i="18" s="1"/>
  <c r="Q36" i="18"/>
  <c r="Q37" i="18" s="1"/>
  <c r="F39" i="18" s="1"/>
  <c r="F44" i="18"/>
  <c r="F40" i="19"/>
  <c r="H33" i="19"/>
  <c r="M35" i="19"/>
  <c r="N35" i="19" s="1"/>
  <c r="K36" i="19"/>
  <c r="K40" i="19" s="1"/>
  <c r="J36" i="19"/>
  <c r="J40" i="19" s="1"/>
  <c r="M34" i="19"/>
  <c r="H19" i="19"/>
  <c r="J7" i="19"/>
  <c r="J10" i="19"/>
  <c r="H44" i="18"/>
  <c r="H39" i="18"/>
  <c r="M36" i="19" l="1"/>
  <c r="M40" i="19" s="1"/>
  <c r="J44" i="18"/>
  <c r="G12" i="3" s="1"/>
  <c r="J39" i="18"/>
  <c r="J19" i="19"/>
  <c r="K7" i="19"/>
  <c r="H36" i="19"/>
  <c r="N33" i="19"/>
  <c r="N34" i="19"/>
  <c r="H40" i="19" l="1"/>
  <c r="M42" i="19" s="1"/>
  <c r="N42" i="19" s="1"/>
  <c r="G14" i="3" s="1"/>
  <c r="G160" i="1"/>
  <c r="F160" i="1" s="1"/>
  <c r="G10" i="3"/>
  <c r="N36" i="19"/>
  <c r="N40" i="19" s="1"/>
  <c r="K19" i="19"/>
  <c r="L7" i="19"/>
  <c r="G502" i="1" l="1"/>
  <c r="F502" i="1" s="1"/>
  <c r="G239" i="1"/>
  <c r="B36" i="6"/>
  <c r="BC114" i="4"/>
  <c r="C114" i="4" s="1"/>
  <c r="BC69" i="4"/>
  <c r="C69" i="4" s="1"/>
  <c r="G238" i="1"/>
  <c r="BC173" i="4"/>
  <c r="C173" i="4" s="1"/>
  <c r="BC72" i="4"/>
  <c r="C72" i="4" s="1"/>
  <c r="BC68" i="4"/>
  <c r="C68" i="4" s="1"/>
  <c r="BC172" i="4"/>
  <c r="C172" i="4" s="1"/>
  <c r="BC71" i="4"/>
  <c r="C71" i="4" s="1"/>
  <c r="BC67" i="4"/>
  <c r="C67" i="4" s="1"/>
  <c r="G279" i="1"/>
  <c r="BC115" i="4"/>
  <c r="C115" i="4" s="1"/>
  <c r="BC70" i="4"/>
  <c r="C70" i="4" s="1"/>
  <c r="G190" i="1"/>
  <c r="G159" i="1"/>
  <c r="F159" i="1" s="1"/>
  <c r="M7" i="19"/>
  <c r="L19" i="19"/>
  <c r="I502" i="1" l="1"/>
  <c r="F239" i="1"/>
  <c r="I239" i="1"/>
  <c r="M19" i="19"/>
  <c r="N7" i="19"/>
  <c r="N19" i="19" s="1"/>
  <c r="H347" i="1" l="1"/>
  <c r="H295" i="1"/>
  <c r="I295" i="1" s="1"/>
  <c r="H296" i="1"/>
  <c r="I296" i="1" s="1"/>
  <c r="D296" i="1" l="1"/>
  <c r="D349" i="1" s="1"/>
  <c r="D295" i="1"/>
  <c r="D294" i="1"/>
  <c r="D347" i="1" s="1"/>
  <c r="D348" i="1" l="1"/>
  <c r="E348" i="1" s="1"/>
  <c r="E347" i="1"/>
  <c r="G347" i="1" s="1"/>
  <c r="F347" i="1" s="1"/>
  <c r="E295" i="1"/>
  <c r="F295" i="1" s="1"/>
  <c r="E296" i="1"/>
  <c r="F296" i="1" s="1"/>
  <c r="G348" i="1" l="1"/>
  <c r="I348" i="1" s="1"/>
  <c r="C12" i="5"/>
  <c r="F348" i="1" l="1"/>
  <c r="I14" i="16"/>
  <c r="I36" i="17"/>
  <c r="A36" i="17"/>
  <c r="A38" i="17" s="1"/>
  <c r="C8" i="17"/>
  <c r="E8" i="17" s="1"/>
  <c r="G8" i="17" s="1"/>
  <c r="I8" i="17" s="1"/>
  <c r="A14" i="16"/>
  <c r="A16" i="16" s="1"/>
  <c r="G10" i="16"/>
  <c r="E8" i="16"/>
  <c r="G8" i="16" s="1"/>
  <c r="I8" i="16" s="1"/>
  <c r="C8" i="16"/>
  <c r="F34" i="15"/>
  <c r="F36" i="15" s="1"/>
  <c r="A12" i="15"/>
  <c r="A14" i="15" s="1"/>
  <c r="A16" i="15" s="1"/>
  <c r="A18" i="15" s="1"/>
  <c r="A20" i="15" s="1"/>
  <c r="A22" i="15" s="1"/>
  <c r="A24" i="15" s="1"/>
  <c r="A26" i="15" s="1"/>
  <c r="A28" i="15" s="1"/>
  <c r="A30" i="15" s="1"/>
  <c r="A32" i="15" s="1"/>
  <c r="A34" i="15" s="1"/>
  <c r="A36" i="15" s="1"/>
  <c r="A38" i="15" s="1"/>
  <c r="A40" i="15" s="1"/>
  <c r="F8" i="15"/>
  <c r="D8" i="15"/>
  <c r="C8" i="15"/>
  <c r="O23" i="14"/>
  <c r="O39" i="14" s="1"/>
  <c r="J23" i="14"/>
  <c r="J39" i="14" s="1"/>
  <c r="Q20" i="14"/>
  <c r="L20" i="14"/>
  <c r="M20" i="14" s="1"/>
  <c r="Q19" i="14"/>
  <c r="L19" i="14"/>
  <c r="M19" i="14" s="1"/>
  <c r="L18" i="14"/>
  <c r="M18" i="14" s="1"/>
  <c r="Q17" i="14"/>
  <c r="L17" i="14"/>
  <c r="M17" i="14" s="1"/>
  <c r="A17" i="14"/>
  <c r="A18" i="14" s="1"/>
  <c r="A19" i="14" s="1"/>
  <c r="A20" i="14" s="1"/>
  <c r="Q16" i="14"/>
  <c r="L16" i="14"/>
  <c r="M16" i="14" s="1"/>
  <c r="B13" i="14"/>
  <c r="D13" i="14" s="1"/>
  <c r="E13" i="14" s="1"/>
  <c r="F13" i="14" s="1"/>
  <c r="G13" i="14" s="1"/>
  <c r="H13" i="14" s="1"/>
  <c r="J13" i="14" s="1"/>
  <c r="L13" i="14" s="1"/>
  <c r="M13" i="14" s="1"/>
  <c r="N13" i="14" s="1"/>
  <c r="O13" i="14" s="1"/>
  <c r="Q13" i="14" s="1"/>
  <c r="S13" i="14" s="1"/>
  <c r="T13" i="14" s="1"/>
  <c r="F17" i="12"/>
  <c r="F19" i="12" s="1"/>
  <c r="E17" i="12"/>
  <c r="E19" i="12" s="1"/>
  <c r="G15" i="12"/>
  <c r="G13" i="12"/>
  <c r="A13" i="12"/>
  <c r="A15" i="12" s="1"/>
  <c r="A17" i="12" s="1"/>
  <c r="A19" i="12" s="1"/>
  <c r="G11" i="12"/>
  <c r="E9" i="12"/>
  <c r="F9" i="12" s="1"/>
  <c r="G9" i="12" s="1"/>
  <c r="C9" i="12"/>
  <c r="G50" i="11"/>
  <c r="G45" i="11"/>
  <c r="G40" i="11"/>
  <c r="G35" i="11"/>
  <c r="A14" i="11"/>
  <c r="A16" i="11" s="1"/>
  <c r="A18" i="11" s="1"/>
  <c r="A20" i="11" s="1"/>
  <c r="A22" i="11" s="1"/>
  <c r="A24" i="11" s="1"/>
  <c r="A12" i="11"/>
  <c r="A11" i="11"/>
  <c r="C7" i="11"/>
  <c r="G7" i="11" s="1"/>
  <c r="A14" i="9"/>
  <c r="A16" i="9" s="1"/>
  <c r="A18" i="9" s="1"/>
  <c r="A20" i="9" s="1"/>
  <c r="A12" i="9"/>
  <c r="A10" i="9"/>
  <c r="C6" i="9"/>
  <c r="E6" i="9" s="1"/>
  <c r="A12" i="8"/>
  <c r="A14" i="8" s="1"/>
  <c r="A17" i="8" s="1"/>
  <c r="A18" i="8" s="1"/>
  <c r="A19" i="8" s="1"/>
  <c r="A20" i="8" s="1"/>
  <c r="A23" i="8" s="1"/>
  <c r="A24" i="8" s="1"/>
  <c r="A25" i="8" s="1"/>
  <c r="A27" i="8" s="1"/>
  <c r="A30" i="8" s="1"/>
  <c r="A31" i="8" s="1"/>
  <c r="A33" i="8" s="1"/>
  <c r="A36" i="8" s="1"/>
  <c r="A37" i="8" s="1"/>
  <c r="A39" i="8" s="1"/>
  <c r="A40" i="8" s="1"/>
  <c r="A44" i="8" s="1"/>
  <c r="A46" i="8" s="1"/>
  <c r="A48" i="8" s="1"/>
  <c r="A51" i="8" s="1"/>
  <c r="A53" i="8" s="1"/>
  <c r="A55" i="8" s="1"/>
  <c r="A57" i="8" s="1"/>
  <c r="E8" i="8"/>
  <c r="G8" i="8" s="1"/>
  <c r="I8" i="8" s="1"/>
  <c r="C8" i="8"/>
  <c r="I26" i="17" l="1"/>
  <c r="I30" i="17" s="1"/>
  <c r="I16" i="16"/>
  <c r="I14" i="13" s="1"/>
  <c r="G52" i="11"/>
  <c r="E16" i="11" s="1"/>
  <c r="Q23" i="14"/>
  <c r="Q39" i="14" s="1"/>
  <c r="J44" i="14"/>
  <c r="L23" i="14"/>
  <c r="H44" i="14"/>
  <c r="A21" i="14"/>
  <c r="A23" i="14" s="1"/>
  <c r="A26" i="14" s="1"/>
  <c r="O44" i="14"/>
  <c r="F41" i="15"/>
  <c r="I13" i="10" s="1"/>
  <c r="G17" i="12"/>
  <c r="I20" i="13" l="1"/>
  <c r="I24" i="13" s="1"/>
  <c r="L39" i="14"/>
  <c r="L44" i="14" s="1"/>
  <c r="I34" i="17"/>
  <c r="I38" i="17" s="1"/>
  <c r="S14" i="13" s="1"/>
  <c r="S20" i="13" s="1"/>
  <c r="S24" i="13" s="1"/>
  <c r="Q44" i="14"/>
  <c r="S44" i="14" s="1"/>
  <c r="I11" i="10" s="1"/>
  <c r="G11" i="11"/>
  <c r="G14" i="11" s="1"/>
  <c r="G16" i="11" l="1"/>
  <c r="G18" i="11" s="1"/>
  <c r="G20" i="11" l="1"/>
  <c r="G22" i="11" s="1"/>
  <c r="E18" i="9" s="1"/>
  <c r="BB450" i="4" l="1"/>
  <c r="BC450" i="4"/>
  <c r="BD450" i="4"/>
  <c r="BB442" i="4"/>
  <c r="BC442" i="4"/>
  <c r="BD442" i="4"/>
  <c r="BB234" i="4"/>
  <c r="BC234" i="4"/>
  <c r="BD234" i="4"/>
  <c r="BB229" i="4"/>
  <c r="BC229" i="4"/>
  <c r="BD229" i="4"/>
  <c r="BB184" i="4"/>
  <c r="BC184" i="4"/>
  <c r="BD184" i="4"/>
  <c r="H191" i="1"/>
  <c r="D242" i="1"/>
  <c r="D48" i="1" s="1"/>
  <c r="C242" i="1"/>
  <c r="C48" i="1" s="1"/>
  <c r="D247" i="1"/>
  <c r="C247" i="1"/>
  <c r="D466" i="1"/>
  <c r="C466" i="1"/>
  <c r="D458" i="1"/>
  <c r="D194" i="1" l="1"/>
  <c r="R24" i="5" l="1"/>
  <c r="R25" i="5"/>
  <c r="R26" i="5"/>
  <c r="R27" i="5"/>
  <c r="R23" i="5"/>
  <c r="D265" i="1"/>
  <c r="D230" i="1"/>
  <c r="D196" i="1"/>
  <c r="D183" i="1"/>
  <c r="D106" i="1"/>
  <c r="D166" i="1"/>
  <c r="D165" i="1"/>
  <c r="D73" i="1"/>
  <c r="D154" i="1"/>
  <c r="D292" i="1"/>
  <c r="D481" i="1"/>
  <c r="E485" i="1"/>
  <c r="G485" i="1" s="1"/>
  <c r="F279" i="1" l="1"/>
  <c r="D260" i="1" l="1"/>
  <c r="E257" i="1"/>
  <c r="E258" i="1"/>
  <c r="E259" i="1"/>
  <c r="F259" i="1" s="1"/>
  <c r="E256" i="1"/>
  <c r="F256" i="1" s="1"/>
  <c r="E255" i="1"/>
  <c r="F255" i="1" s="1"/>
  <c r="E254" i="1"/>
  <c r="D251" i="1"/>
  <c r="E250" i="1"/>
  <c r="E249" i="1"/>
  <c r="E238" i="1"/>
  <c r="E240" i="1"/>
  <c r="E241" i="1"/>
  <c r="E245" i="1"/>
  <c r="E246" i="1"/>
  <c r="D234" i="1"/>
  <c r="D46" i="1" s="1"/>
  <c r="E231" i="1"/>
  <c r="E232" i="1"/>
  <c r="E233" i="1"/>
  <c r="E230" i="1"/>
  <c r="D222" i="1"/>
  <c r="E221" i="1"/>
  <c r="E220" i="1"/>
  <c r="D218" i="1"/>
  <c r="E217" i="1"/>
  <c r="E216" i="1"/>
  <c r="D214" i="1"/>
  <c r="E213" i="1"/>
  <c r="E212" i="1"/>
  <c r="D210" i="1"/>
  <c r="E209" i="1"/>
  <c r="E208" i="1"/>
  <c r="D206" i="1"/>
  <c r="D197" i="1"/>
  <c r="E196" i="1"/>
  <c r="E193" i="1"/>
  <c r="E192" i="1"/>
  <c r="D186" i="1"/>
  <c r="D167" i="1"/>
  <c r="E166" i="1"/>
  <c r="E165" i="1"/>
  <c r="D155" i="1"/>
  <c r="E144" i="1"/>
  <c r="E145" i="1"/>
  <c r="E146" i="1"/>
  <c r="E147" i="1"/>
  <c r="E148" i="1"/>
  <c r="E149" i="1"/>
  <c r="E150" i="1"/>
  <c r="E151" i="1"/>
  <c r="E152" i="1"/>
  <c r="E153" i="1"/>
  <c r="E154" i="1"/>
  <c r="E143" i="1"/>
  <c r="D140" i="1"/>
  <c r="D173" i="1" s="1"/>
  <c r="E126" i="1"/>
  <c r="G126" i="1" s="1"/>
  <c r="E127" i="1"/>
  <c r="G127" i="1" s="1"/>
  <c r="E128" i="1"/>
  <c r="G128" i="1" s="1"/>
  <c r="E129" i="1"/>
  <c r="G129" i="1" s="1"/>
  <c r="E130" i="1"/>
  <c r="G130" i="1" s="1"/>
  <c r="E131" i="1"/>
  <c r="G131" i="1" s="1"/>
  <c r="E132" i="1"/>
  <c r="G132" i="1" s="1"/>
  <c r="E133" i="1"/>
  <c r="G133" i="1" s="1"/>
  <c r="E134" i="1"/>
  <c r="G134" i="1" s="1"/>
  <c r="E135" i="1"/>
  <c r="G135" i="1" s="1"/>
  <c r="E136" i="1"/>
  <c r="G136" i="1" s="1"/>
  <c r="E137" i="1"/>
  <c r="G137" i="1" s="1"/>
  <c r="E138" i="1"/>
  <c r="G138" i="1" s="1"/>
  <c r="E139" i="1"/>
  <c r="G139" i="1" s="1"/>
  <c r="E125" i="1"/>
  <c r="G125" i="1" s="1"/>
  <c r="D122" i="1"/>
  <c r="E112" i="1"/>
  <c r="G112" i="1" s="1"/>
  <c r="E113" i="1"/>
  <c r="G113" i="1" s="1"/>
  <c r="E114" i="1"/>
  <c r="G114" i="1" s="1"/>
  <c r="E115" i="1"/>
  <c r="G115" i="1" s="1"/>
  <c r="E116" i="1"/>
  <c r="G116" i="1" s="1"/>
  <c r="E117" i="1"/>
  <c r="G117" i="1" s="1"/>
  <c r="E118" i="1"/>
  <c r="G118" i="1" s="1"/>
  <c r="E119" i="1"/>
  <c r="G119" i="1" s="1"/>
  <c r="E120" i="1"/>
  <c r="G120" i="1" s="1"/>
  <c r="E121" i="1"/>
  <c r="E111" i="1"/>
  <c r="G111" i="1" s="1"/>
  <c r="E107" i="1"/>
  <c r="E106" i="1"/>
  <c r="D104" i="1"/>
  <c r="E98" i="1"/>
  <c r="E99" i="1"/>
  <c r="E100" i="1"/>
  <c r="E101" i="1"/>
  <c r="E102" i="1"/>
  <c r="E103" i="1"/>
  <c r="E97" i="1"/>
  <c r="D94" i="1"/>
  <c r="E87" i="1"/>
  <c r="E88" i="1"/>
  <c r="E89" i="1"/>
  <c r="E90" i="1"/>
  <c r="E91" i="1"/>
  <c r="E92" i="1"/>
  <c r="E93" i="1"/>
  <c r="E86" i="1"/>
  <c r="D83" i="1"/>
  <c r="D74" i="1"/>
  <c r="E67" i="1"/>
  <c r="E68" i="1"/>
  <c r="E69" i="1"/>
  <c r="E70" i="1"/>
  <c r="E71" i="1"/>
  <c r="E72" i="1"/>
  <c r="E73" i="1"/>
  <c r="D62" i="1"/>
  <c r="E61" i="1"/>
  <c r="E60" i="1"/>
  <c r="D47" i="1"/>
  <c r="D517" i="1"/>
  <c r="E513" i="1"/>
  <c r="F513" i="1" s="1"/>
  <c r="E514" i="1"/>
  <c r="E515" i="1"/>
  <c r="F515" i="1" s="1"/>
  <c r="E512" i="1"/>
  <c r="E507" i="1"/>
  <c r="E501" i="1"/>
  <c r="F501" i="1" s="1"/>
  <c r="E503" i="1"/>
  <c r="E500" i="1"/>
  <c r="E497" i="1"/>
  <c r="E493" i="1"/>
  <c r="E40" i="1" s="1"/>
  <c r="D479" i="1"/>
  <c r="D491" i="1" s="1"/>
  <c r="D26" i="1" s="1"/>
  <c r="D470" i="1"/>
  <c r="E469" i="1"/>
  <c r="E470" i="1" s="1"/>
  <c r="E465" i="1"/>
  <c r="E464" i="1"/>
  <c r="E463" i="1"/>
  <c r="E462" i="1"/>
  <c r="G462" i="1" s="1"/>
  <c r="E461" i="1"/>
  <c r="E456" i="1"/>
  <c r="E455" i="1"/>
  <c r="G455" i="1" s="1"/>
  <c r="E454" i="1"/>
  <c r="E453" i="1"/>
  <c r="D34" i="1"/>
  <c r="D35" i="1"/>
  <c r="D36" i="1"/>
  <c r="D33" i="1"/>
  <c r="D28" i="1"/>
  <c r="D27" i="1"/>
  <c r="F24" i="6"/>
  <c r="F22" i="6"/>
  <c r="F20" i="6"/>
  <c r="F16" i="6"/>
  <c r="D12" i="6"/>
  <c r="D30" i="6" s="1"/>
  <c r="D32" i="6" s="1"/>
  <c r="B12" i="6"/>
  <c r="F10" i="6"/>
  <c r="F8" i="6"/>
  <c r="F12" i="6" s="1"/>
  <c r="E334" i="1"/>
  <c r="D9" i="1"/>
  <c r="D8" i="1"/>
  <c r="D7" i="1"/>
  <c r="D300" i="1"/>
  <c r="E299" i="1"/>
  <c r="E298" i="1"/>
  <c r="E294" i="1"/>
  <c r="F294" i="1" s="1"/>
  <c r="E293" i="1"/>
  <c r="E292" i="1"/>
  <c r="E291" i="1"/>
  <c r="D288" i="1"/>
  <c r="E282" i="1"/>
  <c r="G282" i="1" s="1"/>
  <c r="E283" i="1"/>
  <c r="E285" i="1"/>
  <c r="E286" i="1"/>
  <c r="E281" i="1"/>
  <c r="E280" i="1"/>
  <c r="E277" i="1"/>
  <c r="E276" i="1"/>
  <c r="E272" i="1"/>
  <c r="E270" i="1"/>
  <c r="F266" i="1"/>
  <c r="E267" i="1"/>
  <c r="E265" i="1"/>
  <c r="D436" i="1"/>
  <c r="E436" i="1" s="1"/>
  <c r="F436" i="1" s="1"/>
  <c r="D423" i="1"/>
  <c r="E423" i="1" s="1"/>
  <c r="F423" i="1" s="1"/>
  <c r="D426" i="1"/>
  <c r="E426" i="1" s="1"/>
  <c r="F426" i="1" s="1"/>
  <c r="D427" i="1"/>
  <c r="E427" i="1" s="1"/>
  <c r="F427" i="1" s="1"/>
  <c r="D419" i="1"/>
  <c r="E419" i="1" s="1"/>
  <c r="F419" i="1" s="1"/>
  <c r="E429" i="1"/>
  <c r="D413" i="1"/>
  <c r="D416" i="1" s="1"/>
  <c r="D19" i="1" s="1"/>
  <c r="E414" i="1"/>
  <c r="G414" i="1" s="1"/>
  <c r="E415" i="1"/>
  <c r="G415" i="1" s="1"/>
  <c r="E412" i="1"/>
  <c r="G412" i="1" s="1"/>
  <c r="E407" i="1"/>
  <c r="G407" i="1" s="1"/>
  <c r="E408" i="1"/>
  <c r="E399" i="1"/>
  <c r="G399" i="1" s="1"/>
  <c r="E400" i="1"/>
  <c r="E401" i="1"/>
  <c r="G401" i="1" s="1"/>
  <c r="E396" i="1"/>
  <c r="E381" i="1"/>
  <c r="E382" i="1"/>
  <c r="E384" i="1"/>
  <c r="E385" i="1"/>
  <c r="E386" i="1"/>
  <c r="E387" i="1"/>
  <c r="E388" i="1"/>
  <c r="E389" i="1"/>
  <c r="E390" i="1"/>
  <c r="E380" i="1"/>
  <c r="E369" i="1"/>
  <c r="E370" i="1"/>
  <c r="E371" i="1"/>
  <c r="E372" i="1"/>
  <c r="E373" i="1"/>
  <c r="E374" i="1"/>
  <c r="E375" i="1"/>
  <c r="E368" i="1"/>
  <c r="E358" i="1"/>
  <c r="E359" i="1"/>
  <c r="E360" i="1"/>
  <c r="E356" i="1"/>
  <c r="E344" i="1"/>
  <c r="E345" i="1"/>
  <c r="E341" i="1"/>
  <c r="E314" i="1"/>
  <c r="E317" i="1"/>
  <c r="E41" i="5"/>
  <c r="E28" i="5"/>
  <c r="E18" i="5"/>
  <c r="I40" i="5"/>
  <c r="I38" i="5"/>
  <c r="I37" i="5"/>
  <c r="I34" i="5"/>
  <c r="C25" i="5"/>
  <c r="C24" i="5"/>
  <c r="C23" i="5"/>
  <c r="C22" i="5"/>
  <c r="C15" i="5"/>
  <c r="C13" i="5"/>
  <c r="C11" i="5"/>
  <c r="E226" i="1" l="1"/>
  <c r="E28" i="1"/>
  <c r="G497" i="1"/>
  <c r="G503" i="1"/>
  <c r="F503" i="1" s="1"/>
  <c r="G493" i="1"/>
  <c r="D175" i="1"/>
  <c r="D171" i="1"/>
  <c r="G429" i="1"/>
  <c r="F429" i="1" s="1"/>
  <c r="F282" i="1"/>
  <c r="E31" i="5"/>
  <c r="E53" i="5" s="1"/>
  <c r="F30" i="6"/>
  <c r="D333" i="1"/>
  <c r="E333" i="1" s="1"/>
  <c r="G333" i="1" s="1"/>
  <c r="D332" i="1"/>
  <c r="E332" i="1" s="1"/>
  <c r="G332" i="1" s="1"/>
  <c r="F332" i="1" s="1"/>
  <c r="D36" i="6"/>
  <c r="B30" i="6"/>
  <c r="B32" i="6" s="1"/>
  <c r="F32" i="6" s="1"/>
  <c r="G396" i="1"/>
  <c r="F396" i="1" s="1"/>
  <c r="G408" i="1"/>
  <c r="F408" i="1" s="1"/>
  <c r="G400" i="1"/>
  <c r="F400" i="1" s="1"/>
  <c r="E466" i="1"/>
  <c r="E247" i="1"/>
  <c r="G453" i="1"/>
  <c r="F453" i="1" s="1"/>
  <c r="E62" i="1"/>
  <c r="E35" i="1"/>
  <c r="E47" i="1"/>
  <c r="E222" i="1"/>
  <c r="F192" i="1"/>
  <c r="E33" i="1"/>
  <c r="E214" i="1"/>
  <c r="E206" i="1"/>
  <c r="E94" i="1"/>
  <c r="E104" i="1"/>
  <c r="D302" i="1"/>
  <c r="D10" i="1" s="1"/>
  <c r="E218" i="1"/>
  <c r="G276" i="1"/>
  <c r="F276" i="1" s="1"/>
  <c r="G68" i="1"/>
  <c r="F68" i="1" s="1"/>
  <c r="F111" i="1"/>
  <c r="F114" i="1"/>
  <c r="E140" i="1"/>
  <c r="E173" i="1" s="1"/>
  <c r="G277" i="1"/>
  <c r="F277" i="1" s="1"/>
  <c r="G291" i="1"/>
  <c r="F291" i="1" s="1"/>
  <c r="E27" i="1"/>
  <c r="F512" i="1"/>
  <c r="G67" i="1"/>
  <c r="F67" i="1" s="1"/>
  <c r="G121" i="1"/>
  <c r="F121" i="1" s="1"/>
  <c r="E7" i="1"/>
  <c r="G265" i="1"/>
  <c r="E8" i="1"/>
  <c r="G70" i="1"/>
  <c r="F70" i="1" s="1"/>
  <c r="D108" i="1"/>
  <c r="D177" i="1" s="1"/>
  <c r="F120" i="1"/>
  <c r="F116" i="1"/>
  <c r="F112" i="1"/>
  <c r="G257" i="1"/>
  <c r="F257" i="1" s="1"/>
  <c r="E34" i="1"/>
  <c r="F514" i="1"/>
  <c r="G72" i="1"/>
  <c r="F72" i="1" s="1"/>
  <c r="F118" i="1"/>
  <c r="G209" i="1"/>
  <c r="G230" i="1"/>
  <c r="F230" i="1" s="1"/>
  <c r="G71" i="1"/>
  <c r="F71" i="1" s="1"/>
  <c r="F117" i="1"/>
  <c r="F113" i="1"/>
  <c r="E210" i="1"/>
  <c r="G249" i="1"/>
  <c r="F249" i="1" s="1"/>
  <c r="G258" i="1"/>
  <c r="F258" i="1" s="1"/>
  <c r="G73" i="1"/>
  <c r="F73" i="1" s="1"/>
  <c r="G69" i="1"/>
  <c r="F69" i="1" s="1"/>
  <c r="F119" i="1"/>
  <c r="F115" i="1"/>
  <c r="E122" i="1"/>
  <c r="G208" i="1"/>
  <c r="G231" i="1"/>
  <c r="F231" i="1" s="1"/>
  <c r="E251" i="1"/>
  <c r="E260" i="1"/>
  <c r="E234" i="1"/>
  <c r="E46" i="1" s="1"/>
  <c r="D199" i="1"/>
  <c r="E197" i="1"/>
  <c r="D44" i="1"/>
  <c r="E167" i="1"/>
  <c r="E155" i="1"/>
  <c r="D37" i="1"/>
  <c r="F407" i="1"/>
  <c r="G317" i="1"/>
  <c r="F317" i="1" s="1"/>
  <c r="F399" i="1"/>
  <c r="E9" i="1"/>
  <c r="G334" i="1"/>
  <c r="F334" i="1" s="1"/>
  <c r="G314" i="1"/>
  <c r="F314" i="1" s="1"/>
  <c r="E300" i="1"/>
  <c r="C41" i="5"/>
  <c r="F209" i="1" l="1"/>
  <c r="F208" i="1"/>
  <c r="E224" i="1"/>
  <c r="I36" i="5"/>
  <c r="E175" i="1"/>
  <c r="E171" i="1"/>
  <c r="D336" i="1"/>
  <c r="F333" i="1"/>
  <c r="D169" i="1"/>
  <c r="D43" i="1" s="1"/>
  <c r="D45" i="1" s="1"/>
  <c r="D179" i="1"/>
  <c r="D472" i="1"/>
  <c r="D25" i="1" s="1"/>
  <c r="F35" i="1"/>
  <c r="G35" i="1"/>
  <c r="G34" i="1"/>
  <c r="C35" i="1"/>
  <c r="C34" i="1"/>
  <c r="G33" i="1"/>
  <c r="C33" i="1"/>
  <c r="F33" i="1"/>
  <c r="F34" i="1"/>
  <c r="D201" i="1" l="1"/>
  <c r="D262" i="1" s="1"/>
  <c r="G266" i="1"/>
  <c r="BB52" i="4" l="1"/>
  <c r="BC52" i="4"/>
  <c r="BD52" i="4"/>
  <c r="BB51" i="4"/>
  <c r="BC51" i="4"/>
  <c r="BD51" i="4"/>
  <c r="BB34" i="4"/>
  <c r="BC34" i="4"/>
  <c r="BD34" i="4"/>
  <c r="C51" i="4" l="1"/>
  <c r="C52" i="4"/>
  <c r="H464" i="1"/>
  <c r="H272" i="1"/>
  <c r="I272" i="1" s="1"/>
  <c r="I22" i="1"/>
  <c r="H516" i="1" l="1"/>
  <c r="H36" i="1" s="1"/>
  <c r="H515" i="1"/>
  <c r="H35" i="1" s="1"/>
  <c r="H507" i="1"/>
  <c r="H504" i="1"/>
  <c r="H503" i="1"/>
  <c r="H500" i="1"/>
  <c r="H493" i="1"/>
  <c r="H40" i="1" s="1"/>
  <c r="H490" i="1"/>
  <c r="H489" i="1"/>
  <c r="H488" i="1"/>
  <c r="H487" i="1"/>
  <c r="H485" i="1"/>
  <c r="H484" i="1"/>
  <c r="H483" i="1"/>
  <c r="H482" i="1"/>
  <c r="H481" i="1"/>
  <c r="H478" i="1"/>
  <c r="H477" i="1"/>
  <c r="H476" i="1"/>
  <c r="H469" i="1"/>
  <c r="H463" i="1"/>
  <c r="H436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13" i="1"/>
  <c r="H414" i="1"/>
  <c r="H415" i="1"/>
  <c r="H406" i="1"/>
  <c r="H407" i="1"/>
  <c r="H408" i="1"/>
  <c r="H435" i="1"/>
  <c r="H419" i="1"/>
  <c r="H405" i="1"/>
  <c r="H397" i="1"/>
  <c r="H398" i="1"/>
  <c r="H399" i="1"/>
  <c r="H400" i="1"/>
  <c r="H381" i="1"/>
  <c r="H382" i="1"/>
  <c r="H383" i="1"/>
  <c r="H384" i="1"/>
  <c r="H385" i="1"/>
  <c r="H386" i="1"/>
  <c r="H387" i="1"/>
  <c r="H388" i="1"/>
  <c r="H389" i="1"/>
  <c r="H390" i="1"/>
  <c r="H396" i="1"/>
  <c r="H380" i="1"/>
  <c r="H369" i="1"/>
  <c r="H370" i="1"/>
  <c r="H371" i="1"/>
  <c r="H372" i="1"/>
  <c r="H373" i="1"/>
  <c r="H374" i="1"/>
  <c r="H375" i="1"/>
  <c r="H376" i="1"/>
  <c r="H358" i="1"/>
  <c r="H359" i="1"/>
  <c r="H360" i="1"/>
  <c r="H361" i="1"/>
  <c r="H362" i="1"/>
  <c r="H368" i="1"/>
  <c r="H356" i="1"/>
  <c r="H342" i="1"/>
  <c r="H345" i="1"/>
  <c r="H346" i="1"/>
  <c r="H351" i="1"/>
  <c r="H352" i="1"/>
  <c r="H341" i="1"/>
  <c r="H333" i="1"/>
  <c r="H334" i="1"/>
  <c r="H335" i="1"/>
  <c r="H332" i="1"/>
  <c r="H323" i="1"/>
  <c r="H324" i="1"/>
  <c r="H325" i="1"/>
  <c r="H326" i="1"/>
  <c r="H309" i="1"/>
  <c r="H310" i="1"/>
  <c r="H311" i="1"/>
  <c r="H312" i="1"/>
  <c r="H313" i="1"/>
  <c r="H314" i="1"/>
  <c r="H315" i="1"/>
  <c r="H316" i="1"/>
  <c r="H317" i="1"/>
  <c r="H318" i="1"/>
  <c r="H319" i="1"/>
  <c r="H322" i="1"/>
  <c r="H308" i="1"/>
  <c r="H292" i="1"/>
  <c r="H293" i="1"/>
  <c r="H294" i="1"/>
  <c r="I294" i="1" s="1"/>
  <c r="H280" i="1"/>
  <c r="H282" i="1"/>
  <c r="H283" i="1"/>
  <c r="H284" i="1"/>
  <c r="H285" i="1"/>
  <c r="H286" i="1"/>
  <c r="H287" i="1"/>
  <c r="H277" i="1"/>
  <c r="H271" i="1"/>
  <c r="H9" i="1"/>
  <c r="H279" i="1"/>
  <c r="H270" i="1"/>
  <c r="H265" i="1"/>
  <c r="H7" i="1" s="1"/>
  <c r="H255" i="1"/>
  <c r="H256" i="1"/>
  <c r="H258" i="1"/>
  <c r="H259" i="1"/>
  <c r="H254" i="1"/>
  <c r="H52" i="1" s="1"/>
  <c r="H250" i="1"/>
  <c r="H249" i="1"/>
  <c r="H238" i="1"/>
  <c r="H240" i="1"/>
  <c r="H241" i="1"/>
  <c r="H246" i="1"/>
  <c r="H231" i="1"/>
  <c r="H232" i="1"/>
  <c r="H233" i="1"/>
  <c r="H230" i="1"/>
  <c r="H159" i="1"/>
  <c r="H160" i="1"/>
  <c r="H161" i="1"/>
  <c r="H162" i="1"/>
  <c r="H158" i="1"/>
  <c r="H221" i="1"/>
  <c r="H217" i="1"/>
  <c r="H213" i="1"/>
  <c r="H209" i="1"/>
  <c r="H220" i="1"/>
  <c r="H216" i="1"/>
  <c r="H212" i="1"/>
  <c r="H193" i="1"/>
  <c r="H192" i="1"/>
  <c r="H183" i="1"/>
  <c r="H184" i="1"/>
  <c r="H185" i="1"/>
  <c r="H144" i="1"/>
  <c r="H146" i="1"/>
  <c r="H147" i="1"/>
  <c r="H148" i="1"/>
  <c r="H149" i="1"/>
  <c r="H182" i="1"/>
  <c r="H143" i="1"/>
  <c r="H126" i="1"/>
  <c r="H127" i="1"/>
  <c r="H128" i="1"/>
  <c r="H129" i="1"/>
  <c r="H130" i="1"/>
  <c r="H131" i="1"/>
  <c r="H132" i="1"/>
  <c r="H133" i="1"/>
  <c r="H134" i="1"/>
  <c r="H135" i="1"/>
  <c r="H136" i="1"/>
  <c r="H138" i="1"/>
  <c r="H139" i="1"/>
  <c r="H112" i="1"/>
  <c r="H113" i="1"/>
  <c r="H114" i="1"/>
  <c r="H115" i="1"/>
  <c r="H116" i="1"/>
  <c r="H117" i="1"/>
  <c r="H118" i="1"/>
  <c r="H119" i="1"/>
  <c r="H120" i="1"/>
  <c r="H121" i="1"/>
  <c r="H125" i="1"/>
  <c r="H111" i="1"/>
  <c r="H107" i="1"/>
  <c r="H98" i="1"/>
  <c r="H99" i="1"/>
  <c r="H100" i="1"/>
  <c r="H101" i="1"/>
  <c r="H102" i="1"/>
  <c r="H103" i="1"/>
  <c r="H106" i="1"/>
  <c r="H97" i="1"/>
  <c r="H87" i="1"/>
  <c r="H88" i="1"/>
  <c r="H89" i="1"/>
  <c r="H90" i="1"/>
  <c r="H91" i="1"/>
  <c r="H92" i="1"/>
  <c r="H93" i="1"/>
  <c r="H78" i="1"/>
  <c r="H79" i="1"/>
  <c r="H80" i="1"/>
  <c r="H81" i="1"/>
  <c r="H82" i="1"/>
  <c r="H67" i="1"/>
  <c r="H68" i="1"/>
  <c r="H69" i="1"/>
  <c r="H70" i="1"/>
  <c r="H71" i="1"/>
  <c r="H72" i="1"/>
  <c r="H73" i="1"/>
  <c r="H61" i="1"/>
  <c r="H86" i="1"/>
  <c r="H66" i="1"/>
  <c r="BD492" i="4"/>
  <c r="BD29" i="4" s="1"/>
  <c r="BC492" i="4"/>
  <c r="BC29" i="4" s="1"/>
  <c r="BB492" i="4"/>
  <c r="BB29" i="4" s="1"/>
  <c r="BD463" i="4"/>
  <c r="BD475" i="4" s="1"/>
  <c r="BD26" i="4" s="1"/>
  <c r="BC463" i="4"/>
  <c r="BC475" i="4" s="1"/>
  <c r="BC26" i="4" s="1"/>
  <c r="BB463" i="4"/>
  <c r="BB475" i="4" s="1"/>
  <c r="BB26" i="4" s="1"/>
  <c r="BD454" i="4"/>
  <c r="BC454" i="4"/>
  <c r="BB454" i="4"/>
  <c r="BD419" i="4"/>
  <c r="BD423" i="4" s="1"/>
  <c r="BD432" i="4" s="1"/>
  <c r="BC419" i="4"/>
  <c r="BC423" i="4" s="1"/>
  <c r="BC432" i="4" s="1"/>
  <c r="BB419" i="4"/>
  <c r="BB423" i="4" s="1"/>
  <c r="BB432" i="4" s="1"/>
  <c r="BD402" i="4"/>
  <c r="BD19" i="4" s="1"/>
  <c r="BC402" i="4"/>
  <c r="BC19" i="4" s="1"/>
  <c r="BB402" i="4"/>
  <c r="BB19" i="4" s="1"/>
  <c r="BD395" i="4"/>
  <c r="BD20" i="4" s="1"/>
  <c r="BC395" i="4"/>
  <c r="BC20" i="4" s="1"/>
  <c r="BB395" i="4"/>
  <c r="BB20" i="4" s="1"/>
  <c r="BD388" i="4"/>
  <c r="BD18" i="4" s="1"/>
  <c r="BC388" i="4"/>
  <c r="BC18" i="4" s="1"/>
  <c r="BB388" i="4"/>
  <c r="BB18" i="4" s="1"/>
  <c r="BD377" i="4"/>
  <c r="BC377" i="4"/>
  <c r="BB377" i="4"/>
  <c r="BD364" i="4"/>
  <c r="BC364" i="4"/>
  <c r="BB364" i="4"/>
  <c r="BD349" i="4"/>
  <c r="BC349" i="4"/>
  <c r="BB349" i="4"/>
  <c r="BD339" i="4"/>
  <c r="BC339" i="4"/>
  <c r="BB339" i="4"/>
  <c r="BD323" i="4"/>
  <c r="BC323" i="4"/>
  <c r="BB323" i="4"/>
  <c r="BD314" i="4"/>
  <c r="BC314" i="4"/>
  <c r="BB314" i="4"/>
  <c r="BD307" i="4"/>
  <c r="BC307" i="4"/>
  <c r="BB307" i="4"/>
  <c r="BD275" i="4"/>
  <c r="BD289" i="4" s="1"/>
  <c r="BC275" i="4"/>
  <c r="BC289" i="4" s="1"/>
  <c r="BB275" i="4"/>
  <c r="BB289" i="4" s="1"/>
  <c r="BD260" i="4"/>
  <c r="BC260" i="4"/>
  <c r="BB260" i="4"/>
  <c r="BD247" i="4"/>
  <c r="BC247" i="4"/>
  <c r="BB247" i="4"/>
  <c r="BD238" i="4"/>
  <c r="BC238" i="4"/>
  <c r="BB238" i="4"/>
  <c r="BD221" i="4"/>
  <c r="BD46" i="4" s="1"/>
  <c r="BC221" i="4"/>
  <c r="BC46" i="4" s="1"/>
  <c r="BB221" i="4"/>
  <c r="BB46" i="4" s="1"/>
  <c r="BD163" i="4"/>
  <c r="BC163" i="4"/>
  <c r="BB163" i="4"/>
  <c r="BD212" i="4"/>
  <c r="BC212" i="4"/>
  <c r="BB212" i="4"/>
  <c r="BD208" i="4"/>
  <c r="BC208" i="4"/>
  <c r="BB208" i="4"/>
  <c r="BD204" i="4"/>
  <c r="BC204" i="4"/>
  <c r="BB204" i="4"/>
  <c r="BD200" i="4"/>
  <c r="BC200" i="4"/>
  <c r="BB200" i="4"/>
  <c r="BD196" i="4"/>
  <c r="BC196" i="4"/>
  <c r="BB196" i="4"/>
  <c r="BD187" i="4"/>
  <c r="BC187" i="4"/>
  <c r="BB187" i="4"/>
  <c r="BD176" i="4"/>
  <c r="BC176" i="4"/>
  <c r="BB176" i="4"/>
  <c r="BD167" i="4"/>
  <c r="BC167" i="4"/>
  <c r="BB167" i="4"/>
  <c r="BD155" i="4"/>
  <c r="BC155" i="4"/>
  <c r="BB155" i="4"/>
  <c r="BD140" i="4"/>
  <c r="BC140" i="4"/>
  <c r="BB140" i="4"/>
  <c r="BD122" i="4"/>
  <c r="BC122" i="4"/>
  <c r="BB122" i="4"/>
  <c r="BD104" i="4"/>
  <c r="BC104" i="4"/>
  <c r="BB104" i="4"/>
  <c r="BD94" i="4"/>
  <c r="BC94" i="4"/>
  <c r="BB94" i="4"/>
  <c r="BD83" i="4"/>
  <c r="BC83" i="4"/>
  <c r="BB83" i="4"/>
  <c r="BD74" i="4"/>
  <c r="BC74" i="4"/>
  <c r="BB74" i="4"/>
  <c r="BD62" i="4"/>
  <c r="BC62" i="4"/>
  <c r="BB62" i="4"/>
  <c r="BD50" i="4"/>
  <c r="BC50" i="4"/>
  <c r="BB50" i="4"/>
  <c r="BD48" i="4"/>
  <c r="BC48" i="4"/>
  <c r="BB48" i="4"/>
  <c r="BD47" i="4"/>
  <c r="BC47" i="4"/>
  <c r="BB47" i="4"/>
  <c r="BD40" i="4"/>
  <c r="BC40" i="4"/>
  <c r="BB40" i="4"/>
  <c r="BD36" i="4"/>
  <c r="BC36" i="4"/>
  <c r="BB36" i="4"/>
  <c r="BD35" i="4"/>
  <c r="BC35" i="4"/>
  <c r="BB35" i="4"/>
  <c r="BD28" i="4"/>
  <c r="BC28" i="4"/>
  <c r="BB28" i="4"/>
  <c r="BD9" i="4"/>
  <c r="BC9" i="4"/>
  <c r="BB9" i="4"/>
  <c r="BD8" i="4"/>
  <c r="BC8" i="4"/>
  <c r="BB8" i="4"/>
  <c r="BD7" i="4"/>
  <c r="BC7" i="4"/>
  <c r="BB7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C7" i="4" l="1"/>
  <c r="BC429" i="4"/>
  <c r="BD429" i="4"/>
  <c r="BB429" i="4"/>
  <c r="C50" i="4"/>
  <c r="C36" i="4"/>
  <c r="C35" i="4"/>
  <c r="C8" i="4"/>
  <c r="C40" i="4"/>
  <c r="C28" i="4"/>
  <c r="C48" i="4"/>
  <c r="C46" i="4"/>
  <c r="C29" i="4"/>
  <c r="C9" i="4"/>
  <c r="C47" i="4"/>
  <c r="H226" i="1"/>
  <c r="H344" i="1"/>
  <c r="H343" i="1"/>
  <c r="H497" i="1"/>
  <c r="H28" i="1" s="1"/>
  <c r="A282" i="4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H291" i="1"/>
  <c r="C287" i="4"/>
  <c r="H298" i="1" s="1"/>
  <c r="BB11" i="4"/>
  <c r="BB291" i="4"/>
  <c r="BC11" i="4"/>
  <c r="BC291" i="4"/>
  <c r="H276" i="1"/>
  <c r="H266" i="1"/>
  <c r="H8" i="1" s="1"/>
  <c r="BD11" i="4"/>
  <c r="BD291" i="4"/>
  <c r="H154" i="1"/>
  <c r="H150" i="1"/>
  <c r="H153" i="1"/>
  <c r="I161" i="1"/>
  <c r="H151" i="1"/>
  <c r="I159" i="1"/>
  <c r="H152" i="1"/>
  <c r="I160" i="1"/>
  <c r="C450" i="4"/>
  <c r="C187" i="4"/>
  <c r="I347" i="1"/>
  <c r="BB10" i="4"/>
  <c r="BD21" i="4"/>
  <c r="BC21" i="4"/>
  <c r="BB351" i="4"/>
  <c r="BB16" i="4" s="1"/>
  <c r="BD351" i="4"/>
  <c r="BD16" i="4" s="1"/>
  <c r="H237" i="1"/>
  <c r="H242" i="1" s="1"/>
  <c r="H48" i="1" s="1"/>
  <c r="C229" i="4"/>
  <c r="H245" i="1"/>
  <c r="H247" i="1" s="1"/>
  <c r="C234" i="4"/>
  <c r="H189" i="1"/>
  <c r="H194" i="1" s="1"/>
  <c r="C184" i="4"/>
  <c r="BC316" i="4"/>
  <c r="BC428" i="4" s="1"/>
  <c r="C454" i="4"/>
  <c r="BB21" i="4"/>
  <c r="BB108" i="4"/>
  <c r="BB169" i="4" s="1"/>
  <c r="C260" i="4"/>
  <c r="H465" i="1"/>
  <c r="BD189" i="4"/>
  <c r="H77" i="1"/>
  <c r="C83" i="4"/>
  <c r="BB44" i="4"/>
  <c r="BC10" i="4"/>
  <c r="H208" i="1"/>
  <c r="H227" i="1" s="1"/>
  <c r="H50" i="1" s="1"/>
  <c r="C200" i="4"/>
  <c r="H357" i="1"/>
  <c r="C349" i="4"/>
  <c r="H281" i="1"/>
  <c r="C275" i="4"/>
  <c r="BC108" i="4"/>
  <c r="BD108" i="4"/>
  <c r="BC189" i="4"/>
  <c r="BC44" i="4"/>
  <c r="C155" i="4"/>
  <c r="H145" i="1"/>
  <c r="C163" i="4"/>
  <c r="BB214" i="4"/>
  <c r="BD214" i="4"/>
  <c r="BB316" i="4"/>
  <c r="BB428" i="4" s="1"/>
  <c r="BD316" i="4"/>
  <c r="BD428" i="4" s="1"/>
  <c r="BC351" i="4"/>
  <c r="BC16" i="4" s="1"/>
  <c r="BC379" i="4"/>
  <c r="H60" i="1"/>
  <c r="C62" i="4"/>
  <c r="C208" i="4"/>
  <c r="H412" i="1"/>
  <c r="C402" i="4"/>
  <c r="BB379" i="4"/>
  <c r="BD379" i="4"/>
  <c r="C104" i="4"/>
  <c r="C395" i="4"/>
  <c r="H461" i="1"/>
  <c r="H462" i="1"/>
  <c r="BC431" i="4"/>
  <c r="C167" i="4"/>
  <c r="C204" i="4"/>
  <c r="H257" i="1"/>
  <c r="H51" i="1" s="1"/>
  <c r="C339" i="4"/>
  <c r="C94" i="4"/>
  <c r="C140" i="4"/>
  <c r="H137" i="1"/>
  <c r="C122" i="4"/>
  <c r="C196" i="4"/>
  <c r="C212" i="4"/>
  <c r="C221" i="4"/>
  <c r="C364" i="4"/>
  <c r="H377" i="1"/>
  <c r="C492" i="4"/>
  <c r="H501" i="1"/>
  <c r="C388" i="4"/>
  <c r="C176" i="4"/>
  <c r="C247" i="4"/>
  <c r="C74" i="4"/>
  <c r="C463" i="4"/>
  <c r="C475" i="4" s="1"/>
  <c r="C238" i="4"/>
  <c r="C314" i="4"/>
  <c r="C377" i="4"/>
  <c r="C307" i="4"/>
  <c r="C323" i="4"/>
  <c r="C419" i="4"/>
  <c r="C423" i="4" s="1"/>
  <c r="BB189" i="4"/>
  <c r="BC214" i="4"/>
  <c r="BB431" i="4"/>
  <c r="BD431" i="4"/>
  <c r="C19" i="4"/>
  <c r="C20" i="4"/>
  <c r="C26" i="4"/>
  <c r="C289" i="4" l="1"/>
  <c r="C291" i="4" s="1"/>
  <c r="BB325" i="4"/>
  <c r="BC12" i="4"/>
  <c r="A334" i="4"/>
  <c r="A335" i="4" s="1"/>
  <c r="A336" i="4" s="1"/>
  <c r="BB12" i="4"/>
  <c r="BC325" i="4"/>
  <c r="BC15" i="4" s="1"/>
  <c r="BD325" i="4"/>
  <c r="BD15" i="4" s="1"/>
  <c r="BC169" i="4"/>
  <c r="BC43" i="4" s="1"/>
  <c r="BC45" i="4" s="1"/>
  <c r="BD169" i="4"/>
  <c r="BD43" i="4" s="1"/>
  <c r="BB43" i="4"/>
  <c r="BB45" i="4" s="1"/>
  <c r="H163" i="1"/>
  <c r="BD10" i="4"/>
  <c r="BD12" i="4" s="1"/>
  <c r="H47" i="1"/>
  <c r="BB191" i="4"/>
  <c r="BB249" i="4" s="1"/>
  <c r="C379" i="4"/>
  <c r="C108" i="4"/>
  <c r="C169" i="4" s="1"/>
  <c r="BD44" i="4"/>
  <c r="C214" i="4"/>
  <c r="C351" i="4"/>
  <c r="H466" i="1"/>
  <c r="C189" i="4"/>
  <c r="BB430" i="4"/>
  <c r="BB433" i="4" s="1"/>
  <c r="BB434" i="4" s="1"/>
  <c r="BB49" i="4" s="1"/>
  <c r="BB17" i="4"/>
  <c r="BC456" i="4"/>
  <c r="BC25" i="4" s="1"/>
  <c r="BD430" i="4"/>
  <c r="BD433" i="4" s="1"/>
  <c r="BD434" i="4" s="1"/>
  <c r="BD49" i="4" s="1"/>
  <c r="BD17" i="4"/>
  <c r="BC430" i="4"/>
  <c r="BC433" i="4" s="1"/>
  <c r="BC434" i="4" s="1"/>
  <c r="BC49" i="4" s="1"/>
  <c r="BC17" i="4"/>
  <c r="C10" i="5"/>
  <c r="C316" i="4"/>
  <c r="C325" i="4" s="1"/>
  <c r="BB456" i="4"/>
  <c r="BB25" i="4" s="1"/>
  <c r="BD456" i="4"/>
  <c r="BD25" i="4" s="1"/>
  <c r="C428" i="4"/>
  <c r="C11" i="4"/>
  <c r="C432" i="4"/>
  <c r="C21" i="4"/>
  <c r="C44" i="4" l="1"/>
  <c r="C425" i="4"/>
  <c r="C430" i="4"/>
  <c r="H446" i="1" s="1"/>
  <c r="H448" i="1"/>
  <c r="A337" i="4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C10" i="4"/>
  <c r="BD191" i="4"/>
  <c r="BD249" i="4" s="1"/>
  <c r="BD45" i="4"/>
  <c r="BD53" i="4" s="1"/>
  <c r="BC191" i="4"/>
  <c r="BC249" i="4" s="1"/>
  <c r="BC425" i="4"/>
  <c r="BD425" i="4"/>
  <c r="C191" i="4"/>
  <c r="C249" i="4" s="1"/>
  <c r="BC23" i="4"/>
  <c r="BC496" i="4" s="1"/>
  <c r="BC497" i="4" s="1"/>
  <c r="BC33" i="4" s="1"/>
  <c r="BC37" i="4" s="1"/>
  <c r="C17" i="4"/>
  <c r="BB15" i="4"/>
  <c r="BB23" i="4" s="1"/>
  <c r="BB496" i="4" s="1"/>
  <c r="BB425" i="4"/>
  <c r="BD23" i="4"/>
  <c r="BD496" i="4" s="1"/>
  <c r="C47" i="1"/>
  <c r="C45" i="4" l="1"/>
  <c r="C43" i="4"/>
  <c r="C15" i="4"/>
  <c r="H444" i="1"/>
  <c r="C12" i="4"/>
  <c r="BB497" i="4"/>
  <c r="BB33" i="4" s="1"/>
  <c r="BB37" i="4" s="1"/>
  <c r="BB27" i="4"/>
  <c r="BB30" i="4" s="1"/>
  <c r="BC27" i="4"/>
  <c r="BC30" i="4" s="1"/>
  <c r="BC39" i="4" s="1"/>
  <c r="BC41" i="4" s="1"/>
  <c r="BC501" i="4"/>
  <c r="BD497" i="4"/>
  <c r="BD27" i="4"/>
  <c r="BD30" i="4" s="1"/>
  <c r="I51" i="1"/>
  <c r="F497" i="1"/>
  <c r="F462" i="1"/>
  <c r="F455" i="1"/>
  <c r="BB39" i="4" l="1"/>
  <c r="BB41" i="4" s="1"/>
  <c r="BB501" i="4"/>
  <c r="BD501" i="4"/>
  <c r="BD33" i="4"/>
  <c r="BD37" i="4" s="1"/>
  <c r="BD39" i="4" s="1"/>
  <c r="BD41" i="4" s="1"/>
  <c r="C458" i="1"/>
  <c r="E457" i="1" l="1"/>
  <c r="BC53" i="4"/>
  <c r="K20" i="13" s="1"/>
  <c r="K24" i="13" l="1"/>
  <c r="K14" i="13"/>
  <c r="AA14" i="13" s="1"/>
  <c r="K12" i="13"/>
  <c r="AA12" i="13" s="1"/>
  <c r="K18" i="13"/>
  <c r="AA18" i="13" s="1"/>
  <c r="A484" i="4"/>
  <c r="A485" i="4" s="1"/>
  <c r="E458" i="1"/>
  <c r="E472" i="1" s="1"/>
  <c r="E25" i="1" s="1"/>
  <c r="F414" i="1"/>
  <c r="F415" i="1"/>
  <c r="F412" i="1"/>
  <c r="AA20" i="13" l="1"/>
  <c r="AA24" i="13" s="1"/>
  <c r="A486" i="4"/>
  <c r="A487" i="4" s="1"/>
  <c r="A488" i="4" s="1"/>
  <c r="A489" i="4" l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C8" i="1"/>
  <c r="A8" i="1"/>
  <c r="A9" i="1" s="1"/>
  <c r="A10" i="1" s="1"/>
  <c r="C9" i="1"/>
  <c r="D271" i="1" l="1"/>
  <c r="D273" i="1" s="1"/>
  <c r="D11" i="1" s="1"/>
  <c r="D12" i="1" s="1"/>
  <c r="F238" i="1"/>
  <c r="E284" i="1"/>
  <c r="F8" i="1"/>
  <c r="D304" i="1" l="1"/>
  <c r="E271" i="1"/>
  <c r="F271" i="1" s="1"/>
  <c r="E288" i="1"/>
  <c r="E302" i="1" s="1"/>
  <c r="E10" i="1" s="1"/>
  <c r="I266" i="1"/>
  <c r="G8" i="1"/>
  <c r="I8" i="1" s="1"/>
  <c r="I271" i="1" l="1"/>
  <c r="E273" i="1"/>
  <c r="E11" i="1" s="1"/>
  <c r="E12" i="1" s="1"/>
  <c r="E304" i="1" l="1"/>
  <c r="D508" i="1"/>
  <c r="D29" i="1" s="1"/>
  <c r="E504" i="1" l="1"/>
  <c r="G504" i="1" s="1"/>
  <c r="E237" i="1"/>
  <c r="E242" i="1" s="1"/>
  <c r="E48" i="1" s="1"/>
  <c r="C167" i="1"/>
  <c r="C197" i="1"/>
  <c r="E185" i="1"/>
  <c r="F504" i="1" l="1"/>
  <c r="E508" i="1"/>
  <c r="E29" i="1" s="1"/>
  <c r="E184" i="1"/>
  <c r="E182" i="1"/>
  <c r="G182" i="1" s="1"/>
  <c r="E183" i="1"/>
  <c r="E189" i="1"/>
  <c r="C194" i="1"/>
  <c r="G237" i="1"/>
  <c r="C186" i="1"/>
  <c r="E66" i="1"/>
  <c r="E194" i="1" l="1"/>
  <c r="G189" i="1"/>
  <c r="E186" i="1"/>
  <c r="F182" i="1"/>
  <c r="F237" i="1"/>
  <c r="G66" i="1"/>
  <c r="E74" i="1"/>
  <c r="E516" i="1"/>
  <c r="E478" i="1"/>
  <c r="E477" i="1"/>
  <c r="E476" i="1"/>
  <c r="F66" i="1" l="1"/>
  <c r="G74" i="1"/>
  <c r="E479" i="1"/>
  <c r="E36" i="1"/>
  <c r="E37" i="1" s="1"/>
  <c r="F516" i="1"/>
  <c r="E517" i="1"/>
  <c r="D435" i="1"/>
  <c r="E435" i="1" s="1"/>
  <c r="F435" i="1" s="1"/>
  <c r="E481" i="1"/>
  <c r="E488" i="1"/>
  <c r="G488" i="1" s="1"/>
  <c r="F488" i="1" s="1"/>
  <c r="E490" i="1"/>
  <c r="E487" i="1"/>
  <c r="G487" i="1" s="1"/>
  <c r="F487" i="1" s="1"/>
  <c r="E483" i="1"/>
  <c r="G483" i="1" s="1"/>
  <c r="F483" i="1" s="1"/>
  <c r="E489" i="1"/>
  <c r="E482" i="1"/>
  <c r="E484" i="1"/>
  <c r="E491" i="1" l="1"/>
  <c r="E26" i="1" s="1"/>
  <c r="D424" i="1" l="1"/>
  <c r="E424" i="1" s="1"/>
  <c r="F424" i="1" s="1"/>
  <c r="E405" i="1"/>
  <c r="G405" i="1" s="1"/>
  <c r="E397" i="1"/>
  <c r="G397" i="1" s="1"/>
  <c r="E377" i="1"/>
  <c r="E357" i="1"/>
  <c r="C26" i="5"/>
  <c r="E349" i="1"/>
  <c r="E352" i="1"/>
  <c r="E342" i="1"/>
  <c r="E335" i="1"/>
  <c r="C16" i="5"/>
  <c r="C14" i="5"/>
  <c r="C9" i="5" l="1"/>
  <c r="G335" i="1"/>
  <c r="F335" i="1" s="1"/>
  <c r="E336" i="1"/>
  <c r="C28" i="5"/>
  <c r="D422" i="1"/>
  <c r="E422" i="1" s="1"/>
  <c r="F422" i="1" s="1"/>
  <c r="D431" i="1"/>
  <c r="E431" i="1" s="1"/>
  <c r="F431" i="1" s="1"/>
  <c r="F397" i="1"/>
  <c r="E413" i="1"/>
  <c r="D430" i="1"/>
  <c r="E430" i="1" s="1"/>
  <c r="F430" i="1" s="1"/>
  <c r="E362" i="1"/>
  <c r="C44" i="5"/>
  <c r="G39" i="5"/>
  <c r="D420" i="1"/>
  <c r="D425" i="1"/>
  <c r="E425" i="1" s="1"/>
  <c r="F425" i="1" s="1"/>
  <c r="D432" i="1"/>
  <c r="E432" i="1" s="1"/>
  <c r="F432" i="1" s="1"/>
  <c r="F405" i="1"/>
  <c r="D421" i="1"/>
  <c r="E421" i="1" s="1"/>
  <c r="F421" i="1" s="1"/>
  <c r="E428" i="1"/>
  <c r="C50" i="5"/>
  <c r="I50" i="5" s="1"/>
  <c r="C409" i="1"/>
  <c r="C48" i="5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G517" i="1"/>
  <c r="I516" i="1"/>
  <c r="C36" i="1"/>
  <c r="F27" i="1"/>
  <c r="I501" i="1"/>
  <c r="I497" i="1"/>
  <c r="C28" i="1"/>
  <c r="I483" i="1"/>
  <c r="I429" i="1"/>
  <c r="I314" i="1"/>
  <c r="I277" i="1"/>
  <c r="I276" i="1"/>
  <c r="I258" i="1"/>
  <c r="I257" i="1"/>
  <c r="I255" i="1"/>
  <c r="I209" i="1"/>
  <c r="I135" i="1"/>
  <c r="I127" i="1"/>
  <c r="I126" i="1"/>
  <c r="I125" i="1"/>
  <c r="G83" i="1"/>
  <c r="F83" i="1"/>
  <c r="I82" i="1"/>
  <c r="E82" i="1"/>
  <c r="I81" i="1"/>
  <c r="E81" i="1"/>
  <c r="I80" i="1"/>
  <c r="E80" i="1"/>
  <c r="I79" i="1"/>
  <c r="E79" i="1"/>
  <c r="I78" i="1"/>
  <c r="E78" i="1"/>
  <c r="E77" i="1"/>
  <c r="G36" i="1"/>
  <c r="I36" i="1" s="1"/>
  <c r="E25" i="8" s="1"/>
  <c r="I25" i="8" s="1"/>
  <c r="I35" i="1"/>
  <c r="G28" i="1"/>
  <c r="I28" i="1" s="1"/>
  <c r="G27" i="1"/>
  <c r="C7" i="1"/>
  <c r="A171" i="1" l="1"/>
  <c r="A172" i="1" s="1"/>
  <c r="A173" i="1" s="1"/>
  <c r="A174" i="1" s="1"/>
  <c r="A175" i="1" s="1"/>
  <c r="A176" i="1" s="1"/>
  <c r="A177" i="1" s="1"/>
  <c r="A178" i="1" s="1"/>
  <c r="A179" i="1" s="1"/>
  <c r="A180" i="1" s="1"/>
  <c r="G428" i="1"/>
  <c r="F428" i="1" s="1"/>
  <c r="G51" i="5"/>
  <c r="I51" i="5" s="1"/>
  <c r="G22" i="5"/>
  <c r="I22" i="5" s="1"/>
  <c r="G9" i="5"/>
  <c r="E83" i="1"/>
  <c r="E108" i="1" s="1"/>
  <c r="E169" i="1" s="1"/>
  <c r="E420" i="1"/>
  <c r="D433" i="1"/>
  <c r="D437" i="1" s="1"/>
  <c r="D448" i="1" s="1"/>
  <c r="E416" i="1"/>
  <c r="E19" i="1" s="1"/>
  <c r="G413" i="1"/>
  <c r="F413" i="1" s="1"/>
  <c r="F416" i="1" s="1"/>
  <c r="F19" i="1" s="1"/>
  <c r="C18" i="5"/>
  <c r="C31" i="5" s="1"/>
  <c r="G15" i="5"/>
  <c r="G45" i="5"/>
  <c r="D376" i="1" s="1"/>
  <c r="G44" i="5"/>
  <c r="I44" i="5" s="1"/>
  <c r="G11" i="5"/>
  <c r="G25" i="5"/>
  <c r="G13" i="5"/>
  <c r="G14" i="5"/>
  <c r="G10" i="5"/>
  <c r="D310" i="1" s="1"/>
  <c r="E310" i="1" s="1"/>
  <c r="G12" i="5"/>
  <c r="D312" i="1" s="1"/>
  <c r="E312" i="1" s="1"/>
  <c r="G312" i="1" s="1"/>
  <c r="G48" i="5"/>
  <c r="D406" i="1" s="1"/>
  <c r="G23" i="5"/>
  <c r="G26" i="5"/>
  <c r="G46" i="5"/>
  <c r="D383" i="1" s="1"/>
  <c r="D361" i="1"/>
  <c r="G16" i="5"/>
  <c r="G24" i="5"/>
  <c r="G47" i="5"/>
  <c r="D398" i="1" s="1"/>
  <c r="I462" i="1"/>
  <c r="H186" i="1"/>
  <c r="I488" i="1"/>
  <c r="I503" i="1"/>
  <c r="C27" i="1"/>
  <c r="F36" i="1"/>
  <c r="I115" i="1"/>
  <c r="I119" i="1"/>
  <c r="I238" i="1"/>
  <c r="I425" i="1"/>
  <c r="I112" i="1"/>
  <c r="I116" i="1"/>
  <c r="I120" i="1"/>
  <c r="I231" i="1"/>
  <c r="H251" i="1"/>
  <c r="I436" i="1"/>
  <c r="I98" i="1"/>
  <c r="I208" i="1"/>
  <c r="I431" i="1"/>
  <c r="F28" i="1"/>
  <c r="H104" i="1"/>
  <c r="H273" i="1"/>
  <c r="H11" i="1" s="1"/>
  <c r="I66" i="1"/>
  <c r="I87" i="1"/>
  <c r="I91" i="1"/>
  <c r="I99" i="1"/>
  <c r="I230" i="1"/>
  <c r="I282" i="1"/>
  <c r="I426" i="1"/>
  <c r="I427" i="1"/>
  <c r="I487" i="1"/>
  <c r="I70" i="1"/>
  <c r="H83" i="1"/>
  <c r="I67" i="1"/>
  <c r="I114" i="1"/>
  <c r="I118" i="1"/>
  <c r="H218" i="1"/>
  <c r="I259" i="1"/>
  <c r="I333" i="1"/>
  <c r="I421" i="1"/>
  <c r="I430" i="1"/>
  <c r="I256" i="1"/>
  <c r="I71" i="1"/>
  <c r="H94" i="1"/>
  <c r="I89" i="1"/>
  <c r="I93" i="1"/>
  <c r="I113" i="1"/>
  <c r="I117" i="1"/>
  <c r="I317" i="1"/>
  <c r="G94" i="1"/>
  <c r="I68" i="1"/>
  <c r="I73" i="1"/>
  <c r="C83" i="1"/>
  <c r="I86" i="1"/>
  <c r="I90" i="1"/>
  <c r="I101" i="1"/>
  <c r="I102" i="1"/>
  <c r="G37" i="1"/>
  <c r="I72" i="1"/>
  <c r="H74" i="1"/>
  <c r="I77" i="1"/>
  <c r="I83" i="1" s="1"/>
  <c r="I88" i="1"/>
  <c r="I92" i="1"/>
  <c r="I103" i="1"/>
  <c r="G104" i="1"/>
  <c r="I100" i="1"/>
  <c r="H122" i="1"/>
  <c r="H260" i="1"/>
  <c r="H234" i="1"/>
  <c r="H46" i="1" s="1"/>
  <c r="H288" i="1"/>
  <c r="I422" i="1"/>
  <c r="I435" i="1"/>
  <c r="G336" i="1"/>
  <c r="I335" i="1"/>
  <c r="H416" i="1"/>
  <c r="H19" i="1" s="1"/>
  <c r="I423" i="1"/>
  <c r="I334" i="1"/>
  <c r="H378" i="1"/>
  <c r="H479" i="1"/>
  <c r="H491" i="1" s="1"/>
  <c r="H26" i="1" s="1"/>
  <c r="F517" i="1"/>
  <c r="H214" i="1"/>
  <c r="H363" i="1"/>
  <c r="F104" i="1"/>
  <c r="I111" i="1"/>
  <c r="H140" i="1"/>
  <c r="H173" i="1" s="1"/>
  <c r="H155" i="1"/>
  <c r="G210" i="1"/>
  <c r="I237" i="1"/>
  <c r="I291" i="1"/>
  <c r="I182" i="1"/>
  <c r="I249" i="1"/>
  <c r="H320" i="1"/>
  <c r="H62" i="1"/>
  <c r="C37" i="1"/>
  <c r="H206" i="1"/>
  <c r="H300" i="1"/>
  <c r="F94" i="1"/>
  <c r="I97" i="1"/>
  <c r="H210" i="1"/>
  <c r="H222" i="1"/>
  <c r="I279" i="1"/>
  <c r="H353" i="1"/>
  <c r="H433" i="1"/>
  <c r="I419" i="1"/>
  <c r="I420" i="1"/>
  <c r="I432" i="1"/>
  <c r="H336" i="1"/>
  <c r="H409" i="1"/>
  <c r="H20" i="1" s="1"/>
  <c r="I504" i="1"/>
  <c r="I332" i="1"/>
  <c r="H391" i="1"/>
  <c r="H402" i="1"/>
  <c r="H18" i="1" s="1"/>
  <c r="H470" i="1"/>
  <c r="I412" i="1"/>
  <c r="I424" i="1"/>
  <c r="H508" i="1"/>
  <c r="H29" i="1" s="1"/>
  <c r="H224" i="1" l="1"/>
  <c r="H437" i="1"/>
  <c r="H21" i="1" s="1"/>
  <c r="G433" i="1"/>
  <c r="G437" i="1" s="1"/>
  <c r="I428" i="1"/>
  <c r="I433" i="1" s="1"/>
  <c r="I437" i="1" s="1"/>
  <c r="H175" i="1"/>
  <c r="H171" i="1"/>
  <c r="E179" i="1"/>
  <c r="E177" i="1"/>
  <c r="E43" i="1"/>
  <c r="G310" i="1"/>
  <c r="I312" i="1"/>
  <c r="F312" i="1"/>
  <c r="E361" i="1"/>
  <c r="D363" i="1"/>
  <c r="D322" i="1"/>
  <c r="G28" i="5"/>
  <c r="G41" i="5"/>
  <c r="I39" i="5"/>
  <c r="I41" i="5" s="1"/>
  <c r="I15" i="5"/>
  <c r="D318" i="1"/>
  <c r="E318" i="1" s="1"/>
  <c r="G318" i="1" s="1"/>
  <c r="F420" i="1"/>
  <c r="F433" i="1" s="1"/>
  <c r="F437" i="1" s="1"/>
  <c r="F448" i="1" s="1"/>
  <c r="E433" i="1"/>
  <c r="E437" i="1" s="1"/>
  <c r="D402" i="1"/>
  <c r="E398" i="1"/>
  <c r="G398" i="1" s="1"/>
  <c r="G18" i="5"/>
  <c r="D308" i="1"/>
  <c r="E308" i="1" s="1"/>
  <c r="G308" i="1" s="1"/>
  <c r="D316" i="1"/>
  <c r="E316" i="1" s="1"/>
  <c r="G316" i="1" s="1"/>
  <c r="I14" i="5"/>
  <c r="I11" i="5"/>
  <c r="D311" i="1"/>
  <c r="E311" i="1" s="1"/>
  <c r="G311" i="1" s="1"/>
  <c r="D351" i="1"/>
  <c r="I413" i="1"/>
  <c r="I24" i="5"/>
  <c r="D324" i="1"/>
  <c r="E324" i="1" s="1"/>
  <c r="G324" i="1" s="1"/>
  <c r="D326" i="1"/>
  <c r="E326" i="1" s="1"/>
  <c r="G326" i="1" s="1"/>
  <c r="I26" i="5"/>
  <c r="I13" i="5"/>
  <c r="D315" i="1"/>
  <c r="E315" i="1" s="1"/>
  <c r="G315" i="1" s="1"/>
  <c r="I12" i="5"/>
  <c r="D409" i="1"/>
  <c r="D20" i="1" s="1"/>
  <c r="E406" i="1"/>
  <c r="G406" i="1" s="1"/>
  <c r="D391" i="1"/>
  <c r="E383" i="1"/>
  <c r="E391" i="1" s="1"/>
  <c r="D319" i="1"/>
  <c r="E319" i="1" s="1"/>
  <c r="G319" i="1" s="1"/>
  <c r="I16" i="5"/>
  <c r="I23" i="5"/>
  <c r="D323" i="1"/>
  <c r="E323" i="1" s="1"/>
  <c r="G323" i="1" s="1"/>
  <c r="E309" i="1"/>
  <c r="G309" i="1" s="1"/>
  <c r="I10" i="5"/>
  <c r="D325" i="1"/>
  <c r="E325" i="1" s="1"/>
  <c r="G325" i="1" s="1"/>
  <c r="I25" i="5"/>
  <c r="E376" i="1"/>
  <c r="E378" i="1" s="1"/>
  <c r="D378" i="1"/>
  <c r="I9" i="5"/>
  <c r="D21" i="1"/>
  <c r="I48" i="5"/>
  <c r="C273" i="1"/>
  <c r="H365" i="1"/>
  <c r="H16" i="1" s="1"/>
  <c r="C517" i="1"/>
  <c r="C234" i="1"/>
  <c r="C46" i="1" s="1"/>
  <c r="C218" i="1"/>
  <c r="F470" i="1"/>
  <c r="C327" i="1"/>
  <c r="F37" i="1"/>
  <c r="C20" i="1"/>
  <c r="I210" i="1"/>
  <c r="H302" i="1"/>
  <c r="C94" i="1"/>
  <c r="I94" i="1"/>
  <c r="C288" i="1"/>
  <c r="C302" i="1" s="1"/>
  <c r="H108" i="1"/>
  <c r="H177" i="1" s="1"/>
  <c r="F336" i="1"/>
  <c r="C62" i="1"/>
  <c r="I336" i="1"/>
  <c r="C104" i="1"/>
  <c r="C433" i="1"/>
  <c r="C437" i="1" s="1"/>
  <c r="C470" i="1"/>
  <c r="C472" i="1" s="1"/>
  <c r="C378" i="1"/>
  <c r="C45" i="5" s="1"/>
  <c r="I45" i="5" s="1"/>
  <c r="C336" i="1"/>
  <c r="C206" i="1"/>
  <c r="H393" i="1"/>
  <c r="H17" i="1" s="1"/>
  <c r="I104" i="1"/>
  <c r="C210" i="1"/>
  <c r="F210" i="1"/>
  <c r="I250" i="1"/>
  <c r="C479" i="1"/>
  <c r="C155" i="1"/>
  <c r="C391" i="1"/>
  <c r="C46" i="5" s="1"/>
  <c r="I46" i="5" s="1"/>
  <c r="C214" i="1"/>
  <c r="C29" i="1"/>
  <c r="C222" i="1"/>
  <c r="C402" i="1"/>
  <c r="C47" i="5" s="1"/>
  <c r="I47" i="5" s="1"/>
  <c r="H327" i="1"/>
  <c r="H329" i="1" s="1"/>
  <c r="H338" i="1" s="1"/>
  <c r="C140" i="1"/>
  <c r="C173" i="1" s="1"/>
  <c r="C224" i="1" l="1"/>
  <c r="E21" i="1"/>
  <c r="E448" i="1"/>
  <c r="G448" i="1"/>
  <c r="I448" i="1" s="1"/>
  <c r="D18" i="1"/>
  <c r="D447" i="1"/>
  <c r="G21" i="1"/>
  <c r="I21" i="1" s="1"/>
  <c r="F310" i="1"/>
  <c r="I310" i="1"/>
  <c r="C304" i="1"/>
  <c r="H169" i="1"/>
  <c r="H43" i="1" s="1"/>
  <c r="H179" i="1"/>
  <c r="G31" i="5"/>
  <c r="G53" i="5" s="1"/>
  <c r="E393" i="1"/>
  <c r="I28" i="5"/>
  <c r="D393" i="1"/>
  <c r="E363" i="1"/>
  <c r="F324" i="1"/>
  <c r="I324" i="1"/>
  <c r="F316" i="1"/>
  <c r="I316" i="1"/>
  <c r="F309" i="1"/>
  <c r="I309" i="1"/>
  <c r="F319" i="1"/>
  <c r="I319" i="1"/>
  <c r="F406" i="1"/>
  <c r="E409" i="1"/>
  <c r="E20" i="1" s="1"/>
  <c r="F311" i="1"/>
  <c r="I311" i="1"/>
  <c r="D320" i="1"/>
  <c r="E322" i="1"/>
  <c r="D327" i="1"/>
  <c r="D394" i="1" s="1"/>
  <c r="F323" i="1"/>
  <c r="I323" i="1"/>
  <c r="F315" i="1"/>
  <c r="I315" i="1"/>
  <c r="E351" i="1"/>
  <c r="D353" i="1"/>
  <c r="C491" i="1"/>
  <c r="C26" i="1" s="1"/>
  <c r="I18" i="5"/>
  <c r="F325" i="1"/>
  <c r="I325" i="1"/>
  <c r="F326" i="1"/>
  <c r="I326" i="1"/>
  <c r="F398" i="1"/>
  <c r="E402" i="1"/>
  <c r="F318" i="1"/>
  <c r="I318" i="1"/>
  <c r="C11" i="1"/>
  <c r="H10" i="1"/>
  <c r="H12" i="1" s="1"/>
  <c r="C18" i="1"/>
  <c r="C21" i="1"/>
  <c r="C448" i="1"/>
  <c r="H304" i="1"/>
  <c r="H44" i="1"/>
  <c r="C393" i="1"/>
  <c r="C446" i="1" s="1"/>
  <c r="I251" i="1"/>
  <c r="C251" i="1"/>
  <c r="H199" i="1"/>
  <c r="F251" i="1"/>
  <c r="F21" i="1"/>
  <c r="I107" i="1"/>
  <c r="E18" i="1" l="1"/>
  <c r="E447" i="1"/>
  <c r="D365" i="1"/>
  <c r="D16" i="1" s="1"/>
  <c r="D445" i="1"/>
  <c r="E17" i="1"/>
  <c r="E446" i="1"/>
  <c r="D17" i="1"/>
  <c r="D446" i="1"/>
  <c r="H201" i="1"/>
  <c r="H262" i="1" s="1"/>
  <c r="I31" i="5"/>
  <c r="F308" i="1"/>
  <c r="I308" i="1"/>
  <c r="D329" i="1"/>
  <c r="D444" i="1" s="1"/>
  <c r="E327" i="1"/>
  <c r="E394" i="1" s="1"/>
  <c r="G322" i="1"/>
  <c r="H45" i="1"/>
  <c r="H15" i="1"/>
  <c r="H439" i="1"/>
  <c r="H441" i="1" s="1"/>
  <c r="C10" i="1"/>
  <c r="C12" i="1" s="1"/>
  <c r="C17" i="1"/>
  <c r="D449" i="1" l="1"/>
  <c r="D450" i="1" s="1"/>
  <c r="D49" i="1" s="1"/>
  <c r="D53" i="1" s="1"/>
  <c r="D338" i="1"/>
  <c r="F322" i="1"/>
  <c r="F327" i="1" s="1"/>
  <c r="I322" i="1"/>
  <c r="I327" i="1" s="1"/>
  <c r="G327" i="1"/>
  <c r="H23" i="1"/>
  <c r="D15" i="1" l="1"/>
  <c r="D23" i="1" s="1"/>
  <c r="D30" i="1" s="1"/>
  <c r="D39" i="1" s="1"/>
  <c r="D41" i="1" s="1"/>
  <c r="D439" i="1"/>
  <c r="D441" i="1" s="1"/>
  <c r="A181" i="1"/>
  <c r="A182" i="1" s="1"/>
  <c r="A183" i="1" s="1"/>
  <c r="A184" i="1" s="1"/>
  <c r="A185" i="1" s="1"/>
  <c r="A186" i="1" l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C25" i="1"/>
  <c r="A230" i="1" l="1"/>
  <c r="A231" i="1" s="1"/>
  <c r="A232" i="1" s="1"/>
  <c r="A233" i="1" s="1"/>
  <c r="A234" i="1" s="1"/>
  <c r="A235" i="1" s="1"/>
  <c r="A236" i="1" s="1"/>
  <c r="A237" i="1" s="1"/>
  <c r="A238" i="1" s="1"/>
  <c r="BB53" i="4"/>
  <c r="A239" i="1" l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l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l="1"/>
  <c r="A349" i="1" l="1"/>
  <c r="A350" i="1" s="1"/>
  <c r="A351" i="1" l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l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F74" i="1" l="1"/>
  <c r="I69" i="1" l="1"/>
  <c r="I74" i="1" s="1"/>
  <c r="C74" i="1"/>
  <c r="C108" i="1" s="1"/>
  <c r="F122" i="1"/>
  <c r="C122" i="1"/>
  <c r="I128" i="1"/>
  <c r="I129" i="1"/>
  <c r="I130" i="1"/>
  <c r="I131" i="1"/>
  <c r="I132" i="1"/>
  <c r="I133" i="1"/>
  <c r="I134" i="1"/>
  <c r="I136" i="1"/>
  <c r="I137" i="1"/>
  <c r="I138" i="1"/>
  <c r="I139" i="1"/>
  <c r="F140" i="1"/>
  <c r="F173" i="1" s="1"/>
  <c r="C171" i="1" l="1"/>
  <c r="C175" i="1"/>
  <c r="F171" i="1"/>
  <c r="F175" i="1"/>
  <c r="C177" i="1"/>
  <c r="C169" i="1"/>
  <c r="C43" i="1" s="1"/>
  <c r="C179" i="1"/>
  <c r="I121" i="1"/>
  <c r="I122" i="1" s="1"/>
  <c r="G122" i="1"/>
  <c r="I140" i="1"/>
  <c r="I173" i="1" s="1"/>
  <c r="G140" i="1"/>
  <c r="G173" i="1" s="1"/>
  <c r="G18" i="3" s="1"/>
  <c r="G495" i="1" s="1"/>
  <c r="F495" i="1" s="1"/>
  <c r="G285" i="1" l="1"/>
  <c r="G281" i="1"/>
  <c r="G241" i="1"/>
  <c r="G299" i="1"/>
  <c r="I299" i="1" s="1"/>
  <c r="G286" i="1"/>
  <c r="G284" i="1"/>
  <c r="G171" i="1"/>
  <c r="G175" i="1"/>
  <c r="I175" i="1"/>
  <c r="I171" i="1"/>
  <c r="G16" i="3" l="1"/>
  <c r="G343" i="1" s="1"/>
  <c r="J171" i="1"/>
  <c r="G20" i="3"/>
  <c r="G486" i="1" s="1"/>
  <c r="J175" i="1"/>
  <c r="F343" i="1"/>
  <c r="I343" i="1"/>
  <c r="G494" i="1"/>
  <c r="F299" i="1"/>
  <c r="F284" i="1"/>
  <c r="I284" i="1"/>
  <c r="F281" i="1"/>
  <c r="I281" i="1"/>
  <c r="G183" i="1"/>
  <c r="G287" i="1"/>
  <c r="G283" i="1"/>
  <c r="F286" i="1"/>
  <c r="I286" i="1"/>
  <c r="F285" i="1"/>
  <c r="I285" i="1"/>
  <c r="G349" i="1"/>
  <c r="I349" i="1" s="1"/>
  <c r="G359" i="1"/>
  <c r="F359" i="1" s="1"/>
  <c r="G356" i="1"/>
  <c r="F356" i="1" s="1"/>
  <c r="R29" i="5"/>
  <c r="R33" i="5"/>
  <c r="R37" i="5"/>
  <c r="R10" i="5"/>
  <c r="G454" i="1"/>
  <c r="G360" i="1"/>
  <c r="F360" i="1" s="1"/>
  <c r="G345" i="1"/>
  <c r="F345" i="1" s="1"/>
  <c r="R30" i="5"/>
  <c r="R34" i="5"/>
  <c r="R12" i="5"/>
  <c r="R16" i="5"/>
  <c r="R20" i="5"/>
  <c r="R31" i="5"/>
  <c r="R35" i="5"/>
  <c r="R28" i="5"/>
  <c r="R17" i="5"/>
  <c r="R21" i="5"/>
  <c r="G469" i="1"/>
  <c r="G358" i="1"/>
  <c r="F358" i="1" s="1"/>
  <c r="G362" i="1"/>
  <c r="F362" i="1" s="1"/>
  <c r="G342" i="1"/>
  <c r="F342" i="1" s="1"/>
  <c r="R32" i="5"/>
  <c r="R36" i="5"/>
  <c r="R14" i="5"/>
  <c r="R22" i="5"/>
  <c r="G298" i="1"/>
  <c r="R11" i="5"/>
  <c r="G463" i="1"/>
  <c r="G293" i="1"/>
  <c r="F293" i="1" s="1"/>
  <c r="G361" i="1"/>
  <c r="G106" i="1"/>
  <c r="G213" i="1"/>
  <c r="G212" i="1"/>
  <c r="G351" i="1" l="1"/>
  <c r="F351" i="1" s="1"/>
  <c r="R19" i="5"/>
  <c r="R18" i="5"/>
  <c r="G341" i="1"/>
  <c r="F341" i="1" s="1"/>
  <c r="G280" i="1"/>
  <c r="F280" i="1" s="1"/>
  <c r="R13" i="5"/>
  <c r="G357" i="1"/>
  <c r="F357" i="1" s="1"/>
  <c r="R38" i="5"/>
  <c r="G352" i="1"/>
  <c r="F352" i="1" s="1"/>
  <c r="R15" i="5"/>
  <c r="G344" i="1"/>
  <c r="F344" i="1" s="1"/>
  <c r="G240" i="1"/>
  <c r="F213" i="1"/>
  <c r="F494" i="1"/>
  <c r="F212" i="1"/>
  <c r="F298" i="1"/>
  <c r="I298" i="1"/>
  <c r="F287" i="1"/>
  <c r="I287" i="1"/>
  <c r="F283" i="1"/>
  <c r="I283" i="1"/>
  <c r="F349" i="1"/>
  <c r="I106" i="1"/>
  <c r="I108" i="1" s="1"/>
  <c r="I179" i="1" s="1"/>
  <c r="F183" i="1"/>
  <c r="G108" i="1"/>
  <c r="G179" i="1" s="1"/>
  <c r="F106" i="1"/>
  <c r="F108" i="1" s="1"/>
  <c r="F179" i="1" s="1"/>
  <c r="F189" i="1"/>
  <c r="I293" i="1"/>
  <c r="I352" i="1"/>
  <c r="I183" i="1"/>
  <c r="I213" i="1"/>
  <c r="I356" i="1"/>
  <c r="I342" i="1"/>
  <c r="I469" i="1"/>
  <c r="I470" i="1" s="1"/>
  <c r="G470" i="1"/>
  <c r="I358" i="1"/>
  <c r="F454" i="1"/>
  <c r="I212" i="1"/>
  <c r="G214" i="1"/>
  <c r="I345" i="1"/>
  <c r="I362" i="1"/>
  <c r="I280" i="1"/>
  <c r="G288" i="1"/>
  <c r="I359" i="1"/>
  <c r="F463" i="1"/>
  <c r="I463" i="1"/>
  <c r="I341" i="1" l="1"/>
  <c r="I344" i="1"/>
  <c r="G22" i="3"/>
  <c r="G496" i="1" s="1"/>
  <c r="G40" i="1" s="1"/>
  <c r="I40" i="1" s="1"/>
  <c r="J179" i="1"/>
  <c r="I351" i="1"/>
  <c r="I357" i="1"/>
  <c r="F288" i="1"/>
  <c r="F206" i="1"/>
  <c r="I288" i="1"/>
  <c r="G154" i="1"/>
  <c r="F154" i="1" s="1"/>
  <c r="G143" i="1"/>
  <c r="F143" i="1" s="1"/>
  <c r="G144" i="1"/>
  <c r="F144" i="1" s="1"/>
  <c r="G162" i="1"/>
  <c r="F162" i="1" s="1"/>
  <c r="G233" i="1"/>
  <c r="G146" i="1"/>
  <c r="F146" i="1" s="1"/>
  <c r="G193" i="1"/>
  <c r="G60" i="1"/>
  <c r="F60" i="1" s="1"/>
  <c r="G147" i="1"/>
  <c r="F147" i="1" s="1"/>
  <c r="I189" i="1"/>
  <c r="F214" i="1"/>
  <c r="I214" i="1"/>
  <c r="G490" i="1" l="1"/>
  <c r="G145" i="1"/>
  <c r="F145" i="1" s="1"/>
  <c r="G461" i="1"/>
  <c r="F461" i="1" s="1"/>
  <c r="G61" i="1"/>
  <c r="F61" i="1" s="1"/>
  <c r="G220" i="1"/>
  <c r="I220" i="1" s="1"/>
  <c r="G221" i="1"/>
  <c r="F221" i="1" s="1"/>
  <c r="G149" i="1"/>
  <c r="F149" i="1" s="1"/>
  <c r="G465" i="1"/>
  <c r="I465" i="1" s="1"/>
  <c r="G153" i="1"/>
  <c r="F153" i="1" s="1"/>
  <c r="G185" i="1"/>
  <c r="I185" i="1" s="1"/>
  <c r="G152" i="1"/>
  <c r="F152" i="1" s="1"/>
  <c r="G151" i="1"/>
  <c r="F151" i="1" s="1"/>
  <c r="G457" i="1"/>
  <c r="G158" i="1"/>
  <c r="F158" i="1" s="1"/>
  <c r="F163" i="1" s="1"/>
  <c r="G148" i="1"/>
  <c r="F148" i="1" s="1"/>
  <c r="G150" i="1"/>
  <c r="F150" i="1" s="1"/>
  <c r="F220" i="1"/>
  <c r="F222" i="1" s="1"/>
  <c r="I206" i="1"/>
  <c r="G206" i="1"/>
  <c r="F496" i="1"/>
  <c r="I143" i="1"/>
  <c r="I153" i="1"/>
  <c r="F62" i="1"/>
  <c r="I154" i="1"/>
  <c r="I147" i="1"/>
  <c r="I461" i="1"/>
  <c r="I144" i="1"/>
  <c r="I146" i="1"/>
  <c r="I60" i="1"/>
  <c r="G194" i="1"/>
  <c r="I193" i="1"/>
  <c r="I151" i="1"/>
  <c r="I145" i="1"/>
  <c r="F193" i="1"/>
  <c r="I233" i="1"/>
  <c r="F233" i="1"/>
  <c r="I162" i="1"/>
  <c r="F490" i="1"/>
  <c r="I490" i="1"/>
  <c r="F465" i="1"/>
  <c r="I221" i="1"/>
  <c r="I152" i="1"/>
  <c r="F457" i="1"/>
  <c r="G163" i="1"/>
  <c r="I158" i="1"/>
  <c r="G222" i="1"/>
  <c r="F190" i="1"/>
  <c r="I190" i="1"/>
  <c r="I148" i="1" l="1"/>
  <c r="I150" i="1"/>
  <c r="F155" i="1"/>
  <c r="F177" i="1" s="1"/>
  <c r="G62" i="1"/>
  <c r="I61" i="1"/>
  <c r="G155" i="1"/>
  <c r="I149" i="1"/>
  <c r="I155" i="1" s="1"/>
  <c r="F185" i="1"/>
  <c r="I163" i="1"/>
  <c r="I62" i="1"/>
  <c r="F169" i="1"/>
  <c r="F43" i="1" s="1"/>
  <c r="G169" i="1"/>
  <c r="I194" i="1"/>
  <c r="I222" i="1"/>
  <c r="G177" i="1"/>
  <c r="F194" i="1"/>
  <c r="G24" i="3" l="1"/>
  <c r="E27" i="13" s="1"/>
  <c r="J177" i="1"/>
  <c r="AJ441" i="4"/>
  <c r="C441" i="4" s="1"/>
  <c r="AJ438" i="4"/>
  <c r="AM437" i="4"/>
  <c r="AJ440" i="4"/>
  <c r="C440" i="4" s="1"/>
  <c r="G481" i="1"/>
  <c r="C437" i="4"/>
  <c r="G43" i="1"/>
  <c r="I486" i="1"/>
  <c r="I177" i="1"/>
  <c r="I169" i="1"/>
  <c r="I43" i="1" s="1"/>
  <c r="AJ442" i="4" l="1"/>
  <c r="AJ456" i="4" s="1"/>
  <c r="AJ25" i="4" s="1"/>
  <c r="AJ496" i="4" s="1"/>
  <c r="AJ497" i="4" s="1"/>
  <c r="AJ33" i="4" s="1"/>
  <c r="AJ37" i="4" s="1"/>
  <c r="AC16" i="13"/>
  <c r="AC22" i="13"/>
  <c r="AC14" i="13"/>
  <c r="AC12" i="13"/>
  <c r="AC18" i="13"/>
  <c r="G500" i="1"/>
  <c r="F500" i="1" s="1"/>
  <c r="AM439" i="4"/>
  <c r="C439" i="4" s="1"/>
  <c r="H455" i="1" s="1"/>
  <c r="I455" i="1" s="1"/>
  <c r="C438" i="4"/>
  <c r="H454" i="1" s="1"/>
  <c r="I454" i="1" s="1"/>
  <c r="H456" i="1"/>
  <c r="H457" i="1"/>
  <c r="I457" i="1" s="1"/>
  <c r="F486" i="1"/>
  <c r="I414" i="1"/>
  <c r="G416" i="1"/>
  <c r="C416" i="1"/>
  <c r="AM442" i="4" l="1"/>
  <c r="AM456" i="4" s="1"/>
  <c r="AM25" i="4" s="1"/>
  <c r="I500" i="1"/>
  <c r="AE18" i="13"/>
  <c r="AE16" i="13"/>
  <c r="AC20" i="13"/>
  <c r="AC24" i="13" s="1"/>
  <c r="AE12" i="13"/>
  <c r="AE14" i="13"/>
  <c r="AJ27" i="4"/>
  <c r="AJ30" i="4" s="1"/>
  <c r="AJ39" i="4" s="1"/>
  <c r="AJ41" i="4" s="1"/>
  <c r="AJ501" i="4"/>
  <c r="AM496" i="4"/>
  <c r="AM497" i="4" s="1"/>
  <c r="AM33" i="4" s="1"/>
  <c r="AM37" i="4" s="1"/>
  <c r="H453" i="1"/>
  <c r="C442" i="4"/>
  <c r="C456" i="4" s="1"/>
  <c r="C498" i="4"/>
  <c r="C447" i="1"/>
  <c r="C49" i="5"/>
  <c r="C53" i="5" s="1"/>
  <c r="G19" i="1"/>
  <c r="I19" i="1" s="1"/>
  <c r="C19" i="1"/>
  <c r="I415" i="1"/>
  <c r="I416" i="1" s="1"/>
  <c r="AE20" i="13" l="1"/>
  <c r="AE24" i="13" s="1"/>
  <c r="AM27" i="4"/>
  <c r="AM30" i="4" s="1"/>
  <c r="AM39" i="4" s="1"/>
  <c r="AM41" i="4" s="1"/>
  <c r="AM501" i="4"/>
  <c r="C25" i="4"/>
  <c r="H514" i="1"/>
  <c r="I514" i="1" s="1"/>
  <c r="H458" i="1"/>
  <c r="H472" i="1" s="1"/>
  <c r="H25" i="1" s="1"/>
  <c r="I453" i="1"/>
  <c r="I49" i="5"/>
  <c r="I53" i="5" s="1"/>
  <c r="C34" i="4" l="1"/>
  <c r="H34" i="1"/>
  <c r="I34" i="1" s="1"/>
  <c r="E24" i="8" s="1"/>
  <c r="C260" i="1"/>
  <c r="I24" i="8" l="1"/>
  <c r="C429" i="4"/>
  <c r="H445" i="1" s="1"/>
  <c r="C16" i="4"/>
  <c r="I396" i="1" l="1"/>
  <c r="I397" i="1"/>
  <c r="I398" i="1"/>
  <c r="I399" i="1"/>
  <c r="I400" i="1"/>
  <c r="I405" i="1"/>
  <c r="I406" i="1"/>
  <c r="I407" i="1"/>
  <c r="I408" i="1"/>
  <c r="F409" i="1"/>
  <c r="F20" i="1" s="1"/>
  <c r="G409" i="1"/>
  <c r="G20" i="1" s="1"/>
  <c r="I20" i="1" s="1"/>
  <c r="I409" i="1" l="1"/>
  <c r="E313" i="1" l="1"/>
  <c r="G313" i="1" s="1"/>
  <c r="C320" i="1"/>
  <c r="C329" i="1" s="1"/>
  <c r="C338" i="1" s="1"/>
  <c r="C444" i="1" l="1"/>
  <c r="E320" i="1"/>
  <c r="E329" i="1" s="1"/>
  <c r="E444" i="1" s="1"/>
  <c r="G320" i="1"/>
  <c r="G329" i="1" s="1"/>
  <c r="I313" i="1"/>
  <c r="I320" i="1" s="1"/>
  <c r="I329" i="1" s="1"/>
  <c r="I338" i="1" s="1"/>
  <c r="F313" i="1"/>
  <c r="F320" i="1" s="1"/>
  <c r="F329" i="1" s="1"/>
  <c r="I360" i="1"/>
  <c r="C363" i="1"/>
  <c r="E346" i="1"/>
  <c r="C353" i="1"/>
  <c r="C445" i="1" l="1"/>
  <c r="G338" i="1"/>
  <c r="G444" i="1"/>
  <c r="F338" i="1"/>
  <c r="F444" i="1"/>
  <c r="E338" i="1"/>
  <c r="E15" i="1" s="1"/>
  <c r="C365" i="1"/>
  <c r="C16" i="1" s="1"/>
  <c r="G346" i="1"/>
  <c r="F346" i="1" s="1"/>
  <c r="E353" i="1"/>
  <c r="E365" i="1" l="1"/>
  <c r="E16" i="1" s="1"/>
  <c r="E23" i="1" s="1"/>
  <c r="E30" i="1" s="1"/>
  <c r="E39" i="1" s="1"/>
  <c r="E41" i="1" s="1"/>
  <c r="E445" i="1"/>
  <c r="E449" i="1" s="1"/>
  <c r="E450" i="1" s="1"/>
  <c r="E49" i="1" s="1"/>
  <c r="I346" i="1"/>
  <c r="C449" i="1"/>
  <c r="E439" i="1" l="1"/>
  <c r="E441" i="1" s="1"/>
  <c r="C450" i="1"/>
  <c r="C49" i="1" s="1"/>
  <c r="G9" i="1"/>
  <c r="I9" i="1" s="1"/>
  <c r="F9" i="1"/>
  <c r="F7" i="1"/>
  <c r="G7" i="1"/>
  <c r="I7" i="1" s="1"/>
  <c r="I265" i="1"/>
  <c r="F361" i="1"/>
  <c r="F363" i="1" s="1"/>
  <c r="I361" i="1"/>
  <c r="I363" i="1" s="1"/>
  <c r="G363" i="1"/>
  <c r="E11" i="8" l="1"/>
  <c r="G216" i="1"/>
  <c r="G227" i="1" s="1"/>
  <c r="G50" i="1" s="1"/>
  <c r="I241" i="1"/>
  <c r="I216" i="1" l="1"/>
  <c r="I227" i="1" s="1"/>
  <c r="I50" i="1" s="1"/>
  <c r="G381" i="1"/>
  <c r="F381" i="1" s="1"/>
  <c r="G456" i="1"/>
  <c r="G458" i="1" s="1"/>
  <c r="G390" i="1"/>
  <c r="I390" i="1" s="1"/>
  <c r="G384" i="1"/>
  <c r="F384" i="1" s="1"/>
  <c r="G389" i="1"/>
  <c r="F389" i="1" s="1"/>
  <c r="G375" i="1"/>
  <c r="F375" i="1" s="1"/>
  <c r="G385" i="1"/>
  <c r="F385" i="1" s="1"/>
  <c r="G372" i="1"/>
  <c r="F372" i="1" s="1"/>
  <c r="G184" i="1"/>
  <c r="F493" i="1"/>
  <c r="F40" i="1" s="1"/>
  <c r="G387" i="1"/>
  <c r="I387" i="1" s="1"/>
  <c r="G377" i="1"/>
  <c r="I377" i="1" s="1"/>
  <c r="G369" i="1"/>
  <c r="I369" i="1" s="1"/>
  <c r="G388" i="1"/>
  <c r="F388" i="1" s="1"/>
  <c r="G383" i="1"/>
  <c r="I383" i="1" s="1"/>
  <c r="G373" i="1"/>
  <c r="I373" i="1" s="1"/>
  <c r="F241" i="1"/>
  <c r="G464" i="1"/>
  <c r="G386" i="1"/>
  <c r="I386" i="1" s="1"/>
  <c r="G374" i="1"/>
  <c r="I374" i="1" s="1"/>
  <c r="G371" i="1"/>
  <c r="F371" i="1" s="1"/>
  <c r="G217" i="1"/>
  <c r="G226" i="1" s="1"/>
  <c r="G484" i="1"/>
  <c r="F484" i="1" s="1"/>
  <c r="G382" i="1"/>
  <c r="G380" i="1"/>
  <c r="F380" i="1" s="1"/>
  <c r="G376" i="1"/>
  <c r="G370" i="1"/>
  <c r="I370" i="1" s="1"/>
  <c r="G368" i="1"/>
  <c r="G232" i="1"/>
  <c r="F232" i="1" s="1"/>
  <c r="F234" i="1" s="1"/>
  <c r="F46" i="1" s="1"/>
  <c r="F216" i="1"/>
  <c r="F227" i="1" s="1"/>
  <c r="F50" i="1" s="1"/>
  <c r="G242" i="1"/>
  <c r="G48" i="1" s="1"/>
  <c r="F390" i="1" l="1"/>
  <c r="F456" i="1"/>
  <c r="F458" i="1" s="1"/>
  <c r="I184" i="1"/>
  <c r="I186" i="1" s="1"/>
  <c r="I44" i="1" s="1"/>
  <c r="I45" i="1" s="1"/>
  <c r="G254" i="1"/>
  <c r="G246" i="1"/>
  <c r="G245" i="1"/>
  <c r="G482" i="1"/>
  <c r="I375" i="1"/>
  <c r="I464" i="1"/>
  <c r="I466" i="1" s="1"/>
  <c r="G466" i="1"/>
  <c r="G472" i="1" s="1"/>
  <c r="G25" i="1" s="1"/>
  <c r="I25" i="1" s="1"/>
  <c r="E18" i="8" s="1"/>
  <c r="I18" i="8" s="1"/>
  <c r="I456" i="1"/>
  <c r="I458" i="1" s="1"/>
  <c r="I381" i="1"/>
  <c r="I384" i="1"/>
  <c r="F386" i="1"/>
  <c r="I493" i="1"/>
  <c r="E31" i="8"/>
  <c r="I31" i="8" s="1"/>
  <c r="I388" i="1"/>
  <c r="G186" i="1"/>
  <c r="G44" i="1" s="1"/>
  <c r="G45" i="1" s="1"/>
  <c r="J45" i="1" s="1"/>
  <c r="F184" i="1"/>
  <c r="F186" i="1" s="1"/>
  <c r="I385" i="1"/>
  <c r="I389" i="1"/>
  <c r="I372" i="1"/>
  <c r="F387" i="1"/>
  <c r="F369" i="1"/>
  <c r="F374" i="1"/>
  <c r="F377" i="1"/>
  <c r="F383" i="1"/>
  <c r="G391" i="1"/>
  <c r="G394" i="1" s="1"/>
  <c r="F373" i="1"/>
  <c r="I380" i="1"/>
  <c r="I371" i="1"/>
  <c r="F464" i="1"/>
  <c r="F217" i="1"/>
  <c r="I217" i="1"/>
  <c r="G218" i="1"/>
  <c r="G224" i="1" s="1"/>
  <c r="I382" i="1"/>
  <c r="F382" i="1"/>
  <c r="G378" i="1"/>
  <c r="F368" i="1"/>
  <c r="I368" i="1"/>
  <c r="F370" i="1"/>
  <c r="I232" i="1"/>
  <c r="I234" i="1" s="1"/>
  <c r="G234" i="1"/>
  <c r="G46" i="1" s="1"/>
  <c r="I46" i="1" s="1"/>
  <c r="F376" i="1"/>
  <c r="I376" i="1"/>
  <c r="I484" i="1"/>
  <c r="I48" i="1"/>
  <c r="F240" i="1"/>
  <c r="F242" i="1" s="1"/>
  <c r="F48" i="1" s="1"/>
  <c r="I240" i="1"/>
  <c r="I242" i="1" s="1"/>
  <c r="G260" i="1" l="1"/>
  <c r="G52" i="1"/>
  <c r="I52" i="1" s="1"/>
  <c r="F218" i="1"/>
  <c r="F224" i="1" s="1"/>
  <c r="F226" i="1"/>
  <c r="I218" i="1"/>
  <c r="I224" i="1" s="1"/>
  <c r="I226" i="1"/>
  <c r="I199" i="1"/>
  <c r="I201" i="1" s="1"/>
  <c r="F485" i="1"/>
  <c r="I485" i="1"/>
  <c r="F246" i="1"/>
  <c r="I246" i="1"/>
  <c r="F482" i="1"/>
  <c r="I482" i="1"/>
  <c r="F254" i="1"/>
  <c r="F52" i="1" s="1"/>
  <c r="I254" i="1"/>
  <c r="I260" i="1" s="1"/>
  <c r="F481" i="1"/>
  <c r="I481" i="1"/>
  <c r="F245" i="1"/>
  <c r="G247" i="1"/>
  <c r="I245" i="1"/>
  <c r="G47" i="1"/>
  <c r="I47" i="1" s="1"/>
  <c r="F391" i="1"/>
  <c r="F394" i="1" s="1"/>
  <c r="I472" i="1"/>
  <c r="G393" i="1"/>
  <c r="F466" i="1"/>
  <c r="F472" i="1" s="1"/>
  <c r="F25" i="1" s="1"/>
  <c r="G199" i="1"/>
  <c r="G201" i="1" s="1"/>
  <c r="I391" i="1"/>
  <c r="I394" i="1" s="1"/>
  <c r="I378" i="1"/>
  <c r="F378" i="1"/>
  <c r="F44" i="1"/>
  <c r="F45" i="1" s="1"/>
  <c r="C44" i="1"/>
  <c r="C45" i="1" s="1"/>
  <c r="C53" i="1" s="1"/>
  <c r="E44" i="1"/>
  <c r="E45" i="1" s="1"/>
  <c r="E53" i="1" s="1"/>
  <c r="F199" i="1"/>
  <c r="F201" i="1" s="1"/>
  <c r="G262" i="1" l="1"/>
  <c r="G446" i="1"/>
  <c r="I446" i="1" s="1"/>
  <c r="G26" i="3"/>
  <c r="F47" i="1"/>
  <c r="I247" i="1"/>
  <c r="I262" i="1" s="1"/>
  <c r="F260" i="1"/>
  <c r="F247" i="1"/>
  <c r="F393" i="1"/>
  <c r="I393" i="1"/>
  <c r="G17" i="1"/>
  <c r="I17" i="1" s="1"/>
  <c r="E199" i="1"/>
  <c r="E201" i="1" s="1"/>
  <c r="E262" i="1" s="1"/>
  <c r="C199" i="1"/>
  <c r="C201" i="1" s="1"/>
  <c r="C262" i="1" s="1"/>
  <c r="E13" i="10" l="1"/>
  <c r="G507" i="1"/>
  <c r="I507" i="1" s="1"/>
  <c r="G506" i="1"/>
  <c r="G505" i="1"/>
  <c r="F17" i="1"/>
  <c r="F446" i="1"/>
  <c r="F262" i="1"/>
  <c r="F15" i="1"/>
  <c r="C15" i="1"/>
  <c r="C23" i="1" s="1"/>
  <c r="C30" i="1" s="1"/>
  <c r="C439" i="1"/>
  <c r="C441" i="1" s="1"/>
  <c r="E15" i="10"/>
  <c r="E17" i="10"/>
  <c r="G15" i="1"/>
  <c r="F507" i="1" l="1"/>
  <c r="F505" i="1"/>
  <c r="I505" i="1"/>
  <c r="I506" i="1"/>
  <c r="F506" i="1"/>
  <c r="G508" i="1"/>
  <c r="G29" i="1" s="1"/>
  <c r="I29" i="1" s="1"/>
  <c r="E21" i="8" s="1"/>
  <c r="I21" i="8" s="1"/>
  <c r="C39" i="1"/>
  <c r="C41" i="1" s="1"/>
  <c r="C55" i="1" s="1"/>
  <c r="E11" i="10"/>
  <c r="E8" i="9"/>
  <c r="I444" i="1"/>
  <c r="I15" i="1"/>
  <c r="F401" i="1"/>
  <c r="F402" i="1" s="1"/>
  <c r="F447" i="1" s="1"/>
  <c r="I401" i="1"/>
  <c r="I402" i="1" s="1"/>
  <c r="G402" i="1"/>
  <c r="I508" i="1" l="1"/>
  <c r="F508" i="1"/>
  <c r="F29" i="1" s="1"/>
  <c r="G18" i="1"/>
  <c r="I18" i="1" s="1"/>
  <c r="G447" i="1"/>
  <c r="E19" i="10"/>
  <c r="G11" i="10" s="1"/>
  <c r="F18" i="1"/>
  <c r="K11" i="10" l="1"/>
  <c r="I39" i="8"/>
  <c r="G13" i="10"/>
  <c r="K13" i="10" s="1"/>
  <c r="G15" i="10"/>
  <c r="K15" i="10" s="1"/>
  <c r="G17" i="10"/>
  <c r="K17" i="10" s="1"/>
  <c r="G19" i="10" l="1"/>
  <c r="K19" i="10"/>
  <c r="E10" i="9" l="1"/>
  <c r="I40" i="8"/>
  <c r="E12" i="9" l="1"/>
  <c r="I353" i="1"/>
  <c r="I365" i="1" s="1"/>
  <c r="I439" i="1" s="1"/>
  <c r="I441" i="1" s="1"/>
  <c r="F353" i="1"/>
  <c r="G353" i="1"/>
  <c r="G365" i="1" l="1"/>
  <c r="G439" i="1" s="1"/>
  <c r="J439" i="1" s="1"/>
  <c r="G445" i="1"/>
  <c r="I445" i="1" s="1"/>
  <c r="F365" i="1"/>
  <c r="F439" i="1" s="1"/>
  <c r="F441" i="1" s="1"/>
  <c r="F445" i="1"/>
  <c r="F449" i="1" s="1"/>
  <c r="F450" i="1" s="1"/>
  <c r="F49" i="1" s="1"/>
  <c r="F53" i="1" s="1"/>
  <c r="G30" i="3" l="1"/>
  <c r="G477" i="1" s="1"/>
  <c r="G441" i="1"/>
  <c r="J441" i="1" s="1"/>
  <c r="G28" i="3"/>
  <c r="F16" i="1"/>
  <c r="F23" i="1" s="1"/>
  <c r="G16" i="1"/>
  <c r="I16" i="1" s="1"/>
  <c r="I23" i="1" s="1"/>
  <c r="E17" i="8" s="1"/>
  <c r="G449" i="1"/>
  <c r="G450" i="1" s="1"/>
  <c r="G49" i="1" s="1"/>
  <c r="G53" i="1" s="1"/>
  <c r="G478" i="1" l="1"/>
  <c r="F478" i="1" s="1"/>
  <c r="G489" i="1"/>
  <c r="I489" i="1" s="1"/>
  <c r="G476" i="1"/>
  <c r="I476" i="1" s="1"/>
  <c r="G23" i="1"/>
  <c r="I477" i="1"/>
  <c r="F477" i="1"/>
  <c r="F476" i="1" l="1"/>
  <c r="I478" i="1"/>
  <c r="I479" i="1" s="1"/>
  <c r="I491" i="1" s="1"/>
  <c r="F489" i="1"/>
  <c r="G479" i="1"/>
  <c r="G491" i="1" s="1"/>
  <c r="G26" i="1" s="1"/>
  <c r="I26" i="1" s="1"/>
  <c r="E19" i="8" s="1"/>
  <c r="F479" i="1"/>
  <c r="F491" i="1" l="1"/>
  <c r="F26" i="1" s="1"/>
  <c r="I19" i="8"/>
  <c r="C18" i="4"/>
  <c r="C431" i="4" l="1"/>
  <c r="C433" i="4" s="1"/>
  <c r="C434" i="4" s="1"/>
  <c r="C496" i="4"/>
  <c r="C23" i="4"/>
  <c r="C49" i="4"/>
  <c r="C33" i="4" l="1"/>
  <c r="C53" i="4"/>
  <c r="H447" i="1"/>
  <c r="C27" i="4" l="1"/>
  <c r="C30" i="4" s="1"/>
  <c r="C497" i="4"/>
  <c r="H513" i="1" s="1"/>
  <c r="I447" i="1"/>
  <c r="I449" i="1" s="1"/>
  <c r="I450" i="1" s="1"/>
  <c r="H449" i="1"/>
  <c r="C37" i="4"/>
  <c r="H512" i="1"/>
  <c r="H33" i="1" l="1"/>
  <c r="I33" i="1" s="1"/>
  <c r="I513" i="1"/>
  <c r="C501" i="4"/>
  <c r="H450" i="1"/>
  <c r="H49" i="1" s="1"/>
  <c r="C39" i="4"/>
  <c r="H27" i="1"/>
  <c r="H30" i="1" s="1"/>
  <c r="H517" i="1"/>
  <c r="I512" i="1"/>
  <c r="H37" i="1" l="1"/>
  <c r="H39" i="1" s="1"/>
  <c r="H41" i="1" s="1"/>
  <c r="I517" i="1"/>
  <c r="C41" i="4"/>
  <c r="H53" i="1"/>
  <c r="I49" i="1"/>
  <c r="I53" i="1" s="1"/>
  <c r="I36" i="8" s="1"/>
  <c r="E23" i="8"/>
  <c r="I37" i="1"/>
  <c r="I27" i="1"/>
  <c r="E20" i="8" s="1"/>
  <c r="E27" i="8" l="1"/>
  <c r="I292" i="1"/>
  <c r="I300" i="1" s="1"/>
  <c r="I302" i="1" s="1"/>
  <c r="G300" i="1"/>
  <c r="G302" i="1" s="1"/>
  <c r="G10" i="1" s="1"/>
  <c r="F292" i="1"/>
  <c r="F300" i="1" s="1"/>
  <c r="F302" i="1" s="1"/>
  <c r="F10" i="1" s="1"/>
  <c r="I10" i="1" l="1"/>
  <c r="E12" i="8" l="1"/>
  <c r="E14" i="8" l="1"/>
  <c r="E30" i="8" s="1"/>
  <c r="E33" i="8" s="1"/>
  <c r="I12" i="8"/>
  <c r="I270" i="1"/>
  <c r="F270" i="1"/>
  <c r="F273" i="1" s="1"/>
  <c r="G273" i="1"/>
  <c r="G11" i="1" s="1"/>
  <c r="I11" i="1" l="1"/>
  <c r="I12" i="1" s="1"/>
  <c r="I30" i="1" s="1"/>
  <c r="I39" i="1" s="1"/>
  <c r="I41" i="1" s="1"/>
  <c r="K41" i="1" s="1"/>
  <c r="G12" i="1"/>
  <c r="G30" i="1" s="1"/>
  <c r="G39" i="1" s="1"/>
  <c r="G41" i="1" s="1"/>
  <c r="G55" i="1" s="1"/>
  <c r="F304" i="1"/>
  <c r="F11" i="1"/>
  <c r="F12" i="1" s="1"/>
  <c r="F30" i="1" s="1"/>
  <c r="F39" i="1" s="1"/>
  <c r="F41" i="1" s="1"/>
  <c r="F55" i="1" s="1"/>
  <c r="G304" i="1"/>
  <c r="I273" i="1"/>
  <c r="I304" i="1" s="1"/>
  <c r="G32" i="3" l="1"/>
  <c r="J304" i="1"/>
  <c r="I55" i="1"/>
  <c r="E14" i="9"/>
  <c r="E16" i="9" s="1"/>
  <c r="E20" i="9" s="1"/>
  <c r="G11" i="8" s="1"/>
  <c r="I11" i="8" l="1"/>
  <c r="I14" i="8" s="1"/>
  <c r="G17" i="8"/>
  <c r="G14" i="8"/>
  <c r="I44" i="8" l="1"/>
  <c r="I48" i="8" s="1"/>
  <c r="G51" i="8"/>
  <c r="I17" i="8"/>
  <c r="G20" i="8"/>
  <c r="G55" i="8" l="1"/>
  <c r="I57" i="8" s="1"/>
  <c r="I20" i="8"/>
  <c r="G23" i="8"/>
  <c r="I23" i="8" s="1"/>
  <c r="I27" i="8" l="1"/>
  <c r="I30" i="8" s="1"/>
  <c r="I33" i="8" s="1"/>
  <c r="I37" i="8" s="1"/>
  <c r="G27" i="8"/>
  <c r="G30" i="8" s="1"/>
  <c r="G33" i="8" s="1"/>
</calcChain>
</file>

<file path=xl/comments1.xml><?xml version="1.0" encoding="utf-8"?>
<comments xmlns="http://schemas.openxmlformats.org/spreadsheetml/2006/main">
  <authors>
    <author>AEP</author>
  </authors>
  <commentList>
    <comment ref="L270" authorId="0">
      <text>
        <r>
          <rPr>
            <b/>
            <sz val="9"/>
            <color indexed="81"/>
            <rFont val="Tahoma"/>
            <family val="2"/>
          </rPr>
          <t>Shannon:</t>
        </r>
        <r>
          <rPr>
            <sz val="9"/>
            <color indexed="81"/>
            <rFont val="Tahoma"/>
            <family val="2"/>
          </rPr>
          <t xml:space="preserve">
Should tie to Section V, Schedule 7, tab 7.5 system sales.
</t>
        </r>
      </text>
    </comment>
  </commentList>
</comments>
</file>

<file path=xl/sharedStrings.xml><?xml version="1.0" encoding="utf-8"?>
<sst xmlns="http://schemas.openxmlformats.org/spreadsheetml/2006/main" count="2104" uniqueCount="1051">
  <si>
    <t>PER BOOKS</t>
  </si>
  <si>
    <t>ADJUSTED</t>
  </si>
  <si>
    <t>Line</t>
  </si>
  <si>
    <t>COMPANY</t>
  </si>
  <si>
    <t>GOING LEVEL</t>
  </si>
  <si>
    <t xml:space="preserve">HARD CODES  </t>
  </si>
  <si>
    <t>No.</t>
  </si>
  <si>
    <t>Description</t>
  </si>
  <si>
    <t>JURIS</t>
  </si>
  <si>
    <t>ADJUSTMENTS</t>
  </si>
  <si>
    <t>ALLOCATOR</t>
  </si>
  <si>
    <t>TO BE ALLOCATED</t>
  </si>
  <si>
    <t>(1)</t>
  </si>
  <si>
    <t>(2)</t>
  </si>
  <si>
    <t>(3)</t>
  </si>
  <si>
    <t>(4)</t>
  </si>
  <si>
    <t>(8)</t>
  </si>
  <si>
    <t>Operating Revenues - Firm Wholesale Sales of Electricity</t>
  </si>
  <si>
    <t>Provision for Rate Refund</t>
  </si>
  <si>
    <t>Other Electric Operating Revenues</t>
  </si>
  <si>
    <t>Non-Firm Sales Revenues</t>
  </si>
  <si>
    <t xml:space="preserve">  Total Operating Revenues</t>
  </si>
  <si>
    <t>Operation and Maintenance Expenses</t>
  </si>
  <si>
    <t>Power Production</t>
  </si>
  <si>
    <t>Transmission</t>
  </si>
  <si>
    <t>Distribution</t>
  </si>
  <si>
    <t>Customer Accounts</t>
  </si>
  <si>
    <t>Sales Expense</t>
  </si>
  <si>
    <t>Customer Service &amp; Information</t>
  </si>
  <si>
    <t>Administrative and General</t>
  </si>
  <si>
    <t>Undistributed Adjustments</t>
  </si>
  <si>
    <t xml:space="preserve">  Total Operation and Maintenance Expense</t>
  </si>
  <si>
    <t>Depreciation and Amortization Expense</t>
  </si>
  <si>
    <t>Taxes Other than Federal Income Taxes</t>
  </si>
  <si>
    <t>State Income Tax</t>
  </si>
  <si>
    <t>Interest on Customer Deposits</t>
  </si>
  <si>
    <t>Other</t>
  </si>
  <si>
    <t>Net Operating Income Before F.I.T.</t>
  </si>
  <si>
    <t>Federal Income Tax</t>
  </si>
  <si>
    <t xml:space="preserve">  Current Federal Income Tax</t>
  </si>
  <si>
    <t xml:space="preserve">  Deferred Federal Income Tax</t>
  </si>
  <si>
    <t xml:space="preserve">  Deferred Investment Tax Credit</t>
  </si>
  <si>
    <t xml:space="preserve">    Total Federal Income Taxes</t>
  </si>
  <si>
    <t>Operating Income</t>
  </si>
  <si>
    <t>Net Operating Income</t>
  </si>
  <si>
    <t>Electric Plant in Service - Original Cost</t>
  </si>
  <si>
    <t>Accumulated Provision for Depreciation &amp; Amortization</t>
  </si>
  <si>
    <t>Construction Work in Progress</t>
  </si>
  <si>
    <t>Electric Plant Held for Future Use</t>
  </si>
  <si>
    <t>Accumulated Deferred Income Taxes</t>
  </si>
  <si>
    <t>Rate Base</t>
  </si>
  <si>
    <t>`</t>
  </si>
  <si>
    <t>Rate of Return</t>
  </si>
  <si>
    <t>Development of Rate Base</t>
  </si>
  <si>
    <t>Electric Plant in Service</t>
  </si>
  <si>
    <t>Intangible Plant</t>
  </si>
  <si>
    <t>Capitalized Software</t>
  </si>
  <si>
    <t>Direct</t>
  </si>
  <si>
    <t xml:space="preserve">     AFUDC</t>
  </si>
  <si>
    <t>Production Plant</t>
  </si>
  <si>
    <t>Steam Production</t>
  </si>
  <si>
    <t>A310 Land &amp; Land Rights</t>
  </si>
  <si>
    <t>Demand</t>
  </si>
  <si>
    <t>A311 Structures and Improvements</t>
  </si>
  <si>
    <t xml:space="preserve">A312 Boiler Plant Equipment </t>
  </si>
  <si>
    <t>A313 Engines/Engine Driven Gen.</t>
  </si>
  <si>
    <t>A314 Turbogenerator Units</t>
  </si>
  <si>
    <t>A315 Accessory Electric Equip.</t>
  </si>
  <si>
    <t>A316 Misc. Power Plant Equip.</t>
  </si>
  <si>
    <t>A317 ARO Steam Production Plant</t>
  </si>
  <si>
    <t>Nuclear Production</t>
  </si>
  <si>
    <t>A320 Land &amp; Land Rights</t>
  </si>
  <si>
    <t>A321 Structures and Improvements</t>
  </si>
  <si>
    <t xml:space="preserve">A322 Reactor Plant Equipment </t>
  </si>
  <si>
    <t>A323 Turbogenerator Units</t>
  </si>
  <si>
    <t>A324 Accessory Electric Equip.</t>
  </si>
  <si>
    <t>A325 Misc. Power Plant Equipment</t>
  </si>
  <si>
    <t>Hydraulic Production</t>
  </si>
  <si>
    <t>A330 Land &amp; Land Rights(MACSS Cap)</t>
  </si>
  <si>
    <t>A331 Structures and Improvements</t>
  </si>
  <si>
    <t>A332 Reserviors, Dams, and Waterways</t>
  </si>
  <si>
    <t>A333 Water Wheels, Turbines, and Generators</t>
  </si>
  <si>
    <t>A334 Accessory Electric Equipment</t>
  </si>
  <si>
    <t>A335 Miscellaneous Power Plant Equip.</t>
  </si>
  <si>
    <t>A336 Roads, Railroads, and Bridges</t>
  </si>
  <si>
    <t>A337 ARO Hydraulic Production</t>
  </si>
  <si>
    <t>Other Production</t>
  </si>
  <si>
    <t>A340 Land &amp; Land Rights</t>
  </si>
  <si>
    <t>A341 Structures and Improvements</t>
  </si>
  <si>
    <t>A342 Fuel Holder, Producer &amp; Acc</t>
  </si>
  <si>
    <t>A343 Prime Movers</t>
  </si>
  <si>
    <t>A344 Generators</t>
  </si>
  <si>
    <t>A345 Accessory Plant Equipment</t>
  </si>
  <si>
    <t>A346 Misc. Power Plant Equipment</t>
  </si>
  <si>
    <t>FERC AFUDC Adjustment</t>
  </si>
  <si>
    <t>Contra AFUDC Adjustment</t>
  </si>
  <si>
    <t>Transmission Plant</t>
  </si>
  <si>
    <t>A350 Land and Land Rights</t>
  </si>
  <si>
    <t>A352 Structures and Improvements TRAN</t>
  </si>
  <si>
    <t>A353 Station Equipment TRAN</t>
  </si>
  <si>
    <t>A352 Structures and Improvements GEN</t>
  </si>
  <si>
    <t>A353 Station Equipment GEN</t>
  </si>
  <si>
    <t>A354 Towers and Fixtures</t>
  </si>
  <si>
    <t>A355 Poles and Fixtures</t>
  </si>
  <si>
    <t>A356 O.H. Conductors &amp; Devices</t>
  </si>
  <si>
    <t>A357 Undergound Conduit</t>
  </si>
  <si>
    <t>A358 Underground Conductors</t>
  </si>
  <si>
    <t>A359 Roads and Trails</t>
  </si>
  <si>
    <t>Distribution Plant</t>
  </si>
  <si>
    <t>A360Land and Land Rights</t>
  </si>
  <si>
    <t>A361Structures and Improvements</t>
  </si>
  <si>
    <t>A362Station Equipment</t>
  </si>
  <si>
    <t>A363Storage Battery Equipment</t>
  </si>
  <si>
    <t>A364Poles,Towers &amp; Fixtures Primary</t>
  </si>
  <si>
    <t>A365O.H. Conductors &amp; Devices Primary</t>
  </si>
  <si>
    <t>A366Underground Conduits Primary</t>
  </si>
  <si>
    <t>A367U.G. Conductors &amp; Devices Primary</t>
  </si>
  <si>
    <t>A368Line Transformers Primary</t>
  </si>
  <si>
    <t>A369Services</t>
  </si>
  <si>
    <t>A370Meters</t>
  </si>
  <si>
    <t>A371Install. on Customer Prem.</t>
  </si>
  <si>
    <t>A372Leased Prop. on Cust. Premises</t>
  </si>
  <si>
    <t>A373Street Lights</t>
  </si>
  <si>
    <t>A374ARO</t>
  </si>
  <si>
    <t>General Plant</t>
  </si>
  <si>
    <t>A389Land and Land Rights</t>
  </si>
  <si>
    <t>A390Structures and Improvements</t>
  </si>
  <si>
    <t>A391Office Furniture &amp; Equip.</t>
  </si>
  <si>
    <t>A392Transportation Equipment</t>
  </si>
  <si>
    <t xml:space="preserve">A393Stores Equipment </t>
  </si>
  <si>
    <t>A394Tools, Shop &amp; Garage Equip.</t>
  </si>
  <si>
    <t>A395Laboratory Equipment</t>
  </si>
  <si>
    <t>A396Power Operated Equipment</t>
  </si>
  <si>
    <t>A397Communication Equipment</t>
  </si>
  <si>
    <t>A398Misc. Equipment</t>
  </si>
  <si>
    <t>A399Other Tang. Property</t>
  </si>
  <si>
    <t>39919ARO General Plant</t>
  </si>
  <si>
    <t>Total Plant in Service</t>
  </si>
  <si>
    <t>Less: Reserve for Depreciation/RWIP - Accts 1080001,1080011,1080005</t>
  </si>
  <si>
    <t xml:space="preserve">     Production</t>
  </si>
  <si>
    <t xml:space="preserve">     Transmission Plant</t>
  </si>
  <si>
    <t xml:space="preserve">     Distribution</t>
  </si>
  <si>
    <t xml:space="preserve">     General</t>
  </si>
  <si>
    <t>Less Reserve for Amortization</t>
  </si>
  <si>
    <t>Net Electric Plant in Service</t>
  </si>
  <si>
    <t>Construction Work in Progress - Account 107</t>
  </si>
  <si>
    <t xml:space="preserve">     Intangible</t>
  </si>
  <si>
    <t xml:space="preserve">    AFUDC</t>
  </si>
  <si>
    <t xml:space="preserve">     Transmission</t>
  </si>
  <si>
    <t>Total Construction Work in Progress</t>
  </si>
  <si>
    <t>Completed Construction Not Classified -Acct 106</t>
  </si>
  <si>
    <t xml:space="preserve">    Intangible Plant</t>
  </si>
  <si>
    <t xml:space="preserve">     Production Plant</t>
  </si>
  <si>
    <t xml:space="preserve">     Distribution Plant</t>
  </si>
  <si>
    <t xml:space="preserve">     General Plant</t>
  </si>
  <si>
    <t>Plant Held for Future Use - Acct 105</t>
  </si>
  <si>
    <t xml:space="preserve">     Fuel / Allowance Inventory</t>
  </si>
  <si>
    <t>Energy</t>
  </si>
  <si>
    <t xml:space="preserve">     Production M&amp;S Inventory</t>
  </si>
  <si>
    <t xml:space="preserve">     Transmission M&amp;S Inventory</t>
  </si>
  <si>
    <t xml:space="preserve">     Distribution M&amp;S Inventory</t>
  </si>
  <si>
    <t xml:space="preserve">     Prepaid Pension Benefit</t>
  </si>
  <si>
    <t xml:space="preserve">     Prepaid Other</t>
  </si>
  <si>
    <t xml:space="preserve">  Deferred Tax on Deferred Fuel</t>
  </si>
  <si>
    <t>Rate Base Additions (Deductions)</t>
  </si>
  <si>
    <t xml:space="preserve">     Accumulated Deferred Income Taxes, other than Deferred Fuel</t>
  </si>
  <si>
    <t xml:space="preserve">     Unallocated Deferred FIT</t>
  </si>
  <si>
    <t xml:space="preserve">     Deferred Investment Tax Credit</t>
  </si>
  <si>
    <t xml:space="preserve">     Customer Deposits</t>
  </si>
  <si>
    <t xml:space="preserve">     After Tax Effect of ARO </t>
  </si>
  <si>
    <t xml:space="preserve">     Total Rate Base Deductions</t>
  </si>
  <si>
    <t>Total Rate Base</t>
  </si>
  <si>
    <t>Non-Firm Sales:</t>
  </si>
  <si>
    <t xml:space="preserve">     Demand Related </t>
  </si>
  <si>
    <t xml:space="preserve">     Energy Related</t>
  </si>
  <si>
    <t xml:space="preserve">     Unallocated</t>
  </si>
  <si>
    <t>Other Operating Revenues</t>
  </si>
  <si>
    <t xml:space="preserve">     450-Forfeited Discounts</t>
  </si>
  <si>
    <t xml:space="preserve">     451-Miscellaneous Service Revenues</t>
  </si>
  <si>
    <t>Rent from Electric Property</t>
  </si>
  <si>
    <t xml:space="preserve">     4541-Rent-Assoc Cos- Production</t>
  </si>
  <si>
    <t xml:space="preserve">     4541-Rent-Assoc Cos- Transmission</t>
  </si>
  <si>
    <t xml:space="preserve">     4541-Rent-Assoc Cos- Distribution </t>
  </si>
  <si>
    <t xml:space="preserve">     4542-Rent-Non-Assoc Cos- Production</t>
  </si>
  <si>
    <t xml:space="preserve">     4542-Rent-Non-Assoc Cos- Transmission</t>
  </si>
  <si>
    <t xml:space="preserve">     4542-Rent-Non-Assoc Cos- Distribution </t>
  </si>
  <si>
    <t xml:space="preserve">     4540005 Rent from Elec Prop-Pole Attch</t>
  </si>
  <si>
    <t xml:space="preserve">     4540004-Rent-Non-Assoc Cos-ABD Distribution</t>
  </si>
  <si>
    <t xml:space="preserve">     4540004-Rent-Non-Assoc Cos-ABD Transmission</t>
  </si>
  <si>
    <t>Other Electric Revenues</t>
  </si>
  <si>
    <t xml:space="preserve">     456-Other Electric Production</t>
  </si>
  <si>
    <t>Power Production Expenses</t>
  </si>
  <si>
    <t xml:space="preserve"> Steam Generation Expenses</t>
  </si>
  <si>
    <t xml:space="preserve">     500-Supervision  &amp; Engineering</t>
  </si>
  <si>
    <t xml:space="preserve">     503-Steam other Sources</t>
  </si>
  <si>
    <t xml:space="preserve">     504-Steam Transferred Credit</t>
  </si>
  <si>
    <t xml:space="preserve">     505-Electric</t>
  </si>
  <si>
    <t xml:space="preserve">     506-Misc. Steam Power Expenses</t>
  </si>
  <si>
    <t xml:space="preserve">     506-NSR Settlement Expense</t>
  </si>
  <si>
    <t xml:space="preserve">     507-Rents</t>
  </si>
  <si>
    <t xml:space="preserve">     509-Allowances</t>
  </si>
  <si>
    <t xml:space="preserve">          Total Steam Operation</t>
  </si>
  <si>
    <t xml:space="preserve">     510-Supervision &amp; Engineering</t>
  </si>
  <si>
    <t xml:space="preserve">     511-Structures</t>
  </si>
  <si>
    <t xml:space="preserve">     512-Boiler Plant</t>
  </si>
  <si>
    <t xml:space="preserve">     513-Electric Plant</t>
  </si>
  <si>
    <t xml:space="preserve">     514-Misc Steam Plant</t>
  </si>
  <si>
    <t xml:space="preserve">     Total Steam Generation Expense</t>
  </si>
  <si>
    <t>Other Power Supply Expense</t>
  </si>
  <si>
    <t xml:space="preserve">     555-Purchased Power Expense Demand</t>
  </si>
  <si>
    <t xml:space="preserve">     555-Purchased Power Expense Energy</t>
  </si>
  <si>
    <t xml:space="preserve">     556-Sys Control &amp; Load Dispatching</t>
  </si>
  <si>
    <t xml:space="preserve">     557- Other Expenses</t>
  </si>
  <si>
    <t xml:space="preserve">         Total Other Power Supply Expense</t>
  </si>
  <si>
    <t xml:space="preserve">   Total Production O&amp;M Expense</t>
  </si>
  <si>
    <t>Transmission Expense</t>
  </si>
  <si>
    <t xml:space="preserve">     560-Supervision &amp; Engineering</t>
  </si>
  <si>
    <t xml:space="preserve">     562-Station Equipment</t>
  </si>
  <si>
    <t xml:space="preserve">     563-Overhead Lines</t>
  </si>
  <si>
    <t xml:space="preserve">     564-Underground Lines</t>
  </si>
  <si>
    <t xml:space="preserve">     566-Misc Transmission</t>
  </si>
  <si>
    <t xml:space="preserve">     567-Rents</t>
  </si>
  <si>
    <t xml:space="preserve">   Total Transmission Operation Expense</t>
  </si>
  <si>
    <t>Transmission Maintenance</t>
  </si>
  <si>
    <t xml:space="preserve">     568-Supervision &amp; Engineering</t>
  </si>
  <si>
    <t xml:space="preserve">     569-Structures</t>
  </si>
  <si>
    <t xml:space="preserve">     570-Station Equipment</t>
  </si>
  <si>
    <t xml:space="preserve">     571-Overhead Lines</t>
  </si>
  <si>
    <t xml:space="preserve">     572-Underground Lines</t>
  </si>
  <si>
    <t xml:space="preserve">     573-Misc Transmission Expenses</t>
  </si>
  <si>
    <t xml:space="preserve">     575- PJM Admin</t>
  </si>
  <si>
    <t xml:space="preserve">   Total Transmission Maintenance Expense</t>
  </si>
  <si>
    <t xml:space="preserve">   Total Transmission O&amp;M Expense</t>
  </si>
  <si>
    <t>Distribution Expense</t>
  </si>
  <si>
    <t xml:space="preserve">     580-Supervision &amp; Engineering</t>
  </si>
  <si>
    <t xml:space="preserve">     581-Load Dispatching</t>
  </si>
  <si>
    <t xml:space="preserve">     582-Station Equipment</t>
  </si>
  <si>
    <t xml:space="preserve">     583-Overhead Lines</t>
  </si>
  <si>
    <t xml:space="preserve">     584-Underground Lines</t>
  </si>
  <si>
    <t xml:space="preserve">     585-Street &amp; Area Lighting</t>
  </si>
  <si>
    <t xml:space="preserve">     586-Meters</t>
  </si>
  <si>
    <t xml:space="preserve">     587-Customer Installations</t>
  </si>
  <si>
    <t xml:space="preserve">     588-Misc Distribution </t>
  </si>
  <si>
    <t xml:space="preserve">     589-Rents</t>
  </si>
  <si>
    <t xml:space="preserve">     590-Supervision &amp; Engineering</t>
  </si>
  <si>
    <t xml:space="preserve">     591-Structures</t>
  </si>
  <si>
    <t xml:space="preserve">     592-Station Equipment</t>
  </si>
  <si>
    <t xml:space="preserve">     593-Overhead Lines</t>
  </si>
  <si>
    <t xml:space="preserve">     593-Forestry Direct Assigned</t>
  </si>
  <si>
    <t xml:space="preserve">     594-Underground Lines</t>
  </si>
  <si>
    <t xml:space="preserve">     595-Line Transformers</t>
  </si>
  <si>
    <t xml:space="preserve">     596-Street &amp; Area Lighting</t>
  </si>
  <si>
    <t xml:space="preserve">     597-Meters</t>
  </si>
  <si>
    <t xml:space="preserve">     598-Misc Distribution Plant</t>
  </si>
  <si>
    <t xml:space="preserve">     Total Distribution Expense</t>
  </si>
  <si>
    <t>Customer Accounts Expense</t>
  </si>
  <si>
    <t xml:space="preserve">     901-Supervision &amp; Engineering</t>
  </si>
  <si>
    <t xml:space="preserve">     902-Meter Reading</t>
  </si>
  <si>
    <t xml:space="preserve">     903-Customer Records &amp; Collection Expense</t>
  </si>
  <si>
    <t xml:space="preserve">     9040000-Uncollectable Accounts</t>
  </si>
  <si>
    <t xml:space="preserve">     9040007-Uncollectible Misc Receivables</t>
  </si>
  <si>
    <t xml:space="preserve">     905-Misc Customer Accounts</t>
  </si>
  <si>
    <t>Customer Information Expense</t>
  </si>
  <si>
    <t xml:space="preserve">     907-Supervision</t>
  </si>
  <si>
    <t xml:space="preserve">     908-Customer Assistance</t>
  </si>
  <si>
    <t xml:space="preserve">     909-Information &amp; Instruction</t>
  </si>
  <si>
    <t xml:space="preserve">     910-Misc Customer Service</t>
  </si>
  <si>
    <t>Customer Service</t>
  </si>
  <si>
    <t xml:space="preserve">     911-Supervision</t>
  </si>
  <si>
    <t xml:space="preserve">     912-Demo &amp; Selling</t>
  </si>
  <si>
    <t xml:space="preserve">     913-Advertising</t>
  </si>
  <si>
    <t xml:space="preserve">     916-Misc SALES Expense</t>
  </si>
  <si>
    <t>Administrative &amp; General Expense</t>
  </si>
  <si>
    <t xml:space="preserve">     920-Salaries</t>
  </si>
  <si>
    <t xml:space="preserve">     921-Office Supplies</t>
  </si>
  <si>
    <t xml:space="preserve">     922-Administrative Expense Transferred</t>
  </si>
  <si>
    <t xml:space="preserve">     923-Outside Services</t>
  </si>
  <si>
    <t xml:space="preserve">     924-Property Insurance</t>
  </si>
  <si>
    <t xml:space="preserve">     925-Injuries &amp; Damages</t>
  </si>
  <si>
    <t xml:space="preserve">     926-Employee Pension &amp; Benefits</t>
  </si>
  <si>
    <t xml:space="preserve">     9260057 Post Ret Medicare Subsidy Direct</t>
  </si>
  <si>
    <t xml:space="preserve">     927-Franchise Requirements</t>
  </si>
  <si>
    <t xml:space="preserve">     928-Regulatory Commission Expense Allocated</t>
  </si>
  <si>
    <t xml:space="preserve">     930.1-General Advertising Expense</t>
  </si>
  <si>
    <t xml:space="preserve">     930.2-Misc General Expense</t>
  </si>
  <si>
    <t xml:space="preserve">     931-Rent</t>
  </si>
  <si>
    <t xml:space="preserve">     935-Admin &amp; General Maintenance</t>
  </si>
  <si>
    <t xml:space="preserve">     9350015 - Software License Deferral</t>
  </si>
  <si>
    <t xml:space="preserve">     Total Admin &amp; General Expense</t>
  </si>
  <si>
    <t>Depreciation Expense</t>
  </si>
  <si>
    <t xml:space="preserve">      Production</t>
  </si>
  <si>
    <t xml:space="preserve">     Transmission Excl. GSU's</t>
  </si>
  <si>
    <t xml:space="preserve">     Transmission - GSU's</t>
  </si>
  <si>
    <t>Amortization Expense</t>
  </si>
  <si>
    <t xml:space="preserve">     Intangible Plant</t>
  </si>
  <si>
    <t>Regulatory Debits</t>
  </si>
  <si>
    <t>Taxes Other than F.I.T.</t>
  </si>
  <si>
    <t>Current Payroll Taxes</t>
  </si>
  <si>
    <t xml:space="preserve">     FICA</t>
  </si>
  <si>
    <t xml:space="preserve">     Fed Unemployment</t>
  </si>
  <si>
    <t xml:space="preserve">     State Unemployment</t>
  </si>
  <si>
    <t xml:space="preserve"> Real and Personal Property Tax</t>
  </si>
  <si>
    <t>Net Plant</t>
  </si>
  <si>
    <t>Sales &amp; Use</t>
  </si>
  <si>
    <t>Regis Fee</t>
  </si>
  <si>
    <t>Business Franchise Taxes</t>
  </si>
  <si>
    <t>Federal Excise</t>
  </si>
  <si>
    <t>Taxes on Capital Leases</t>
  </si>
  <si>
    <t>Interest On Customer Deposits</t>
  </si>
  <si>
    <t>Other Expense Items</t>
  </si>
  <si>
    <t>G/L Disp. Of Util Plant Gain Disp. Of Util Plant 4116000</t>
  </si>
  <si>
    <t>Loss Disp. Of Util Plant 4117000</t>
  </si>
  <si>
    <t>Accretion 4110005</t>
  </si>
  <si>
    <t>A/R Factoring</t>
  </si>
  <si>
    <t>431-Other Interest Expense</t>
  </si>
  <si>
    <t xml:space="preserve">     Total Other</t>
  </si>
  <si>
    <t>Income Taxes</t>
  </si>
  <si>
    <t>Current Federal Income Taxes</t>
  </si>
  <si>
    <t>Deferred Federal Income Taxes</t>
  </si>
  <si>
    <t>Deferred Investment Tax Credit</t>
  </si>
  <si>
    <t xml:space="preserve">     Total Income Taxes</t>
  </si>
  <si>
    <t>Production</t>
  </si>
  <si>
    <t>KPCo TOTAL</t>
  </si>
  <si>
    <t>Operating Revenues - Sale of Electricity</t>
  </si>
  <si>
    <t>Operating Revenues - Sales of Electricity</t>
  </si>
  <si>
    <t xml:space="preserve">     5010005-Def Fuel</t>
  </si>
  <si>
    <t xml:space="preserve">     561-Load Dispatching</t>
  </si>
  <si>
    <t xml:space="preserve">     5930010 Storm Expense Amortization</t>
  </si>
  <si>
    <t xml:space="preserve">     928- Rate Case Expense</t>
  </si>
  <si>
    <t xml:space="preserve">    Reg Debits - 4073000</t>
  </si>
  <si>
    <t>Municipal License</t>
  </si>
  <si>
    <t>P.S.C.</t>
  </si>
  <si>
    <t>Gross Reciepts Tax</t>
  </si>
  <si>
    <t>Current/Deferred State Income Tax</t>
  </si>
  <si>
    <t>ITC Adjustment</t>
  </si>
  <si>
    <t>AFUDC Offset</t>
  </si>
  <si>
    <t>Prov-Leased Assets - Capital Leases 1011006</t>
  </si>
  <si>
    <t>Capital Leases Acct 1011001</t>
  </si>
  <si>
    <t>Accrued Capital Leases Acct 1011012</t>
  </si>
  <si>
    <t>KENTUCKY POWER COMPANY</t>
  </si>
  <si>
    <t>LINE       NO.</t>
  </si>
  <si>
    <t>DESCRIPTION</t>
  </si>
  <si>
    <t>FACTOR</t>
  </si>
  <si>
    <t>RETAIL</t>
  </si>
  <si>
    <t>SOURCE</t>
  </si>
  <si>
    <t>Production Demand</t>
  </si>
  <si>
    <t>PDAF</t>
  </si>
  <si>
    <t>Transmission Demand</t>
  </si>
  <si>
    <t>TDAF</t>
  </si>
  <si>
    <t>EAF</t>
  </si>
  <si>
    <t>Gross Plant Transmission</t>
  </si>
  <si>
    <t>GP-TRANS</t>
  </si>
  <si>
    <t>Gross Plant Distribution</t>
  </si>
  <si>
    <t>GP-DIST</t>
  </si>
  <si>
    <t>Gross Plant - T&amp;D</t>
  </si>
  <si>
    <t>GP-T&amp;D</t>
  </si>
  <si>
    <t>Gross Plant - PTD</t>
  </si>
  <si>
    <t>GP-PTD</t>
  </si>
  <si>
    <t>Gross Plant - Total</t>
  </si>
  <si>
    <t>GP-TOT</t>
  </si>
  <si>
    <t>NP</t>
  </si>
  <si>
    <t>O&amp;M Expense</t>
  </si>
  <si>
    <t>O&amp;M</t>
  </si>
  <si>
    <t>O&amp;M Labor</t>
  </si>
  <si>
    <t>OML</t>
  </si>
  <si>
    <t>Operating Revenue</t>
  </si>
  <si>
    <t>OP-REV</t>
  </si>
  <si>
    <t>SPECIFIC</t>
  </si>
  <si>
    <t>N/A</t>
  </si>
  <si>
    <t>JURIS ONLY</t>
  </si>
  <si>
    <t>KENTUCKY PSC</t>
  </si>
  <si>
    <t>NON-KY P.S.C</t>
  </si>
  <si>
    <t>Energy - EAF</t>
  </si>
  <si>
    <t>PDAF / EAF</t>
  </si>
  <si>
    <t xml:space="preserve">  KY Over/Under Deferred Fuel</t>
  </si>
  <si>
    <t>Operating Revenues - Wholesale Sales of Electricity</t>
  </si>
  <si>
    <t>System Sales Clause</t>
  </si>
  <si>
    <t>Fuel Adjustment Clause</t>
  </si>
  <si>
    <t>Various Transmission Agreements</t>
  </si>
  <si>
    <t>Labor - OML</t>
  </si>
  <si>
    <t>Regional Market Expenses</t>
  </si>
  <si>
    <t>GP -PTD</t>
  </si>
  <si>
    <t xml:space="preserve">     Electric Plant In Service - Net</t>
  </si>
  <si>
    <t>Prepayments</t>
  </si>
  <si>
    <t>Materials &amp; Supplies</t>
  </si>
  <si>
    <t>Cash Working Capital</t>
  </si>
  <si>
    <t xml:space="preserve">     Customer Advances</t>
  </si>
  <si>
    <t>Customer Advances &amp; Deposits</t>
  </si>
  <si>
    <t>Specific</t>
  </si>
  <si>
    <t>System Sales</t>
  </si>
  <si>
    <t xml:space="preserve">     Total Power Production</t>
  </si>
  <si>
    <t xml:space="preserve">     Transmission Expense</t>
  </si>
  <si>
    <t xml:space="preserve">     Total Customer Related Expense</t>
  </si>
  <si>
    <t xml:space="preserve">     Total A&amp;G Expense</t>
  </si>
  <si>
    <t xml:space="preserve">     501-Fuel Delivered and Consumed</t>
  </si>
  <si>
    <t xml:space="preserve">     501-Fuel Other</t>
  </si>
  <si>
    <t>O&amp;M Expense                              Interest on                            Customer                                                         Deposit</t>
  </si>
  <si>
    <t>Normalization / Elimination of Commission Mandated Consultant Cost</t>
  </si>
  <si>
    <t>Miscellaneous                                                            Service                                                                                Charges</t>
  </si>
  <si>
    <t xml:space="preserve">KPSC                                         Maintenance                                                                      Assessment                                               </t>
  </si>
  <si>
    <t xml:space="preserve">Normalization                                                             Major Storms  </t>
  </si>
  <si>
    <t>Amortization                                                              Storm Cost                                                                           Deferral</t>
  </si>
  <si>
    <t>Capacity Charge Revenues                                                                Rockport                                                        Unit Power Agreement</t>
  </si>
  <si>
    <t>State Income Tax Rate</t>
  </si>
  <si>
    <t>Federal Income Tax Rate</t>
  </si>
  <si>
    <t>O&amp;M Labor Percentage</t>
  </si>
  <si>
    <t>Rate Case                                                                               Expense</t>
  </si>
  <si>
    <t>Postage Rate                                    Increase</t>
  </si>
  <si>
    <t xml:space="preserve">System Sales                              Margin </t>
  </si>
  <si>
    <t xml:space="preserve">  ITC Adjustment</t>
  </si>
  <si>
    <t>Reliability</t>
  </si>
  <si>
    <t>Interest                                        Synchronization</t>
  </si>
  <si>
    <t>Customer                                     Migration</t>
  </si>
  <si>
    <t xml:space="preserve">Customer                                     Annualization </t>
  </si>
  <si>
    <t xml:space="preserve">Pension and                                OPEB Expense  </t>
  </si>
  <si>
    <t>KY PSC JURIS</t>
  </si>
  <si>
    <t xml:space="preserve">     Total Transmission Expense</t>
  </si>
  <si>
    <t xml:space="preserve">     Total Power Production Expense</t>
  </si>
  <si>
    <t xml:space="preserve">     Total Admin.&amp; General Expense</t>
  </si>
  <si>
    <t>Amortization of Deferred IGCC Costs</t>
  </si>
  <si>
    <t>Amortization of Deferred CCS FEED Study Costs</t>
  </si>
  <si>
    <t>Amortization of Deferred CARRS Site Costs</t>
  </si>
  <si>
    <t xml:space="preserve">Annualization of                           Property Tax                                    Expense </t>
  </si>
  <si>
    <t>Amortization of Deferred Preliminary Big Sandy FGD Costs</t>
  </si>
  <si>
    <t>Fuel Under (Over) Revenues</t>
  </si>
  <si>
    <t>Incentive                                      Compensation                                                   Plan</t>
  </si>
  <si>
    <t>Big Sandy                                                                  Coal                                                                                 Stock</t>
  </si>
  <si>
    <t xml:space="preserve">KPCo AFUDC                                                                     Offset </t>
  </si>
  <si>
    <t>Mitchell                                                                  Coal                                                                                 Stock</t>
  </si>
  <si>
    <t>Carrs Site</t>
  </si>
  <si>
    <t>Labor - OML / SPECIFIC</t>
  </si>
  <si>
    <t>WV Unemployment</t>
  </si>
  <si>
    <t>Kentucky Power Company</t>
  </si>
  <si>
    <t>Electric Operation &amp; Maintenance Expense</t>
  </si>
  <si>
    <r>
      <t xml:space="preserve">Acct       </t>
    </r>
    <r>
      <rPr>
        <u/>
        <sz val="10"/>
        <rFont val="Arial"/>
        <family val="2"/>
      </rPr>
      <t>No.</t>
    </r>
  </si>
  <si>
    <t>Expense</t>
  </si>
  <si>
    <t>Supervision &amp; Engineering</t>
  </si>
  <si>
    <t>Fuel</t>
  </si>
  <si>
    <t>Fuel Expense Deferred</t>
  </si>
  <si>
    <t>Steam Expense</t>
  </si>
  <si>
    <t>Electric Expense</t>
  </si>
  <si>
    <t>Misc Steam Power Expense</t>
  </si>
  <si>
    <t>Rents</t>
  </si>
  <si>
    <t>Allowances</t>
  </si>
  <si>
    <t>Steam Generation Maintenance</t>
  </si>
  <si>
    <t>514 &amp; 515</t>
  </si>
  <si>
    <t>Maintenance of Structures</t>
  </si>
  <si>
    <t>Maintenance of Boiler Plant</t>
  </si>
  <si>
    <t>Maintenance of Electric Plant</t>
  </si>
  <si>
    <t>Maintenance of Miscellaneous Steam</t>
  </si>
  <si>
    <t>Total Steam Power O &amp; M</t>
  </si>
  <si>
    <t>Total Steam Generation - Maintenance</t>
  </si>
  <si>
    <t>Total KPCo O&amp;M Expense Per Books</t>
  </si>
  <si>
    <t>Total O&amp;M Payroll</t>
  </si>
  <si>
    <t>A&amp;G Excluding Regulation</t>
  </si>
  <si>
    <t>Restated Expense</t>
  </si>
  <si>
    <t>LSE Charges - Demand</t>
  </si>
  <si>
    <t>LSE Charges - Retail Demand</t>
  </si>
  <si>
    <t>LSE Charges - Retail Energy</t>
  </si>
  <si>
    <t>TO Costs - Demand</t>
  </si>
  <si>
    <t>Non-Jurisdictional</t>
  </si>
  <si>
    <t>Customer Account Expense</t>
  </si>
  <si>
    <t>Customer Services</t>
  </si>
  <si>
    <t>A &amp; G Regulatory</t>
  </si>
  <si>
    <t>A &amp; G Other</t>
  </si>
  <si>
    <t>Total Operating &amp; Maintenance Expense</t>
  </si>
  <si>
    <t>Operations</t>
  </si>
  <si>
    <t>Maintenance</t>
  </si>
  <si>
    <t>Distribution Operations Expense</t>
  </si>
  <si>
    <t>Distribution Maintenance Expense</t>
  </si>
  <si>
    <t>Energy &amp; Capacity Charges</t>
  </si>
  <si>
    <t>Purchased</t>
  </si>
  <si>
    <t>System Pool</t>
  </si>
  <si>
    <t>Total Purchased Power</t>
  </si>
  <si>
    <t>Less:</t>
  </si>
  <si>
    <t>System Sales / Resale</t>
  </si>
  <si>
    <t>System Sales/Resale's - Associated Companies</t>
  </si>
  <si>
    <t>Transmission Charges</t>
  </si>
  <si>
    <t>Total System Sales</t>
  </si>
  <si>
    <t>Backup Energy</t>
  </si>
  <si>
    <t xml:space="preserve">Total </t>
  </si>
  <si>
    <t>Purchased Power</t>
  </si>
  <si>
    <t>Capacity</t>
  </si>
  <si>
    <t>Total</t>
  </si>
  <si>
    <t>Account 1823022</t>
  </si>
  <si>
    <t>Account 1823054</t>
  </si>
  <si>
    <t>MONTHLY BOOK CREDITS</t>
  </si>
  <si>
    <t>ALLOWANCE FOR FUNDS USED DURING CONSTRUCTION (AFUDC) - CREDITS</t>
  </si>
  <si>
    <r>
      <t xml:space="preserve">LINE             </t>
    </r>
    <r>
      <rPr>
        <u/>
        <sz val="10"/>
        <rFont val="Arial"/>
        <family val="2"/>
      </rPr>
      <t>NO.</t>
    </r>
  </si>
  <si>
    <t>MONTH</t>
  </si>
  <si>
    <r>
      <t xml:space="preserve">432         </t>
    </r>
    <r>
      <rPr>
        <u/>
        <sz val="10"/>
        <rFont val="Arial"/>
        <family val="2"/>
      </rPr>
      <t>Borrowed</t>
    </r>
  </si>
  <si>
    <r>
      <t xml:space="preserve">419               </t>
    </r>
    <r>
      <rPr>
        <u/>
        <sz val="10"/>
        <rFont val="Arial"/>
        <family val="2"/>
      </rPr>
      <t>Other</t>
    </r>
  </si>
  <si>
    <r>
      <t xml:space="preserve">Total             </t>
    </r>
    <r>
      <rPr>
        <u/>
        <sz val="10"/>
        <rFont val="Arial"/>
        <family val="2"/>
      </rPr>
      <t>AFUDC</t>
    </r>
  </si>
  <si>
    <t>April</t>
  </si>
  <si>
    <t xml:space="preserve"> 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</si>
  <si>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</si>
  <si>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</si>
  <si>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</si>
  <si>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</si>
  <si>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</si>
  <si>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</si>
  <si>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</si>
  <si>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</si>
  <si>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</si>
  <si>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</si>
  <si>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</si>
  <si>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-------------</t>
  </si>
  <si>
    <t>TOTAL</t>
  </si>
  <si>
    <t>=======</t>
  </si>
  <si>
    <t>=========</t>
  </si>
  <si>
    <t>RATE MAKING</t>
  </si>
  <si>
    <t>ELIMINATION / ADJUSTMENTS</t>
  </si>
  <si>
    <t>ELECTRIC</t>
  </si>
  <si>
    <t>UTILITY</t>
  </si>
  <si>
    <t>WHOLESALE</t>
  </si>
  <si>
    <t xml:space="preserve">    Total Operating Revenues</t>
  </si>
  <si>
    <t xml:space="preserve">    Total Operation and Maintenance Expense</t>
  </si>
  <si>
    <t xml:space="preserve">    Electric Plant In Service - Net</t>
  </si>
  <si>
    <t xml:space="preserve">    Total Intangible Plant</t>
  </si>
  <si>
    <t xml:space="preserve">    Total Steam Production</t>
  </si>
  <si>
    <t xml:space="preserve">    Total Nuclear Production</t>
  </si>
  <si>
    <t xml:space="preserve">    Total  Hydraulic Production</t>
  </si>
  <si>
    <t xml:space="preserve">    Total Other Production</t>
  </si>
  <si>
    <t xml:space="preserve">    Total Production Plant</t>
  </si>
  <si>
    <t xml:space="preserve">    Total Transmission Plant</t>
  </si>
  <si>
    <t xml:space="preserve">    Total Distribution Plant</t>
  </si>
  <si>
    <t xml:space="preserve">    Total General Plant</t>
  </si>
  <si>
    <t xml:space="preserve">    Total Capital Leases</t>
  </si>
  <si>
    <t xml:space="preserve">     Total Reserve for Depreciaton / RWIP</t>
  </si>
  <si>
    <t xml:space="preserve">     Total Transmission Plant</t>
  </si>
  <si>
    <t xml:space="preserve">     Total Distribution Plant</t>
  </si>
  <si>
    <t xml:space="preserve">     Total General Plant</t>
  </si>
  <si>
    <t xml:space="preserve">     Total Reserve for Amortization</t>
  </si>
  <si>
    <t xml:space="preserve">     Total Intangilbe Plant</t>
  </si>
  <si>
    <t xml:space="preserve">     Total Production Plant</t>
  </si>
  <si>
    <t xml:space="preserve">     Total Prov-Leased Assets</t>
  </si>
  <si>
    <t xml:space="preserve">     Total Plant Held for Future Use</t>
  </si>
  <si>
    <t xml:space="preserve">     Total Completed Construction Not Classified</t>
  </si>
  <si>
    <t xml:space="preserve">     Total Rate Base</t>
  </si>
  <si>
    <t xml:space="preserve">     KY O/U Deferred Fuel Net of Tax</t>
  </si>
  <si>
    <t xml:space="preserve">     Total Non-Firm Sales</t>
  </si>
  <si>
    <t xml:space="preserve">     Total Rent from Electric Property</t>
  </si>
  <si>
    <t xml:space="preserve">     Total Other Electric Revenues</t>
  </si>
  <si>
    <t xml:space="preserve">     Total Other Operating Revenues</t>
  </si>
  <si>
    <t xml:space="preserve">     Total Operating Revenues</t>
  </si>
  <si>
    <t xml:space="preserve">     Total Steam Operation</t>
  </si>
  <si>
    <t xml:space="preserve">     Total Steam Maintenance</t>
  </si>
  <si>
    <t xml:space="preserve">     Total Other Power Supply Expense</t>
  </si>
  <si>
    <t xml:space="preserve">     Total Production O&amp;M Expense</t>
  </si>
  <si>
    <t xml:space="preserve">     Total Transmission Operation Expense</t>
  </si>
  <si>
    <t xml:space="preserve">     Total Transmission Maintenance Expense</t>
  </si>
  <si>
    <t xml:space="preserve">     Total Transmission O&amp;M Expense</t>
  </si>
  <si>
    <t xml:space="preserve">     Total Distribution Operation</t>
  </si>
  <si>
    <t xml:space="preserve">     Total Distribution Maintenance</t>
  </si>
  <si>
    <t xml:space="preserve">     Total Customer Accounts</t>
  </si>
  <si>
    <t xml:space="preserve">     Total Customer Information</t>
  </si>
  <si>
    <t xml:space="preserve">     Total Customer Service</t>
  </si>
  <si>
    <t xml:space="preserve">     Total Admin &amp; General Operation</t>
  </si>
  <si>
    <t xml:space="preserve">     Total Operation &amp; Maint Exp</t>
  </si>
  <si>
    <t xml:space="preserve">        Subtotal</t>
  </si>
  <si>
    <t xml:space="preserve">     Total Cash Working Capital</t>
  </si>
  <si>
    <t xml:space="preserve">     Total Depreciation Expense</t>
  </si>
  <si>
    <t xml:space="preserve">     Total Amortization Expense</t>
  </si>
  <si>
    <t xml:space="preserve">     Total Regulatory Debits</t>
  </si>
  <si>
    <t xml:space="preserve">     Total Depreciation &amp; Amortization Expense</t>
  </si>
  <si>
    <t xml:space="preserve">     Total Payroll Related Tax</t>
  </si>
  <si>
    <t xml:space="preserve">     Total Taxes Other than F.I.T.</t>
  </si>
  <si>
    <t xml:space="preserve">     Total Acc Prov Depreciation and Amortization</t>
  </si>
  <si>
    <t xml:space="preserve">     Total Materials &amp; Supplies</t>
  </si>
  <si>
    <t xml:space="preserve">     Total Prepayments</t>
  </si>
  <si>
    <t xml:space="preserve">     Total Intangible Plant</t>
  </si>
  <si>
    <t xml:space="preserve">     Total Steam Production</t>
  </si>
  <si>
    <t xml:space="preserve">     Total Nuclear Production</t>
  </si>
  <si>
    <t xml:space="preserve">     Total  Hydraulic Production</t>
  </si>
  <si>
    <t xml:space="preserve">     Total Other Production</t>
  </si>
  <si>
    <t xml:space="preserve">     Total Capital Leases</t>
  </si>
  <si>
    <t>Real and Personal Property Tax</t>
  </si>
  <si>
    <t>System Sales Adjusted</t>
  </si>
  <si>
    <t>SECTION   V</t>
  </si>
  <si>
    <t>FULLY ADJUSTED BASE CASE SUMMARY</t>
  </si>
  <si>
    <t>SCHEDULE   1</t>
  </si>
  <si>
    <r>
      <t xml:space="preserve">LINE   </t>
    </r>
    <r>
      <rPr>
        <u/>
        <sz val="10"/>
        <rFont val="Arial"/>
        <family val="2"/>
      </rPr>
      <t>NO.</t>
    </r>
  </si>
  <si>
    <r>
      <t xml:space="preserve">BASE CASE PSC </t>
    </r>
    <r>
      <rPr>
        <u/>
        <sz val="10"/>
        <rFont val="Arial"/>
        <family val="2"/>
      </rPr>
      <t>JURISDICTION</t>
    </r>
  </si>
  <si>
    <r>
      <t xml:space="preserve">PROPOSED </t>
    </r>
    <r>
      <rPr>
        <u/>
        <sz val="10"/>
        <rFont val="Arial"/>
        <family val="2"/>
      </rPr>
      <t>CHANGE</t>
    </r>
  </si>
  <si>
    <r>
      <t xml:space="preserve">ADJUSTED PSC </t>
    </r>
    <r>
      <rPr>
        <u/>
        <sz val="10"/>
        <rFont val="Arial"/>
        <family val="2"/>
      </rPr>
      <t>JURISDICTION</t>
    </r>
  </si>
  <si>
    <t>Operating Revenues</t>
  </si>
  <si>
    <t>Sales Of Electricity</t>
  </si>
  <si>
    <t>--------------------</t>
  </si>
  <si>
    <t>Total Operating Revenues</t>
  </si>
  <si>
    <t>Operating Expenses</t>
  </si>
  <si>
    <t>Operation &amp; Maintenance</t>
  </si>
  <si>
    <t>Depreciation</t>
  </si>
  <si>
    <t>Taxes Other Than Income Taxes</t>
  </si>
  <si>
    <t>Federal Income Tax :</t>
  </si>
  <si>
    <t xml:space="preserve">       Current</t>
  </si>
  <si>
    <t xml:space="preserve">       Deferred</t>
  </si>
  <si>
    <t xml:space="preserve">       ITC Adjustment</t>
  </si>
  <si>
    <t>Total Operating Expenses</t>
  </si>
  <si>
    <t>AFUDC Offset Adjustment / Deferred Income</t>
  </si>
  <si>
    <t xml:space="preserve">Net Electric Operating Income - Adjusted  </t>
  </si>
  <si>
    <t>============</t>
  </si>
  <si>
    <t>Capitalization</t>
  </si>
  <si>
    <t>ADJUSTED REVENUE REQUIREMENT TO ACCOUNT FOR TRANSMISSION ADJUSTMENT</t>
  </si>
  <si>
    <t>Change in Revenue Requirement</t>
  </si>
  <si>
    <t>Net Change in Revenue Requirement</t>
  </si>
  <si>
    <t>Proposed Percentage Change</t>
  </si>
  <si>
    <t>Rate of Return (WP S-2, Pg 1, L 5, Col 6)</t>
  </si>
  <si>
    <t>SECTION V</t>
  </si>
  <si>
    <t>Revenue Requirement</t>
  </si>
  <si>
    <t>SCHEDULE 2</t>
  </si>
  <si>
    <t>Line       No.</t>
  </si>
  <si>
    <t xml:space="preserve">Percent of                  Incremental                          Gross Revenues </t>
  </si>
  <si>
    <t>---------------------</t>
  </si>
  <si>
    <t>Required Net Electric Operating Income (L1 X L2)</t>
  </si>
  <si>
    <t>Net Electric Operating Income Change (L3 - L4)</t>
  </si>
  <si>
    <t>Gross Revenue Conversion Factor (Per WP S-2, Pg 2, L 9)</t>
  </si>
  <si>
    <t>Change in Revenue Requirement (L5 X L6) Increase / (Decrease)</t>
  </si>
  <si>
    <t>*</t>
  </si>
  <si>
    <t>===========</t>
  </si>
  <si>
    <t>Change in Revenue Requirement Prior to Transmission Adjustment.</t>
  </si>
  <si>
    <t>COST OF CAPITAL</t>
  </si>
  <si>
    <t>WORKPAPER S-2</t>
  </si>
  <si>
    <t>PAGE 1 OF 3</t>
  </si>
  <si>
    <t>Reapportioned</t>
  </si>
  <si>
    <t>Annual</t>
  </si>
  <si>
    <t>Weighted</t>
  </si>
  <si>
    <t>Kentucky</t>
  </si>
  <si>
    <t>Percentage</t>
  </si>
  <si>
    <t>Cost</t>
  </si>
  <si>
    <t>Average</t>
  </si>
  <si>
    <t>Jurisdictional</t>
  </si>
  <si>
    <t>of</t>
  </si>
  <si>
    <t>Capital   1/</t>
  </si>
  <si>
    <t>Rate</t>
  </si>
  <si>
    <t>Percent</t>
  </si>
  <si>
    <t>(6) = (4) X (5)</t>
  </si>
  <si>
    <t>Long Term Debt</t>
  </si>
  <si>
    <t>2/</t>
  </si>
  <si>
    <t>Short Term Debt</t>
  </si>
  <si>
    <t>3/</t>
  </si>
  <si>
    <t>Accounts Receivable Financing 4/</t>
  </si>
  <si>
    <t>5/</t>
  </si>
  <si>
    <t>Common Equity</t>
  </si>
  <si>
    <t>6/</t>
  </si>
  <si>
    <t>-------------------</t>
  </si>
  <si>
    <t>==========</t>
  </si>
  <si>
    <t>1/</t>
  </si>
  <si>
    <t>Schedule 3, Column 13, Lines 1, 2, 3 &amp; 4</t>
  </si>
  <si>
    <t>Per workpaper S-3, Pg 2, Ln 16</t>
  </si>
  <si>
    <t>4/</t>
  </si>
  <si>
    <t>Per Commission Order March 31, 2003 Case No. 2002-00169</t>
  </si>
  <si>
    <t>Computation of the Gross Revenue</t>
  </si>
  <si>
    <t>Conversion Factor</t>
  </si>
  <si>
    <t>PAGE 2 OF 3</t>
  </si>
  <si>
    <t>Less: Uncollectible Accounts Expense   1/</t>
  </si>
  <si>
    <t>KPSC Maintenance Fee</t>
  </si>
  <si>
    <t>Income Before income Taxes</t>
  </si>
  <si>
    <t>Income Before Federal Income Taxes</t>
  </si>
  <si>
    <t>Less: Federal income Taxes (L6 X 35.00%)</t>
  </si>
  <si>
    <t>Operating Income Percentage</t>
  </si>
  <si>
    <t>Gross Revenue Conversion Factor (100% / L8)</t>
  </si>
  <si>
    <t>1/   Per Workpaper S-2, Page 3, Col 5, Line 5</t>
  </si>
  <si>
    <t>2/   State Income Tax Effective Rate Calculations</t>
  </si>
  <si>
    <t>State Income Tax Rate - Illinois</t>
  </si>
  <si>
    <t>Apportionment Factor</t>
  </si>
  <si>
    <t>----------------</t>
  </si>
  <si>
    <t>Effective Illinois State Income Tax Rate</t>
  </si>
  <si>
    <t>State Income Tax Rate - KY</t>
  </si>
  <si>
    <t>Effective Kentucky State Income Tax Rate</t>
  </si>
  <si>
    <t>State Income Tax Rate - Michigan</t>
  </si>
  <si>
    <t>Effective Michigan State Income Tax Rate</t>
  </si>
  <si>
    <t>State Income Tax Rate - WV</t>
  </si>
  <si>
    <t>Effective West Virginia State Income Tax Rate</t>
  </si>
  <si>
    <t>Total Effective State Income Tax Rate</t>
  </si>
  <si>
    <t>Computation of Factor to be Applied to Additional</t>
  </si>
  <si>
    <t>Revenues Generated by Rate Increase, in</t>
  </si>
  <si>
    <t>PAGE 3 OF 3</t>
  </si>
  <si>
    <t>Determination of an Uncollectable Accounts</t>
  </si>
  <si>
    <t>Adjustment to be added to O&amp;M Expense</t>
  </si>
  <si>
    <t>Electric       Revenues</t>
  </si>
  <si>
    <t>Account-Net       Charged Off</t>
  </si>
  <si>
    <t>Percent of Electric       Revenues</t>
  </si>
  <si>
    <t>Three Year Average</t>
  </si>
  <si>
    <t>CAPITALIZATION</t>
  </si>
  <si>
    <t>Big Sandy</t>
  </si>
  <si>
    <t>Mitchell</t>
  </si>
  <si>
    <t>FRECO</t>
  </si>
  <si>
    <t>Non</t>
  </si>
  <si>
    <t>PER BOOK</t>
  </si>
  <si>
    <t>Coal Stock</t>
  </si>
  <si>
    <t>A/C 124</t>
  </si>
  <si>
    <t>CARRS</t>
  </si>
  <si>
    <t>Utility</t>
  </si>
  <si>
    <t>Sub</t>
  </si>
  <si>
    <t>Jurisdiction</t>
  </si>
  <si>
    <t>BALANCE</t>
  </si>
  <si>
    <t>Adjustment</t>
  </si>
  <si>
    <t>Property</t>
  </si>
  <si>
    <t>Site</t>
  </si>
  <si>
    <t>GP - TOT</t>
  </si>
  <si>
    <t>Accounts Receivable Financing</t>
  </si>
  <si>
    <t>Sub-Total</t>
  </si>
  <si>
    <t>Job Development Tax Credit</t>
  </si>
  <si>
    <t>Allocation Factor (GP-TOT)</t>
  </si>
  <si>
    <t>SECTION V   SCHEDULE  3</t>
  </si>
  <si>
    <t>Long-Term Debt</t>
  </si>
  <si>
    <t>($000)</t>
  </si>
  <si>
    <t>Net Proceeds</t>
  </si>
  <si>
    <t>Cost of</t>
  </si>
  <si>
    <t>Original</t>
  </si>
  <si>
    <t>on Principal</t>
  </si>
  <si>
    <t>Debt</t>
  </si>
  <si>
    <t xml:space="preserve">Average </t>
  </si>
  <si>
    <t>Principal</t>
  </si>
  <si>
    <t>Discount</t>
  </si>
  <si>
    <t>Amt. Based on</t>
  </si>
  <si>
    <t>Net</t>
  </si>
  <si>
    <t>Effective</t>
  </si>
  <si>
    <t>Current</t>
  </si>
  <si>
    <t>Based on</t>
  </si>
  <si>
    <t>Name</t>
  </si>
  <si>
    <t>Ln</t>
  </si>
  <si>
    <t>Interest</t>
  </si>
  <si>
    <t>Date of</t>
  </si>
  <si>
    <t>Term</t>
  </si>
  <si>
    <t>Amount</t>
  </si>
  <si>
    <t>(Prem) &amp;</t>
  </si>
  <si>
    <t>Original Prem.</t>
  </si>
  <si>
    <t>Proceed</t>
  </si>
  <si>
    <t xml:space="preserve">Carrying </t>
  </si>
  <si>
    <t xml:space="preserve">Cost of </t>
  </si>
  <si>
    <t>No</t>
  </si>
  <si>
    <t>Rate (%)</t>
  </si>
  <si>
    <t>Offering</t>
  </si>
  <si>
    <t>Maturity</t>
  </si>
  <si>
    <t>InYears</t>
  </si>
  <si>
    <t>Issued</t>
  </si>
  <si>
    <t>(Disc) &amp; Exp</t>
  </si>
  <si>
    <t>Ratio</t>
  </si>
  <si>
    <t>Outstanding</t>
  </si>
  <si>
    <t>Value</t>
  </si>
  <si>
    <t>Issuer</t>
  </si>
  <si>
    <t>KPCo</t>
  </si>
  <si>
    <t>Subtotal</t>
  </si>
  <si>
    <t>Senior Notes</t>
  </si>
  <si>
    <t>Senior Unsecured Notes</t>
  </si>
  <si>
    <t>06/13/2003</t>
  </si>
  <si>
    <t>12/01/2032</t>
  </si>
  <si>
    <t>09/11/2007</t>
  </si>
  <si>
    <t>09/15/2017</t>
  </si>
  <si>
    <t>06/18/2009</t>
  </si>
  <si>
    <t>06/18/2021</t>
  </si>
  <si>
    <t>06/18/2029</t>
  </si>
  <si>
    <t>06/18/2039</t>
  </si>
  <si>
    <t>Pro Forma Debt Adjustments</t>
  </si>
  <si>
    <t>Total Long Term Debt</t>
  </si>
  <si>
    <t>Other Long Term Debt</t>
  </si>
  <si>
    <t>Total Kentucky Power</t>
  </si>
  <si>
    <t>SECTION V  WORKPAPER  S - 3   PAGE 1 of 4</t>
  </si>
  <si>
    <t>Includes Commissions and All Other Issuance Expenses</t>
  </si>
  <si>
    <t>Schedule of Short-Term Debt</t>
  </si>
  <si>
    <t>WORKPAPER S-3</t>
  </si>
  <si>
    <t>PAGE 2 OF 4</t>
  </si>
  <si>
    <t>Month</t>
  </si>
  <si>
    <t>Year</t>
  </si>
  <si>
    <t>Notes Payable                        Outstanding at                                                   End of Month</t>
  </si>
  <si>
    <t>---------------</t>
  </si>
  <si>
    <t>Average Borrowings Outstanding During the Period</t>
  </si>
  <si>
    <t>Weighted Average Interest Rate of Borrowings</t>
  </si>
  <si>
    <t xml:space="preserve">       Outstanding During the Period (Ln 15 / Ln 14)</t>
  </si>
  <si>
    <t>========</t>
  </si>
  <si>
    <t>Coal Stock Adjustment</t>
  </si>
  <si>
    <t>Big Sandy Plant</t>
  </si>
  <si>
    <t>PAGE 3 OF 4</t>
  </si>
  <si>
    <t>Line No.</t>
  </si>
  <si>
    <t>Tons</t>
  </si>
  <si>
    <t>Average       $/Ton</t>
  </si>
  <si>
    <t>Balance End of year</t>
  </si>
  <si>
    <t>Allocation Factor - PDAF</t>
  </si>
  <si>
    <t>Mitchell Plant</t>
  </si>
  <si>
    <t>PAGE 4 OF 4</t>
  </si>
  <si>
    <t xml:space="preserve">     502-Steam / Consumables</t>
  </si>
  <si>
    <t>(5)</t>
  </si>
  <si>
    <t>(6)</t>
  </si>
  <si>
    <t>(7)</t>
  </si>
  <si>
    <t>Customers</t>
  </si>
  <si>
    <t>CUST.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</si>
  <si>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</si>
  <si>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</si>
  <si>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</si>
  <si>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</si>
  <si>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</si>
  <si>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</si>
  <si>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</si>
  <si>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</si>
  <si>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</si>
  <si>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</si>
  <si>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</si>
  <si>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</si>
  <si>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</si>
  <si>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Date of MW Peak</t>
  </si>
  <si>
    <t>TOTAL /</t>
  </si>
  <si>
    <t>Hour of MW Peak</t>
  </si>
  <si>
    <t>0700</t>
  </si>
  <si>
    <t>1400</t>
  </si>
  <si>
    <t>1600</t>
  </si>
  <si>
    <t>0800</t>
  </si>
  <si>
    <t>0900</t>
  </si>
  <si>
    <t>AVERAGE</t>
  </si>
  <si>
    <t>------------------</t>
  </si>
  <si>
    <t>Kentucky Peaks - Max. Load (MW)   *</t>
  </si>
  <si>
    <t>System Sales Excluding Losses</t>
  </si>
  <si>
    <t xml:space="preserve">       Loss %</t>
  </si>
  <si>
    <t>System Sales Including Losses</t>
  </si>
  <si>
    <t>Kentucky Internal Maximum Load</t>
  </si>
  <si>
    <t>Municipals (FERC Jurisdiction)</t>
  </si>
  <si>
    <t>Olive Hill, Excluding Losses</t>
  </si>
  <si>
    <t>Olive Hill, Including Losses</t>
  </si>
  <si>
    <t>Vanceburg, Excluding Losses</t>
  </si>
  <si>
    <t>Vanceburg, Including Losses</t>
  </si>
  <si>
    <t>Total Municipals Including Losses</t>
  </si>
  <si>
    <t>Allocation Factor (FERC Jurisdictional)</t>
  </si>
  <si>
    <t>/</t>
  </si>
  <si>
    <t>=</t>
  </si>
  <si>
    <t>Retail (KY Jurisdictional) Load</t>
  </si>
  <si>
    <t>Allocation Factor (KPSC Jurisdictional)</t>
  </si>
  <si>
    <t>Kentucky Power Company Internal Load plus System Sales at time of Internal Peak.</t>
  </si>
  <si>
    <t>MWH</t>
  </si>
  <si>
    <r>
      <t xml:space="preserve">% LOSS       </t>
    </r>
    <r>
      <rPr>
        <u/>
        <sz val="10"/>
        <rFont val="Arial"/>
        <family val="2"/>
      </rPr>
      <t>FACTOR</t>
    </r>
  </si>
  <si>
    <r>
      <t xml:space="preserve">MWH       </t>
    </r>
    <r>
      <rPr>
        <u/>
        <sz val="10"/>
        <rFont val="Arial"/>
        <family val="2"/>
      </rPr>
      <t>LOSSES</t>
    </r>
  </si>
  <si>
    <r>
      <t xml:space="preserve">MWH W /       </t>
    </r>
    <r>
      <rPr>
        <u/>
        <sz val="10"/>
        <rFont val="Arial"/>
        <family val="2"/>
      </rPr>
      <t>LOSSES</t>
    </r>
  </si>
  <si>
    <t xml:space="preserve">Transmission - </t>
  </si>
  <si>
    <t>Firm Sales - Vanceburg</t>
  </si>
  <si>
    <t xml:space="preserve">Distribution - </t>
  </si>
  <si>
    <t>Firm Sales - Olive Hill</t>
  </si>
  <si>
    <r>
      <t xml:space="preserve">TOTAL       </t>
    </r>
    <r>
      <rPr>
        <u/>
        <sz val="10"/>
        <rFont val="Arial"/>
        <family val="2"/>
      </rPr>
      <t xml:space="preserve">COMPANY       </t>
    </r>
  </si>
  <si>
    <t>ELIMINATION</t>
  </si>
  <si>
    <r>
      <t xml:space="preserve">TOTAL       COMPANY       </t>
    </r>
    <r>
      <rPr>
        <u/>
        <sz val="10"/>
        <rFont val="Arial"/>
        <family val="2"/>
      </rPr>
      <t>ADJUSTED</t>
    </r>
  </si>
  <si>
    <r>
      <t xml:space="preserve">CITY OF       </t>
    </r>
    <r>
      <rPr>
        <u/>
        <sz val="10"/>
        <rFont val="Arial"/>
        <family val="2"/>
      </rPr>
      <t>OLIVE HILL</t>
    </r>
  </si>
  <si>
    <r>
      <t xml:space="preserve">CITY OF       </t>
    </r>
    <r>
      <rPr>
        <u/>
        <sz val="10"/>
        <rFont val="Arial"/>
        <family val="2"/>
      </rPr>
      <t>VANCEBURG</t>
    </r>
  </si>
  <si>
    <r>
      <t xml:space="preserve">CITY OF       </t>
    </r>
    <r>
      <rPr>
        <u/>
        <sz val="10"/>
        <rFont val="Arial"/>
        <family val="2"/>
      </rPr>
      <t>HAMILTON</t>
    </r>
  </si>
  <si>
    <r>
      <t xml:space="preserve">TOTAL       SALES       </t>
    </r>
    <r>
      <rPr>
        <u/>
        <sz val="10"/>
        <rFont val="Arial"/>
        <family val="2"/>
      </rPr>
      <t>MUNICIPALS</t>
    </r>
  </si>
  <si>
    <r>
      <t xml:space="preserve">TOTAL       </t>
    </r>
    <r>
      <rPr>
        <u/>
        <sz val="10"/>
        <rFont val="Arial"/>
        <family val="2"/>
      </rPr>
      <t>RETAIL</t>
    </r>
  </si>
  <si>
    <t>Sources of Energy</t>
  </si>
  <si>
    <t>Generation</t>
  </si>
  <si>
    <t>Purchases</t>
  </si>
  <si>
    <t>Net interchange</t>
  </si>
  <si>
    <t>Total Sources</t>
  </si>
  <si>
    <t>Disposition of Energy</t>
  </si>
  <si>
    <t>Sales / Ultimate Customers</t>
  </si>
  <si>
    <t>Energy W/O Charge</t>
  </si>
  <si>
    <t>Sales for Resale</t>
  </si>
  <si>
    <t>Firm Sales (Mun.) - Olive Hill</t>
  </si>
  <si>
    <t>Firm Sales (Mun.) - Vanceburg</t>
  </si>
  <si>
    <t>Total Sales / Resale                                                   (LINES 10+11+12)</t>
  </si>
  <si>
    <t>Energy Losses</t>
  </si>
  <si>
    <t>Total Disposition                                                         (LINES 8+9+13+14)</t>
  </si>
  <si>
    <t>Allocation Factor</t>
  </si>
  <si>
    <t>City of Olive Hill</t>
  </si>
  <si>
    <t>City of Vanceburg</t>
  </si>
  <si>
    <t xml:space="preserve">Year </t>
  </si>
  <si>
    <t>Loss Factors by System</t>
  </si>
  <si>
    <t>% Demand</t>
  </si>
  <si>
    <t>% Energy</t>
  </si>
  <si>
    <r>
      <t xml:space="preserve"> Cumulative (Composite)</t>
    </r>
    <r>
      <rPr>
        <sz val="10"/>
        <rFont val="Arial"/>
        <family val="2"/>
      </rPr>
      <t xml:space="preserve"> Loss  Expansion Factors (1)</t>
    </r>
  </si>
  <si>
    <t xml:space="preserve">January </t>
  </si>
  <si>
    <t>2013</t>
  </si>
  <si>
    <t>System</t>
  </si>
  <si>
    <t>Loss</t>
  </si>
  <si>
    <t>Subtransmission</t>
  </si>
  <si>
    <t xml:space="preserve">Distribution Substation Trxfrs - 69kV (1) </t>
  </si>
  <si>
    <t>Composite                             Loss</t>
  </si>
  <si>
    <r>
      <t>Notes:</t>
    </r>
    <r>
      <rPr>
        <sz val="10"/>
        <rFont val="Arial"/>
        <family val="2"/>
      </rPr>
      <t xml:space="preserve">  </t>
    </r>
  </si>
  <si>
    <t>(1) Composite Loss Factors are applicable to load metered at respective delivery point to determine losses back to the generator.</t>
  </si>
  <si>
    <t xml:space="preserve">  </t>
  </si>
  <si>
    <t>Allocated</t>
  </si>
  <si>
    <t xml:space="preserve">Amortization of                                                            Intangible Expense          </t>
  </si>
  <si>
    <t xml:space="preserve">Eliminate Advertising                                 Expense        </t>
  </si>
  <si>
    <t xml:space="preserve">     Subtotal Gross Plant     GP-TOT</t>
  </si>
  <si>
    <t>Twelve Months Ended 9/30/2014</t>
  </si>
  <si>
    <t xml:space="preserve">July </t>
  </si>
  <si>
    <t>2014</t>
  </si>
  <si>
    <t>Test Year Ended 9/30/2014</t>
  </si>
  <si>
    <t>12 Months Ended 09/30/2012</t>
  </si>
  <si>
    <t>12 Months Ended 09/30/2013</t>
  </si>
  <si>
    <t>12 Months Ended 09/30/2014</t>
  </si>
  <si>
    <t>TWELVE MONTHS ENDED 9/30/2014</t>
  </si>
  <si>
    <t>State Business Occup Taxes</t>
  </si>
  <si>
    <t>G/L Disp. Of Allowances 411.8</t>
  </si>
  <si>
    <t>Exclude FERC RQ</t>
  </si>
  <si>
    <t>OCT 26, 2013</t>
  </si>
  <si>
    <t>NOV 13, 2013</t>
  </si>
  <si>
    <t>DEC 13, 2013</t>
  </si>
  <si>
    <t>JAN 24, 2014</t>
  </si>
  <si>
    <t>FEB 11, 2014</t>
  </si>
  <si>
    <t>MAR 4, 2014</t>
  </si>
  <si>
    <t>APR 16, 2014</t>
  </si>
  <si>
    <t>MAY 30, 2014</t>
  </si>
  <si>
    <t>JUN 24, 2014</t>
  </si>
  <si>
    <t>JUL 22, 2014</t>
  </si>
  <si>
    <t>AUG 20, 2014</t>
  </si>
  <si>
    <t>SEP 2, 2014</t>
  </si>
  <si>
    <t>Interest Expense for the Twelve Months Ended 09/30/2014</t>
  </si>
  <si>
    <t>9/30/2014</t>
  </si>
  <si>
    <t>9/30/2026</t>
  </si>
  <si>
    <t>Pollution Control Bond</t>
  </si>
  <si>
    <t>AS OF SEPTEMBER 30, 2014</t>
  </si>
  <si>
    <t>Test Year Twelve Ended 9/30/2014</t>
  </si>
  <si>
    <t>TEST YEAR ENDED 9/30/2014</t>
  </si>
  <si>
    <t xml:space="preserve">        KPCo Losses based on Test Year ended September 30, 2014</t>
  </si>
  <si>
    <t>Adjustment to Remove Big Sandy Coal Stock Pile</t>
  </si>
  <si>
    <t>KPSC Jurisdictional Amount (Ln 2 X Ln 3)</t>
  </si>
  <si>
    <t>Balance End of Test Year (Low Sulfur)</t>
  </si>
  <si>
    <t>Balance End of Test Year (High Sulfur)</t>
  </si>
  <si>
    <t>Daily Burn Rate  (Low Sulfur)</t>
  </si>
  <si>
    <t>Daily Burn Rate  (High Sulfur)</t>
  </si>
  <si>
    <t>Day Supply Requested (Low Sulfur)</t>
  </si>
  <si>
    <t>Day Supply Requested (High Sulfur)</t>
  </si>
  <si>
    <t>Days Supply on Hand - Low Sulfur (Ln 1 / Ln 3)</t>
  </si>
  <si>
    <t>Days Supply on Hand - High Sulfur (Ln 2 / Ln 4)</t>
  </si>
  <si>
    <t>-----------------</t>
  </si>
  <si>
    <t>=============</t>
  </si>
  <si>
    <t>Annualization                                                of Lease Costs</t>
  </si>
  <si>
    <t>PJM Charges and Credits Adjustment to Reflect Pool Termination, Removal of Big Sandy</t>
  </si>
  <si>
    <t>Adjustment / Annualization Depreciation Expense Mitchell Plant Investment</t>
  </si>
  <si>
    <t>Mitchell Plant Maintenance Normalization</t>
  </si>
  <si>
    <t>Annualize                                                      Removal Cost                                                           Schedule M</t>
  </si>
  <si>
    <t>Annualize                                                                Section 199                                                                             Manufacturing                                                                            Deduction</t>
  </si>
  <si>
    <t>Mitchell Plant Depreciation Related Schedule M's</t>
  </si>
  <si>
    <t>Removal of Big Sandy Depreciation</t>
  </si>
  <si>
    <t>FGD Movement                                                                          from Base to Environmental                                                                       (Mitchell)</t>
  </si>
  <si>
    <t>Removal of Coal                                                                     Related Assets</t>
  </si>
  <si>
    <t>Remove                                                                                   Big Sandy O&amp;M</t>
  </si>
  <si>
    <t>ARO Accretion</t>
  </si>
  <si>
    <t>Weather Normalization</t>
  </si>
  <si>
    <t>Removal of Big Sandy M&amp;S form Rate Base</t>
  </si>
  <si>
    <t>Removal of Big Sandy CWIP form Rate Base</t>
  </si>
  <si>
    <t>Cost of Removal Adjustment 2014</t>
  </si>
  <si>
    <t>ARO Depreciation</t>
  </si>
  <si>
    <t>Sales &amp; Use Tax</t>
  </si>
  <si>
    <t>State Franchise Tax</t>
  </si>
  <si>
    <t xml:space="preserve">     Subtotal Gross Plant     GP-PTD</t>
  </si>
  <si>
    <t xml:space="preserve">     Subtotal Gross Plant     GP-TRANS</t>
  </si>
  <si>
    <t xml:space="preserve">     Subtotal Gross Plant     GP-DIST</t>
  </si>
  <si>
    <t xml:space="preserve">     Subtotal Gross Plant     GP-T&amp;D</t>
  </si>
  <si>
    <t>CUST</t>
  </si>
  <si>
    <t>DSM Expenses</t>
  </si>
  <si>
    <t>Accretion 4111005</t>
  </si>
  <si>
    <t>AFUDC Offset - Production</t>
  </si>
  <si>
    <t>AFUDC Offset - Transmission</t>
  </si>
  <si>
    <t>AFUDC Offset - Distribution</t>
  </si>
  <si>
    <t>AFUDC Offset - General</t>
  </si>
  <si>
    <t xml:space="preserve">     456-Other Electric LSE Charge - Retail Demand</t>
  </si>
  <si>
    <t xml:space="preserve">     456-Other Electric LSE Charge - Retail Energy</t>
  </si>
  <si>
    <t xml:space="preserve">     456-Other Electric Non-Juris</t>
  </si>
  <si>
    <t xml:space="preserve">     456-Other ElectricTransmission ABD</t>
  </si>
  <si>
    <t xml:space="preserve">     456-Other Electric Transmission EKPC</t>
  </si>
  <si>
    <t xml:space="preserve">     456-Other Electric TO Revenues</t>
  </si>
  <si>
    <t xml:space="preserve">     456-Other Electric Distribution ABD</t>
  </si>
  <si>
    <t xml:space="preserve">     456-Other Electric Revenues DSM</t>
  </si>
  <si>
    <t xml:space="preserve">     565  Transmission by Others</t>
  </si>
  <si>
    <t xml:space="preserve">     565  LSE Transmission Purchases - Retail Demand</t>
  </si>
  <si>
    <t xml:space="preserve">     566  LSE Transmission Purchases - Retail Energy</t>
  </si>
  <si>
    <t xml:space="preserve">     566  Transmission Purchases - Non-Juris</t>
  </si>
  <si>
    <t>Included In Environmental Surcharge</t>
  </si>
  <si>
    <t>Colum D - Rate Making Elimination/Adjustments inclusion, exclusion or relocation of book items.</t>
  </si>
  <si>
    <t>4310007-Other Interest Expense</t>
  </si>
  <si>
    <t>13 Month Average Accounts Receivable Balance and 13 Month Average Annual Carrying Cost</t>
  </si>
  <si>
    <t>Remove AEP Pool Cost</t>
  </si>
  <si>
    <t>Acct 4190005</t>
  </si>
  <si>
    <t>Acct 4300003</t>
  </si>
  <si>
    <t>Eliminate Environmental Surcharge Revenues</t>
  </si>
  <si>
    <t>Mitchell FGD</t>
  </si>
  <si>
    <t>From Base to</t>
  </si>
  <si>
    <t>Environmental</t>
  </si>
  <si>
    <t>Remove Coal</t>
  </si>
  <si>
    <t>Related Assets</t>
  </si>
  <si>
    <t>KPCo T&amp;D Annualization                               Employee Related                                                            Expense</t>
  </si>
  <si>
    <t>KPCo T&amp;D Depreciation Annualization Expense</t>
  </si>
  <si>
    <t>Adjustments to Include Test Year Mitchell Plant O&amp;M</t>
  </si>
  <si>
    <t xml:space="preserve"> CP Demand</t>
  </si>
  <si>
    <t>CP Demand</t>
  </si>
  <si>
    <t xml:space="preserve">     561-Load Dispatching - PJM</t>
  </si>
  <si>
    <t xml:space="preserve">     561-Load Dispatching - Company</t>
  </si>
  <si>
    <t>Eliminate Mitchell                                                 O&amp;M FGD</t>
  </si>
  <si>
    <t>M&amp;S</t>
  </si>
  <si>
    <t>Removal</t>
  </si>
  <si>
    <t>CWIP</t>
  </si>
  <si>
    <t>Remove RTO Amortization</t>
  </si>
  <si>
    <t>Proforma</t>
  </si>
  <si>
    <t xml:space="preserve">     Subtotal O&amp;M Labor - OML</t>
  </si>
  <si>
    <t>Total Construction Work in Progress Less AFUDC</t>
  </si>
  <si>
    <t>Total  AFUDC</t>
  </si>
  <si>
    <t>Asset Transfer Rider Gross-Up</t>
  </si>
  <si>
    <t>26-30</t>
  </si>
  <si>
    <t>Other Including Customer Deposits</t>
  </si>
  <si>
    <t xml:space="preserve">Affiliated Note Payable to AEP Parent </t>
  </si>
  <si>
    <t>Term Loan</t>
  </si>
  <si>
    <t xml:space="preserve">Term Loan </t>
  </si>
  <si>
    <t>WVEDA</t>
  </si>
  <si>
    <t>Local Bank Term Loan Facility</t>
  </si>
  <si>
    <t>Term Loan Refinancing</t>
  </si>
  <si>
    <t>Expense 2/</t>
  </si>
  <si>
    <t>Description 1/</t>
  </si>
  <si>
    <t>Early retirement of Note Payable to AEP Parent ($20) on October 10, 2014</t>
  </si>
  <si>
    <t>Adjustment 1/</t>
  </si>
  <si>
    <t>Local Bank Term Loan initial funding of $25 million less $20 million Affiliated Note extinguishment.</t>
  </si>
  <si>
    <t>Schedule M Adjustment  ---  Addback &lt;Deduct&gt;</t>
  </si>
  <si>
    <t>Normalization %</t>
  </si>
  <si>
    <t>Amortize ADSIT Related to the Mitchell Plant</t>
  </si>
  <si>
    <t>HR-J Post in Service AFUDC</t>
  </si>
  <si>
    <t>Accum. Dep. On ARO Assets</t>
  </si>
  <si>
    <t>KPCO DEMAND ALLOCATION FACTORS</t>
  </si>
  <si>
    <t>KPCO ENERGY ALLOCATION FACTORS</t>
  </si>
  <si>
    <t>KPCO JURISDICTIONAL ALLOCATION FACTORS</t>
  </si>
  <si>
    <t>Schedule 9</t>
  </si>
  <si>
    <t>Schedule 10</t>
  </si>
  <si>
    <t>Schedule 9                                (Vanceburg)</t>
  </si>
  <si>
    <t>Schedule 9                                (Olive Hill)</t>
  </si>
  <si>
    <t>Schedule 10                                (Olive Hill)</t>
  </si>
  <si>
    <t>Schedule 10                                (Vanceburg)</t>
  </si>
  <si>
    <t>Sch 9</t>
  </si>
  <si>
    <t>Sch 10</t>
  </si>
  <si>
    <t>Sch 4, Line 425</t>
  </si>
  <si>
    <t>Sch 4, Line 423</t>
  </si>
  <si>
    <t>Sch 4, Line 165</t>
  </si>
  <si>
    <t>Sch 4, Line 167</t>
  </si>
  <si>
    <t>Sch 4, Line 169</t>
  </si>
  <si>
    <t>Sch 4, Line 171</t>
  </si>
  <si>
    <t>Sch 4, Line 173</t>
  </si>
  <si>
    <t>Sch 4, Line 39</t>
  </si>
  <si>
    <t>Sch 4, Line 288</t>
  </si>
  <si>
    <t>Total Operating Revenue</t>
  </si>
  <si>
    <t>Net Operating Revenue</t>
  </si>
  <si>
    <t>Plus Transmission Adjustment from CCOS Study</t>
  </si>
  <si>
    <t>Test Year Net Electric Operating Income (Per Sch 4, Col 8, Ln 35)</t>
  </si>
  <si>
    <t>Per Recommendation of Company Witnesses Avera and McKenzie</t>
  </si>
  <si>
    <t>Per workpaper S-3, Pg 1, Ln 15, Col 14</t>
  </si>
  <si>
    <t>Less: State Income Taxes (L4 X 5.7348%)   2/</t>
  </si>
  <si>
    <t>Fuel Stock Requested - Low Sulfur (Ln 3 X Ln 7)</t>
  </si>
  <si>
    <t>Fuel Stock Requested - High Sulfur (Ln 4 X Ln 8)</t>
  </si>
  <si>
    <t>Adjustment to Test Year - Low Sulfur (Ln 9 - Ln 1)</t>
  </si>
  <si>
    <t>Adjustment to Test Year - High Sulfur (Ln 10 - Ln 1)</t>
  </si>
  <si>
    <t>KPCo's Adjustment Test Year (Ln 11 + Ln 12)</t>
  </si>
  <si>
    <t>KPSC Jurisdictional Amount (Ln 13 X Ln 14)</t>
  </si>
  <si>
    <r>
      <t xml:space="preserve">Monthly               Debt                          Rate                  </t>
    </r>
    <r>
      <rPr>
        <u/>
        <sz val="10"/>
        <rFont val="Arial"/>
        <family val="2"/>
      </rPr>
      <t>Applicable</t>
    </r>
  </si>
  <si>
    <r>
      <t xml:space="preserve">Monthly               Equity                        Rate                  </t>
    </r>
    <r>
      <rPr>
        <u/>
        <sz val="10"/>
        <rFont val="Arial"/>
        <family val="2"/>
      </rPr>
      <t>Applicable</t>
    </r>
  </si>
  <si>
    <r>
      <t>ENERGY</t>
    </r>
    <r>
      <rPr>
        <u/>
        <sz val="10"/>
        <rFont val="Arial"/>
        <family val="2"/>
      </rPr>
      <t xml:space="preserve"> LOSS CALCULATIONS</t>
    </r>
  </si>
  <si>
    <t>Net Electric Operating Income   (Line 3 - Line 11)</t>
  </si>
  <si>
    <t>Capitalization (Per Sch 3, L 7, Col 14)</t>
  </si>
  <si>
    <t xml:space="preserve">Should 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</si>
</sst>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#,##0.0000_);\(#,##0.0000\)"/>
    <numFmt numFmtId="168" formatCode="#,##0.000000"/>
    <numFmt numFmtId="169" formatCode="#,##0.0000000"/>
    <numFmt numFmtId="170" formatCode="#,##0.00000"/>
    <numFmt numFmtId="171" formatCode="_(* #,##0.0_);_(* \(#,##0.0\);&quot;&quot;;_(@_)"/>
    <numFmt numFmtId="172" formatCode="[Blue]#,##0,_);[Red]\(#,##0,\)"/>
    <numFmt numFmtId="173" formatCode="#,##0.000_);\(#,##0.000\)"/>
    <numFmt numFmtId="174" formatCode="#,##0.000"/>
    <numFmt numFmtId="175" formatCode="&quot;$&quot;#,##0"/>
    <numFmt numFmtId="176" formatCode="0.0000%"/>
    <numFmt numFmtId="177" formatCode="0.000000%"/>
    <numFmt numFmtId="178" formatCode="0_);\(0\)"/>
    <numFmt numFmtId="179" formatCode="0.0000_);\(0.0000\)"/>
    <numFmt numFmtId="180" formatCode="mm/dd/yy"/>
    <numFmt numFmtId="181" formatCode="0.000"/>
    <numFmt numFmtId="182" formatCode="_(* #,##0.000_);_(* \(#,##0.000\);_(* &quot;-&quot;??_);_(@_)"/>
    <numFmt numFmtId="183" formatCode="0.0"/>
    <numFmt numFmtId="184" formatCode="#,##0.000000000000000_);\(#,##0.000000000000000\)"/>
  </numFmts>
  <fonts count="9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 MT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06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1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1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1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9" borderId="0" applyNumberFormat="0" applyBorder="0" applyAlignment="0" applyProtection="0"/>
    <xf numFmtId="0" fontId="23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20" borderId="0" applyNumberFormat="0" applyBorder="0" applyAlignment="0" applyProtection="0"/>
    <xf numFmtId="0" fontId="23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4" fillId="22" borderId="0" applyNumberFormat="0" applyBorder="0" applyAlignment="0" applyProtection="0"/>
    <xf numFmtId="0" fontId="22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4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2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4" borderId="0" applyNumberFormat="0" applyBorder="0" applyAlignment="0" applyProtection="0"/>
    <xf numFmtId="0" fontId="28" fillId="2" borderId="6" applyNumberFormat="0" applyAlignment="0" applyProtection="0"/>
    <xf numFmtId="0" fontId="29" fillId="2" borderId="6" applyNumberFormat="0" applyAlignment="0" applyProtection="0"/>
    <xf numFmtId="0" fontId="29" fillId="2" borderId="6" applyNumberFormat="0" applyAlignment="0" applyProtection="0"/>
    <xf numFmtId="0" fontId="29" fillId="2" borderId="6" applyNumberFormat="0" applyAlignment="0" applyProtection="0"/>
    <xf numFmtId="0" fontId="30" fillId="2" borderId="6" applyNumberFormat="0" applyAlignment="0" applyProtection="0"/>
    <xf numFmtId="0" fontId="31" fillId="10" borderId="7" applyNumberFormat="0" applyAlignment="0" applyProtection="0"/>
    <xf numFmtId="0" fontId="32" fillId="10" borderId="7" applyNumberFormat="0" applyAlignment="0" applyProtection="0"/>
    <xf numFmtId="0" fontId="32" fillId="10" borderId="7" applyNumberFormat="0" applyAlignment="0" applyProtection="0"/>
    <xf numFmtId="0" fontId="32" fillId="10" borderId="7" applyNumberFormat="0" applyAlignment="0" applyProtection="0"/>
    <xf numFmtId="0" fontId="33" fillId="26" borderId="7" applyNumberFormat="0" applyAlignment="0" applyProtection="0"/>
    <xf numFmtId="0" fontId="32" fillId="26" borderId="7" applyNumberFormat="0" applyAlignment="0" applyProtection="0"/>
    <xf numFmtId="0" fontId="31" fillId="26" borderId="7" applyNumberFormat="0" applyAlignment="0" applyProtection="0"/>
    <xf numFmtId="43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8" fontId="35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6" borderId="0" applyNumberFormat="0" applyBorder="0" applyAlignment="0" applyProtection="0"/>
    <xf numFmtId="0" fontId="42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9" applyNumberFormat="0" applyFill="0" applyAlignment="0" applyProtection="0"/>
    <xf numFmtId="0" fontId="46" fillId="0" borderId="9" applyNumberFormat="0" applyFill="0" applyAlignment="0" applyProtection="0"/>
    <xf numFmtId="0" fontId="47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50" fillId="0" borderId="11" applyNumberFormat="0" applyFill="0" applyAlignment="0" applyProtection="0"/>
    <xf numFmtId="0" fontId="51" fillId="0" borderId="11" applyNumberFormat="0" applyFill="0" applyAlignment="0" applyProtection="0"/>
    <xf numFmtId="0" fontId="52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5" fillId="0" borderId="13" applyNumberFormat="0" applyFill="0" applyAlignment="0" applyProtection="0"/>
    <xf numFmtId="0" fontId="56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8" fillId="9" borderId="6" applyNumberFormat="0" applyAlignment="0" applyProtection="0"/>
    <xf numFmtId="0" fontId="59" fillId="9" borderId="6" applyNumberFormat="0" applyAlignment="0" applyProtection="0"/>
    <xf numFmtId="41" fontId="60" fillId="0" borderId="0">
      <alignment horizontal="left"/>
    </xf>
    <xf numFmtId="0" fontId="61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3" fillId="0" borderId="14" applyNumberFormat="0" applyFill="0" applyAlignment="0" applyProtection="0"/>
    <xf numFmtId="0" fontId="64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6" fillId="13" borderId="0" applyNumberFormat="0" applyBorder="0" applyAlignment="0" applyProtection="0"/>
    <xf numFmtId="0" fontId="67" fillId="0" borderId="0"/>
    <xf numFmtId="0" fontId="15" fillId="0" borderId="0"/>
    <xf numFmtId="37" fontId="18" fillId="0" borderId="0"/>
    <xf numFmtId="0" fontId="18" fillId="0" borderId="0"/>
    <xf numFmtId="0" fontId="35" fillId="0" borderId="0"/>
    <xf numFmtId="0" fontId="12" fillId="0" borderId="0"/>
    <xf numFmtId="38" fontId="13" fillId="0" borderId="0"/>
    <xf numFmtId="38" fontId="13" fillId="0" borderId="0"/>
    <xf numFmtId="38" fontId="13" fillId="0" borderId="0"/>
    <xf numFmtId="38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38" fontId="13" fillId="0" borderId="0"/>
    <xf numFmtId="38" fontId="13" fillId="0" borderId="0"/>
    <xf numFmtId="38" fontId="13" fillId="0" borderId="0"/>
    <xf numFmtId="38" fontId="13" fillId="0" borderId="0"/>
    <xf numFmtId="38" fontId="13" fillId="0" borderId="0"/>
    <xf numFmtId="38" fontId="13" fillId="0" borderId="0"/>
    <xf numFmtId="38" fontId="13" fillId="0" borderId="0"/>
    <xf numFmtId="38" fontId="13" fillId="0" borderId="0"/>
    <xf numFmtId="38" fontId="13" fillId="0" borderId="0"/>
    <xf numFmtId="38" fontId="13" fillId="0" borderId="0"/>
    <xf numFmtId="0" fontId="15" fillId="0" borderId="0"/>
    <xf numFmtId="0" fontId="68" fillId="0" borderId="0"/>
    <xf numFmtId="0" fontId="68" fillId="0" borderId="0"/>
    <xf numFmtId="0" fontId="15" fillId="0" borderId="0"/>
    <xf numFmtId="0" fontId="68" fillId="0" borderId="0"/>
    <xf numFmtId="38" fontId="13" fillId="0" borderId="0"/>
    <xf numFmtId="38" fontId="13" fillId="0" borderId="0"/>
    <xf numFmtId="38" fontId="13" fillId="0" borderId="0"/>
    <xf numFmtId="38" fontId="13" fillId="0" borderId="0"/>
    <xf numFmtId="38" fontId="13" fillId="0" borderId="0"/>
    <xf numFmtId="0" fontId="12" fillId="0" borderId="0"/>
    <xf numFmtId="0" fontId="15" fillId="0" borderId="0"/>
    <xf numFmtId="0" fontId="13" fillId="0" borderId="0"/>
    <xf numFmtId="0" fontId="13" fillId="0" borderId="0"/>
    <xf numFmtId="0" fontId="67" fillId="0" borderId="0"/>
    <xf numFmtId="0" fontId="67" fillId="0" borderId="0"/>
    <xf numFmtId="0" fontId="67" fillId="0" borderId="0"/>
    <xf numFmtId="0" fontId="13" fillId="5" borderId="15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0" fontId="13" fillId="5" borderId="6" applyNumberFormat="0" applyFont="0" applyAlignment="0" applyProtection="0"/>
    <xf numFmtId="43" fontId="58" fillId="0" borderId="0"/>
    <xf numFmtId="172" fontId="69" fillId="0" borderId="0"/>
    <xf numFmtId="0" fontId="70" fillId="2" borderId="16" applyNumberFormat="0" applyAlignment="0" applyProtection="0"/>
    <xf numFmtId="0" fontId="71" fillId="2" borderId="16" applyNumberFormat="0" applyAlignment="0" applyProtection="0"/>
    <xf numFmtId="0" fontId="71" fillId="2" borderId="16" applyNumberFormat="0" applyAlignment="0" applyProtection="0"/>
    <xf numFmtId="0" fontId="71" fillId="2" borderId="16" applyNumberFormat="0" applyAlignment="0" applyProtection="0"/>
    <xf numFmtId="0" fontId="72" fillId="2" borderId="16" applyNumberFormat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0" fontId="73" fillId="0" borderId="17">
      <alignment horizontal="center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5" fillId="27" borderId="0" applyNumberFormat="0" applyFont="0" applyBorder="0" applyAlignment="0" applyProtection="0"/>
    <xf numFmtId="0" fontId="35" fillId="27" borderId="0" applyNumberFormat="0" applyFont="0" applyBorder="0" applyAlignment="0" applyProtection="0"/>
    <xf numFmtId="0" fontId="35" fillId="27" borderId="0" applyNumberFormat="0" applyFont="0" applyBorder="0" applyAlignment="0" applyProtection="0"/>
    <xf numFmtId="0" fontId="35" fillId="27" borderId="0" applyNumberFormat="0" applyFont="0" applyBorder="0" applyAlignment="0" applyProtection="0"/>
    <xf numFmtId="0" fontId="35" fillId="27" borderId="0" applyNumberFormat="0" applyFont="0" applyBorder="0" applyAlignment="0" applyProtection="0"/>
    <xf numFmtId="0" fontId="35" fillId="27" borderId="0" applyNumberFormat="0" applyFont="0" applyBorder="0" applyAlignment="0" applyProtection="0"/>
    <xf numFmtId="0" fontId="35" fillId="27" borderId="0" applyNumberFormat="0" applyFont="0" applyBorder="0" applyAlignment="0" applyProtection="0"/>
    <xf numFmtId="0" fontId="35" fillId="27" borderId="0" applyNumberFormat="0" applyFont="0" applyBorder="0" applyAlignment="0" applyProtection="0"/>
    <xf numFmtId="0" fontId="35" fillId="27" borderId="0" applyNumberFormat="0" applyFont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7" fillId="0" borderId="18" applyNumberFormat="0" applyFill="0" applyAlignment="0" applyProtection="0"/>
    <xf numFmtId="0" fontId="78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19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5" fillId="0" borderId="0"/>
    <xf numFmtId="44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5" fillId="0" borderId="0"/>
    <xf numFmtId="0" fontId="35" fillId="0" borderId="0"/>
    <xf numFmtId="9" fontId="35" fillId="0" borderId="0" applyFont="0" applyFill="0" applyBorder="0" applyAlignment="0" applyProtection="0"/>
    <xf numFmtId="0" fontId="11" fillId="0" borderId="0"/>
    <xf numFmtId="44" fontId="8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" fillId="0" borderId="0"/>
    <xf numFmtId="0" fontId="15" fillId="0" borderId="0"/>
    <xf numFmtId="0" fontId="4" fillId="0" borderId="0"/>
    <xf numFmtId="0" fontId="15" fillId="0" borderId="0"/>
    <xf numFmtId="0" fontId="13" fillId="0" borderId="0"/>
    <xf numFmtId="0" fontId="13" fillId="0" borderId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9">
    <xf numFmtId="0" fontId="0" fillId="0" borderId="0" xfId="0"/>
    <xf numFmtId="37" fontId="0" fillId="0" borderId="0" xfId="0" applyNumberFormat="1" applyFill="1" applyBorder="1"/>
    <xf numFmtId="0" fontId="14" fillId="0" borderId="0" xfId="0" applyFont="1" applyFill="1" applyAlignment="1">
      <alignment horizontal="left" vertical="center"/>
    </xf>
    <xf numFmtId="0" fontId="14" fillId="0" borderId="0" xfId="0" applyFont="1" applyFill="1"/>
    <xf numFmtId="0" fontId="14" fillId="0" borderId="3" xfId="0" applyFont="1" applyFill="1" applyBorder="1" applyAlignment="1">
      <alignment horizontal="left"/>
    </xf>
    <xf numFmtId="0" fontId="13" fillId="0" borderId="0" xfId="0" applyFont="1" applyFill="1"/>
    <xf numFmtId="0" fontId="14" fillId="0" borderId="4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/>
    </xf>
    <xf numFmtId="164" fontId="13" fillId="0" borderId="0" xfId="1" applyNumberFormat="1" applyFont="1" applyFill="1" applyBorder="1" applyAlignment="1">
      <alignment horizontal="right"/>
    </xf>
    <xf numFmtId="37" fontId="13" fillId="0" borderId="0" xfId="0" applyNumberFormat="1" applyFont="1" applyFill="1" applyAlignment="1">
      <alignment horizontal="right"/>
    </xf>
    <xf numFmtId="165" fontId="13" fillId="0" borderId="0" xfId="2" applyNumberFormat="1" applyFont="1" applyFill="1" applyAlignment="1">
      <alignment horizontal="right"/>
    </xf>
    <xf numFmtId="164" fontId="13" fillId="0" borderId="0" xfId="1" applyNumberFormat="1" applyFont="1" applyFill="1" applyBorder="1" applyAlignment="1">
      <alignment horizontal="right" vertical="center"/>
    </xf>
    <xf numFmtId="0" fontId="14" fillId="0" borderId="0" xfId="0" applyFont="1" applyFill="1" applyBorder="1"/>
    <xf numFmtId="43" fontId="13" fillId="0" borderId="0" xfId="1" applyFont="1" applyFill="1"/>
    <xf numFmtId="0" fontId="13" fillId="0" borderId="0" xfId="0" applyFont="1" applyFill="1" applyBorder="1" applyAlignment="1">
      <alignment horizontal="left"/>
    </xf>
    <xf numFmtId="37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left" vertical="center"/>
    </xf>
    <xf numFmtId="0" fontId="14" fillId="0" borderId="2" xfId="0" applyFont="1" applyFill="1" applyBorder="1"/>
    <xf numFmtId="37" fontId="14" fillId="0" borderId="2" xfId="0" applyNumberFormat="1" applyFont="1" applyFill="1" applyBorder="1" applyAlignment="1">
      <alignment horizontal="right" vertical="center"/>
    </xf>
    <xf numFmtId="37" fontId="14" fillId="0" borderId="2" xfId="0" applyNumberFormat="1" applyFont="1" applyFill="1" applyBorder="1" applyAlignment="1">
      <alignment horizontal="right"/>
    </xf>
    <xf numFmtId="3" fontId="14" fillId="0" borderId="2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/>
    <xf numFmtId="37" fontId="14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3"/>
    <xf numFmtId="0" fontId="13" fillId="0" borderId="0" xfId="3" applyFont="1"/>
    <xf numFmtId="49" fontId="13" fillId="0" borderId="0" xfId="3" applyNumberFormat="1" applyAlignment="1">
      <alignment wrapText="1"/>
    </xf>
    <xf numFmtId="37" fontId="13" fillId="0" borderId="0" xfId="3" applyNumberFormat="1" applyAlignment="1">
      <alignment horizontal="center"/>
    </xf>
    <xf numFmtId="173" fontId="13" fillId="0" borderId="0" xfId="3" applyNumberFormat="1"/>
    <xf numFmtId="49" fontId="13" fillId="0" borderId="0" xfId="3" applyNumberFormat="1"/>
    <xf numFmtId="49" fontId="14" fillId="0" borderId="0" xfId="3" applyNumberFormat="1" applyFont="1" applyAlignment="1">
      <alignment horizontal="center" wrapText="1"/>
    </xf>
    <xf numFmtId="37" fontId="14" fillId="0" borderId="0" xfId="3" applyNumberFormat="1" applyFont="1" applyAlignment="1">
      <alignment horizontal="center"/>
    </xf>
    <xf numFmtId="0" fontId="13" fillId="0" borderId="0" xfId="3" applyBorder="1" applyAlignment="1">
      <alignment horizontal="center"/>
    </xf>
    <xf numFmtId="0" fontId="13" fillId="0" borderId="0" xfId="3" applyBorder="1"/>
    <xf numFmtId="0" fontId="16" fillId="0" borderId="0" xfId="3" applyFont="1" applyAlignment="1">
      <alignment horizontal="center"/>
    </xf>
    <xf numFmtId="37" fontId="14" fillId="0" borderId="0" xfId="3" applyNumberFormat="1" applyFont="1" applyAlignment="1">
      <alignment horizontal="center" wrapText="1"/>
    </xf>
    <xf numFmtId="37" fontId="13" fillId="0" borderId="0" xfId="0" applyNumberFormat="1" applyFont="1" applyFill="1"/>
    <xf numFmtId="37" fontId="0" fillId="0" borderId="0" xfId="0" applyNumberFormat="1"/>
    <xf numFmtId="0" fontId="0" fillId="0" borderId="0" xfId="0" applyFill="1" applyBorder="1"/>
    <xf numFmtId="0" fontId="0" fillId="0" borderId="0" xfId="0" applyFill="1" applyAlignment="1">
      <alignment horizontal="left"/>
    </xf>
    <xf numFmtId="0" fontId="16" fillId="0" borderId="0" xfId="0" applyFont="1" applyFill="1" applyBorder="1"/>
    <xf numFmtId="37" fontId="13" fillId="0" borderId="0" xfId="0" applyNumberFormat="1" applyFont="1" applyFill="1" applyBorder="1" applyAlignment="1">
      <alignment horizontal="right"/>
    </xf>
    <xf numFmtId="0" fontId="88" fillId="0" borderId="0" xfId="0" applyFont="1" applyFill="1" applyBorder="1"/>
    <xf numFmtId="37" fontId="13" fillId="0" borderId="1" xfId="3" applyNumberFormat="1" applyFont="1" applyBorder="1"/>
    <xf numFmtId="49" fontId="13" fillId="0" borderId="0" xfId="0" applyNumberFormat="1" applyFont="1" applyAlignment="1">
      <alignment horizontal="center" wrapText="1"/>
    </xf>
    <xf numFmtId="164" fontId="13" fillId="0" borderId="0" xfId="0" applyNumberFormat="1" applyFont="1"/>
    <xf numFmtId="37" fontId="13" fillId="0" borderId="1" xfId="0" applyNumberFormat="1" applyFont="1" applyBorder="1"/>
    <xf numFmtId="0" fontId="13" fillId="0" borderId="1" xfId="0" applyFont="1" applyBorder="1"/>
    <xf numFmtId="37" fontId="13" fillId="0" borderId="0" xfId="0" applyNumberFormat="1" applyFont="1"/>
    <xf numFmtId="5" fontId="13" fillId="0" borderId="0" xfId="0" applyNumberFormat="1" applyFont="1"/>
    <xf numFmtId="0" fontId="13" fillId="0" borderId="0" xfId="0" applyFont="1"/>
    <xf numFmtId="5" fontId="13" fillId="0" borderId="1" xfId="0" applyNumberFormat="1" applyFont="1" applyBorder="1"/>
    <xf numFmtId="164" fontId="0" fillId="0" borderId="0" xfId="1" applyNumberFormat="1" applyFont="1"/>
    <xf numFmtId="164" fontId="13" fillId="0" borderId="0" xfId="1" applyNumberFormat="1" applyFont="1"/>
    <xf numFmtId="0" fontId="88" fillId="0" borderId="0" xfId="3" applyFont="1" applyAlignment="1">
      <alignment horizontal="center"/>
    </xf>
    <xf numFmtId="37" fontId="13" fillId="0" borderId="0" xfId="3" applyNumberFormat="1" applyFont="1"/>
    <xf numFmtId="5" fontId="13" fillId="0" borderId="0" xfId="3" applyNumberFormat="1" applyFont="1"/>
    <xf numFmtId="49" fontId="13" fillId="0" borderId="0" xfId="3" applyNumberFormat="1" applyFont="1" applyAlignment="1">
      <alignment wrapText="1"/>
    </xf>
    <xf numFmtId="49" fontId="13" fillId="0" borderId="0" xfId="3" applyNumberFormat="1" applyFont="1"/>
    <xf numFmtId="0" fontId="13" fillId="0" borderId="0" xfId="3" applyFont="1"/>
    <xf numFmtId="49" fontId="88" fillId="0" borderId="0" xfId="3" applyNumberFormat="1" applyFont="1" applyAlignment="1">
      <alignment horizontal="center" wrapText="1"/>
    </xf>
    <xf numFmtId="0" fontId="13" fillId="0" borderId="0" xfId="3"/>
    <xf numFmtId="37" fontId="13" fillId="0" borderId="0" xfId="3" applyNumberFormat="1"/>
    <xf numFmtId="37" fontId="13" fillId="0" borderId="1" xfId="3" applyNumberFormat="1" applyBorder="1"/>
    <xf numFmtId="173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88" fillId="0" borderId="0" xfId="0" applyFont="1" applyAlignment="1">
      <alignment horizontal="center"/>
    </xf>
    <xf numFmtId="5" fontId="0" fillId="0" borderId="0" xfId="0" applyNumberFormat="1"/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wrapText="1"/>
    </xf>
    <xf numFmtId="37" fontId="0" fillId="0" borderId="0" xfId="0" applyNumberFormat="1" applyAlignment="1">
      <alignment horizontal="center"/>
    </xf>
    <xf numFmtId="49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37" fontId="13" fillId="0" borderId="2" xfId="0" applyNumberFormat="1" applyFont="1" applyFill="1" applyBorder="1" applyAlignment="1">
      <alignment horizontal="right"/>
    </xf>
    <xf numFmtId="165" fontId="13" fillId="0" borderId="0" xfId="2" applyNumberFormat="1" applyFont="1" applyFill="1" applyBorder="1" applyAlignment="1">
      <alignment horizontal="right"/>
    </xf>
    <xf numFmtId="37" fontId="13" fillId="0" borderId="2" xfId="0" applyNumberFormat="1" applyFont="1" applyFill="1" applyBorder="1" applyAlignment="1">
      <alignment horizontal="left"/>
    </xf>
    <xf numFmtId="37" fontId="1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0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37" fontId="14" fillId="0" borderId="3" xfId="0" applyNumberFormat="1" applyFont="1" applyFill="1" applyBorder="1" applyAlignment="1">
      <alignment horizontal="left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vertical="center"/>
    </xf>
    <xf numFmtId="165" fontId="13" fillId="0" borderId="1" xfId="2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37" fontId="14" fillId="0" borderId="0" xfId="0" applyNumberFormat="1" applyFont="1" applyFill="1" applyBorder="1"/>
    <xf numFmtId="0" fontId="14" fillId="0" borderId="5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37" fontId="13" fillId="0" borderId="1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88" fillId="0" borderId="0" xfId="0" applyFont="1"/>
    <xf numFmtId="37" fontId="0" fillId="0" borderId="0" xfId="0" applyNumberFormat="1" applyAlignment="1">
      <alignment horizontal="right"/>
    </xf>
    <xf numFmtId="5" fontId="0" fillId="0" borderId="0" xfId="0" applyNumberFormat="1" applyAlignment="1">
      <alignment horizontal="right"/>
    </xf>
    <xf numFmtId="10" fontId="14" fillId="0" borderId="0" xfId="0" applyNumberFormat="1" applyFont="1"/>
    <xf numFmtId="0" fontId="0" fillId="0" borderId="0" xfId="0" applyAlignment="1">
      <alignment horizontal="left"/>
    </xf>
    <xf numFmtId="0" fontId="13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 wrapText="1"/>
    </xf>
    <xf numFmtId="0" fontId="86" fillId="0" borderId="0" xfId="0" applyFont="1" applyAlignment="1">
      <alignment horizontal="center"/>
    </xf>
    <xf numFmtId="178" fontId="0" fillId="0" borderId="0" xfId="0" applyNumberFormat="1" applyAlignment="1">
      <alignment horizontal="center"/>
    </xf>
    <xf numFmtId="10" fontId="13" fillId="0" borderId="0" xfId="0" applyNumberFormat="1" applyFont="1"/>
    <xf numFmtId="37" fontId="13" fillId="0" borderId="0" xfId="0" applyNumberFormat="1" applyFont="1" applyAlignment="1">
      <alignment horizontal="center"/>
    </xf>
    <xf numFmtId="5" fontId="13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88" fillId="0" borderId="0" xfId="0" applyFont="1" applyBorder="1" applyAlignment="1">
      <alignment horizontal="center"/>
    </xf>
    <xf numFmtId="178" fontId="0" fillId="0" borderId="0" xfId="0" applyNumberFormat="1" applyBorder="1" applyAlignment="1">
      <alignment horizontal="center"/>
    </xf>
    <xf numFmtId="5" fontId="0" fillId="0" borderId="0" xfId="0" applyNumberFormat="1" applyBorder="1"/>
    <xf numFmtId="166" fontId="0" fillId="0" borderId="0" xfId="0" applyNumberFormat="1"/>
    <xf numFmtId="49" fontId="0" fillId="0" borderId="0" xfId="1" applyNumberFormat="1" applyFont="1" applyAlignment="1">
      <alignment horizontal="center"/>
    </xf>
    <xf numFmtId="39" fontId="0" fillId="0" borderId="0" xfId="1" applyNumberFormat="1" applyFont="1" applyAlignment="1">
      <alignment horizontal="center"/>
    </xf>
    <xf numFmtId="5" fontId="0" fillId="0" borderId="1" xfId="0" applyNumberFormat="1" applyBorder="1"/>
    <xf numFmtId="180" fontId="0" fillId="0" borderId="0" xfId="1" applyNumberFormat="1" applyFont="1" applyAlignment="1">
      <alignment horizontal="center"/>
    </xf>
    <xf numFmtId="49" fontId="16" fillId="0" borderId="0" xfId="0" applyNumberFormat="1" applyFont="1" applyAlignment="1">
      <alignment wrapText="1"/>
    </xf>
    <xf numFmtId="5" fontId="13" fillId="0" borderId="0" xfId="0" applyNumberFormat="1" applyFont="1" applyBorder="1"/>
    <xf numFmtId="39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/>
    <xf numFmtId="5" fontId="0" fillId="0" borderId="5" xfId="0" applyNumberFormat="1" applyBorder="1"/>
    <xf numFmtId="10" fontId="0" fillId="0" borderId="0" xfId="0" applyNumberFormat="1" applyBorder="1"/>
    <xf numFmtId="166" fontId="0" fillId="0" borderId="0" xfId="2" applyNumberFormat="1" applyFont="1"/>
    <xf numFmtId="14" fontId="0" fillId="0" borderId="0" xfId="0" applyNumberFormat="1"/>
    <xf numFmtId="5" fontId="0" fillId="0" borderId="0" xfId="214" applyNumberFormat="1" applyFont="1"/>
    <xf numFmtId="5" fontId="0" fillId="0" borderId="1" xfId="214" applyNumberFormat="1" applyFont="1" applyBorder="1"/>
    <xf numFmtId="0" fontId="92" fillId="0" borderId="0" xfId="0" applyFont="1"/>
    <xf numFmtId="5" fontId="0" fillId="0" borderId="4" xfId="0" applyNumberFormat="1" applyBorder="1"/>
    <xf numFmtId="0" fontId="92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17" fontId="13" fillId="0" borderId="0" xfId="0" applyNumberFormat="1" applyFont="1" applyBorder="1"/>
    <xf numFmtId="7" fontId="0" fillId="0" borderId="0" xfId="0" applyNumberFormat="1"/>
    <xf numFmtId="49" fontId="0" fillId="0" borderId="0" xfId="0" applyNumberFormat="1" applyAlignment="1">
      <alignment horizontal="left" wrapText="1"/>
    </xf>
    <xf numFmtId="37" fontId="0" fillId="0" borderId="0" xfId="0" applyNumberFormat="1" applyAlignment="1">
      <alignment horizontal="right" wrapText="1"/>
    </xf>
    <xf numFmtId="7" fontId="0" fillId="0" borderId="0" xfId="0" applyNumberFormat="1" applyAlignment="1">
      <alignment horizontal="right" wrapText="1"/>
    </xf>
    <xf numFmtId="5" fontId="0" fillId="0" borderId="0" xfId="0" applyNumberFormat="1" applyAlignment="1">
      <alignment wrapText="1"/>
    </xf>
    <xf numFmtId="37" fontId="0" fillId="0" borderId="0" xfId="0" applyNumberFormat="1" applyAlignment="1">
      <alignment wrapText="1"/>
    </xf>
    <xf numFmtId="7" fontId="0" fillId="0" borderId="0" xfId="0" applyNumberFormat="1" applyAlignment="1">
      <alignment horizontal="right"/>
    </xf>
    <xf numFmtId="173" fontId="0" fillId="0" borderId="0" xfId="0" applyNumberFormat="1" applyAlignment="1">
      <alignment wrapText="1"/>
    </xf>
    <xf numFmtId="173" fontId="0" fillId="0" borderId="0" xfId="0" applyNumberFormat="1" applyAlignment="1">
      <alignment horizontal="right"/>
    </xf>
    <xf numFmtId="39" fontId="0" fillId="0" borderId="0" xfId="0" applyNumberFormat="1" applyAlignment="1">
      <alignment horizontal="right"/>
    </xf>
    <xf numFmtId="10" fontId="0" fillId="0" borderId="0" xfId="0" applyNumberFormat="1" applyAlignment="1">
      <alignment wrapText="1"/>
    </xf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49" fontId="82" fillId="0" borderId="0" xfId="3" applyNumberFormat="1" applyFont="1" applyAlignment="1">
      <alignment horizontal="center"/>
    </xf>
    <xf numFmtId="37" fontId="13" fillId="0" borderId="0" xfId="0" applyNumberFormat="1" applyFont="1" applyFill="1" applyBorder="1"/>
    <xf numFmtId="164" fontId="13" fillId="0" borderId="0" xfId="1" applyNumberFormat="1" applyFont="1" applyFill="1" applyBorder="1"/>
    <xf numFmtId="49" fontId="0" fillId="0" borderId="0" xfId="0" applyNumberForma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173" fontId="0" fillId="0" borderId="0" xfId="0" applyNumberFormat="1" applyFill="1"/>
    <xf numFmtId="0" fontId="13" fillId="0" borderId="0" xfId="0" applyFont="1" applyAlignment="1">
      <alignment textRotation="180" wrapText="1"/>
    </xf>
    <xf numFmtId="49" fontId="14" fillId="0" borderId="0" xfId="0" applyNumberFormat="1" applyFont="1" applyAlignment="1">
      <alignment horizontal="center" wrapText="1"/>
    </xf>
    <xf numFmtId="166" fontId="13" fillId="0" borderId="0" xfId="0" applyNumberFormat="1" applyFont="1"/>
    <xf numFmtId="39" fontId="13" fillId="0" borderId="0" xfId="0" applyNumberFormat="1" applyFont="1"/>
    <xf numFmtId="10" fontId="13" fillId="0" borderId="0" xfId="0" applyNumberFormat="1" applyFont="1" applyAlignment="1">
      <alignment horizontal="center"/>
    </xf>
    <xf numFmtId="49" fontId="14" fillId="0" borderId="0" xfId="0" applyNumberFormat="1" applyFont="1"/>
    <xf numFmtId="173" fontId="13" fillId="0" borderId="0" xfId="3" applyNumberFormat="1" applyFill="1"/>
    <xf numFmtId="0" fontId="13" fillId="0" borderId="0" xfId="3" applyFont="1" applyAlignment="1">
      <alignment horizontal="right"/>
    </xf>
    <xf numFmtId="0" fontId="14" fillId="0" borderId="0" xfId="3" applyFont="1" applyAlignment="1">
      <alignment horizontal="center"/>
    </xf>
    <xf numFmtId="181" fontId="0" fillId="0" borderId="0" xfId="0" applyNumberFormat="1"/>
    <xf numFmtId="164" fontId="0" fillId="0" borderId="0" xfId="0" applyNumberFormat="1"/>
    <xf numFmtId="0" fontId="0" fillId="0" borderId="0" xfId="0"/>
    <xf numFmtId="164" fontId="0" fillId="0" borderId="0" xfId="1" applyNumberFormat="1" applyFont="1" applyFill="1" applyBorder="1"/>
    <xf numFmtId="181" fontId="0" fillId="0" borderId="0" xfId="0" applyNumberFormat="1" applyFill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73" fontId="13" fillId="0" borderId="0" xfId="3" applyNumberFormat="1" applyFill="1" applyBorder="1"/>
    <xf numFmtId="0" fontId="13" fillId="0" borderId="0" xfId="3" applyFill="1" applyBorder="1"/>
    <xf numFmtId="49" fontId="13" fillId="0" borderId="0" xfId="3" applyNumberFormat="1" applyFill="1" applyBorder="1"/>
    <xf numFmtId="182" fontId="0" fillId="0" borderId="0" xfId="1" applyNumberFormat="1" applyFont="1"/>
    <xf numFmtId="173" fontId="0" fillId="0" borderId="0" xfId="1" applyNumberFormat="1" applyFont="1"/>
    <xf numFmtId="173" fontId="0" fillId="0" borderId="0" xfId="0" applyNumberFormat="1" applyFill="1" applyBorder="1"/>
    <xf numFmtId="173" fontId="0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right"/>
    </xf>
    <xf numFmtId="174" fontId="14" fillId="0" borderId="0" xfId="0" applyNumberFormat="1" applyFont="1" applyFill="1" applyBorder="1"/>
    <xf numFmtId="37" fontId="13" fillId="0" borderId="2" xfId="0" applyNumberFormat="1" applyFont="1" applyFill="1" applyBorder="1" applyAlignment="1">
      <alignment horizontal="right" vertical="center"/>
    </xf>
    <xf numFmtId="5" fontId="0" fillId="0" borderId="0" xfId="0" applyNumberFormat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/>
    <xf numFmtId="0" fontId="16" fillId="0" borderId="0" xfId="0" applyFont="1"/>
    <xf numFmtId="2" fontId="0" fillId="0" borderId="0" xfId="0" applyNumberFormat="1"/>
    <xf numFmtId="164" fontId="0" fillId="0" borderId="5" xfId="0" applyNumberFormat="1" applyBorder="1"/>
    <xf numFmtId="5" fontId="13" fillId="0" borderId="0" xfId="0" applyNumberFormat="1" applyFont="1" applyAlignment="1">
      <alignment horizontal="right"/>
    </xf>
    <xf numFmtId="176" fontId="0" fillId="0" borderId="4" xfId="0" applyNumberFormat="1" applyBorder="1"/>
    <xf numFmtId="0" fontId="0" fillId="0" borderId="0" xfId="0"/>
    <xf numFmtId="37" fontId="13" fillId="0" borderId="0" xfId="3" applyNumberFormat="1" applyFill="1"/>
    <xf numFmtId="49" fontId="13" fillId="0" borderId="0" xfId="3" applyNumberFormat="1" applyFont="1" applyFill="1" applyAlignment="1">
      <alignment horizontal="center" wrapText="1"/>
    </xf>
    <xf numFmtId="37" fontId="0" fillId="0" borderId="0" xfId="0" applyNumberFormat="1" applyFill="1"/>
    <xf numFmtId="0" fontId="13" fillId="0" borderId="0" xfId="0" applyFont="1" applyFill="1"/>
    <xf numFmtId="164" fontId="13" fillId="0" borderId="0" xfId="1" applyNumberFormat="1" applyFont="1" applyFill="1"/>
    <xf numFmtId="0" fontId="14" fillId="0" borderId="0" xfId="0" applyFont="1" applyFill="1" applyBorder="1" applyAlignment="1">
      <alignment horizontal="left" vertical="center"/>
    </xf>
    <xf numFmtId="49" fontId="17" fillId="0" borderId="0" xfId="0" applyNumberFormat="1" applyFont="1" applyFill="1" applyAlignment="1">
      <alignment horizontal="center" vertical="center" wrapText="1"/>
    </xf>
    <xf numFmtId="37" fontId="14" fillId="0" borderId="3" xfId="0" applyNumberFormat="1" applyFont="1" applyFill="1" applyBorder="1" applyAlignment="1">
      <alignment horizontal="right" vertical="center"/>
    </xf>
    <xf numFmtId="37" fontId="13" fillId="0" borderId="3" xfId="0" applyNumberFormat="1" applyFont="1" applyFill="1" applyBorder="1" applyAlignment="1">
      <alignment horizontal="right" vertical="center"/>
    </xf>
    <xf numFmtId="49" fontId="17" fillId="0" borderId="0" xfId="3" applyNumberFormat="1" applyFont="1" applyFill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0" fillId="0" borderId="0" xfId="0"/>
    <xf numFmtId="0" fontId="13" fillId="0" borderId="0" xfId="3"/>
    <xf numFmtId="0" fontId="13" fillId="0" borderId="0" xfId="3" applyAlignment="1">
      <alignment horizontal="center"/>
    </xf>
    <xf numFmtId="0" fontId="13" fillId="0" borderId="0" xfId="3" applyFont="1"/>
    <xf numFmtId="2" fontId="13" fillId="0" borderId="0" xfId="3" applyNumberFormat="1"/>
    <xf numFmtId="5" fontId="13" fillId="0" borderId="0" xfId="3" applyNumberFormat="1" applyFont="1" applyBorder="1"/>
    <xf numFmtId="5" fontId="13" fillId="0" borderId="5" xfId="3" applyNumberFormat="1" applyBorder="1"/>
    <xf numFmtId="0" fontId="16" fillId="0" borderId="0" xfId="3" applyFont="1"/>
    <xf numFmtId="166" fontId="13" fillId="0" borderId="0" xfId="352" applyNumberFormat="1" applyFont="1"/>
    <xf numFmtId="14" fontId="13" fillId="0" borderId="0" xfId="3" applyNumberFormat="1"/>
    <xf numFmtId="164" fontId="13" fillId="0" borderId="0" xfId="184" applyNumberFormat="1" applyFont="1"/>
    <xf numFmtId="164" fontId="13" fillId="0" borderId="0" xfId="3" applyNumberFormat="1"/>
    <xf numFmtId="164" fontId="13" fillId="0" borderId="5" xfId="3" applyNumberFormat="1" applyBorder="1"/>
    <xf numFmtId="0" fontId="13" fillId="0" borderId="0" xfId="3"/>
    <xf numFmtId="0" fontId="13" fillId="0" borderId="0" xfId="3"/>
    <xf numFmtId="37" fontId="17" fillId="0" borderId="0" xfId="0" applyNumberFormat="1" applyFont="1" applyFill="1"/>
    <xf numFmtId="0" fontId="0" fillId="0" borderId="0" xfId="0" applyFill="1"/>
    <xf numFmtId="176" fontId="17" fillId="0" borderId="0" xfId="0" applyNumberFormat="1" applyFont="1" applyFill="1"/>
    <xf numFmtId="182" fontId="14" fillId="0" borderId="0" xfId="1" applyNumberFormat="1" applyFont="1" applyFill="1" applyBorder="1" applyAlignment="1">
      <alignment horizontal="center" vertical="center"/>
    </xf>
    <xf numFmtId="173" fontId="14" fillId="0" borderId="0" xfId="0" applyNumberFormat="1" applyFont="1" applyFill="1" applyBorder="1" applyAlignment="1">
      <alignment horizontal="right"/>
    </xf>
    <xf numFmtId="173" fontId="14" fillId="0" borderId="0" xfId="0" applyNumberFormat="1" applyFont="1" applyFill="1" applyAlignment="1">
      <alignment horizontal="right"/>
    </xf>
    <xf numFmtId="173" fontId="1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/>
    <xf numFmtId="183" fontId="0" fillId="0" borderId="0" xfId="0" applyNumberFormat="1" applyAlignment="1">
      <alignment horizontal="center"/>
    </xf>
    <xf numFmtId="5" fontId="13" fillId="0" borderId="0" xfId="3" applyNumberFormat="1" applyBorder="1"/>
    <xf numFmtId="164" fontId="0" fillId="0" borderId="1" xfId="214" applyNumberFormat="1" applyFont="1" applyBorder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left" wrapText="1"/>
    </xf>
    <xf numFmtId="0" fontId="0" fillId="0" borderId="0" xfId="0" applyFill="1" applyAlignment="1">
      <alignment horizontal="center"/>
    </xf>
    <xf numFmtId="49" fontId="88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wrapText="1"/>
    </xf>
    <xf numFmtId="49" fontId="13" fillId="0" borderId="0" xfId="0" applyNumberFormat="1" applyFont="1" applyAlignment="1">
      <alignment horizontal="right"/>
    </xf>
    <xf numFmtId="37" fontId="13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right"/>
    </xf>
    <xf numFmtId="49" fontId="88" fillId="0" borderId="0" xfId="0" applyNumberFormat="1" applyFont="1" applyFill="1" applyAlignment="1">
      <alignment horizontal="center"/>
    </xf>
    <xf numFmtId="0" fontId="9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 wrapText="1"/>
    </xf>
    <xf numFmtId="49" fontId="13" fillId="0" borderId="0" xfId="0" applyNumberFormat="1" applyFont="1" applyFill="1" applyAlignment="1">
      <alignment wrapText="1"/>
    </xf>
    <xf numFmtId="49" fontId="88" fillId="0" borderId="0" xfId="0" applyNumberFormat="1" applyFont="1" applyFill="1" applyAlignment="1">
      <alignment horizontal="center" wrapText="1"/>
    </xf>
    <xf numFmtId="49" fontId="14" fillId="0" borderId="0" xfId="0" applyNumberFormat="1" applyFont="1" applyFill="1" applyAlignment="1">
      <alignment horizontal="center" wrapText="1"/>
    </xf>
    <xf numFmtId="37" fontId="13" fillId="0" borderId="0" xfId="0" applyNumberFormat="1" applyFont="1" applyFill="1" applyAlignment="1">
      <alignment horizontal="center"/>
    </xf>
    <xf numFmtId="0" fontId="88" fillId="0" borderId="0" xfId="0" applyFont="1" applyFill="1"/>
    <xf numFmtId="5" fontId="13" fillId="0" borderId="0" xfId="0" applyNumberFormat="1" applyFont="1" applyFill="1"/>
    <xf numFmtId="49" fontId="13" fillId="0" borderId="0" xfId="0" applyNumberFormat="1" applyFont="1" applyFill="1" applyAlignment="1">
      <alignment horizontal="right"/>
    </xf>
    <xf numFmtId="5" fontId="14" fillId="0" borderId="0" xfId="0" applyNumberFormat="1" applyFont="1" applyFill="1"/>
    <xf numFmtId="10" fontId="13" fillId="0" borderId="0" xfId="0" applyNumberFormat="1" applyFont="1" applyFill="1"/>
    <xf numFmtId="49" fontId="17" fillId="0" borderId="0" xfId="0" applyNumberFormat="1" applyFont="1" applyFill="1" applyAlignment="1">
      <alignment wrapText="1"/>
    </xf>
    <xf numFmtId="5" fontId="13" fillId="0" borderId="0" xfId="0" applyNumberFormat="1" applyFont="1" applyFill="1" applyAlignment="1">
      <alignment horizontal="right"/>
    </xf>
    <xf numFmtId="10" fontId="14" fillId="0" borderId="0" xfId="0" applyNumberFormat="1" applyFont="1" applyFill="1"/>
    <xf numFmtId="0" fontId="13" fillId="0" borderId="0" xfId="0" applyFont="1" applyFill="1" applyAlignment="1">
      <alignment horizontal="left"/>
    </xf>
    <xf numFmtId="49" fontId="13" fillId="0" borderId="0" xfId="0" applyNumberFormat="1" applyFont="1"/>
    <xf numFmtId="37" fontId="13" fillId="0" borderId="0" xfId="0" applyNumberFormat="1" applyFont="1" applyAlignment="1">
      <alignment horizontal="center" wrapText="1"/>
    </xf>
    <xf numFmtId="10" fontId="13" fillId="0" borderId="0" xfId="0" applyNumberFormat="1" applyFont="1" applyAlignment="1">
      <alignment horizontal="right"/>
    </xf>
    <xf numFmtId="167" fontId="13" fillId="0" borderId="0" xfId="0" applyNumberFormat="1" applyFont="1"/>
    <xf numFmtId="5" fontId="13" fillId="0" borderId="0" xfId="1" applyNumberFormat="1" applyFont="1"/>
    <xf numFmtId="178" fontId="13" fillId="0" borderId="0" xfId="0" applyNumberFormat="1" applyFont="1" applyAlignment="1">
      <alignment horizontal="center"/>
    </xf>
    <xf numFmtId="178" fontId="13" fillId="0" borderId="0" xfId="0" applyNumberFormat="1" applyFont="1"/>
    <xf numFmtId="10" fontId="14" fillId="0" borderId="0" xfId="0" applyNumberFormat="1" applyFont="1" applyAlignment="1">
      <alignment horizontal="center"/>
    </xf>
    <xf numFmtId="173" fontId="13" fillId="0" borderId="0" xfId="0" applyNumberFormat="1" applyFont="1"/>
    <xf numFmtId="49" fontId="13" fillId="0" borderId="0" xfId="0" applyNumberFormat="1" applyFont="1" applyAlignment="1"/>
    <xf numFmtId="49" fontId="13" fillId="28" borderId="0" xfId="0" applyNumberFormat="1" applyFont="1" applyFill="1" applyAlignment="1">
      <alignment horizontal="right"/>
    </xf>
    <xf numFmtId="176" fontId="13" fillId="28" borderId="0" xfId="0" applyNumberFormat="1" applyFont="1" applyFill="1"/>
    <xf numFmtId="176" fontId="13" fillId="0" borderId="0" xfId="0" applyNumberFormat="1" applyFont="1"/>
    <xf numFmtId="5" fontId="13" fillId="28" borderId="0" xfId="0" applyNumberFormat="1" applyFont="1" applyFill="1"/>
    <xf numFmtId="10" fontId="13" fillId="28" borderId="0" xfId="0" applyNumberFormat="1" applyFont="1" applyFill="1"/>
    <xf numFmtId="179" fontId="14" fillId="0" borderId="0" xfId="0" applyNumberFormat="1" applyFont="1"/>
    <xf numFmtId="0" fontId="13" fillId="28" borderId="0" xfId="0" applyFont="1" applyFill="1"/>
    <xf numFmtId="176" fontId="13" fillId="0" borderId="0" xfId="2" applyNumberFormat="1" applyFont="1"/>
    <xf numFmtId="176" fontId="13" fillId="0" borderId="0" xfId="0" applyNumberFormat="1" applyFont="1" applyAlignment="1">
      <alignment horizontal="right"/>
    </xf>
    <xf numFmtId="0" fontId="13" fillId="0" borderId="0" xfId="0" applyFont="1" applyBorder="1" applyAlignment="1">
      <alignment horizontal="center"/>
    </xf>
    <xf numFmtId="37" fontId="13" fillId="28" borderId="0" xfId="0" applyNumberFormat="1" applyFont="1" applyFill="1"/>
    <xf numFmtId="173" fontId="14" fillId="0" borderId="0" xfId="0" applyNumberFormat="1" applyFont="1"/>
    <xf numFmtId="0" fontId="86" fillId="0" borderId="0" xfId="0" applyFont="1" applyFill="1" applyAlignment="1">
      <alignment horizontal="center"/>
    </xf>
    <xf numFmtId="0" fontId="87" fillId="0" borderId="0" xfId="0" applyFont="1" applyFill="1" applyAlignment="1">
      <alignment horizontal="left"/>
    </xf>
    <xf numFmtId="49" fontId="14" fillId="0" borderId="0" xfId="0" applyNumberFormat="1" applyFont="1" applyFill="1" applyAlignment="1"/>
    <xf numFmtId="7" fontId="0" fillId="0" borderId="0" xfId="0" applyNumberFormat="1" applyFill="1"/>
    <xf numFmtId="0" fontId="13" fillId="0" borderId="0" xfId="0" applyFont="1" applyFill="1" applyBorder="1" applyAlignment="1">
      <alignment horizontal="center" vertical="top"/>
    </xf>
    <xf numFmtId="37" fontId="13" fillId="0" borderId="0" xfId="0" applyNumberFormat="1" applyFont="1" applyFill="1" applyBorder="1" applyAlignment="1">
      <alignment horizontal="center"/>
    </xf>
    <xf numFmtId="37" fontId="13" fillId="0" borderId="0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37" fontId="13" fillId="0" borderId="1" xfId="0" applyNumberFormat="1" applyFont="1" applyFill="1" applyBorder="1" applyAlignment="1">
      <alignment horizontal="center" vertical="top"/>
    </xf>
    <xf numFmtId="37" fontId="13" fillId="0" borderId="0" xfId="0" applyNumberFormat="1" applyFont="1" applyFill="1" applyBorder="1" applyAlignment="1">
      <alignment horizontal="center" vertical="top" wrapText="1"/>
    </xf>
    <xf numFmtId="164" fontId="13" fillId="0" borderId="0" xfId="1" quotePrefix="1" applyNumberFormat="1" applyFont="1" applyFill="1" applyAlignment="1">
      <alignment horizontal="center"/>
    </xf>
    <xf numFmtId="164" fontId="13" fillId="0" borderId="0" xfId="1" quotePrefix="1" applyNumberFormat="1" applyFont="1" applyFill="1" applyBorder="1" applyAlignment="1">
      <alignment horizontal="center"/>
    </xf>
    <xf numFmtId="37" fontId="13" fillId="0" borderId="0" xfId="1" quotePrefix="1" applyNumberFormat="1" applyFont="1" applyFill="1" applyBorder="1" applyAlignment="1">
      <alignment horizontal="center"/>
    </xf>
    <xf numFmtId="165" fontId="13" fillId="0" borderId="0" xfId="2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173" fontId="13" fillId="0" borderId="0" xfId="0" applyNumberFormat="1" applyFont="1" applyFill="1" applyBorder="1" applyAlignment="1">
      <alignment horizontal="right" vertical="center"/>
    </xf>
    <xf numFmtId="37" fontId="94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/>
    </xf>
    <xf numFmtId="37" fontId="13" fillId="0" borderId="3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textRotation="180"/>
    </xf>
    <xf numFmtId="37" fontId="13" fillId="0" borderId="4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textRotation="180"/>
    </xf>
    <xf numFmtId="166" fontId="13" fillId="0" borderId="0" xfId="0" applyNumberFormat="1" applyFont="1" applyFill="1" applyBorder="1" applyAlignment="1">
      <alignment horizontal="right" vertical="center"/>
    </xf>
    <xf numFmtId="10" fontId="13" fillId="0" borderId="0" xfId="0" applyNumberFormat="1" applyFont="1" applyFill="1" applyBorder="1" applyAlignment="1">
      <alignment horizontal="right" vertical="center"/>
    </xf>
    <xf numFmtId="10" fontId="13" fillId="0" borderId="0" xfId="2" applyNumberFormat="1" applyFont="1" applyFill="1" applyBorder="1" applyAlignment="1">
      <alignment horizontal="right" vertical="center"/>
    </xf>
    <xf numFmtId="10" fontId="13" fillId="0" borderId="0" xfId="0" applyNumberFormat="1" applyFont="1" applyFill="1" applyAlignment="1">
      <alignment horizontal="right" vertical="center"/>
    </xf>
    <xf numFmtId="43" fontId="13" fillId="0" borderId="0" xfId="1" applyFont="1" applyFill="1" applyAlignment="1">
      <alignment horizontal="center" vertical="center"/>
    </xf>
    <xf numFmtId="37" fontId="13" fillId="0" borderId="0" xfId="0" applyNumberFormat="1" applyFont="1" applyFill="1" applyAlignment="1">
      <alignment vertical="center"/>
    </xf>
    <xf numFmtId="0" fontId="13" fillId="0" borderId="2" xfId="0" applyFont="1" applyFill="1" applyBorder="1" applyAlignment="1">
      <alignment horizontal="left"/>
    </xf>
    <xf numFmtId="3" fontId="13" fillId="0" borderId="2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37" fontId="13" fillId="0" borderId="2" xfId="0" applyNumberFormat="1" applyFont="1" applyFill="1" applyBorder="1" applyAlignment="1">
      <alignment horizontal="left" vertical="center"/>
    </xf>
    <xf numFmtId="167" fontId="13" fillId="0" borderId="0" xfId="0" applyNumberFormat="1" applyFont="1" applyFill="1" applyAlignment="1">
      <alignment horizontal="right"/>
    </xf>
    <xf numFmtId="37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left" vertical="center"/>
    </xf>
    <xf numFmtId="37" fontId="13" fillId="0" borderId="0" xfId="0" applyNumberFormat="1" applyFont="1" applyFill="1" applyBorder="1" applyAlignment="1">
      <alignment horizontal="left" vertical="center"/>
    </xf>
    <xf numFmtId="43" fontId="13" fillId="0" borderId="0" xfId="0" applyNumberFormat="1" applyFont="1" applyFill="1" applyBorder="1" applyAlignment="1">
      <alignment horizontal="left"/>
    </xf>
    <xf numFmtId="39" fontId="13" fillId="0" borderId="4" xfId="0" applyNumberFormat="1" applyFont="1" applyFill="1" applyBorder="1" applyAlignment="1">
      <alignment horizontal="right" vertical="center"/>
    </xf>
    <xf numFmtId="3" fontId="13" fillId="0" borderId="4" xfId="0" applyNumberFormat="1" applyFont="1" applyFill="1" applyBorder="1" applyAlignment="1">
      <alignment horizontal="left" vertical="center"/>
    </xf>
    <xf numFmtId="3" fontId="13" fillId="0" borderId="2" xfId="0" applyNumberFormat="1" applyFont="1" applyFill="1" applyBorder="1" applyAlignment="1">
      <alignment horizontal="left"/>
    </xf>
    <xf numFmtId="164" fontId="13" fillId="0" borderId="0" xfId="5" applyNumberFormat="1" applyFont="1" applyFill="1"/>
    <xf numFmtId="164" fontId="13" fillId="0" borderId="0" xfId="1" applyNumberFormat="1" applyFont="1" applyFill="1" applyAlignment="1">
      <alignment horizontal="right"/>
    </xf>
    <xf numFmtId="37" fontId="13" fillId="0" borderId="0" xfId="0" applyNumberFormat="1" applyFont="1" applyFill="1" applyBorder="1" applyAlignment="1">
      <alignment horizontal="left"/>
    </xf>
    <xf numFmtId="3" fontId="13" fillId="0" borderId="2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>
      <alignment vertical="center"/>
    </xf>
    <xf numFmtId="37" fontId="13" fillId="0" borderId="0" xfId="0" applyNumberFormat="1" applyFont="1" applyFill="1" applyBorder="1" applyAlignment="1">
      <alignment vertical="center"/>
    </xf>
    <xf numFmtId="37" fontId="13" fillId="0" borderId="1" xfId="0" applyNumberFormat="1" applyFont="1" applyFill="1" applyBorder="1" applyAlignment="1">
      <alignment vertical="center"/>
    </xf>
    <xf numFmtId="7" fontId="13" fillId="0" borderId="0" xfId="457" applyNumberFormat="1" applyFont="1" applyFill="1" applyBorder="1"/>
    <xf numFmtId="37" fontId="13" fillId="0" borderId="2" xfId="1" applyNumberFormat="1" applyFont="1" applyFill="1" applyBorder="1" applyAlignment="1">
      <alignment horizontal="right" vertical="center"/>
    </xf>
    <xf numFmtId="164" fontId="13" fillId="0" borderId="2" xfId="1" applyNumberFormat="1" applyFont="1" applyFill="1" applyBorder="1" applyAlignment="1">
      <alignment horizontal="left" vertical="center"/>
    </xf>
    <xf numFmtId="37" fontId="13" fillId="0" borderId="0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left" vertical="center"/>
    </xf>
    <xf numFmtId="165" fontId="13" fillId="0" borderId="0" xfId="2" applyNumberFormat="1" applyFont="1" applyFill="1" applyBorder="1" applyAlignment="1">
      <alignment vertical="center"/>
    </xf>
    <xf numFmtId="37" fontId="13" fillId="0" borderId="0" xfId="1" applyNumberFormat="1" applyFont="1" applyFill="1" applyBorder="1" applyAlignment="1">
      <alignment horizontal="right" vertical="center"/>
    </xf>
    <xf numFmtId="37" fontId="13" fillId="0" borderId="0" xfId="1" applyNumberFormat="1" applyFont="1" applyFill="1" applyAlignment="1">
      <alignment horizontal="right" vertical="center"/>
    </xf>
    <xf numFmtId="164" fontId="13" fillId="0" borderId="1" xfId="1" applyNumberFormat="1" applyFont="1" applyFill="1" applyBorder="1" applyAlignment="1">
      <alignment vertical="center"/>
    </xf>
    <xf numFmtId="37" fontId="13" fillId="0" borderId="1" xfId="1" applyNumberFormat="1" applyFont="1" applyFill="1" applyBorder="1" applyAlignment="1">
      <alignment horizontal="right" vertical="center"/>
    </xf>
    <xf numFmtId="164" fontId="13" fillId="0" borderId="1" xfId="1" applyNumberFormat="1" applyFont="1" applyFill="1" applyBorder="1" applyAlignment="1">
      <alignment horizontal="left" vertical="center"/>
    </xf>
    <xf numFmtId="164" fontId="13" fillId="0" borderId="5" xfId="1" applyNumberFormat="1" applyFont="1" applyFill="1" applyBorder="1" applyAlignment="1">
      <alignment vertical="center"/>
    </xf>
    <xf numFmtId="37" fontId="13" fillId="0" borderId="5" xfId="0" applyNumberFormat="1" applyFont="1" applyFill="1" applyBorder="1" applyAlignment="1">
      <alignment horizontal="right"/>
    </xf>
    <xf numFmtId="37" fontId="13" fillId="0" borderId="5" xfId="1" applyNumberFormat="1" applyFont="1" applyFill="1" applyBorder="1" applyAlignment="1">
      <alignment horizontal="right" vertical="center"/>
    </xf>
    <xf numFmtId="164" fontId="13" fillId="0" borderId="5" xfId="1" applyNumberFormat="1" applyFont="1" applyFill="1" applyBorder="1" applyAlignment="1">
      <alignment horizontal="left" vertical="center"/>
    </xf>
    <xf numFmtId="164" fontId="13" fillId="0" borderId="3" xfId="1" applyNumberFormat="1" applyFont="1" applyFill="1" applyBorder="1" applyAlignment="1">
      <alignment vertical="center"/>
    </xf>
    <xf numFmtId="37" fontId="13" fillId="0" borderId="3" xfId="1" applyNumberFormat="1" applyFont="1" applyFill="1" applyBorder="1" applyAlignment="1">
      <alignment horizontal="right" vertical="center"/>
    </xf>
    <xf numFmtId="164" fontId="13" fillId="0" borderId="3" xfId="1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left"/>
    </xf>
    <xf numFmtId="175" fontId="13" fillId="0" borderId="0" xfId="457" applyNumberFormat="1" applyFont="1" applyFill="1" applyBorder="1"/>
    <xf numFmtId="4" fontId="13" fillId="0" borderId="0" xfId="0" applyNumberFormat="1" applyFont="1" applyFill="1" applyBorder="1" applyAlignment="1">
      <alignment horizontal="left"/>
    </xf>
    <xf numFmtId="43" fontId="13" fillId="0" borderId="0" xfId="1" applyFont="1" applyFill="1" applyBorder="1"/>
    <xf numFmtId="4" fontId="13" fillId="0" borderId="0" xfId="0" applyNumberFormat="1" applyFont="1" applyFill="1" applyBorder="1"/>
    <xf numFmtId="168" fontId="13" fillId="0" borderId="0" xfId="0" applyNumberFormat="1" applyFont="1" applyFill="1" applyBorder="1"/>
    <xf numFmtId="169" fontId="13" fillId="0" borderId="0" xfId="0" applyNumberFormat="1" applyFont="1" applyFill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Alignment="1">
      <alignment horizontal="right" vertical="center"/>
    </xf>
    <xf numFmtId="4" fontId="13" fillId="0" borderId="0" xfId="0" applyNumberFormat="1" applyFont="1" applyFill="1"/>
    <xf numFmtId="168" fontId="13" fillId="0" borderId="0" xfId="0" applyNumberFormat="1" applyFont="1" applyFill="1"/>
    <xf numFmtId="170" fontId="13" fillId="0" borderId="0" xfId="0" applyNumberFormat="1" applyFont="1" applyFill="1"/>
    <xf numFmtId="4" fontId="13" fillId="0" borderId="0" xfId="0" applyNumberFormat="1" applyFont="1" applyFill="1" applyAlignment="1">
      <alignment horizontal="right"/>
    </xf>
    <xf numFmtId="4" fontId="13" fillId="0" borderId="0" xfId="0" applyNumberFormat="1" applyFont="1" applyFill="1" applyAlignment="1">
      <alignment horizontal="left"/>
    </xf>
    <xf numFmtId="0" fontId="13" fillId="0" borderId="0" xfId="3" applyFont="1" applyFill="1"/>
    <xf numFmtId="0" fontId="13" fillId="0" borderId="0" xfId="3" applyFont="1" applyFill="1" applyBorder="1"/>
    <xf numFmtId="49" fontId="13" fillId="0" borderId="0" xfId="3" applyNumberFormat="1" applyFont="1" applyFill="1" applyBorder="1" applyAlignment="1">
      <alignment horizontal="left" wrapText="1"/>
    </xf>
    <xf numFmtId="49" fontId="13" fillId="0" borderId="0" xfId="3" applyNumberFormat="1" applyFont="1" applyFill="1" applyBorder="1" applyAlignment="1">
      <alignment wrapText="1"/>
    </xf>
    <xf numFmtId="37" fontId="13" fillId="0" borderId="0" xfId="3" applyNumberFormat="1" applyFont="1" applyFill="1"/>
    <xf numFmtId="37" fontId="13" fillId="0" borderId="0" xfId="3" applyNumberFormat="1" applyFont="1" applyFill="1" applyBorder="1"/>
    <xf numFmtId="37" fontId="13" fillId="0" borderId="0" xfId="1" applyNumberFormat="1" applyFont="1" applyFill="1" applyAlignment="1">
      <alignment vertical="center"/>
    </xf>
    <xf numFmtId="0" fontId="14" fillId="0" borderId="0" xfId="0" applyFont="1" applyFill="1" applyAlignment="1">
      <alignment horizontal="center"/>
    </xf>
    <xf numFmtId="0" fontId="13" fillId="0" borderId="0" xfId="0" quotePrefix="1" applyFont="1" applyFill="1" applyAlignment="1">
      <alignment horizontal="center"/>
    </xf>
    <xf numFmtId="37" fontId="13" fillId="0" borderId="1" xfId="0" applyNumberFormat="1" applyFont="1" applyFill="1" applyBorder="1"/>
    <xf numFmtId="39" fontId="13" fillId="0" borderId="3" xfId="0" applyNumberFormat="1" applyFont="1" applyFill="1" applyBorder="1" applyAlignment="1">
      <alignment horizontal="right" vertical="center"/>
    </xf>
    <xf numFmtId="37" fontId="13" fillId="0" borderId="2" xfId="0" applyNumberFormat="1" applyFont="1" applyFill="1" applyBorder="1" applyAlignment="1">
      <alignment vertical="center"/>
    </xf>
    <xf numFmtId="37" fontId="13" fillId="0" borderId="5" xfId="0" applyNumberFormat="1" applyFont="1" applyFill="1" applyBorder="1"/>
    <xf numFmtId="37" fontId="13" fillId="0" borderId="4" xfId="0" applyNumberFormat="1" applyFont="1" applyFill="1" applyBorder="1" applyAlignment="1">
      <alignment horizontal="right"/>
    </xf>
    <xf numFmtId="37" fontId="13" fillId="0" borderId="0" xfId="1" applyNumberFormat="1" applyFont="1" applyFill="1"/>
    <xf numFmtId="176" fontId="14" fillId="0" borderId="0" xfId="3" applyNumberFormat="1" applyFont="1" applyFill="1" applyAlignment="1">
      <alignment horizontal="right"/>
    </xf>
    <xf numFmtId="10" fontId="14" fillId="0" borderId="0" xfId="3" applyNumberFormat="1" applyFont="1" applyFill="1" applyAlignment="1">
      <alignment horizontal="right"/>
    </xf>
    <xf numFmtId="10" fontId="13" fillId="0" borderId="0" xfId="3" applyNumberFormat="1" applyFont="1" applyFill="1" applyAlignment="1">
      <alignment horizontal="right"/>
    </xf>
    <xf numFmtId="10" fontId="93" fillId="0" borderId="0" xfId="3" applyNumberFormat="1" applyFont="1" applyFill="1" applyAlignment="1">
      <alignment horizontal="right"/>
    </xf>
    <xf numFmtId="49" fontId="13" fillId="0" borderId="0" xfId="3" applyNumberFormat="1" applyFont="1" applyFill="1" applyBorder="1" applyAlignment="1">
      <alignment horizontal="center" wrapText="1"/>
    </xf>
    <xf numFmtId="43" fontId="13" fillId="0" borderId="0" xfId="0" applyNumberFormat="1" applyFont="1" applyFill="1"/>
    <xf numFmtId="164" fontId="13" fillId="0" borderId="1" xfId="1" applyNumberFormat="1" applyFont="1" applyFill="1" applyBorder="1"/>
    <xf numFmtId="0" fontId="88" fillId="0" borderId="0" xfId="0" applyFont="1" applyFill="1" applyAlignment="1">
      <alignment horizontal="left"/>
    </xf>
    <xf numFmtId="0" fontId="13" fillId="0" borderId="0" xfId="3" applyFont="1" applyFill="1" applyAlignment="1">
      <alignment horizontal="left"/>
    </xf>
    <xf numFmtId="43" fontId="13" fillId="0" borderId="0" xfId="0" applyNumberFormat="1" applyFont="1" applyFill="1" applyBorder="1"/>
    <xf numFmtId="0" fontId="14" fillId="0" borderId="0" xfId="3" applyFont="1" applyFill="1" applyAlignment="1">
      <alignment horizontal="center"/>
    </xf>
    <xf numFmtId="37" fontId="13" fillId="0" borderId="0" xfId="1" applyNumberFormat="1" applyFont="1" applyFill="1" applyAlignment="1">
      <alignment horizontal="right"/>
    </xf>
    <xf numFmtId="37" fontId="13" fillId="0" borderId="0" xfId="1" applyNumberFormat="1" applyFont="1" applyFill="1" applyBorder="1" applyAlignment="1">
      <alignment horizontal="right"/>
    </xf>
    <xf numFmtId="37" fontId="13" fillId="0" borderId="1" xfId="1" applyNumberFormat="1" applyFont="1" applyFill="1" applyBorder="1" applyAlignment="1">
      <alignment horizontal="right"/>
    </xf>
    <xf numFmtId="164" fontId="13" fillId="0" borderId="0" xfId="0" applyNumberFormat="1" applyFont="1" applyFill="1"/>
    <xf numFmtId="164" fontId="89" fillId="0" borderId="0" xfId="1" applyNumberFormat="1" applyFont="1" applyFill="1" applyBorder="1"/>
    <xf numFmtId="164" fontId="89" fillId="0" borderId="0" xfId="1" applyNumberFormat="1" applyFont="1" applyFill="1"/>
    <xf numFmtId="37" fontId="13" fillId="0" borderId="1" xfId="3" applyNumberFormat="1" applyFont="1" applyFill="1" applyBorder="1"/>
    <xf numFmtId="0" fontId="95" fillId="0" borderId="0" xfId="0" applyFont="1" applyFill="1" applyBorder="1"/>
    <xf numFmtId="164" fontId="13" fillId="0" borderId="0" xfId="0" applyNumberFormat="1" applyFont="1" applyFill="1" applyBorder="1"/>
    <xf numFmtId="17" fontId="13" fillId="0" borderId="0" xfId="0" applyNumberFormat="1" applyFont="1"/>
    <xf numFmtId="177" fontId="13" fillId="0" borderId="0" xfId="0" applyNumberFormat="1" applyFont="1"/>
    <xf numFmtId="37" fontId="13" fillId="28" borderId="0" xfId="0" applyNumberFormat="1" applyFont="1" applyFill="1" applyAlignment="1">
      <alignment horizontal="center"/>
    </xf>
    <xf numFmtId="173" fontId="13" fillId="0" borderId="0" xfId="0" applyNumberFormat="1" applyFont="1" applyFill="1"/>
    <xf numFmtId="43" fontId="13" fillId="0" borderId="0" xfId="1" applyFont="1"/>
    <xf numFmtId="43" fontId="13" fillId="0" borderId="0" xfId="1" applyFont="1" applyAlignment="1">
      <alignment horizontal="right"/>
    </xf>
    <xf numFmtId="0" fontId="13" fillId="0" borderId="0" xfId="0" applyNumberFormat="1" applyFont="1" applyAlignment="1">
      <alignment horizontal="center"/>
    </xf>
    <xf numFmtId="43" fontId="13" fillId="0" borderId="0" xfId="1" applyFont="1" applyAlignment="1">
      <alignment horizontal="center"/>
    </xf>
    <xf numFmtId="0" fontId="8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37" fontId="13" fillId="0" borderId="0" xfId="0" applyNumberFormat="1" applyFont="1" applyFill="1" applyAlignment="1">
      <alignment horizontal="left"/>
    </xf>
    <xf numFmtId="37" fontId="13" fillId="0" borderId="0" xfId="0" applyNumberFormat="1" applyFont="1" applyFill="1" applyAlignment="1">
      <alignment horizontal="right" wrapText="1"/>
    </xf>
    <xf numFmtId="10" fontId="13" fillId="0" borderId="0" xfId="0" applyNumberFormat="1" applyFont="1" applyFill="1" applyAlignment="1">
      <alignment horizontal="right" wrapText="1"/>
    </xf>
    <xf numFmtId="49" fontId="13" fillId="0" borderId="0" xfId="0" applyNumberFormat="1" applyFont="1" applyFill="1" applyAlignment="1">
      <alignment horizontal="right" wrapText="1"/>
    </xf>
    <xf numFmtId="0" fontId="13" fillId="0" borderId="0" xfId="0" applyNumberFormat="1" applyFont="1" applyFill="1" applyAlignment="1">
      <alignment horizontal="center" wrapText="1"/>
    </xf>
    <xf numFmtId="37" fontId="88" fillId="0" borderId="0" xfId="0" applyNumberFormat="1" applyFont="1" applyFill="1" applyAlignment="1">
      <alignment horizontal="left"/>
    </xf>
    <xf numFmtId="0" fontId="13" fillId="0" borderId="0" xfId="0" applyFont="1" applyFill="1" applyAlignment="1"/>
    <xf numFmtId="0" fontId="13" fillId="0" borderId="0" xfId="0" applyFont="1" applyFill="1" applyAlignment="1">
      <alignment textRotation="180" wrapText="1"/>
    </xf>
    <xf numFmtId="173" fontId="14" fillId="0" borderId="0" xfId="0" applyNumberFormat="1" applyFont="1" applyFill="1"/>
    <xf numFmtId="49" fontId="93" fillId="0" borderId="0" xfId="0" applyNumberFormat="1" applyFont="1"/>
    <xf numFmtId="39" fontId="13" fillId="0" borderId="0" xfId="0" applyNumberFormat="1" applyFont="1" applyFill="1"/>
    <xf numFmtId="166" fontId="14" fillId="0" borderId="0" xfId="0" applyNumberFormat="1" applyFont="1"/>
    <xf numFmtId="166" fontId="14" fillId="0" borderId="0" xfId="0" applyNumberFormat="1" applyFont="1" applyAlignment="1">
      <alignment horizontal="center" wrapText="1"/>
    </xf>
    <xf numFmtId="164" fontId="13" fillId="29" borderId="0" xfId="1" applyNumberFormat="1" applyFont="1" applyFill="1"/>
    <xf numFmtId="184" fontId="13" fillId="0" borderId="0" xfId="0" applyNumberFormat="1" applyFont="1" applyFill="1" applyBorder="1" applyAlignment="1">
      <alignment horizontal="right"/>
    </xf>
    <xf numFmtId="37" fontId="13" fillId="0" borderId="20" xfId="0" applyNumberFormat="1" applyFont="1" applyFill="1" applyBorder="1" applyAlignment="1">
      <alignment horizontal="right" vertical="center"/>
    </xf>
    <xf numFmtId="37" fontId="13" fillId="0" borderId="21" xfId="0" applyNumberFormat="1" applyFont="1" applyFill="1" applyBorder="1"/>
    <xf numFmtId="0" fontId="13" fillId="0" borderId="0" xfId="0" applyFont="1" applyFill="1" applyAlignment="1">
      <alignment horizontal="center"/>
    </xf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/>
    <xf numFmtId="0" fontId="91" fillId="0" borderId="0" xfId="0" applyFont="1" applyAlignment="1">
      <alignment horizontal="right" vertical="center" textRotation="180" wrapText="1"/>
    </xf>
    <xf numFmtId="0" fontId="13" fillId="0" borderId="0" xfId="0" applyFont="1" applyAlignment="1">
      <alignment horizontal="center" textRotation="180" wrapText="1"/>
    </xf>
    <xf numFmtId="49" fontId="14" fillId="0" borderId="0" xfId="0" applyNumberFormat="1" applyFont="1" applyAlignment="1">
      <alignment horizontal="center"/>
    </xf>
    <xf numFmtId="49" fontId="0" fillId="0" borderId="0" xfId="0" applyNumberFormat="1" applyAlignment="1"/>
    <xf numFmtId="49" fontId="0" fillId="0" borderId="0" xfId="0" applyNumberFormat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0" fontId="13" fillId="0" borderId="0" xfId="0" applyFont="1" applyFill="1" applyBorder="1" applyAlignment="1">
      <alignment horizontal="center"/>
    </xf>
    <xf numFmtId="0" fontId="13" fillId="0" borderId="0" xfId="3" applyFont="1" applyAlignment="1">
      <alignment horizontal="center"/>
    </xf>
    <xf numFmtId="49" fontId="13" fillId="0" borderId="0" xfId="3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/>
    <xf numFmtId="0" fontId="14" fillId="0" borderId="0" xfId="3" applyFont="1" applyAlignment="1">
      <alignment horizontal="center"/>
    </xf>
    <xf numFmtId="0" fontId="0" fillId="0" borderId="0" xfId="0" applyAlignment="1">
      <alignment horizontal="center"/>
    </xf>
    <xf numFmtId="49" fontId="82" fillId="0" borderId="0" xfId="3" applyNumberFormat="1" applyFont="1" applyAlignment="1">
      <alignment horizontal="center"/>
    </xf>
    <xf numFmtId="49" fontId="13" fillId="0" borderId="0" xfId="0" applyNumberFormat="1" applyFont="1" applyAlignment="1">
      <alignment horizontal="left" wrapText="1"/>
    </xf>
  </cellXfs>
  <cellStyles count="706">
    <cellStyle name="20% - Accent1 2" xfId="7"/>
    <cellStyle name="20% - Accent1 2 2" xfId="8"/>
    <cellStyle name="20% - Accent1 3" xfId="9"/>
    <cellStyle name="20% - Accent1 4" xfId="10"/>
    <cellStyle name="20% - Accent1 5" xfId="11"/>
    <cellStyle name="20% - Accent1 6" xfId="12"/>
    <cellStyle name="20% - Accent1 7" xfId="13"/>
    <cellStyle name="20% - Accent1 8" xfId="14"/>
    <cellStyle name="20% - Accent2 2" xfId="15"/>
    <cellStyle name="20% - Accent2 2 2" xfId="16"/>
    <cellStyle name="20% - Accent2 3" xfId="17"/>
    <cellStyle name="20% - Accent2 4" xfId="18"/>
    <cellStyle name="20% - Accent2 5" xfId="19"/>
    <cellStyle name="20% - Accent2 6" xfId="20"/>
    <cellStyle name="20% - Accent3 2" xfId="21"/>
    <cellStyle name="20% - Accent3 2 2" xfId="22"/>
    <cellStyle name="20% - Accent3 3" xfId="23"/>
    <cellStyle name="20% - Accent3 4" xfId="24"/>
    <cellStyle name="20% - Accent3 5" xfId="25"/>
    <cellStyle name="20% - Accent3 6" xfId="26"/>
    <cellStyle name="20% - Accent3 7" xfId="27"/>
    <cellStyle name="20% - Accent3 8" xfId="28"/>
    <cellStyle name="20% - Accent4 2" xfId="29"/>
    <cellStyle name="20% - Accent4 2 2" xfId="30"/>
    <cellStyle name="20% - Accent4 3" xfId="31"/>
    <cellStyle name="20% - Accent4 4" xfId="32"/>
    <cellStyle name="20% - Accent4 5" xfId="33"/>
    <cellStyle name="20% - Accent4 6" xfId="34"/>
    <cellStyle name="20% - Accent4 7" xfId="35"/>
    <cellStyle name="20% - Accent4 8" xfId="36"/>
    <cellStyle name="20% - Accent5 2" xfId="37"/>
    <cellStyle name="20% - Accent5 2 2" xfId="38"/>
    <cellStyle name="20% - Accent5 3" xfId="39"/>
    <cellStyle name="20% - Accent5 4" xfId="40"/>
    <cellStyle name="20% - Accent5 5" xfId="41"/>
    <cellStyle name="20% - Accent5 6" xfId="42"/>
    <cellStyle name="20% - Accent6 2" xfId="43"/>
    <cellStyle name="20% - Accent6 2 2" xfId="44"/>
    <cellStyle name="20% - Accent6 3" xfId="45"/>
    <cellStyle name="20% - Accent6 4" xfId="46"/>
    <cellStyle name="20% - Accent6 5" xfId="47"/>
    <cellStyle name="20% - Accent6 6" xfId="48"/>
    <cellStyle name="40% - Accent1 2" xfId="49"/>
    <cellStyle name="40% - Accent1 2 2" xfId="50"/>
    <cellStyle name="40% - Accent1 3" xfId="51"/>
    <cellStyle name="40% - Accent1 4" xfId="52"/>
    <cellStyle name="40% - Accent1 5" xfId="53"/>
    <cellStyle name="40% - Accent1 6" xfId="54"/>
    <cellStyle name="40% - Accent1 7" xfId="55"/>
    <cellStyle name="40% - Accent1 8" xfId="56"/>
    <cellStyle name="40% - Accent2 2" xfId="57"/>
    <cellStyle name="40% - Accent2 2 2" xfId="58"/>
    <cellStyle name="40% - Accent2 3" xfId="59"/>
    <cellStyle name="40% - Accent2 4" xfId="60"/>
    <cellStyle name="40% - Accent2 5" xfId="61"/>
    <cellStyle name="40% - Accent2 6" xfId="62"/>
    <cellStyle name="40% - Accent3 2" xfId="63"/>
    <cellStyle name="40% - Accent3 2 2" xfId="64"/>
    <cellStyle name="40% - Accent3 3" xfId="65"/>
    <cellStyle name="40% - Accent3 4" xfId="66"/>
    <cellStyle name="40% - Accent3 5" xfId="67"/>
    <cellStyle name="40% - Accent3 6" xfId="68"/>
    <cellStyle name="40% - Accent3 7" xfId="69"/>
    <cellStyle name="40% - Accent3 8" xfId="70"/>
    <cellStyle name="40% - Accent4 2" xfId="71"/>
    <cellStyle name="40% - Accent4 2 2" xfId="72"/>
    <cellStyle name="40% - Accent4 3" xfId="73"/>
    <cellStyle name="40% - Accent4 4" xfId="74"/>
    <cellStyle name="40% - Accent4 5" xfId="75"/>
    <cellStyle name="40% - Accent4 6" xfId="76"/>
    <cellStyle name="40% - Accent4 7" xfId="77"/>
    <cellStyle name="40% - Accent4 8" xfId="78"/>
    <cellStyle name="40% - Accent5 2" xfId="79"/>
    <cellStyle name="40% - Accent5 2 2" xfId="80"/>
    <cellStyle name="40% - Accent5 3" xfId="81"/>
    <cellStyle name="40% - Accent5 4" xfId="82"/>
    <cellStyle name="40% - Accent5 5" xfId="83"/>
    <cellStyle name="40% - Accent5 6" xfId="84"/>
    <cellStyle name="40% - Accent6 2" xfId="85"/>
    <cellStyle name="40% - Accent6 2 2" xfId="86"/>
    <cellStyle name="40% - Accent6 3" xfId="87"/>
    <cellStyle name="40% - Accent6 4" xfId="88"/>
    <cellStyle name="40% - Accent6 5" xfId="89"/>
    <cellStyle name="40% - Accent6 6" xfId="90"/>
    <cellStyle name="40% - Accent6 7" xfId="91"/>
    <cellStyle name="40% - Accent6 8" xfId="92"/>
    <cellStyle name="60% - Accent1 2" xfId="93"/>
    <cellStyle name="60% - Accent1 3" xfId="94"/>
    <cellStyle name="60% - Accent1 4" xfId="95"/>
    <cellStyle name="60% - Accent1 5" xfId="96"/>
    <cellStyle name="60% - Accent1 6" xfId="97"/>
    <cellStyle name="60% - Accent1 7" xfId="98"/>
    <cellStyle name="60% - Accent1 8" xfId="99"/>
    <cellStyle name="60% - Accent2 2" xfId="100"/>
    <cellStyle name="60% - Accent2 3" xfId="101"/>
    <cellStyle name="60% - Accent2 4" xfId="102"/>
    <cellStyle name="60% - Accent2 5" xfId="103"/>
    <cellStyle name="60% - Accent2 6" xfId="104"/>
    <cellStyle name="60% - Accent3 2" xfId="105"/>
    <cellStyle name="60% - Accent3 3" xfId="106"/>
    <cellStyle name="60% - Accent3 4" xfId="107"/>
    <cellStyle name="60% - Accent3 5" xfId="108"/>
    <cellStyle name="60% - Accent3 6" xfId="109"/>
    <cellStyle name="60% - Accent3 7" xfId="110"/>
    <cellStyle name="60% - Accent3 8" xfId="111"/>
    <cellStyle name="60% - Accent4 2" xfId="112"/>
    <cellStyle name="60% - Accent4 3" xfId="113"/>
    <cellStyle name="60% - Accent4 4" xfId="114"/>
    <cellStyle name="60% - Accent4 5" xfId="115"/>
    <cellStyle name="60% - Accent4 6" xfId="116"/>
    <cellStyle name="60% - Accent4 7" xfId="117"/>
    <cellStyle name="60% - Accent4 8" xfId="118"/>
    <cellStyle name="60% - Accent5 2" xfId="119"/>
    <cellStyle name="60% - Accent5 3" xfId="120"/>
    <cellStyle name="60% - Accent5 4" xfId="121"/>
    <cellStyle name="60% - Accent5 5" xfId="122"/>
    <cellStyle name="60% - Accent5 6" xfId="123"/>
    <cellStyle name="60% - Accent6 2" xfId="124"/>
    <cellStyle name="60% - Accent6 3" xfId="125"/>
    <cellStyle name="60% - Accent6 4" xfId="126"/>
    <cellStyle name="60% - Accent6 5" xfId="127"/>
    <cellStyle name="60% - Accent6 6" xfId="128"/>
    <cellStyle name="60% - Accent6 7" xfId="129"/>
    <cellStyle name="60% - Accent6 8" xfId="130"/>
    <cellStyle name="Accent1 2" xfId="131"/>
    <cellStyle name="Accent1 3" xfId="132"/>
    <cellStyle name="Accent1 4" xfId="133"/>
    <cellStyle name="Accent1 5" xfId="134"/>
    <cellStyle name="Accent1 6" xfId="135"/>
    <cellStyle name="Accent1 7" xfId="136"/>
    <cellStyle name="Accent1 8" xfId="137"/>
    <cellStyle name="Accent2 2" xfId="138"/>
    <cellStyle name="Accent2 3" xfId="139"/>
    <cellStyle name="Accent2 4" xfId="140"/>
    <cellStyle name="Accent2 5" xfId="141"/>
    <cellStyle name="Accent2 6" xfId="142"/>
    <cellStyle name="Accent3 2" xfId="143"/>
    <cellStyle name="Accent3 3" xfId="144"/>
    <cellStyle name="Accent3 4" xfId="145"/>
    <cellStyle name="Accent3 5" xfId="146"/>
    <cellStyle name="Accent3 6" xfId="147"/>
    <cellStyle name="Accent4 2" xfId="148"/>
    <cellStyle name="Accent4 3" xfId="149"/>
    <cellStyle name="Accent4 4" xfId="150"/>
    <cellStyle name="Accent4 5" xfId="151"/>
    <cellStyle name="Accent4 6" xfId="152"/>
    <cellStyle name="Accent4 7" xfId="153"/>
    <cellStyle name="Accent4 8" xfId="154"/>
    <cellStyle name="Accent5 2" xfId="155"/>
    <cellStyle name="Accent5 3" xfId="156"/>
    <cellStyle name="Accent5 4" xfId="157"/>
    <cellStyle name="Accent5 5" xfId="158"/>
    <cellStyle name="Accent5 6" xfId="159"/>
    <cellStyle name="Accent6 2" xfId="160"/>
    <cellStyle name="Accent6 3" xfId="161"/>
    <cellStyle name="Accent6 4" xfId="162"/>
    <cellStyle name="Accent6 5" xfId="163"/>
    <cellStyle name="Accent6 6" xfId="164"/>
    <cellStyle name="Bad 2" xfId="165"/>
    <cellStyle name="Bad 3" xfId="166"/>
    <cellStyle name="Bad 4" xfId="167"/>
    <cellStyle name="Bad 5" xfId="168"/>
    <cellStyle name="Bad 6" xfId="169"/>
    <cellStyle name="Bad 7" xfId="170"/>
    <cellStyle name="Bad 8" xfId="171"/>
    <cellStyle name="Calculation 2" xfId="172"/>
    <cellStyle name="Calculation 3" xfId="173"/>
    <cellStyle name="Calculation 4" xfId="174"/>
    <cellStyle name="Calculation 5" xfId="175"/>
    <cellStyle name="Calculation 6" xfId="176"/>
    <cellStyle name="Check Cell 2" xfId="177"/>
    <cellStyle name="Check Cell 3" xfId="178"/>
    <cellStyle name="Check Cell 4" xfId="179"/>
    <cellStyle name="Check Cell 5" xfId="180"/>
    <cellStyle name="Check Cell 6" xfId="181"/>
    <cellStyle name="Check Cell 7" xfId="182"/>
    <cellStyle name="Check Cell 8" xfId="183"/>
    <cellStyle name="Comma" xfId="1" builtinId="3"/>
    <cellStyle name="Comma 10" xfId="184"/>
    <cellStyle name="Comma 11" xfId="185"/>
    <cellStyle name="Comma 12" xfId="186"/>
    <cellStyle name="Comma 13" xfId="187"/>
    <cellStyle name="Comma 14" xfId="188"/>
    <cellStyle name="Comma 15" xfId="189"/>
    <cellStyle name="Comma 16" xfId="4"/>
    <cellStyle name="Comma 17" xfId="190"/>
    <cellStyle name="Comma 17 2" xfId="472"/>
    <cellStyle name="Comma 17 2 2" xfId="521"/>
    <cellStyle name="Comma 17 2 2 2" xfId="645"/>
    <cellStyle name="Comma 17 2 3" xfId="604"/>
    <cellStyle name="Comma 17 3" xfId="500"/>
    <cellStyle name="Comma 17 3 2" xfId="522"/>
    <cellStyle name="Comma 17 3 2 2" xfId="646"/>
    <cellStyle name="Comma 17 3 3" xfId="624"/>
    <cellStyle name="Comma 17 4" xfId="520"/>
    <cellStyle name="Comma 17 4 2" xfId="644"/>
    <cellStyle name="Comma 17 5" xfId="582"/>
    <cellStyle name="Comma 18" xfId="191"/>
    <cellStyle name="Comma 19" xfId="5"/>
    <cellStyle name="Comma 2" xfId="192"/>
    <cellStyle name="Comma 2 2" xfId="193"/>
    <cellStyle name="Comma 2 2 2" xfId="451"/>
    <cellStyle name="Comma 2 2 3" xfId="473"/>
    <cellStyle name="Comma 2 3" xfId="194"/>
    <cellStyle name="Comma 2 4" xfId="195"/>
    <cellStyle name="Comma 2_Allocators" xfId="196"/>
    <cellStyle name="Comma 20" xfId="197"/>
    <cellStyle name="Comma 20 2" xfId="474"/>
    <cellStyle name="Comma 20 2 2" xfId="524"/>
    <cellStyle name="Comma 20 2 2 2" xfId="648"/>
    <cellStyle name="Comma 20 2 3" xfId="605"/>
    <cellStyle name="Comma 20 3" xfId="501"/>
    <cellStyle name="Comma 20 3 2" xfId="525"/>
    <cellStyle name="Comma 20 3 2 2" xfId="649"/>
    <cellStyle name="Comma 20 3 3" xfId="625"/>
    <cellStyle name="Comma 20 4" xfId="523"/>
    <cellStyle name="Comma 20 4 2" xfId="647"/>
    <cellStyle name="Comma 20 5" xfId="583"/>
    <cellStyle name="Comma 3" xfId="198"/>
    <cellStyle name="Comma 3 10" xfId="468"/>
    <cellStyle name="Comma 3 10 2" xfId="498"/>
    <cellStyle name="Comma 3 10 2 2" xfId="527"/>
    <cellStyle name="Comma 3 10 2 2 2" xfId="651"/>
    <cellStyle name="Comma 3 10 2 3" xfId="622"/>
    <cellStyle name="Comma 3 10 3" xfId="518"/>
    <cellStyle name="Comma 3 10 3 2" xfId="528"/>
    <cellStyle name="Comma 3 10 3 2 2" xfId="652"/>
    <cellStyle name="Comma 3 10 3 3" xfId="642"/>
    <cellStyle name="Comma 3 10 4" xfId="526"/>
    <cellStyle name="Comma 3 10 4 2" xfId="650"/>
    <cellStyle name="Comma 3 10 5" xfId="600"/>
    <cellStyle name="Comma 3 11" xfId="475"/>
    <cellStyle name="Comma 3 12" xfId="470"/>
    <cellStyle name="Comma 3 12 2" xfId="529"/>
    <cellStyle name="Comma 3 12 2 2" xfId="653"/>
    <cellStyle name="Comma 3 12 3" xfId="602"/>
    <cellStyle name="Comma 3 2" xfId="199"/>
    <cellStyle name="Comma 3 3" xfId="200"/>
    <cellStyle name="Comma 3 4" xfId="452"/>
    <cellStyle name="Comma 3 4 2" xfId="486"/>
    <cellStyle name="Comma 3 4 2 2" xfId="531"/>
    <cellStyle name="Comma 3 4 2 2 2" xfId="655"/>
    <cellStyle name="Comma 3 4 2 3" xfId="610"/>
    <cellStyle name="Comma 3 4 3" xfId="506"/>
    <cellStyle name="Comma 3 4 3 2" xfId="532"/>
    <cellStyle name="Comma 3 4 3 2 2" xfId="656"/>
    <cellStyle name="Comma 3 4 3 3" xfId="630"/>
    <cellStyle name="Comma 3 4 4" xfId="530"/>
    <cellStyle name="Comma 3 4 4 2" xfId="654"/>
    <cellStyle name="Comma 3 4 5" xfId="588"/>
    <cellStyle name="Comma 3 5" xfId="458"/>
    <cellStyle name="Comma 3 5 2" xfId="488"/>
    <cellStyle name="Comma 3 5 2 2" xfId="534"/>
    <cellStyle name="Comma 3 5 2 2 2" xfId="658"/>
    <cellStyle name="Comma 3 5 2 3" xfId="612"/>
    <cellStyle name="Comma 3 5 3" xfId="508"/>
    <cellStyle name="Comma 3 5 3 2" xfId="535"/>
    <cellStyle name="Comma 3 5 3 2 2" xfId="659"/>
    <cellStyle name="Comma 3 5 3 3" xfId="632"/>
    <cellStyle name="Comma 3 5 4" xfId="533"/>
    <cellStyle name="Comma 3 5 4 2" xfId="657"/>
    <cellStyle name="Comma 3 5 5" xfId="590"/>
    <cellStyle name="Comma 3 6" xfId="460"/>
    <cellStyle name="Comma 3 6 2" xfId="490"/>
    <cellStyle name="Comma 3 6 2 2" xfId="537"/>
    <cellStyle name="Comma 3 6 2 2 2" xfId="661"/>
    <cellStyle name="Comma 3 6 2 3" xfId="614"/>
    <cellStyle name="Comma 3 6 3" xfId="510"/>
    <cellStyle name="Comma 3 6 3 2" xfId="538"/>
    <cellStyle name="Comma 3 6 3 2 2" xfId="662"/>
    <cellStyle name="Comma 3 6 3 3" xfId="634"/>
    <cellStyle name="Comma 3 6 4" xfId="536"/>
    <cellStyle name="Comma 3 6 4 2" xfId="660"/>
    <cellStyle name="Comma 3 6 5" xfId="592"/>
    <cellStyle name="Comma 3 7" xfId="462"/>
    <cellStyle name="Comma 3 7 2" xfId="492"/>
    <cellStyle name="Comma 3 7 2 2" xfId="540"/>
    <cellStyle name="Comma 3 7 2 2 2" xfId="664"/>
    <cellStyle name="Comma 3 7 2 3" xfId="616"/>
    <cellStyle name="Comma 3 7 3" xfId="512"/>
    <cellStyle name="Comma 3 7 3 2" xfId="541"/>
    <cellStyle name="Comma 3 7 3 2 2" xfId="665"/>
    <cellStyle name="Comma 3 7 3 3" xfId="636"/>
    <cellStyle name="Comma 3 7 4" xfId="539"/>
    <cellStyle name="Comma 3 7 4 2" xfId="663"/>
    <cellStyle name="Comma 3 7 5" xfId="594"/>
    <cellStyle name="Comma 3 8" xfId="464"/>
    <cellStyle name="Comma 3 8 2" xfId="494"/>
    <cellStyle name="Comma 3 8 2 2" xfId="543"/>
    <cellStyle name="Comma 3 8 2 2 2" xfId="667"/>
    <cellStyle name="Comma 3 8 2 3" xfId="618"/>
    <cellStyle name="Comma 3 8 3" xfId="514"/>
    <cellStyle name="Comma 3 8 3 2" xfId="544"/>
    <cellStyle name="Comma 3 8 3 2 2" xfId="668"/>
    <cellStyle name="Comma 3 8 3 3" xfId="638"/>
    <cellStyle name="Comma 3 8 4" xfId="542"/>
    <cellStyle name="Comma 3 8 4 2" xfId="666"/>
    <cellStyle name="Comma 3 8 5" xfId="596"/>
    <cellStyle name="Comma 3 9" xfId="466"/>
    <cellStyle name="Comma 3 9 2" xfId="496"/>
    <cellStyle name="Comma 3 9 2 2" xfId="546"/>
    <cellStyle name="Comma 3 9 2 2 2" xfId="670"/>
    <cellStyle name="Comma 3 9 2 3" xfId="620"/>
    <cellStyle name="Comma 3 9 3" xfId="516"/>
    <cellStyle name="Comma 3 9 3 2" xfId="547"/>
    <cellStyle name="Comma 3 9 3 2 2" xfId="671"/>
    <cellStyle name="Comma 3 9 3 3" xfId="640"/>
    <cellStyle name="Comma 3 9 4" xfId="545"/>
    <cellStyle name="Comma 3 9 4 2" xfId="669"/>
    <cellStyle name="Comma 3 9 5" xfId="598"/>
    <cellStyle name="Comma 4" xfId="201"/>
    <cellStyle name="Comma 4 2" xfId="6"/>
    <cellStyle name="Comma 4 3" xfId="202"/>
    <cellStyle name="Comma 5" xfId="203"/>
    <cellStyle name="Comma 6" xfId="204"/>
    <cellStyle name="Comma 6 2" xfId="205"/>
    <cellStyle name="Comma 7" xfId="206"/>
    <cellStyle name="Comma 7 2" xfId="207"/>
    <cellStyle name="Comma 8" xfId="208"/>
    <cellStyle name="Comma 8 2" xfId="209"/>
    <cellStyle name="Comma 9" xfId="210"/>
    <cellStyle name="CommaBlank" xfId="211"/>
    <cellStyle name="CommaBlank 2" xfId="212"/>
    <cellStyle name="Currency" xfId="457" builtinId="4"/>
    <cellStyle name="Currency 10" xfId="213"/>
    <cellStyle name="Currency 10 2" xfId="476"/>
    <cellStyle name="Currency 10 2 2" xfId="549"/>
    <cellStyle name="Currency 10 2 2 2" xfId="673"/>
    <cellStyle name="Currency 10 2 3" xfId="606"/>
    <cellStyle name="Currency 10 3" xfId="502"/>
    <cellStyle name="Currency 10 3 2" xfId="550"/>
    <cellStyle name="Currency 10 3 2 2" xfId="674"/>
    <cellStyle name="Currency 10 3 3" xfId="626"/>
    <cellStyle name="Currency 10 4" xfId="548"/>
    <cellStyle name="Currency 10 4 2" xfId="672"/>
    <cellStyle name="Currency 10 5" xfId="584"/>
    <cellStyle name="Currency 2" xfId="214"/>
    <cellStyle name="Currency 2 2" xfId="215"/>
    <cellStyle name="Currency 2 3" xfId="450"/>
    <cellStyle name="Currency 3" xfId="216"/>
    <cellStyle name="Currency 3 2" xfId="217"/>
    <cellStyle name="Currency 3 3" xfId="218"/>
    <cellStyle name="Currency 3 4" xfId="219"/>
    <cellStyle name="Currency 3 5" xfId="477"/>
    <cellStyle name="Currency 4" xfId="220"/>
    <cellStyle name="Currency 4 2" xfId="221"/>
    <cellStyle name="Currency 4 3" xfId="222"/>
    <cellStyle name="Currency 4 4" xfId="223"/>
    <cellStyle name="Currency 5" xfId="224"/>
    <cellStyle name="Currency 6" xfId="225"/>
    <cellStyle name="Currency 7" xfId="226"/>
    <cellStyle name="Currency 8" xfId="227"/>
    <cellStyle name="Currency 9" xfId="228"/>
    <cellStyle name="Explanatory Text 2" xfId="229"/>
    <cellStyle name="Explanatory Text 3" xfId="230"/>
    <cellStyle name="Explanatory Text 4" xfId="231"/>
    <cellStyle name="Explanatory Text 5" xfId="232"/>
    <cellStyle name="Explanatory Text 6" xfId="233"/>
    <cellStyle name="Good 2" xfId="234"/>
    <cellStyle name="Good 3" xfId="235"/>
    <cellStyle name="Good 4" xfId="236"/>
    <cellStyle name="Good 5" xfId="237"/>
    <cellStyle name="Good 6" xfId="238"/>
    <cellStyle name="Heading 1 2" xfId="239"/>
    <cellStyle name="Heading 1 3" xfId="240"/>
    <cellStyle name="Heading 1 4" xfId="241"/>
    <cellStyle name="Heading 1 5" xfId="242"/>
    <cellStyle name="Heading 1 6" xfId="243"/>
    <cellStyle name="Heading 1 7" xfId="244"/>
    <cellStyle name="Heading 1 8" xfId="245"/>
    <cellStyle name="Heading 2 2" xfId="246"/>
    <cellStyle name="Heading 2 3" xfId="247"/>
    <cellStyle name="Heading 2 4" xfId="248"/>
    <cellStyle name="Heading 2 5" xfId="249"/>
    <cellStyle name="Heading 2 6" xfId="250"/>
    <cellStyle name="Heading 2 7" xfId="251"/>
    <cellStyle name="Heading 2 8" xfId="252"/>
    <cellStyle name="Heading 3 2" xfId="253"/>
    <cellStyle name="Heading 3 3" xfId="254"/>
    <cellStyle name="Heading 3 4" xfId="255"/>
    <cellStyle name="Heading 3 5" xfId="256"/>
    <cellStyle name="Heading 3 6" xfId="257"/>
    <cellStyle name="Heading 3 7" xfId="258"/>
    <cellStyle name="Heading 3 8" xfId="259"/>
    <cellStyle name="Heading 4 2" xfId="260"/>
    <cellStyle name="Heading 4 3" xfId="261"/>
    <cellStyle name="Heading 4 4" xfId="262"/>
    <cellStyle name="Heading 4 5" xfId="263"/>
    <cellStyle name="Heading 4 6" xfId="264"/>
    <cellStyle name="Heading 4 7" xfId="265"/>
    <cellStyle name="Heading 4 8" xfId="266"/>
    <cellStyle name="Input 2" xfId="267"/>
    <cellStyle name="Input 3" xfId="268"/>
    <cellStyle name="Input 4" xfId="269"/>
    <cellStyle name="Input 5" xfId="270"/>
    <cellStyle name="Input 6" xfId="271"/>
    <cellStyle name="kirkdollars" xfId="272"/>
    <cellStyle name="Linked Cell 2" xfId="273"/>
    <cellStyle name="Linked Cell 3" xfId="274"/>
    <cellStyle name="Linked Cell 4" xfId="275"/>
    <cellStyle name="Linked Cell 5" xfId="276"/>
    <cellStyle name="Linked Cell 6" xfId="277"/>
    <cellStyle name="Neutral 2" xfId="278"/>
    <cellStyle name="Neutral 3" xfId="279"/>
    <cellStyle name="Neutral 4" xfId="280"/>
    <cellStyle name="Neutral 5" xfId="281"/>
    <cellStyle name="Neutral 6" xfId="282"/>
    <cellStyle name="Normal" xfId="0" builtinId="0"/>
    <cellStyle name="Normal 10" xfId="283"/>
    <cellStyle name="Normal 11" xfId="284"/>
    <cellStyle name="Normal 12" xfId="285"/>
    <cellStyle name="Normal 13" xfId="286"/>
    <cellStyle name="Normal 14" xfId="287"/>
    <cellStyle name="Normal 15" xfId="288"/>
    <cellStyle name="Normal 15 2" xfId="478"/>
    <cellStyle name="Normal 15 2 2" xfId="552"/>
    <cellStyle name="Normal 15 2 2 2" xfId="676"/>
    <cellStyle name="Normal 15 2 3" xfId="607"/>
    <cellStyle name="Normal 15 3" xfId="503"/>
    <cellStyle name="Normal 15 3 2" xfId="553"/>
    <cellStyle name="Normal 15 3 2 2" xfId="677"/>
    <cellStyle name="Normal 15 3 3" xfId="627"/>
    <cellStyle name="Normal 15 4" xfId="551"/>
    <cellStyle name="Normal 15 4 2" xfId="675"/>
    <cellStyle name="Normal 15 5" xfId="585"/>
    <cellStyle name="Normal 16" xfId="289"/>
    <cellStyle name="Normal 17" xfId="290"/>
    <cellStyle name="Normal 18" xfId="291"/>
    <cellStyle name="Normal 19" xfId="292"/>
    <cellStyle name="Normal 2" xfId="293"/>
    <cellStyle name="Normal 2 2" xfId="294"/>
    <cellStyle name="Normal 2 3" xfId="3"/>
    <cellStyle name="Normal 2 4" xfId="295"/>
    <cellStyle name="Normal 2_Adjustment WP" xfId="296"/>
    <cellStyle name="Normal 20" xfId="297"/>
    <cellStyle name="Normal 21" xfId="298"/>
    <cellStyle name="Normal 22" xfId="299"/>
    <cellStyle name="Normal 23" xfId="300"/>
    <cellStyle name="Normal 24" xfId="301"/>
    <cellStyle name="Normal 25" xfId="302"/>
    <cellStyle name="Normal 26" xfId="303"/>
    <cellStyle name="Normal 27" xfId="304"/>
    <cellStyle name="Normal 28" xfId="305"/>
    <cellStyle name="Normal 29" xfId="306"/>
    <cellStyle name="Normal 3" xfId="307"/>
    <cellStyle name="Normal 3 2" xfId="308"/>
    <cellStyle name="Normal 3 3" xfId="309"/>
    <cellStyle name="Normal 3 4" xfId="310"/>
    <cellStyle name="Normal 3 5" xfId="449"/>
    <cellStyle name="Normal 3 6" xfId="479"/>
    <cellStyle name="Normal 3_108 Summary" xfId="311"/>
    <cellStyle name="Normal 30" xfId="312"/>
    <cellStyle name="Normal 31" xfId="313"/>
    <cellStyle name="Normal 32" xfId="314"/>
    <cellStyle name="Normal 33" xfId="315"/>
    <cellStyle name="Normal 34" xfId="316"/>
    <cellStyle name="Normal 35" xfId="317"/>
    <cellStyle name="Normal 35 2" xfId="480"/>
    <cellStyle name="Normal 35 2 2" xfId="555"/>
    <cellStyle name="Normal 35 2 2 2" xfId="679"/>
    <cellStyle name="Normal 35 2 3" xfId="608"/>
    <cellStyle name="Normal 35 3" xfId="504"/>
    <cellStyle name="Normal 35 3 2" xfId="556"/>
    <cellStyle name="Normal 35 3 2 2" xfId="680"/>
    <cellStyle name="Normal 35 3 3" xfId="628"/>
    <cellStyle name="Normal 35 4" xfId="554"/>
    <cellStyle name="Normal 35 4 2" xfId="678"/>
    <cellStyle name="Normal 35 5" xfId="586"/>
    <cellStyle name="Normal 4" xfId="318"/>
    <cellStyle name="Normal 4 2" xfId="453"/>
    <cellStyle name="Normal 4 3" xfId="481"/>
    <cellStyle name="Normal 5" xfId="319"/>
    <cellStyle name="Normal 5 2" xfId="454"/>
    <cellStyle name="Normal 5 3" xfId="482"/>
    <cellStyle name="Normal 6" xfId="320"/>
    <cellStyle name="Normal 6 10" xfId="471"/>
    <cellStyle name="Normal 6 10 2" xfId="557"/>
    <cellStyle name="Normal 6 10 2 2" xfId="681"/>
    <cellStyle name="Normal 6 10 3" xfId="603"/>
    <cellStyle name="Normal 6 2" xfId="456"/>
    <cellStyle name="Normal 6 2 2" xfId="487"/>
    <cellStyle name="Normal 6 2 2 2" xfId="559"/>
    <cellStyle name="Normal 6 2 2 2 2" xfId="683"/>
    <cellStyle name="Normal 6 2 2 3" xfId="611"/>
    <cellStyle name="Normal 6 2 3" xfId="507"/>
    <cellStyle name="Normal 6 2 3 2" xfId="560"/>
    <cellStyle name="Normal 6 2 3 2 2" xfId="684"/>
    <cellStyle name="Normal 6 2 3 3" xfId="631"/>
    <cellStyle name="Normal 6 2 4" xfId="558"/>
    <cellStyle name="Normal 6 2 4 2" xfId="682"/>
    <cellStyle name="Normal 6 2 5" xfId="589"/>
    <cellStyle name="Normal 6 3" xfId="459"/>
    <cellStyle name="Normal 6 3 2" xfId="489"/>
    <cellStyle name="Normal 6 3 2 2" xfId="562"/>
    <cellStyle name="Normal 6 3 2 2 2" xfId="686"/>
    <cellStyle name="Normal 6 3 2 3" xfId="613"/>
    <cellStyle name="Normal 6 3 3" xfId="509"/>
    <cellStyle name="Normal 6 3 3 2" xfId="563"/>
    <cellStyle name="Normal 6 3 3 2 2" xfId="687"/>
    <cellStyle name="Normal 6 3 3 3" xfId="633"/>
    <cellStyle name="Normal 6 3 4" xfId="561"/>
    <cellStyle name="Normal 6 3 4 2" xfId="685"/>
    <cellStyle name="Normal 6 3 5" xfId="591"/>
    <cellStyle name="Normal 6 4" xfId="461"/>
    <cellStyle name="Normal 6 4 2" xfId="491"/>
    <cellStyle name="Normal 6 4 2 2" xfId="565"/>
    <cellStyle name="Normal 6 4 2 2 2" xfId="689"/>
    <cellStyle name="Normal 6 4 2 3" xfId="615"/>
    <cellStyle name="Normal 6 4 3" xfId="511"/>
    <cellStyle name="Normal 6 4 3 2" xfId="566"/>
    <cellStyle name="Normal 6 4 3 2 2" xfId="690"/>
    <cellStyle name="Normal 6 4 3 3" xfId="635"/>
    <cellStyle name="Normal 6 4 4" xfId="564"/>
    <cellStyle name="Normal 6 4 4 2" xfId="688"/>
    <cellStyle name="Normal 6 4 5" xfId="593"/>
    <cellStyle name="Normal 6 5" xfId="463"/>
    <cellStyle name="Normal 6 5 2" xfId="493"/>
    <cellStyle name="Normal 6 5 2 2" xfId="568"/>
    <cellStyle name="Normal 6 5 2 2 2" xfId="692"/>
    <cellStyle name="Normal 6 5 2 3" xfId="617"/>
    <cellStyle name="Normal 6 5 3" xfId="513"/>
    <cellStyle name="Normal 6 5 3 2" xfId="569"/>
    <cellStyle name="Normal 6 5 3 2 2" xfId="693"/>
    <cellStyle name="Normal 6 5 3 3" xfId="637"/>
    <cellStyle name="Normal 6 5 4" xfId="567"/>
    <cellStyle name="Normal 6 5 4 2" xfId="691"/>
    <cellStyle name="Normal 6 5 5" xfId="595"/>
    <cellStyle name="Normal 6 6" xfId="465"/>
    <cellStyle name="Normal 6 6 2" xfId="495"/>
    <cellStyle name="Normal 6 6 2 2" xfId="571"/>
    <cellStyle name="Normal 6 6 2 2 2" xfId="695"/>
    <cellStyle name="Normal 6 6 2 3" xfId="619"/>
    <cellStyle name="Normal 6 6 3" xfId="515"/>
    <cellStyle name="Normal 6 6 3 2" xfId="572"/>
    <cellStyle name="Normal 6 6 3 2 2" xfId="696"/>
    <cellStyle name="Normal 6 6 3 3" xfId="639"/>
    <cellStyle name="Normal 6 6 4" xfId="570"/>
    <cellStyle name="Normal 6 6 4 2" xfId="694"/>
    <cellStyle name="Normal 6 6 5" xfId="597"/>
    <cellStyle name="Normal 6 7" xfId="467"/>
    <cellStyle name="Normal 6 7 2" xfId="497"/>
    <cellStyle name="Normal 6 7 2 2" xfId="574"/>
    <cellStyle name="Normal 6 7 2 2 2" xfId="698"/>
    <cellStyle name="Normal 6 7 2 3" xfId="621"/>
    <cellStyle name="Normal 6 7 3" xfId="517"/>
    <cellStyle name="Normal 6 7 3 2" xfId="575"/>
    <cellStyle name="Normal 6 7 3 2 2" xfId="699"/>
    <cellStyle name="Normal 6 7 3 3" xfId="641"/>
    <cellStyle name="Normal 6 7 4" xfId="573"/>
    <cellStyle name="Normal 6 7 4 2" xfId="697"/>
    <cellStyle name="Normal 6 7 5" xfId="599"/>
    <cellStyle name="Normal 6 8" xfId="469"/>
    <cellStyle name="Normal 6 8 2" xfId="499"/>
    <cellStyle name="Normal 6 8 2 2" xfId="577"/>
    <cellStyle name="Normal 6 8 2 2 2" xfId="701"/>
    <cellStyle name="Normal 6 8 2 3" xfId="623"/>
    <cellStyle name="Normal 6 8 3" xfId="519"/>
    <cellStyle name="Normal 6 8 3 2" xfId="578"/>
    <cellStyle name="Normal 6 8 3 2 2" xfId="702"/>
    <cellStyle name="Normal 6 8 3 3" xfId="643"/>
    <cellStyle name="Normal 6 8 4" xfId="576"/>
    <cellStyle name="Normal 6 8 4 2" xfId="700"/>
    <cellStyle name="Normal 6 8 5" xfId="601"/>
    <cellStyle name="Normal 6 9" xfId="483"/>
    <cellStyle name="Normal 7" xfId="321"/>
    <cellStyle name="Normal 8" xfId="322"/>
    <cellStyle name="Normal 9" xfId="323"/>
    <cellStyle name="Note 10" xfId="324"/>
    <cellStyle name="Note 11" xfId="325"/>
    <cellStyle name="Note 2" xfId="326"/>
    <cellStyle name="Note 2 2" xfId="327"/>
    <cellStyle name="Note 2_Allocators" xfId="328"/>
    <cellStyle name="Note 3" xfId="329"/>
    <cellStyle name="Note 3 2" xfId="330"/>
    <cellStyle name="Note 3 3" xfId="331"/>
    <cellStyle name="Note 3_Allocators" xfId="332"/>
    <cellStyle name="Note 4" xfId="333"/>
    <cellStyle name="Note 4 2" xfId="334"/>
    <cellStyle name="Note 4_Allocators" xfId="335"/>
    <cellStyle name="Note 5" xfId="336"/>
    <cellStyle name="Note 6" xfId="337"/>
    <cellStyle name="Note 6 2" xfId="338"/>
    <cellStyle name="Note 6_Allocators" xfId="339"/>
    <cellStyle name="Note 7" xfId="340"/>
    <cellStyle name="Note 7 2" xfId="341"/>
    <cellStyle name="Note 8" xfId="342"/>
    <cellStyle name="Note 9" xfId="343"/>
    <cellStyle name="nPlosion" xfId="344"/>
    <cellStyle name="nvision" xfId="345"/>
    <cellStyle name="Output 2" xfId="346"/>
    <cellStyle name="Output 3" xfId="347"/>
    <cellStyle name="Output 4" xfId="348"/>
    <cellStyle name="Output 5" xfId="349"/>
    <cellStyle name="Output 6" xfId="350"/>
    <cellStyle name="Percent" xfId="2" builtinId="5"/>
    <cellStyle name="Percent 10" xfId="351"/>
    <cellStyle name="Percent 11" xfId="352"/>
    <cellStyle name="Percent 12" xfId="353"/>
    <cellStyle name="Percent 13" xfId="354"/>
    <cellStyle name="Percent 13 2" xfId="484"/>
    <cellStyle name="Percent 13 2 2" xfId="580"/>
    <cellStyle name="Percent 13 2 2 2" xfId="704"/>
    <cellStyle name="Percent 13 2 3" xfId="609"/>
    <cellStyle name="Percent 13 3" xfId="505"/>
    <cellStyle name="Percent 13 3 2" xfId="581"/>
    <cellStyle name="Percent 13 3 2 2" xfId="705"/>
    <cellStyle name="Percent 13 3 3" xfId="629"/>
    <cellStyle name="Percent 13 4" xfId="579"/>
    <cellStyle name="Percent 13 4 2" xfId="703"/>
    <cellStyle name="Percent 13 5" xfId="587"/>
    <cellStyle name="Percent 2" xfId="355"/>
    <cellStyle name="Percent 2 2" xfId="356"/>
    <cellStyle name="Percent 3" xfId="357"/>
    <cellStyle name="Percent 3 2" xfId="358"/>
    <cellStyle name="Percent 3 3" xfId="359"/>
    <cellStyle name="Percent 3 4" xfId="455"/>
    <cellStyle name="Percent 3 5" xfId="485"/>
    <cellStyle name="Percent 4" xfId="360"/>
    <cellStyle name="Percent 4 2" xfId="361"/>
    <cellStyle name="Percent 4 3" xfId="362"/>
    <cellStyle name="Percent 4 4" xfId="363"/>
    <cellStyle name="Percent 5" xfId="364"/>
    <cellStyle name="Percent 5 2" xfId="365"/>
    <cellStyle name="Percent 6" xfId="366"/>
    <cellStyle name="Percent 6 2" xfId="367"/>
    <cellStyle name="Percent 7" xfId="368"/>
    <cellStyle name="Percent 8" xfId="369"/>
    <cellStyle name="Percent 9" xfId="370"/>
    <cellStyle name="PSChar" xfId="371"/>
    <cellStyle name="PSChar 2" xfId="372"/>
    <cellStyle name="PSChar 2 2" xfId="373"/>
    <cellStyle name="PSChar 2 3" xfId="374"/>
    <cellStyle name="PSChar 3" xfId="375"/>
    <cellStyle name="PSChar 3 2" xfId="376"/>
    <cellStyle name="PSChar 4" xfId="377"/>
    <cellStyle name="PSChar 5" xfId="378"/>
    <cellStyle name="PSChar 6" xfId="379"/>
    <cellStyle name="PSDate" xfId="380"/>
    <cellStyle name="PSDate 2" xfId="381"/>
    <cellStyle name="PSDate 2 2" xfId="382"/>
    <cellStyle name="PSDate 2 3" xfId="383"/>
    <cellStyle name="PSDate 3" xfId="384"/>
    <cellStyle name="PSDate 3 2" xfId="385"/>
    <cellStyle name="PSDate 4" xfId="386"/>
    <cellStyle name="PSDate 5" xfId="387"/>
    <cellStyle name="PSDate 6" xfId="388"/>
    <cellStyle name="PSDec" xfId="389"/>
    <cellStyle name="PSDec 2" xfId="390"/>
    <cellStyle name="PSDec 2 2" xfId="391"/>
    <cellStyle name="PSDec 2 3" xfId="392"/>
    <cellStyle name="PSDec 3" xfId="393"/>
    <cellStyle name="PSDec 3 2" xfId="394"/>
    <cellStyle name="PSDec 4" xfId="395"/>
    <cellStyle name="PSDec 5" xfId="396"/>
    <cellStyle name="PSDec 6" xfId="397"/>
    <cellStyle name="PSHeading" xfId="398"/>
    <cellStyle name="PSHeading 10" xfId="399"/>
    <cellStyle name="PSHeading 11" xfId="400"/>
    <cellStyle name="PSHeading 2" xfId="401"/>
    <cellStyle name="PSHeading 2 2" xfId="402"/>
    <cellStyle name="PSHeading 2 3" xfId="403"/>
    <cellStyle name="PSHeading 2_108 Summary" xfId="404"/>
    <cellStyle name="PSHeading 3" xfId="405"/>
    <cellStyle name="PSHeading 3 2" xfId="406"/>
    <cellStyle name="PSHeading 3_108 Summary" xfId="407"/>
    <cellStyle name="PSHeading 4" xfId="408"/>
    <cellStyle name="PSHeading 5" xfId="409"/>
    <cellStyle name="PSHeading 6" xfId="410"/>
    <cellStyle name="PSHeading 7" xfId="411"/>
    <cellStyle name="PSHeading 8" xfId="412"/>
    <cellStyle name="PSHeading 9" xfId="413"/>
    <cellStyle name="PSHeading_101 check" xfId="414"/>
    <cellStyle name="PSInt" xfId="415"/>
    <cellStyle name="PSInt 2" xfId="416"/>
    <cellStyle name="PSInt 2 2" xfId="417"/>
    <cellStyle name="PSInt 2 3" xfId="418"/>
    <cellStyle name="PSInt 3" xfId="419"/>
    <cellStyle name="PSInt 3 2" xfId="420"/>
    <cellStyle name="PSInt 4" xfId="421"/>
    <cellStyle name="PSInt 5" xfId="422"/>
    <cellStyle name="PSInt 6" xfId="423"/>
    <cellStyle name="PSSpacer" xfId="424"/>
    <cellStyle name="PSSpacer 2" xfId="425"/>
    <cellStyle name="PSSpacer 2 2" xfId="426"/>
    <cellStyle name="PSSpacer 2 3" xfId="427"/>
    <cellStyle name="PSSpacer 3" xfId="428"/>
    <cellStyle name="PSSpacer 3 2" xfId="429"/>
    <cellStyle name="PSSpacer 4" xfId="430"/>
    <cellStyle name="PSSpacer 5" xfId="431"/>
    <cellStyle name="PSSpacer 6" xfId="432"/>
    <cellStyle name="Title 2" xfId="433"/>
    <cellStyle name="Title 3" xfId="434"/>
    <cellStyle name="Title 4" xfId="435"/>
    <cellStyle name="Title 5" xfId="436"/>
    <cellStyle name="Total 2" xfId="437"/>
    <cellStyle name="Total 3" xfId="438"/>
    <cellStyle name="Total 4" xfId="439"/>
    <cellStyle name="Total 5" xfId="440"/>
    <cellStyle name="Total 6" xfId="441"/>
    <cellStyle name="Total 7" xfId="442"/>
    <cellStyle name="Total 8" xfId="443"/>
    <cellStyle name="Warning Text 2" xfId="444"/>
    <cellStyle name="Warning Text 3" xfId="445"/>
    <cellStyle name="Warning Text 4" xfId="446"/>
    <cellStyle name="Warning Text 5" xfId="447"/>
    <cellStyle name="Warning Text 6" xfId="448"/>
  </cellStyles>
  <dxfs count="0"/>
  <tableStyles count="0" defaultTableStyle="TableStyleMedium2" defaultPivotStyle="PivotStyleLight16"/>
  <colors>
    <mruColors>
      <color rgb="FFFF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%20No%202009%20-%20Potential%20Rate%20Case\Section%20V%20-%20Schedule%2010%20-%20Tax%20Workpapers\KPCo%20Rate%20Case%20-%20Sch%2010%20-%20Internal%20Version%20-%2009-30-2009%20-%20Tom%20Sy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7FB054\Remove%20Big%20Sandy%20COS%20from%20Base%20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 IV - Taxes"/>
      <sheetName val="Schedule 10"/>
      <sheetName val="Workpaper S-10, Page 1"/>
      <sheetName val="Workpaper S-10, Page 2"/>
      <sheetName val="Workpaper S-10, Page 3"/>
      <sheetName val="Table"/>
      <sheetName val="Rpt 51000 and 51020 Summary"/>
      <sheetName val="Rpt 51020_ 2008-12-31 YTD"/>
      <sheetName val="Rpt 51020_ 2008-09-30 YTD"/>
      <sheetName val="Rpt 51020_ 2009-09-30 YTD"/>
      <sheetName val="Rpt 51020_ 2008 Oct Adj"/>
      <sheetName val="Rpt 51020_ 2008 Nov Adj"/>
      <sheetName val="Workpaper S-10 - Bob Russell"/>
      <sheetName val="Schedule 5 - Bob Russe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G6" t="str">
            <v>EAF</v>
          </cell>
          <cell r="H6">
            <v>0.98699999999999999</v>
          </cell>
        </row>
        <row r="7">
          <cell r="G7" t="str">
            <v>GP-TOT</v>
          </cell>
          <cell r="H7">
            <v>0.99099999999999999</v>
          </cell>
        </row>
        <row r="8">
          <cell r="G8" t="str">
            <v>GP-TRANS</v>
          </cell>
          <cell r="H8">
            <v>0.98599999999999999</v>
          </cell>
        </row>
        <row r="9">
          <cell r="G9" t="str">
            <v>OML</v>
          </cell>
          <cell r="H9">
            <v>0.99399999999999999</v>
          </cell>
        </row>
        <row r="10">
          <cell r="G10" t="str">
            <v>OP-REV</v>
          </cell>
          <cell r="H10">
            <v>0.98699999999999999</v>
          </cell>
        </row>
        <row r="11">
          <cell r="G11" t="str">
            <v>PDAF</v>
          </cell>
          <cell r="H11">
            <v>0.98599999999999999</v>
          </cell>
        </row>
        <row r="12">
          <cell r="G12" t="str">
            <v>WAITING</v>
          </cell>
          <cell r="H12">
            <v>1</v>
          </cell>
        </row>
        <row r="13">
          <cell r="G13" t="str">
            <v>SPECIF.</v>
          </cell>
          <cell r="H1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ove BS OM Depr WXX"/>
      <sheetName val="Amortize BS OM Depr"/>
      <sheetName val="Big Sandy Summary"/>
      <sheetName val="Amortization"/>
      <sheetName val="WACC"/>
      <sheetName val="Pivot"/>
      <sheetName val="Big Sandy Detail"/>
      <sheetName val="Modification History"/>
      <sheetName val="Alloc BS Normalization"/>
      <sheetName val="Payroll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2"/>
  <sheetViews>
    <sheetView zoomScale="90" zoomScaleNormal="90" workbookViewId="0">
      <pane ySplit="8" topLeftCell="A9" activePane="bottomLeft" state="frozen"/>
      <selection activeCell="C38" sqref="C38"/>
      <selection pane="bottomLeft" activeCell="I37" sqref="I37"/>
    </sheetView>
  </sheetViews>
  <sheetFormatPr defaultRowHeight="12.75"/>
  <cols>
    <col min="1" max="1" width="7.28515625" style="203" bestFit="1" customWidth="1"/>
    <col min="2" max="2" width="3.7109375" style="203" customWidth="1"/>
    <col min="3" max="3" width="40.7109375" style="203" customWidth="1"/>
    <col min="4" max="4" width="2.28515625" style="203" customWidth="1"/>
    <col min="5" max="5" width="18.7109375" style="203" customWidth="1"/>
    <col min="6" max="6" width="2.28515625" style="203" customWidth="1"/>
    <col min="7" max="7" width="18.7109375" style="203" customWidth="1"/>
    <col min="8" max="8" width="2.28515625" style="203" customWidth="1"/>
    <col min="9" max="9" width="18.7109375" style="203" customWidth="1"/>
    <col min="10" max="10" width="2.28515625" style="203" customWidth="1"/>
    <col min="11" max="11" width="13.42578125" style="203" bestFit="1" customWidth="1"/>
    <col min="12" max="12" width="9.42578125" style="203" bestFit="1" customWidth="1"/>
    <col min="13" max="13" width="2.28515625" style="203" customWidth="1"/>
    <col min="14" max="16" width="9.140625" style="203"/>
    <col min="17" max="17" width="17.42578125" style="204" customWidth="1"/>
    <col min="18" max="16384" width="9.140625" style="203"/>
  </cols>
  <sheetData>
    <row r="1" spans="1:12">
      <c r="D1" s="247" t="s">
        <v>339</v>
      </c>
      <c r="I1" s="248" t="s">
        <v>578</v>
      </c>
    </row>
    <row r="2" spans="1:12">
      <c r="D2" s="247" t="s">
        <v>579</v>
      </c>
      <c r="I2" s="248" t="s">
        <v>580</v>
      </c>
    </row>
    <row r="3" spans="1:12">
      <c r="D3" s="249" t="s">
        <v>886</v>
      </c>
    </row>
    <row r="5" spans="1:12">
      <c r="K5" s="250"/>
    </row>
    <row r="7" spans="1:12" ht="25.5">
      <c r="A7" s="251" t="s">
        <v>581</v>
      </c>
      <c r="B7" s="252"/>
      <c r="C7" s="253" t="s">
        <v>341</v>
      </c>
      <c r="D7" s="252"/>
      <c r="E7" s="251" t="s">
        <v>582</v>
      </c>
      <c r="F7" s="252"/>
      <c r="G7" s="251" t="s">
        <v>583</v>
      </c>
      <c r="H7" s="252"/>
      <c r="I7" s="251" t="s">
        <v>584</v>
      </c>
      <c r="K7" s="254"/>
    </row>
    <row r="8" spans="1:12">
      <c r="A8" s="255">
        <v>-1</v>
      </c>
      <c r="C8" s="255">
        <f>+A8-1</f>
        <v>-2</v>
      </c>
      <c r="E8" s="255">
        <f>+C8-1</f>
        <v>-3</v>
      </c>
      <c r="G8" s="255">
        <f>+E8-1</f>
        <v>-4</v>
      </c>
      <c r="I8" s="255">
        <f>+G8-1</f>
        <v>-5</v>
      </c>
    </row>
    <row r="9" spans="1:12">
      <c r="A9" s="255"/>
      <c r="C9" s="255"/>
      <c r="E9" s="255"/>
      <c r="G9" s="255"/>
      <c r="I9" s="255"/>
    </row>
    <row r="10" spans="1:12">
      <c r="B10" s="256" t="s">
        <v>585</v>
      </c>
      <c r="K10" s="3"/>
    </row>
    <row r="11" spans="1:12">
      <c r="A11" s="255">
        <v>1</v>
      </c>
      <c r="C11" s="203" t="s">
        <v>586</v>
      </c>
      <c r="E11" s="257">
        <f>'Sch 4'!I7+'Sch 4'!I8+'Sch 4'!I9</f>
        <v>560593075.09000003</v>
      </c>
      <c r="F11" s="257"/>
      <c r="G11" s="257">
        <f>+'Sch 2'!E20</f>
        <v>-4696331</v>
      </c>
      <c r="H11" s="257"/>
      <c r="I11" s="257">
        <f>+E11+G11</f>
        <v>555896744.09000003</v>
      </c>
      <c r="K11" s="257"/>
    </row>
    <row r="12" spans="1:12">
      <c r="A12" s="255">
        <f>+A11+1</f>
        <v>2</v>
      </c>
      <c r="C12" s="203" t="s">
        <v>176</v>
      </c>
      <c r="E12" s="43">
        <f>'Sch 4'!I10</f>
        <v>10006585</v>
      </c>
      <c r="F12" s="43"/>
      <c r="G12" s="43">
        <v>0</v>
      </c>
      <c r="H12" s="43"/>
      <c r="I12" s="43">
        <f>+E12+G12</f>
        <v>10006585</v>
      </c>
    </row>
    <row r="13" spans="1:12">
      <c r="A13" s="255"/>
      <c r="E13" s="258" t="s">
        <v>587</v>
      </c>
      <c r="G13" s="258" t="s">
        <v>587</v>
      </c>
      <c r="I13" s="258" t="s">
        <v>587</v>
      </c>
    </row>
    <row r="14" spans="1:12">
      <c r="A14" s="255">
        <f>+A12+1</f>
        <v>3</v>
      </c>
      <c r="B14" s="203" t="s">
        <v>588</v>
      </c>
      <c r="E14" s="257">
        <f>+E11+E12</f>
        <v>570599660.09000003</v>
      </c>
      <c r="G14" s="257">
        <f>+G11+G12</f>
        <v>-4696331</v>
      </c>
      <c r="I14" s="257">
        <f>+I11+I12</f>
        <v>565903329.09000003</v>
      </c>
    </row>
    <row r="15" spans="1:12">
      <c r="A15" s="255"/>
      <c r="E15" s="258" t="s">
        <v>587</v>
      </c>
      <c r="G15" s="258" t="s">
        <v>587</v>
      </c>
      <c r="I15" s="258" t="s">
        <v>587</v>
      </c>
    </row>
    <row r="16" spans="1:12">
      <c r="A16" s="255"/>
      <c r="B16" s="256" t="s">
        <v>589</v>
      </c>
      <c r="K16" s="260"/>
      <c r="L16" s="261"/>
    </row>
    <row r="17" spans="1:11">
      <c r="A17" s="255">
        <f>+A14+1</f>
        <v>4</v>
      </c>
      <c r="C17" s="203" t="s">
        <v>590</v>
      </c>
      <c r="E17" s="257">
        <f>'Sch 4'!I23</f>
        <v>348652946.75</v>
      </c>
      <c r="G17" s="257">
        <f>+K17</f>
        <v>0</v>
      </c>
      <c r="I17" s="257">
        <f>+E17+G17</f>
        <v>348652946.75</v>
      </c>
      <c r="K17" s="257"/>
    </row>
    <row r="18" spans="1:11">
      <c r="A18" s="255">
        <f>+A17+1</f>
        <v>5</v>
      </c>
      <c r="C18" s="203" t="s">
        <v>591</v>
      </c>
      <c r="E18" s="257">
        <f>'Sch 4'!I25</f>
        <v>84021978.511999995</v>
      </c>
      <c r="F18" s="43"/>
      <c r="G18" s="43">
        <v>0</v>
      </c>
      <c r="H18" s="43"/>
      <c r="I18" s="43">
        <f>+E18+G18</f>
        <v>84021978.511999995</v>
      </c>
    </row>
    <row r="19" spans="1:11">
      <c r="A19" s="255">
        <f>+A18+1</f>
        <v>6</v>
      </c>
      <c r="C19" s="203" t="s">
        <v>592</v>
      </c>
      <c r="E19" s="257">
        <f>'Sch 4'!I26</f>
        <v>19291300</v>
      </c>
      <c r="F19" s="43"/>
      <c r="G19" s="43">
        <v>0</v>
      </c>
      <c r="H19" s="43"/>
      <c r="I19" s="43">
        <f t="shared" ref="I19:I25" si="0">+E19+G19</f>
        <v>19291300</v>
      </c>
    </row>
    <row r="20" spans="1:11">
      <c r="A20" s="255">
        <f>+A19+1</f>
        <v>7</v>
      </c>
      <c r="C20" s="203" t="s">
        <v>34</v>
      </c>
      <c r="E20" s="257">
        <f>'Sch 4'!I27</f>
        <v>4290707</v>
      </c>
      <c r="F20" s="43"/>
      <c r="G20" s="11">
        <f>ROUND((+G11-G17)*'Sch 5'!C505,0)</f>
        <v>-269325</v>
      </c>
      <c r="H20" s="43"/>
      <c r="I20" s="43">
        <f t="shared" si="0"/>
        <v>4021382</v>
      </c>
    </row>
    <row r="21" spans="1:11">
      <c r="A21" s="255"/>
      <c r="C21" s="203" t="s">
        <v>995</v>
      </c>
      <c r="E21" s="257">
        <f>'Sch 4'!I28+'Sch 4'!I29</f>
        <v>1483378</v>
      </c>
      <c r="F21" s="43"/>
      <c r="G21" s="11"/>
      <c r="H21" s="43"/>
      <c r="I21" s="43">
        <f t="shared" si="0"/>
        <v>1483378</v>
      </c>
    </row>
    <row r="22" spans="1:11">
      <c r="A22" s="255"/>
      <c r="C22" s="203" t="s">
        <v>593</v>
      </c>
      <c r="E22" s="43"/>
      <c r="F22" s="43"/>
      <c r="G22" s="43"/>
      <c r="H22" s="43"/>
      <c r="I22" s="43"/>
    </row>
    <row r="23" spans="1:11">
      <c r="A23" s="255">
        <f>+A20+1</f>
        <v>8</v>
      </c>
      <c r="C23" s="203" t="s">
        <v>594</v>
      </c>
      <c r="E23" s="257">
        <f>'Sch 4'!I33</f>
        <v>27319239</v>
      </c>
      <c r="F23" s="43"/>
      <c r="G23" s="11">
        <f>ROUND((+G11+G12-G17-G18-G19-G20)*0.35,0)</f>
        <v>-1549452</v>
      </c>
      <c r="H23" s="43"/>
      <c r="I23" s="43">
        <f t="shared" si="0"/>
        <v>25769787</v>
      </c>
    </row>
    <row r="24" spans="1:11">
      <c r="A24" s="255">
        <f>+A23+1</f>
        <v>9</v>
      </c>
      <c r="C24" s="203" t="s">
        <v>595</v>
      </c>
      <c r="E24" s="257">
        <f>'Sch 4'!I34+'Sch 4'!I35</f>
        <v>-38015</v>
      </c>
      <c r="F24" s="43"/>
      <c r="G24" s="43">
        <v>0</v>
      </c>
      <c r="H24" s="43"/>
      <c r="I24" s="43">
        <f t="shared" si="0"/>
        <v>-38015</v>
      </c>
    </row>
    <row r="25" spans="1:11">
      <c r="A25" s="255">
        <f>+A24+1</f>
        <v>10</v>
      </c>
      <c r="C25" s="203" t="s">
        <v>596</v>
      </c>
      <c r="E25" s="257">
        <f>'Sch 4'!I36</f>
        <v>0</v>
      </c>
      <c r="F25" s="43"/>
      <c r="G25" s="43">
        <v>0</v>
      </c>
      <c r="H25" s="43"/>
      <c r="I25" s="43">
        <f t="shared" si="0"/>
        <v>0</v>
      </c>
    </row>
    <row r="26" spans="1:11">
      <c r="A26" s="255"/>
      <c r="E26" s="258" t="s">
        <v>587</v>
      </c>
      <c r="G26" s="258" t="s">
        <v>587</v>
      </c>
      <c r="I26" s="258" t="s">
        <v>587</v>
      </c>
    </row>
    <row r="27" spans="1:11">
      <c r="A27" s="255">
        <f>+A25+1</f>
        <v>11</v>
      </c>
      <c r="B27" s="203" t="s">
        <v>597</v>
      </c>
      <c r="E27" s="257">
        <f>SUM(E17:E26)</f>
        <v>485021534.26199996</v>
      </c>
      <c r="G27" s="257">
        <f>SUM(G17:G26)</f>
        <v>-1818777</v>
      </c>
      <c r="I27" s="257">
        <f>SUM(I17:I26)</f>
        <v>483202757.26199996</v>
      </c>
    </row>
    <row r="28" spans="1:11">
      <c r="A28" s="255"/>
      <c r="E28" s="258" t="s">
        <v>587</v>
      </c>
      <c r="G28" s="258" t="s">
        <v>587</v>
      </c>
      <c r="I28" s="258" t="s">
        <v>587</v>
      </c>
    </row>
    <row r="29" spans="1:11">
      <c r="A29" s="255"/>
    </row>
    <row r="30" spans="1:11">
      <c r="A30" s="255">
        <f>+A27+1</f>
        <v>12</v>
      </c>
      <c r="B30" s="203" t="s">
        <v>1048</v>
      </c>
      <c r="E30" s="257">
        <f>+E14-E27</f>
        <v>85578125.828000069</v>
      </c>
      <c r="G30" s="257">
        <f>+G14-G27</f>
        <v>-2877554</v>
      </c>
      <c r="I30" s="257">
        <f>+I14-I27</f>
        <v>82700571.828000069</v>
      </c>
      <c r="K30" s="257"/>
    </row>
    <row r="31" spans="1:11">
      <c r="A31" s="255">
        <f>+A30+1</f>
        <v>13</v>
      </c>
      <c r="B31" s="203" t="s">
        <v>598</v>
      </c>
      <c r="E31" s="43">
        <f>'Sch 4'!I40</f>
        <v>5755911</v>
      </c>
      <c r="G31" s="43">
        <v>0</v>
      </c>
      <c r="I31" s="43">
        <f>+E31+G31</f>
        <v>5755911</v>
      </c>
    </row>
    <row r="32" spans="1:11">
      <c r="A32" s="255"/>
      <c r="E32" s="258" t="s">
        <v>587</v>
      </c>
      <c r="G32" s="258" t="s">
        <v>587</v>
      </c>
      <c r="I32" s="258" t="s">
        <v>587</v>
      </c>
    </row>
    <row r="33" spans="1:11">
      <c r="A33" s="255">
        <f>+A31+1</f>
        <v>14</v>
      </c>
      <c r="B33" s="203" t="s">
        <v>599</v>
      </c>
      <c r="E33" s="257">
        <f>+E30+E31</f>
        <v>91334036.828000069</v>
      </c>
      <c r="G33" s="257">
        <f>+G30+G31</f>
        <v>-2877554</v>
      </c>
      <c r="I33" s="257">
        <f>+I30+I31</f>
        <v>88456482.828000069</v>
      </c>
    </row>
    <row r="34" spans="1:11">
      <c r="A34" s="255"/>
      <c r="E34" s="258" t="s">
        <v>600</v>
      </c>
      <c r="G34" s="258" t="s">
        <v>600</v>
      </c>
      <c r="I34" s="258" t="s">
        <v>600</v>
      </c>
    </row>
    <row r="35" spans="1:11">
      <c r="A35" s="255"/>
    </row>
    <row r="36" spans="1:11">
      <c r="A36" s="255">
        <f>+A33+1</f>
        <v>15</v>
      </c>
      <c r="B36" s="256"/>
      <c r="C36" s="203" t="s">
        <v>171</v>
      </c>
      <c r="I36" s="257">
        <f>'Sch 4'!I53</f>
        <v>1158186513.95523</v>
      </c>
    </row>
    <row r="37" spans="1:11">
      <c r="A37" s="255">
        <f>+A36+1</f>
        <v>16</v>
      </c>
      <c r="C37" s="203" t="s">
        <v>52</v>
      </c>
      <c r="E37" s="257"/>
      <c r="G37" s="257"/>
      <c r="I37" s="260">
        <f>ROUND(I33/I36,4)</f>
        <v>7.6399999999999996E-2</v>
      </c>
      <c r="K37" s="257"/>
    </row>
    <row r="38" spans="1:11">
      <c r="A38" s="255"/>
      <c r="E38" s="43"/>
      <c r="F38" s="43"/>
      <c r="G38" s="43"/>
      <c r="H38" s="43"/>
      <c r="I38" s="43"/>
    </row>
    <row r="39" spans="1:11">
      <c r="A39" s="255">
        <f>+A37+1</f>
        <v>17</v>
      </c>
      <c r="C39" s="203" t="s">
        <v>601</v>
      </c>
      <c r="E39" s="258"/>
      <c r="G39" s="258"/>
      <c r="I39" s="262">
        <f>+'2 P1'!E19</f>
        <v>1147480328</v>
      </c>
    </row>
    <row r="40" spans="1:11">
      <c r="A40" s="255">
        <f>+A39+1</f>
        <v>18</v>
      </c>
      <c r="C40" s="203" t="s">
        <v>52</v>
      </c>
      <c r="E40" s="257"/>
      <c r="G40" s="257"/>
      <c r="I40" s="260">
        <f>+'2 P1'!K19</f>
        <v>7.7100000000000002E-2</v>
      </c>
      <c r="K40" s="257"/>
    </row>
    <row r="41" spans="1:11">
      <c r="A41" s="255"/>
      <c r="E41" s="257"/>
      <c r="G41" s="257"/>
      <c r="I41" s="260"/>
      <c r="K41" s="257"/>
    </row>
    <row r="42" spans="1:11">
      <c r="A42" s="255"/>
      <c r="C42" s="439" t="s">
        <v>602</v>
      </c>
      <c r="D42" s="439"/>
      <c r="E42" s="439"/>
      <c r="F42" s="439"/>
      <c r="G42" s="439"/>
      <c r="H42" s="439"/>
      <c r="I42" s="439"/>
    </row>
    <row r="43" spans="1:11">
      <c r="A43" s="255"/>
      <c r="E43" s="43"/>
      <c r="G43" s="43"/>
      <c r="I43" s="43"/>
    </row>
    <row r="44" spans="1:11">
      <c r="A44" s="255">
        <f>A40+1</f>
        <v>19</v>
      </c>
      <c r="C44" s="203" t="s">
        <v>1032</v>
      </c>
      <c r="E44" s="43"/>
      <c r="G44" s="43"/>
      <c r="I44" s="43">
        <f>I14</f>
        <v>565903329.09000003</v>
      </c>
    </row>
    <row r="45" spans="1:11">
      <c r="A45" s="255"/>
      <c r="E45" s="43"/>
      <c r="G45" s="43"/>
      <c r="I45" s="43"/>
    </row>
    <row r="46" spans="1:11">
      <c r="A46" s="255">
        <f>A44+1</f>
        <v>20</v>
      </c>
      <c r="C46" s="203" t="s">
        <v>1034</v>
      </c>
      <c r="E46" s="43"/>
      <c r="G46" s="43"/>
      <c r="I46" s="43">
        <v>-126908</v>
      </c>
    </row>
    <row r="47" spans="1:11">
      <c r="A47" s="255"/>
      <c r="E47" s="43"/>
      <c r="G47" s="258"/>
      <c r="I47" s="258" t="s">
        <v>587</v>
      </c>
    </row>
    <row r="48" spans="1:11">
      <c r="A48" s="255">
        <f>A46+1</f>
        <v>21</v>
      </c>
      <c r="C48" s="203" t="s">
        <v>1033</v>
      </c>
      <c r="E48" s="43"/>
      <c r="G48" s="43"/>
      <c r="I48" s="43">
        <f>I44+I46</f>
        <v>565776421.09000003</v>
      </c>
    </row>
    <row r="49" spans="1:9">
      <c r="A49" s="255"/>
      <c r="E49" s="43"/>
      <c r="G49" s="258"/>
      <c r="I49" s="258" t="s">
        <v>600</v>
      </c>
    </row>
    <row r="50" spans="1:9">
      <c r="A50" s="255"/>
      <c r="E50" s="43"/>
      <c r="F50" s="43"/>
      <c r="G50" s="43"/>
      <c r="H50" s="43"/>
      <c r="I50" s="43"/>
    </row>
    <row r="51" spans="1:9">
      <c r="A51" s="255">
        <f>A48+1</f>
        <v>22</v>
      </c>
      <c r="C51" s="203" t="s">
        <v>603</v>
      </c>
      <c r="E51" s="43"/>
      <c r="G51" s="43">
        <f>G14</f>
        <v>-4696331</v>
      </c>
      <c r="I51" s="43"/>
    </row>
    <row r="52" spans="1:9">
      <c r="A52" s="255"/>
      <c r="E52" s="43"/>
      <c r="G52" s="43"/>
      <c r="I52" s="43"/>
    </row>
    <row r="53" spans="1:9">
      <c r="A53" s="255">
        <f>A51+1</f>
        <v>23</v>
      </c>
      <c r="C53" s="203" t="s">
        <v>1034</v>
      </c>
      <c r="E53" s="43"/>
      <c r="G53" s="43">
        <f>I46</f>
        <v>-126908</v>
      </c>
      <c r="I53" s="43"/>
    </row>
    <row r="54" spans="1:9">
      <c r="A54" s="255"/>
      <c r="E54" s="43"/>
      <c r="G54" s="258" t="s">
        <v>587</v>
      </c>
      <c r="I54" s="258"/>
    </row>
    <row r="55" spans="1:9">
      <c r="A55" s="255">
        <f>A53+1</f>
        <v>24</v>
      </c>
      <c r="C55" s="203" t="s">
        <v>604</v>
      </c>
      <c r="E55" s="43"/>
      <c r="G55" s="43">
        <f>G51+G53</f>
        <v>-4823239</v>
      </c>
      <c r="I55" s="43"/>
    </row>
    <row r="56" spans="1:9">
      <c r="A56" s="255"/>
      <c r="E56" s="43"/>
      <c r="G56" s="258" t="s">
        <v>600</v>
      </c>
      <c r="I56" s="258"/>
    </row>
    <row r="57" spans="1:9">
      <c r="A57" s="255">
        <f>A55+1</f>
        <v>25</v>
      </c>
      <c r="C57" s="203" t="s">
        <v>605</v>
      </c>
      <c r="E57" s="43"/>
      <c r="F57" s="43"/>
      <c r="G57" s="43"/>
      <c r="H57" s="43"/>
      <c r="I57" s="263">
        <f>ROUND(G55/E11,4)</f>
        <v>-8.6E-3</v>
      </c>
    </row>
    <row r="58" spans="1:9">
      <c r="A58" s="255"/>
      <c r="E58" s="43"/>
      <c r="F58" s="43"/>
      <c r="G58" s="43"/>
      <c r="H58" s="43"/>
      <c r="I58" s="43"/>
    </row>
    <row r="59" spans="1:9">
      <c r="A59" s="255"/>
      <c r="E59" s="43"/>
      <c r="F59" s="43"/>
      <c r="G59" s="43"/>
      <c r="H59" s="43"/>
      <c r="I59" s="43"/>
    </row>
    <row r="60" spans="1:9">
      <c r="A60" s="255"/>
      <c r="E60" s="43"/>
      <c r="F60" s="43"/>
      <c r="G60" s="43"/>
      <c r="H60" s="43"/>
      <c r="I60" s="43"/>
    </row>
    <row r="61" spans="1:9">
      <c r="A61" s="255"/>
      <c r="E61" s="43"/>
      <c r="F61" s="43"/>
      <c r="G61" s="43"/>
      <c r="H61" s="43"/>
      <c r="I61" s="43"/>
    </row>
    <row r="62" spans="1:9">
      <c r="A62" s="255"/>
      <c r="E62" s="43"/>
      <c r="F62" s="43"/>
      <c r="G62" s="43"/>
      <c r="H62" s="43"/>
      <c r="I62" s="43"/>
    </row>
    <row r="63" spans="1:9">
      <c r="A63" s="255"/>
      <c r="E63" s="43"/>
      <c r="F63" s="43"/>
      <c r="G63" s="43"/>
      <c r="H63" s="43"/>
      <c r="I63" s="43"/>
    </row>
    <row r="64" spans="1:9">
      <c r="A64" s="255"/>
      <c r="B64" s="3"/>
      <c r="E64" s="43"/>
      <c r="F64" s="43"/>
      <c r="G64" s="43"/>
      <c r="H64" s="43"/>
      <c r="I64" s="43"/>
    </row>
    <row r="65" spans="1:9">
      <c r="A65" s="255"/>
      <c r="E65" s="43"/>
      <c r="F65" s="43"/>
      <c r="G65" s="43"/>
      <c r="H65" s="43"/>
      <c r="I65" s="43"/>
    </row>
    <row r="66" spans="1:9">
      <c r="A66" s="255"/>
      <c r="C66" s="252"/>
      <c r="E66" s="257"/>
      <c r="F66" s="43"/>
      <c r="G66" s="254"/>
      <c r="H66" s="43"/>
      <c r="I66" s="259"/>
    </row>
    <row r="67" spans="1:9">
      <c r="A67" s="255"/>
      <c r="E67" s="257"/>
      <c r="F67" s="43"/>
      <c r="G67" s="43"/>
      <c r="H67" s="43"/>
      <c r="I67" s="43"/>
    </row>
    <row r="68" spans="1:9">
      <c r="A68" s="255"/>
      <c r="C68" s="247"/>
      <c r="E68" s="43"/>
      <c r="F68" s="43"/>
      <c r="G68" s="43"/>
      <c r="H68" s="43"/>
      <c r="I68" s="43"/>
    </row>
    <row r="69" spans="1:9">
      <c r="A69" s="255"/>
      <c r="E69" s="43"/>
      <c r="F69" s="43"/>
      <c r="G69" s="43"/>
      <c r="H69" s="43"/>
      <c r="I69" s="43"/>
    </row>
    <row r="70" spans="1:9">
      <c r="A70" s="255"/>
      <c r="E70" s="260"/>
      <c r="F70" s="257"/>
      <c r="G70" s="257"/>
      <c r="H70" s="257"/>
      <c r="I70" s="257"/>
    </row>
    <row r="71" spans="1:9">
      <c r="A71" s="255"/>
      <c r="E71" s="258"/>
      <c r="G71" s="258"/>
      <c r="I71" s="258"/>
    </row>
    <row r="72" spans="1:9">
      <c r="A72" s="255"/>
      <c r="C72" s="252"/>
      <c r="E72" s="43"/>
    </row>
    <row r="73" spans="1:9">
      <c r="A73" s="255"/>
      <c r="E73" s="258"/>
    </row>
    <row r="74" spans="1:9">
      <c r="A74" s="255"/>
      <c r="C74" s="264"/>
      <c r="E74" s="257"/>
    </row>
    <row r="75" spans="1:9">
      <c r="A75" s="255"/>
      <c r="E75" s="258"/>
    </row>
    <row r="76" spans="1:9">
      <c r="A76" s="255"/>
    </row>
    <row r="77" spans="1:9">
      <c r="A77" s="255"/>
    </row>
    <row r="78" spans="1:9">
      <c r="A78" s="255"/>
    </row>
    <row r="79" spans="1:9">
      <c r="A79" s="255"/>
    </row>
    <row r="80" spans="1:9">
      <c r="A80" s="255"/>
    </row>
    <row r="81" spans="1:1">
      <c r="A81" s="255"/>
    </row>
    <row r="82" spans="1:1">
      <c r="A82" s="255"/>
    </row>
    <row r="83" spans="1:1">
      <c r="A83" s="255"/>
    </row>
    <row r="84" spans="1:1">
      <c r="A84" s="255"/>
    </row>
    <row r="85" spans="1:1">
      <c r="A85" s="255"/>
    </row>
    <row r="86" spans="1:1">
      <c r="A86" s="255"/>
    </row>
    <row r="87" spans="1:1">
      <c r="A87" s="255"/>
    </row>
    <row r="88" spans="1:1">
      <c r="A88" s="255"/>
    </row>
    <row r="89" spans="1:1">
      <c r="A89" s="255"/>
    </row>
    <row r="90" spans="1:1">
      <c r="A90" s="255"/>
    </row>
    <row r="91" spans="1:1">
      <c r="A91" s="255"/>
    </row>
    <row r="92" spans="1:1">
      <c r="A92" s="255"/>
    </row>
    <row r="93" spans="1:1">
      <c r="A93" s="255"/>
    </row>
    <row r="94" spans="1:1">
      <c r="A94" s="255"/>
    </row>
    <row r="95" spans="1:1">
      <c r="A95" s="255"/>
    </row>
    <row r="96" spans="1:1">
      <c r="A96" s="255"/>
    </row>
    <row r="97" spans="1:1">
      <c r="A97" s="255"/>
    </row>
    <row r="98" spans="1:1">
      <c r="A98" s="255"/>
    </row>
    <row r="99" spans="1:1">
      <c r="A99" s="255"/>
    </row>
    <row r="100" spans="1:1">
      <c r="A100" s="255"/>
    </row>
    <row r="101" spans="1:1">
      <c r="A101" s="255"/>
    </row>
    <row r="102" spans="1:1">
      <c r="A102" s="255"/>
    </row>
    <row r="103" spans="1:1">
      <c r="A103" s="255"/>
    </row>
    <row r="104" spans="1:1">
      <c r="A104" s="255"/>
    </row>
    <row r="105" spans="1:1">
      <c r="A105" s="255"/>
    </row>
    <row r="106" spans="1:1">
      <c r="A106" s="255"/>
    </row>
    <row r="107" spans="1:1">
      <c r="A107" s="255"/>
    </row>
    <row r="108" spans="1:1">
      <c r="A108" s="255"/>
    </row>
    <row r="109" spans="1:1">
      <c r="A109" s="255"/>
    </row>
    <row r="110" spans="1:1">
      <c r="A110" s="255"/>
    </row>
    <row r="111" spans="1:1">
      <c r="A111" s="255"/>
    </row>
    <row r="112" spans="1:1">
      <c r="A112" s="255"/>
    </row>
    <row r="113" spans="1:1">
      <c r="A113" s="255"/>
    </row>
    <row r="114" spans="1:1">
      <c r="A114" s="255"/>
    </row>
    <row r="115" spans="1:1">
      <c r="A115" s="255"/>
    </row>
    <row r="116" spans="1:1">
      <c r="A116" s="255"/>
    </row>
    <row r="117" spans="1:1">
      <c r="A117" s="255"/>
    </row>
    <row r="118" spans="1:1">
      <c r="A118" s="255"/>
    </row>
    <row r="119" spans="1:1">
      <c r="A119" s="255"/>
    </row>
    <row r="120" spans="1:1">
      <c r="A120" s="255"/>
    </row>
    <row r="121" spans="1:1">
      <c r="A121" s="255"/>
    </row>
    <row r="122" spans="1:1">
      <c r="A122" s="255"/>
    </row>
    <row r="123" spans="1:1">
      <c r="A123" s="43"/>
    </row>
    <row r="124" spans="1:1">
      <c r="A124" s="43"/>
    </row>
    <row r="125" spans="1:1">
      <c r="A125" s="43"/>
    </row>
    <row r="126" spans="1:1">
      <c r="A126" s="43"/>
    </row>
    <row r="127" spans="1:1">
      <c r="A127" s="43"/>
    </row>
    <row r="128" spans="1:1">
      <c r="A128" s="43"/>
    </row>
    <row r="129" spans="1:1">
      <c r="A129" s="43"/>
    </row>
    <row r="130" spans="1:1">
      <c r="A130" s="43"/>
    </row>
    <row r="131" spans="1:1">
      <c r="A131" s="43"/>
    </row>
    <row r="132" spans="1:1">
      <c r="A132" s="43"/>
    </row>
    <row r="133" spans="1:1">
      <c r="A133" s="43"/>
    </row>
    <row r="134" spans="1:1">
      <c r="A134" s="43"/>
    </row>
    <row r="135" spans="1:1">
      <c r="A135" s="43"/>
    </row>
    <row r="136" spans="1:1">
      <c r="A136" s="43"/>
    </row>
    <row r="137" spans="1:1">
      <c r="A137" s="43"/>
    </row>
    <row r="138" spans="1:1">
      <c r="A138" s="43"/>
    </row>
    <row r="139" spans="1:1">
      <c r="A139" s="43"/>
    </row>
    <row r="140" spans="1:1">
      <c r="A140" s="43"/>
    </row>
    <row r="141" spans="1:1">
      <c r="A141" s="43"/>
    </row>
    <row r="142" spans="1:1">
      <c r="A142" s="43"/>
    </row>
    <row r="143" spans="1:1">
      <c r="A143" s="43"/>
    </row>
    <row r="144" spans="1:1">
      <c r="A144" s="43"/>
    </row>
    <row r="145" spans="1:1">
      <c r="A145" s="43"/>
    </row>
    <row r="146" spans="1:1">
      <c r="A146" s="43"/>
    </row>
    <row r="147" spans="1:1">
      <c r="A147" s="43"/>
    </row>
    <row r="148" spans="1:1">
      <c r="A148" s="43"/>
    </row>
    <row r="149" spans="1:1">
      <c r="A149" s="43"/>
    </row>
    <row r="150" spans="1:1">
      <c r="A150" s="43"/>
    </row>
    <row r="151" spans="1:1">
      <c r="A151" s="43"/>
    </row>
    <row r="152" spans="1:1">
      <c r="A152" s="43"/>
    </row>
    <row r="153" spans="1:1">
      <c r="A153" s="43"/>
    </row>
    <row r="154" spans="1:1">
      <c r="A154" s="43"/>
    </row>
    <row r="155" spans="1:1">
      <c r="A155" s="43"/>
    </row>
    <row r="156" spans="1:1">
      <c r="A156" s="43"/>
    </row>
    <row r="157" spans="1:1">
      <c r="A157" s="43"/>
    </row>
    <row r="158" spans="1:1">
      <c r="A158" s="43"/>
    </row>
    <row r="159" spans="1:1">
      <c r="A159" s="43"/>
    </row>
    <row r="160" spans="1:1">
      <c r="A160" s="43"/>
    </row>
    <row r="161" spans="1:1">
      <c r="A161" s="43"/>
    </row>
    <row r="162" spans="1:1">
      <c r="A162" s="43"/>
    </row>
    <row r="163" spans="1:1">
      <c r="A163" s="43"/>
    </row>
    <row r="164" spans="1:1">
      <c r="A164" s="43"/>
    </row>
    <row r="165" spans="1:1">
      <c r="A165" s="43"/>
    </row>
    <row r="166" spans="1:1">
      <c r="A166" s="43"/>
    </row>
    <row r="167" spans="1:1">
      <c r="A167" s="43"/>
    </row>
    <row r="168" spans="1:1">
      <c r="A168" s="43"/>
    </row>
    <row r="169" spans="1:1">
      <c r="A169" s="43"/>
    </row>
    <row r="170" spans="1:1">
      <c r="A170" s="43"/>
    </row>
    <row r="171" spans="1:1">
      <c r="A171" s="43"/>
    </row>
    <row r="172" spans="1:1">
      <c r="A172" s="43"/>
    </row>
    <row r="173" spans="1:1">
      <c r="A173" s="43"/>
    </row>
    <row r="174" spans="1:1">
      <c r="A174" s="43"/>
    </row>
    <row r="175" spans="1:1">
      <c r="A175" s="43"/>
    </row>
    <row r="176" spans="1:1">
      <c r="A176" s="43"/>
    </row>
    <row r="177" spans="1:1">
      <c r="A177" s="43"/>
    </row>
    <row r="178" spans="1:1">
      <c r="A178" s="43"/>
    </row>
    <row r="179" spans="1:1">
      <c r="A179" s="43"/>
    </row>
    <row r="180" spans="1:1">
      <c r="A180" s="43"/>
    </row>
    <row r="181" spans="1:1">
      <c r="A181" s="43"/>
    </row>
    <row r="182" spans="1:1">
      <c r="A182" s="43"/>
    </row>
    <row r="183" spans="1:1">
      <c r="A183" s="43"/>
    </row>
    <row r="184" spans="1:1">
      <c r="A184" s="43"/>
    </row>
    <row r="185" spans="1:1">
      <c r="A185" s="43"/>
    </row>
    <row r="186" spans="1:1">
      <c r="A186" s="43"/>
    </row>
    <row r="187" spans="1:1">
      <c r="A187" s="43"/>
    </row>
    <row r="188" spans="1:1">
      <c r="A188" s="43"/>
    </row>
    <row r="189" spans="1:1">
      <c r="A189" s="43"/>
    </row>
    <row r="190" spans="1:1">
      <c r="A190" s="43"/>
    </row>
    <row r="191" spans="1:1">
      <c r="A191" s="43"/>
    </row>
    <row r="192" spans="1:1">
      <c r="A192" s="43"/>
    </row>
    <row r="193" spans="1:1">
      <c r="A193" s="43"/>
    </row>
    <row r="194" spans="1:1">
      <c r="A194" s="43"/>
    </row>
    <row r="195" spans="1:1">
      <c r="A195" s="43"/>
    </row>
    <row r="196" spans="1:1">
      <c r="A196" s="43"/>
    </row>
    <row r="197" spans="1:1">
      <c r="A197" s="43"/>
    </row>
    <row r="198" spans="1:1">
      <c r="A198" s="43"/>
    </row>
    <row r="199" spans="1:1">
      <c r="A199" s="43"/>
    </row>
    <row r="200" spans="1:1">
      <c r="A200" s="43"/>
    </row>
    <row r="201" spans="1:1">
      <c r="A201" s="43"/>
    </row>
    <row r="202" spans="1:1">
      <c r="A202" s="43"/>
    </row>
    <row r="203" spans="1:1">
      <c r="A203" s="43"/>
    </row>
    <row r="204" spans="1:1">
      <c r="A204" s="43"/>
    </row>
    <row r="205" spans="1:1">
      <c r="A205" s="43"/>
    </row>
    <row r="206" spans="1:1">
      <c r="A206" s="43"/>
    </row>
    <row r="207" spans="1:1">
      <c r="A207" s="43"/>
    </row>
    <row r="208" spans="1:1">
      <c r="A208" s="43"/>
    </row>
    <row r="209" spans="1:1">
      <c r="A209" s="43"/>
    </row>
    <row r="210" spans="1:1">
      <c r="A210" s="43"/>
    </row>
    <row r="211" spans="1:1">
      <c r="A211" s="43"/>
    </row>
    <row r="212" spans="1:1">
      <c r="A212" s="43"/>
    </row>
    <row r="213" spans="1:1">
      <c r="A213" s="43"/>
    </row>
    <row r="214" spans="1:1">
      <c r="A214" s="43"/>
    </row>
    <row r="215" spans="1:1">
      <c r="A215" s="43"/>
    </row>
    <row r="216" spans="1:1">
      <c r="A216" s="43"/>
    </row>
    <row r="217" spans="1:1">
      <c r="A217" s="43"/>
    </row>
    <row r="218" spans="1:1">
      <c r="A218" s="43"/>
    </row>
    <row r="219" spans="1:1">
      <c r="A219" s="43"/>
    </row>
    <row r="220" spans="1:1">
      <c r="A220" s="43"/>
    </row>
    <row r="221" spans="1:1">
      <c r="A221" s="43"/>
    </row>
    <row r="222" spans="1:1">
      <c r="A222" s="43"/>
    </row>
    <row r="223" spans="1:1">
      <c r="A223" s="43"/>
    </row>
    <row r="224" spans="1:1">
      <c r="A224" s="43"/>
    </row>
    <row r="225" spans="1:1">
      <c r="A225" s="43"/>
    </row>
    <row r="226" spans="1:1">
      <c r="A226" s="43"/>
    </row>
    <row r="227" spans="1:1">
      <c r="A227" s="43"/>
    </row>
    <row r="228" spans="1:1">
      <c r="A228" s="43"/>
    </row>
    <row r="229" spans="1:1">
      <c r="A229" s="43"/>
    </row>
    <row r="230" spans="1:1">
      <c r="A230" s="43"/>
    </row>
    <row r="231" spans="1:1">
      <c r="A231" s="43"/>
    </row>
    <row r="232" spans="1:1">
      <c r="A232" s="43"/>
    </row>
    <row r="233" spans="1:1">
      <c r="A233" s="43"/>
    </row>
    <row r="234" spans="1:1">
      <c r="A234" s="43"/>
    </row>
    <row r="235" spans="1:1">
      <c r="A235" s="43"/>
    </row>
    <row r="236" spans="1:1">
      <c r="A236" s="43"/>
    </row>
    <row r="237" spans="1:1">
      <c r="A237" s="43"/>
    </row>
    <row r="238" spans="1:1">
      <c r="A238" s="43"/>
    </row>
    <row r="239" spans="1:1">
      <c r="A239" s="43"/>
    </row>
    <row r="240" spans="1:1">
      <c r="A240" s="43"/>
    </row>
    <row r="241" spans="1:1">
      <c r="A241" s="43"/>
    </row>
    <row r="242" spans="1:1">
      <c r="A242" s="43"/>
    </row>
    <row r="243" spans="1:1">
      <c r="A243" s="43"/>
    </row>
    <row r="244" spans="1:1">
      <c r="A244" s="43"/>
    </row>
    <row r="245" spans="1:1">
      <c r="A245" s="43"/>
    </row>
    <row r="246" spans="1:1">
      <c r="A246" s="43"/>
    </row>
    <row r="247" spans="1:1">
      <c r="A247" s="43"/>
    </row>
    <row r="248" spans="1:1">
      <c r="A248" s="43"/>
    </row>
    <row r="249" spans="1:1">
      <c r="A249" s="43"/>
    </row>
    <row r="250" spans="1:1">
      <c r="A250" s="43"/>
    </row>
    <row r="251" spans="1:1">
      <c r="A251" s="43"/>
    </row>
    <row r="252" spans="1:1">
      <c r="A252" s="43"/>
    </row>
    <row r="253" spans="1:1">
      <c r="A253" s="43"/>
    </row>
    <row r="254" spans="1:1">
      <c r="A254" s="43"/>
    </row>
    <row r="255" spans="1:1">
      <c r="A255" s="43"/>
    </row>
    <row r="256" spans="1:1">
      <c r="A256" s="43"/>
    </row>
    <row r="257" spans="1:1">
      <c r="A257" s="43"/>
    </row>
    <row r="258" spans="1:1">
      <c r="A258" s="43"/>
    </row>
    <row r="259" spans="1:1">
      <c r="A259" s="43"/>
    </row>
    <row r="260" spans="1:1">
      <c r="A260" s="43"/>
    </row>
    <row r="261" spans="1:1">
      <c r="A261" s="43"/>
    </row>
    <row r="262" spans="1:1">
      <c r="A262" s="43"/>
    </row>
    <row r="263" spans="1:1">
      <c r="A263" s="43"/>
    </row>
    <row r="264" spans="1:1">
      <c r="A264" s="43"/>
    </row>
    <row r="265" spans="1:1">
      <c r="A265" s="43"/>
    </row>
    <row r="266" spans="1:1">
      <c r="A266" s="43"/>
    </row>
    <row r="267" spans="1:1">
      <c r="A267" s="43"/>
    </row>
    <row r="268" spans="1:1">
      <c r="A268" s="43"/>
    </row>
    <row r="269" spans="1:1">
      <c r="A269" s="43"/>
    </row>
    <row r="270" spans="1:1">
      <c r="A270" s="43"/>
    </row>
    <row r="271" spans="1:1">
      <c r="A271" s="43"/>
    </row>
    <row r="272" spans="1:1">
      <c r="A272" s="43"/>
    </row>
    <row r="273" spans="1:1">
      <c r="A273" s="43"/>
    </row>
    <row r="274" spans="1:1">
      <c r="A274" s="43"/>
    </row>
    <row r="275" spans="1:1">
      <c r="A275" s="43"/>
    </row>
    <row r="276" spans="1:1">
      <c r="A276" s="43"/>
    </row>
    <row r="277" spans="1:1">
      <c r="A277" s="43"/>
    </row>
    <row r="278" spans="1:1">
      <c r="A278" s="43"/>
    </row>
    <row r="279" spans="1:1">
      <c r="A279" s="43"/>
    </row>
    <row r="280" spans="1:1">
      <c r="A280" s="43"/>
    </row>
    <row r="281" spans="1:1">
      <c r="A281" s="43"/>
    </row>
    <row r="282" spans="1:1">
      <c r="A282" s="43"/>
    </row>
    <row r="283" spans="1:1">
      <c r="A283" s="43"/>
    </row>
    <row r="284" spans="1:1">
      <c r="A284" s="43"/>
    </row>
    <row r="285" spans="1:1">
      <c r="A285" s="43"/>
    </row>
    <row r="286" spans="1:1">
      <c r="A286" s="43"/>
    </row>
    <row r="287" spans="1:1">
      <c r="A287" s="43"/>
    </row>
    <row r="288" spans="1:1">
      <c r="A288" s="43"/>
    </row>
    <row r="289" spans="1:1">
      <c r="A289" s="43"/>
    </row>
    <row r="290" spans="1:1">
      <c r="A290" s="43"/>
    </row>
    <row r="291" spans="1:1">
      <c r="A291" s="43"/>
    </row>
    <row r="292" spans="1:1">
      <c r="A292" s="43"/>
    </row>
    <row r="293" spans="1:1">
      <c r="A293" s="43"/>
    </row>
    <row r="294" spans="1:1">
      <c r="A294" s="43"/>
    </row>
    <row r="295" spans="1:1">
      <c r="A295" s="43"/>
    </row>
    <row r="296" spans="1:1">
      <c r="A296" s="43"/>
    </row>
    <row r="297" spans="1:1">
      <c r="A297" s="43"/>
    </row>
    <row r="298" spans="1:1">
      <c r="A298" s="43"/>
    </row>
    <row r="299" spans="1:1">
      <c r="A299" s="43"/>
    </row>
    <row r="300" spans="1:1">
      <c r="A300" s="43"/>
    </row>
    <row r="301" spans="1:1">
      <c r="A301" s="43"/>
    </row>
    <row r="302" spans="1:1">
      <c r="A302" s="43"/>
    </row>
    <row r="303" spans="1:1">
      <c r="A303" s="43"/>
    </row>
    <row r="304" spans="1:1">
      <c r="A304" s="43"/>
    </row>
    <row r="305" spans="1:1">
      <c r="A305" s="43"/>
    </row>
    <row r="306" spans="1:1">
      <c r="A306" s="43"/>
    </row>
    <row r="307" spans="1:1">
      <c r="A307" s="43"/>
    </row>
    <row r="308" spans="1:1">
      <c r="A308" s="43"/>
    </row>
    <row r="309" spans="1:1">
      <c r="A309" s="43"/>
    </row>
    <row r="310" spans="1:1">
      <c r="A310" s="43"/>
    </row>
    <row r="311" spans="1:1">
      <c r="A311" s="43"/>
    </row>
    <row r="312" spans="1:1">
      <c r="A312" s="43"/>
    </row>
    <row r="313" spans="1:1">
      <c r="A313" s="43"/>
    </row>
    <row r="314" spans="1:1">
      <c r="A314" s="43"/>
    </row>
    <row r="315" spans="1:1">
      <c r="A315" s="43"/>
    </row>
    <row r="316" spans="1:1">
      <c r="A316" s="43"/>
    </row>
    <row r="317" spans="1:1">
      <c r="A317" s="43"/>
    </row>
    <row r="318" spans="1:1">
      <c r="A318" s="43"/>
    </row>
    <row r="319" spans="1:1">
      <c r="A319" s="43"/>
    </row>
    <row r="320" spans="1:1">
      <c r="A320" s="43"/>
    </row>
    <row r="321" spans="1:1">
      <c r="A321" s="43"/>
    </row>
    <row r="322" spans="1:1">
      <c r="A322" s="43"/>
    </row>
    <row r="323" spans="1:1">
      <c r="A323" s="43"/>
    </row>
    <row r="324" spans="1:1">
      <c r="A324" s="43"/>
    </row>
    <row r="325" spans="1:1">
      <c r="A325" s="43"/>
    </row>
    <row r="326" spans="1:1">
      <c r="A326" s="43"/>
    </row>
    <row r="327" spans="1:1">
      <c r="A327" s="43"/>
    </row>
    <row r="328" spans="1:1">
      <c r="A328" s="43"/>
    </row>
    <row r="329" spans="1:1">
      <c r="A329" s="43"/>
    </row>
    <row r="330" spans="1:1">
      <c r="A330" s="43"/>
    </row>
    <row r="331" spans="1:1">
      <c r="A331" s="43"/>
    </row>
    <row r="332" spans="1:1">
      <c r="A332" s="43"/>
    </row>
    <row r="333" spans="1:1">
      <c r="A333" s="43"/>
    </row>
    <row r="334" spans="1:1">
      <c r="A334" s="43"/>
    </row>
    <row r="335" spans="1:1">
      <c r="A335" s="43"/>
    </row>
    <row r="336" spans="1:1">
      <c r="A336" s="43"/>
    </row>
    <row r="337" spans="1:1">
      <c r="A337" s="43"/>
    </row>
    <row r="338" spans="1:1">
      <c r="A338" s="43"/>
    </row>
    <row r="339" spans="1:1">
      <c r="A339" s="43"/>
    </row>
    <row r="340" spans="1:1">
      <c r="A340" s="43"/>
    </row>
    <row r="341" spans="1:1">
      <c r="A341" s="43"/>
    </row>
    <row r="342" spans="1:1">
      <c r="A342" s="43"/>
    </row>
    <row r="343" spans="1:1">
      <c r="A343" s="43"/>
    </row>
    <row r="344" spans="1:1">
      <c r="A344" s="43"/>
    </row>
    <row r="345" spans="1:1">
      <c r="A345" s="43"/>
    </row>
    <row r="346" spans="1:1">
      <c r="A346" s="43"/>
    </row>
    <row r="347" spans="1:1">
      <c r="A347" s="43"/>
    </row>
    <row r="348" spans="1:1">
      <c r="A348" s="43"/>
    </row>
    <row r="349" spans="1:1">
      <c r="A349" s="43"/>
    </row>
    <row r="350" spans="1:1">
      <c r="A350" s="43"/>
    </row>
    <row r="351" spans="1:1">
      <c r="A351" s="43"/>
    </row>
    <row r="352" spans="1:1">
      <c r="A352" s="43"/>
    </row>
    <row r="353" spans="1:1">
      <c r="A353" s="43"/>
    </row>
    <row r="354" spans="1:1">
      <c r="A354" s="43"/>
    </row>
    <row r="355" spans="1:1">
      <c r="A355" s="43"/>
    </row>
    <row r="356" spans="1:1">
      <c r="A356" s="43"/>
    </row>
    <row r="357" spans="1:1">
      <c r="A357" s="43"/>
    </row>
    <row r="358" spans="1:1">
      <c r="A358" s="43"/>
    </row>
    <row r="359" spans="1:1">
      <c r="A359" s="43"/>
    </row>
    <row r="360" spans="1:1">
      <c r="A360" s="43"/>
    </row>
    <row r="361" spans="1:1">
      <c r="A361" s="43"/>
    </row>
    <row r="362" spans="1:1">
      <c r="A362" s="43"/>
    </row>
    <row r="363" spans="1:1">
      <c r="A363" s="43"/>
    </row>
    <row r="364" spans="1:1">
      <c r="A364" s="43"/>
    </row>
    <row r="365" spans="1:1">
      <c r="A365" s="43"/>
    </row>
    <row r="366" spans="1:1">
      <c r="A366" s="43"/>
    </row>
    <row r="367" spans="1:1">
      <c r="A367" s="43"/>
    </row>
    <row r="368" spans="1:1">
      <c r="A368" s="43"/>
    </row>
    <row r="369" spans="1:1">
      <c r="A369" s="43"/>
    </row>
    <row r="370" spans="1:1">
      <c r="A370" s="43"/>
    </row>
    <row r="371" spans="1:1">
      <c r="A371" s="43"/>
    </row>
    <row r="372" spans="1:1">
      <c r="A372" s="43"/>
    </row>
  </sheetData>
  <mergeCells count="1">
    <mergeCell ref="C42:I42"/>
  </mergeCells>
  <printOptions horizontalCentered="1"/>
  <pageMargins left="0" right="0" top="1" bottom="0.5" header="0" footer="0"/>
  <pageSetup scale="7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zoomScaleNormal="100" workbookViewId="0">
      <pane ySplit="8" topLeftCell="A9" activePane="bottomLeft" state="frozen"/>
      <selection activeCell="L31" sqref="L31"/>
      <selection pane="bottomLeft" activeCell="C4" sqref="C4:G4"/>
    </sheetView>
  </sheetViews>
  <sheetFormatPr defaultRowHeight="12.75"/>
  <cols>
    <col min="1" max="1" width="5" style="72" bestFit="1" customWidth="1"/>
    <col min="2" max="2" width="3.7109375" style="72" customWidth="1"/>
    <col min="3" max="3" width="43.5703125" style="106" bestFit="1" customWidth="1"/>
    <col min="4" max="4" width="3.7109375" style="106" customWidth="1"/>
    <col min="5" max="5" width="13.7109375" style="106" bestFit="1" customWidth="1"/>
    <col min="6" max="6" width="3.7109375" style="106" customWidth="1"/>
    <col min="7" max="7" width="13.140625" style="106" bestFit="1" customWidth="1"/>
    <col min="8" max="8" width="3.7109375" style="72" customWidth="1"/>
    <col min="9" max="9" width="13.7109375" style="78" bestFit="1" customWidth="1"/>
    <col min="10" max="10" width="3.7109375" style="72" customWidth="1"/>
    <col min="11" max="16384" width="9.140625" style="72"/>
  </cols>
  <sheetData>
    <row r="1" spans="1:9">
      <c r="C1" s="446" t="s">
        <v>432</v>
      </c>
      <c r="D1" s="446"/>
      <c r="E1" s="446"/>
      <c r="F1" s="446"/>
      <c r="G1" s="446"/>
      <c r="I1" s="107" t="s">
        <v>607</v>
      </c>
    </row>
    <row r="2" spans="1:9">
      <c r="C2" s="446" t="s">
        <v>771</v>
      </c>
      <c r="D2" s="446"/>
      <c r="E2" s="446"/>
      <c r="F2" s="446"/>
      <c r="G2" s="446"/>
      <c r="I2" s="107" t="s">
        <v>761</v>
      </c>
    </row>
    <row r="3" spans="1:9">
      <c r="C3" s="446" t="s">
        <v>779</v>
      </c>
      <c r="D3" s="446"/>
      <c r="E3" s="446"/>
      <c r="F3" s="446"/>
      <c r="G3" s="446"/>
      <c r="I3" s="107" t="s">
        <v>780</v>
      </c>
    </row>
    <row r="4" spans="1:9">
      <c r="C4" s="446" t="s">
        <v>882</v>
      </c>
      <c r="D4" s="446"/>
      <c r="E4" s="446"/>
      <c r="F4" s="446"/>
      <c r="G4" s="446"/>
      <c r="I4" s="106"/>
    </row>
    <row r="7" spans="1:9" ht="25.5">
      <c r="A7" s="77" t="s">
        <v>774</v>
      </c>
      <c r="B7" s="77"/>
      <c r="C7" s="77" t="s">
        <v>7</v>
      </c>
      <c r="D7" s="77"/>
      <c r="E7" s="77" t="s">
        <v>775</v>
      </c>
      <c r="F7" s="77"/>
      <c r="G7" s="77" t="s">
        <v>776</v>
      </c>
      <c r="I7" s="77" t="s">
        <v>725</v>
      </c>
    </row>
    <row r="8" spans="1:9">
      <c r="A8" s="79">
        <v>-1</v>
      </c>
      <c r="B8" s="79"/>
      <c r="C8" s="79">
        <f>+A8-1</f>
        <v>-2</v>
      </c>
      <c r="D8" s="79"/>
      <c r="E8" s="79">
        <f>+C8-1</f>
        <v>-3</v>
      </c>
      <c r="F8" s="79"/>
      <c r="G8" s="79">
        <f>+E8-1</f>
        <v>-4</v>
      </c>
      <c r="I8" s="79">
        <f>+G8-1</f>
        <v>-5</v>
      </c>
    </row>
    <row r="9" spans="1:9">
      <c r="A9" s="73"/>
      <c r="B9" s="73"/>
    </row>
    <row r="10" spans="1:9">
      <c r="A10" s="73">
        <v>1</v>
      </c>
      <c r="B10" s="73"/>
      <c r="C10" s="145" t="s">
        <v>912</v>
      </c>
      <c r="D10" s="145"/>
      <c r="E10" s="146">
        <v>53850.78</v>
      </c>
      <c r="F10" s="145"/>
      <c r="G10" s="147">
        <f>ROUND(I10/E10,2)</f>
        <v>66.77</v>
      </c>
      <c r="I10" s="148">
        <v>3595618.09</v>
      </c>
    </row>
    <row r="11" spans="1:9" s="199" customFormat="1">
      <c r="A11" s="73"/>
      <c r="B11" s="73"/>
      <c r="C11" s="145"/>
      <c r="D11" s="145"/>
      <c r="E11" s="146"/>
      <c r="F11" s="145"/>
      <c r="G11" s="147"/>
      <c r="I11" s="148"/>
    </row>
    <row r="12" spans="1:9" s="199" customFormat="1">
      <c r="A12" s="73">
        <v>2</v>
      </c>
      <c r="B12" s="73"/>
      <c r="C12" s="145" t="s">
        <v>913</v>
      </c>
      <c r="D12" s="145"/>
      <c r="E12" s="146">
        <v>110691.53</v>
      </c>
      <c r="F12" s="145"/>
      <c r="G12" s="147">
        <f>ROUND(I12/E12,2)</f>
        <v>57.76</v>
      </c>
      <c r="I12" s="148">
        <v>6393934.5</v>
      </c>
    </row>
    <row r="13" spans="1:9">
      <c r="A13" s="73"/>
      <c r="B13" s="73"/>
      <c r="C13" s="142"/>
      <c r="D13" s="142"/>
      <c r="E13" s="82" t="s">
        <v>612</v>
      </c>
      <c r="F13" s="142"/>
      <c r="G13" s="82" t="s">
        <v>612</v>
      </c>
      <c r="I13" s="82" t="s">
        <v>612</v>
      </c>
    </row>
    <row r="14" spans="1:9">
      <c r="A14" s="73">
        <v>3</v>
      </c>
      <c r="B14" s="73"/>
      <c r="C14" s="145" t="s">
        <v>914</v>
      </c>
      <c r="D14" s="145"/>
      <c r="E14" s="146">
        <v>3716</v>
      </c>
      <c r="F14" s="145"/>
      <c r="G14" s="145"/>
      <c r="I14" s="148"/>
    </row>
    <row r="15" spans="1:9" s="199" customFormat="1">
      <c r="A15" s="73"/>
      <c r="B15" s="73"/>
      <c r="C15" s="145"/>
      <c r="D15" s="145"/>
      <c r="E15" s="146"/>
      <c r="F15" s="145"/>
      <c r="G15" s="145"/>
      <c r="I15" s="148"/>
    </row>
    <row r="16" spans="1:9" s="199" customFormat="1">
      <c r="A16" s="73">
        <v>4</v>
      </c>
      <c r="B16" s="73"/>
      <c r="C16" s="145" t="s">
        <v>915</v>
      </c>
      <c r="D16" s="145"/>
      <c r="E16" s="146">
        <v>3716</v>
      </c>
      <c r="F16" s="145"/>
      <c r="G16" s="145"/>
      <c r="I16" s="148"/>
    </row>
    <row r="17" spans="1:9">
      <c r="A17" s="73"/>
      <c r="B17" s="73"/>
      <c r="C17" s="142"/>
      <c r="D17" s="142"/>
      <c r="E17" s="142"/>
      <c r="F17" s="142"/>
      <c r="G17" s="142"/>
      <c r="I17" s="82"/>
    </row>
    <row r="18" spans="1:9">
      <c r="A18" s="73">
        <v>5</v>
      </c>
      <c r="B18" s="73"/>
      <c r="C18" s="145" t="s">
        <v>918</v>
      </c>
      <c r="D18" s="145"/>
      <c r="E18" s="146">
        <f>E10/E14</f>
        <v>14.491598493003229</v>
      </c>
      <c r="F18" s="145"/>
      <c r="G18" s="145"/>
      <c r="I18" s="148"/>
    </row>
    <row r="19" spans="1:9" s="199" customFormat="1">
      <c r="A19" s="73"/>
      <c r="B19" s="73"/>
      <c r="C19" s="145"/>
      <c r="D19" s="145"/>
      <c r="E19" s="146"/>
      <c r="F19" s="145"/>
      <c r="G19" s="145"/>
      <c r="I19" s="148"/>
    </row>
    <row r="20" spans="1:9" s="199" customFormat="1" ht="12.75" customHeight="1">
      <c r="A20" s="73">
        <v>6</v>
      </c>
      <c r="B20" s="73"/>
      <c r="C20" s="145" t="s">
        <v>919</v>
      </c>
      <c r="D20" s="145"/>
      <c r="E20" s="146">
        <f>E12/E16</f>
        <v>29.787817545748116</v>
      </c>
      <c r="F20" s="145"/>
      <c r="G20" s="145"/>
      <c r="I20" s="148"/>
    </row>
    <row r="21" spans="1:9">
      <c r="A21" s="73"/>
      <c r="B21" s="73"/>
      <c r="C21" s="142"/>
      <c r="D21" s="142"/>
      <c r="E21" s="142"/>
      <c r="F21" s="142"/>
      <c r="G21" s="142"/>
      <c r="I21" s="82"/>
    </row>
    <row r="22" spans="1:9">
      <c r="A22" s="73">
        <v>7</v>
      </c>
      <c r="B22" s="73"/>
      <c r="C22" s="72" t="s">
        <v>916</v>
      </c>
      <c r="D22" s="72"/>
      <c r="E22" s="146">
        <v>30</v>
      </c>
      <c r="F22" s="72"/>
      <c r="G22" s="72"/>
      <c r="I22" s="149"/>
    </row>
    <row r="23" spans="1:9" s="199" customFormat="1">
      <c r="A23" s="73"/>
      <c r="B23" s="73"/>
      <c r="E23" s="146"/>
      <c r="I23" s="149"/>
    </row>
    <row r="24" spans="1:9" s="199" customFormat="1">
      <c r="A24" s="73">
        <v>8</v>
      </c>
      <c r="B24" s="73"/>
      <c r="C24" s="199" t="s">
        <v>917</v>
      </c>
      <c r="E24" s="146">
        <v>15</v>
      </c>
      <c r="I24" s="149"/>
    </row>
    <row r="25" spans="1:9">
      <c r="A25" s="73"/>
      <c r="B25" s="73"/>
      <c r="C25" s="142"/>
      <c r="D25" s="142"/>
      <c r="E25" s="82" t="s">
        <v>612</v>
      </c>
      <c r="F25" s="142"/>
      <c r="G25" s="142"/>
      <c r="I25" s="82"/>
    </row>
    <row r="26" spans="1:9">
      <c r="A26" s="73">
        <v>9</v>
      </c>
      <c r="B26" s="73"/>
      <c r="C26" s="142" t="s">
        <v>1039</v>
      </c>
      <c r="D26" s="142"/>
      <c r="E26" s="146">
        <f>ROUND(E14*E22,0)</f>
        <v>111480</v>
      </c>
      <c r="F26" s="142"/>
      <c r="G26" s="150">
        <f>G10</f>
        <v>66.77</v>
      </c>
      <c r="I26" s="104">
        <f>ROUND(E26*G26,0)</f>
        <v>7443520</v>
      </c>
    </row>
    <row r="27" spans="1:9" s="199" customFormat="1">
      <c r="A27" s="73"/>
      <c r="B27" s="73"/>
      <c r="C27" s="142"/>
      <c r="D27" s="142"/>
      <c r="E27" s="146"/>
      <c r="F27" s="142"/>
      <c r="G27" s="150"/>
      <c r="I27" s="104"/>
    </row>
    <row r="28" spans="1:9" s="199" customFormat="1">
      <c r="A28" s="73">
        <v>10</v>
      </c>
      <c r="B28" s="73"/>
      <c r="C28" s="142" t="s">
        <v>1040</v>
      </c>
      <c r="D28" s="142"/>
      <c r="E28" s="146">
        <f>ROUND(E16*E24,0)</f>
        <v>55740</v>
      </c>
      <c r="F28" s="142"/>
      <c r="G28" s="150">
        <f>G12</f>
        <v>57.76</v>
      </c>
      <c r="I28" s="104">
        <f>ROUND(E28*G28,0)</f>
        <v>3219542</v>
      </c>
    </row>
    <row r="29" spans="1:9">
      <c r="E29" s="82" t="s">
        <v>612</v>
      </c>
      <c r="G29" s="82" t="s">
        <v>612</v>
      </c>
      <c r="I29" s="82" t="s">
        <v>612</v>
      </c>
    </row>
    <row r="30" spans="1:9">
      <c r="A30" s="73">
        <v>11</v>
      </c>
      <c r="C30" s="142" t="s">
        <v>1041</v>
      </c>
      <c r="E30" s="103">
        <f>E26-E10</f>
        <v>57629.22</v>
      </c>
      <c r="G30" s="82"/>
      <c r="I30" s="104">
        <f>I26-I10</f>
        <v>3847901.91</v>
      </c>
    </row>
    <row r="31" spans="1:9" s="199" customFormat="1">
      <c r="A31" s="73"/>
      <c r="C31" s="142"/>
      <c r="D31" s="106"/>
      <c r="E31" s="103"/>
      <c r="F31" s="106"/>
      <c r="G31" s="82"/>
      <c r="I31" s="104"/>
    </row>
    <row r="32" spans="1:9" s="199" customFormat="1">
      <c r="A32" s="73">
        <v>12</v>
      </c>
      <c r="C32" s="142" t="s">
        <v>1042</v>
      </c>
      <c r="D32" s="106"/>
      <c r="E32" s="103">
        <f>E28-E12</f>
        <v>-54951.53</v>
      </c>
      <c r="F32" s="106"/>
      <c r="G32" s="82"/>
      <c r="I32" s="104">
        <f>I28-I12</f>
        <v>-3174392.5</v>
      </c>
    </row>
    <row r="33" spans="1:9">
      <c r="A33" s="73"/>
      <c r="B33" s="73"/>
      <c r="C33" s="145"/>
      <c r="D33" s="145"/>
      <c r="E33" s="82" t="s">
        <v>612</v>
      </c>
      <c r="F33" s="145"/>
      <c r="I33" s="82" t="s">
        <v>612</v>
      </c>
    </row>
    <row r="34" spans="1:9">
      <c r="A34" s="73">
        <v>13</v>
      </c>
      <c r="B34" s="73"/>
      <c r="C34" s="155" t="s">
        <v>1043</v>
      </c>
      <c r="D34" s="142"/>
      <c r="E34" s="149">
        <f>E30+E32</f>
        <v>2677.6900000000023</v>
      </c>
      <c r="F34" s="142"/>
      <c r="G34" s="142"/>
      <c r="I34" s="148">
        <f>I30+I32</f>
        <v>673509.41000000015</v>
      </c>
    </row>
    <row r="35" spans="1:9">
      <c r="A35" s="73"/>
      <c r="B35" s="73"/>
      <c r="C35" s="72"/>
      <c r="D35" s="72"/>
      <c r="E35" s="82" t="s">
        <v>618</v>
      </c>
      <c r="F35" s="72"/>
      <c r="G35" s="72"/>
      <c r="I35" s="151"/>
    </row>
    <row r="36" spans="1:9">
      <c r="A36" s="73">
        <f>+A34+1</f>
        <v>14</v>
      </c>
      <c r="B36" s="73"/>
      <c r="C36" s="142" t="s">
        <v>778</v>
      </c>
      <c r="D36" s="142"/>
      <c r="E36" s="142"/>
      <c r="F36" s="142"/>
      <c r="G36" s="142"/>
      <c r="I36" s="152">
        <f>'Allocation Factors'!$G$10</f>
        <v>0.98599999999999999</v>
      </c>
    </row>
    <row r="37" spans="1:9">
      <c r="B37" s="73"/>
      <c r="C37" s="142"/>
      <c r="D37" s="142"/>
      <c r="E37" s="142"/>
      <c r="F37" s="142"/>
      <c r="G37" s="142"/>
      <c r="I37" s="82" t="s">
        <v>612</v>
      </c>
    </row>
    <row r="38" spans="1:9">
      <c r="A38" s="73">
        <f>A36+1</f>
        <v>15</v>
      </c>
      <c r="B38" s="73"/>
      <c r="C38" s="142" t="s">
        <v>1044</v>
      </c>
      <c r="D38" s="142"/>
      <c r="E38" s="142"/>
      <c r="F38" s="142"/>
      <c r="G38" s="142"/>
      <c r="I38" s="104">
        <f>ROUND(I34*I36,0)</f>
        <v>664080</v>
      </c>
    </row>
    <row r="39" spans="1:9">
      <c r="A39" s="73"/>
      <c r="B39" s="73"/>
      <c r="C39" s="142"/>
      <c r="D39" s="142"/>
      <c r="E39" s="142"/>
      <c r="F39" s="142"/>
      <c r="G39" s="142"/>
      <c r="I39" s="82" t="s">
        <v>618</v>
      </c>
    </row>
    <row r="40" spans="1:9">
      <c r="A40" s="73"/>
      <c r="B40" s="73"/>
      <c r="C40" s="142"/>
      <c r="D40" s="142"/>
      <c r="E40" s="142"/>
      <c r="F40" s="142"/>
      <c r="G40" s="142"/>
      <c r="I40" s="82"/>
    </row>
    <row r="41" spans="1:9">
      <c r="A41" s="73"/>
      <c r="B41" s="73"/>
      <c r="C41" s="142"/>
      <c r="D41" s="142"/>
      <c r="E41" s="142"/>
      <c r="F41" s="142"/>
      <c r="G41" s="142"/>
      <c r="I41" s="153"/>
    </row>
    <row r="42" spans="1:9">
      <c r="A42" s="73"/>
      <c r="B42" s="73"/>
      <c r="C42" s="142"/>
      <c r="D42" s="142"/>
      <c r="E42" s="142"/>
      <c r="F42" s="142"/>
      <c r="G42" s="142"/>
      <c r="I42" s="153"/>
    </row>
    <row r="43" spans="1:9">
      <c r="A43" s="73"/>
      <c r="B43" s="73"/>
      <c r="I43" s="82"/>
    </row>
    <row r="44" spans="1:9">
      <c r="A44" s="73"/>
      <c r="B44" s="73"/>
      <c r="C44" s="73"/>
      <c r="D44" s="73"/>
      <c r="E44" s="73"/>
      <c r="F44" s="73"/>
      <c r="G44" s="73"/>
    </row>
    <row r="45" spans="1:9">
      <c r="A45" s="73"/>
      <c r="B45" s="73"/>
      <c r="I45" s="82"/>
    </row>
    <row r="46" spans="1:9">
      <c r="C46" s="142"/>
      <c r="D46" s="142"/>
      <c r="E46" s="142"/>
      <c r="F46" s="142"/>
      <c r="G46" s="142"/>
    </row>
    <row r="47" spans="1:9">
      <c r="A47" s="73"/>
      <c r="B47" s="73"/>
      <c r="C47" s="142"/>
      <c r="D47" s="142"/>
      <c r="E47" s="142"/>
      <c r="F47" s="142"/>
      <c r="G47" s="142"/>
      <c r="I47" s="148"/>
    </row>
    <row r="48" spans="1:9">
      <c r="A48" s="73"/>
      <c r="B48" s="73"/>
      <c r="C48" s="142"/>
      <c r="D48" s="142"/>
      <c r="E48" s="142"/>
      <c r="F48" s="142"/>
      <c r="G48" s="142"/>
      <c r="I48" s="148"/>
    </row>
    <row r="49" spans="1:9">
      <c r="A49" s="73"/>
      <c r="B49" s="73"/>
      <c r="C49" s="72"/>
      <c r="D49" s="142"/>
      <c r="E49" s="142"/>
      <c r="F49" s="142"/>
      <c r="G49" s="142"/>
      <c r="I49" s="154"/>
    </row>
    <row r="50" spans="1:9">
      <c r="C50" s="142"/>
      <c r="D50" s="142"/>
      <c r="E50" s="142"/>
      <c r="F50" s="142"/>
      <c r="G50" s="142"/>
      <c r="I50" s="82"/>
    </row>
    <row r="51" spans="1:9">
      <c r="A51" s="73"/>
      <c r="B51" s="73"/>
      <c r="C51" s="142"/>
      <c r="D51" s="142"/>
      <c r="E51" s="142"/>
      <c r="F51" s="142"/>
      <c r="G51" s="142"/>
      <c r="I51" s="148"/>
    </row>
    <row r="52" spans="1:9">
      <c r="C52" s="142"/>
      <c r="D52" s="142"/>
      <c r="E52" s="142"/>
      <c r="F52" s="142"/>
      <c r="G52" s="142"/>
      <c r="I52" s="148"/>
    </row>
    <row r="53" spans="1:9">
      <c r="A53" s="73"/>
      <c r="B53" s="73"/>
      <c r="C53" s="142"/>
      <c r="D53" s="142"/>
      <c r="E53" s="142"/>
      <c r="F53" s="142"/>
      <c r="G53" s="142"/>
      <c r="I53" s="151"/>
    </row>
    <row r="54" spans="1:9">
      <c r="C54" s="142"/>
      <c r="D54" s="142"/>
      <c r="E54" s="142"/>
      <c r="F54" s="142"/>
      <c r="G54" s="142"/>
      <c r="I54" s="82"/>
    </row>
    <row r="55" spans="1:9">
      <c r="A55" s="73"/>
      <c r="B55" s="73"/>
      <c r="C55" s="142"/>
      <c r="D55" s="142"/>
      <c r="E55" s="142"/>
      <c r="F55" s="142"/>
      <c r="G55" s="142"/>
      <c r="I55" s="148"/>
    </row>
    <row r="56" spans="1:9">
      <c r="C56" s="142"/>
      <c r="D56" s="142"/>
      <c r="E56" s="142"/>
      <c r="F56" s="142"/>
      <c r="G56" s="142"/>
      <c r="I56" s="82"/>
    </row>
    <row r="57" spans="1:9">
      <c r="A57" s="73"/>
      <c r="B57" s="73"/>
      <c r="C57" s="142"/>
      <c r="D57" s="142"/>
      <c r="E57" s="142"/>
      <c r="F57" s="142"/>
      <c r="G57" s="142"/>
      <c r="I57" s="148"/>
    </row>
    <row r="58" spans="1:9">
      <c r="C58" s="142"/>
      <c r="D58" s="142"/>
      <c r="E58" s="142"/>
      <c r="F58" s="142"/>
      <c r="G58" s="142"/>
      <c r="I58" s="82"/>
    </row>
    <row r="59" spans="1:9">
      <c r="A59" s="73"/>
      <c r="B59" s="73"/>
      <c r="C59" s="142"/>
      <c r="D59" s="142"/>
      <c r="E59" s="142"/>
      <c r="F59" s="142"/>
      <c r="G59" s="142"/>
      <c r="I59" s="148"/>
    </row>
    <row r="60" spans="1:9">
      <c r="C60" s="142"/>
      <c r="D60" s="142"/>
      <c r="E60" s="142"/>
      <c r="F60" s="142"/>
      <c r="G60" s="142"/>
      <c r="I60" s="148"/>
    </row>
    <row r="61" spans="1:9">
      <c r="A61" s="73"/>
      <c r="B61" s="73"/>
      <c r="C61" s="142"/>
      <c r="D61" s="142"/>
      <c r="E61" s="142"/>
      <c r="F61" s="142"/>
      <c r="G61" s="142"/>
      <c r="I61" s="151"/>
    </row>
    <row r="62" spans="1:9">
      <c r="C62" s="142"/>
      <c r="D62" s="142"/>
      <c r="E62" s="142"/>
      <c r="F62" s="142"/>
      <c r="G62" s="142"/>
      <c r="I62" s="82"/>
    </row>
    <row r="63" spans="1:9">
      <c r="A63" s="73"/>
      <c r="B63" s="73"/>
      <c r="C63" s="142"/>
      <c r="D63" s="142"/>
      <c r="E63" s="142"/>
      <c r="F63" s="142"/>
      <c r="G63" s="142"/>
      <c r="I63" s="148"/>
    </row>
    <row r="64" spans="1:9">
      <c r="C64" s="142"/>
      <c r="D64" s="142"/>
      <c r="E64" s="142"/>
      <c r="F64" s="142"/>
      <c r="G64" s="142"/>
      <c r="I64" s="82"/>
    </row>
    <row r="65" spans="3:9">
      <c r="C65" s="142"/>
      <c r="D65" s="142"/>
      <c r="E65" s="142"/>
      <c r="F65" s="142"/>
      <c r="G65" s="142"/>
      <c r="I65" s="148"/>
    </row>
    <row r="66" spans="3:9">
      <c r="C66" s="142"/>
      <c r="D66" s="142"/>
      <c r="E66" s="142"/>
      <c r="F66" s="142"/>
      <c r="G66" s="142"/>
      <c r="I66" s="148"/>
    </row>
    <row r="67" spans="3:9">
      <c r="C67" s="142"/>
      <c r="D67" s="142"/>
      <c r="E67" s="142"/>
      <c r="F67" s="142"/>
      <c r="G67" s="142"/>
      <c r="I67" s="148"/>
    </row>
    <row r="68" spans="3:9">
      <c r="C68" s="142"/>
      <c r="D68" s="142"/>
      <c r="E68" s="142"/>
      <c r="F68" s="142"/>
      <c r="G68" s="142"/>
      <c r="I68" s="148"/>
    </row>
    <row r="69" spans="3:9">
      <c r="C69" s="142"/>
      <c r="D69" s="142"/>
      <c r="E69" s="142"/>
      <c r="F69" s="142"/>
      <c r="G69" s="142"/>
      <c r="I69" s="148"/>
    </row>
    <row r="70" spans="3:9">
      <c r="C70" s="142"/>
      <c r="D70" s="142"/>
      <c r="E70" s="142"/>
      <c r="F70" s="142"/>
      <c r="G70" s="142"/>
      <c r="I70" s="148"/>
    </row>
    <row r="71" spans="3:9">
      <c r="C71" s="142"/>
      <c r="D71" s="142"/>
      <c r="E71" s="142"/>
      <c r="F71" s="142"/>
      <c r="G71" s="142"/>
      <c r="I71" s="148"/>
    </row>
    <row r="72" spans="3:9">
      <c r="C72" s="142"/>
      <c r="D72" s="142"/>
      <c r="E72" s="142"/>
      <c r="F72" s="142"/>
      <c r="G72" s="142"/>
      <c r="I72" s="148"/>
    </row>
    <row r="73" spans="3:9">
      <c r="C73" s="142"/>
      <c r="D73" s="142"/>
      <c r="E73" s="142"/>
      <c r="F73" s="142"/>
      <c r="G73" s="142"/>
      <c r="I73" s="148"/>
    </row>
    <row r="74" spans="3:9">
      <c r="C74" s="142"/>
      <c r="D74" s="142"/>
      <c r="E74" s="142"/>
      <c r="F74" s="142"/>
      <c r="G74" s="142"/>
      <c r="I74" s="148"/>
    </row>
    <row r="75" spans="3:9">
      <c r="C75" s="142"/>
      <c r="D75" s="142"/>
      <c r="E75" s="142"/>
      <c r="F75" s="142"/>
      <c r="G75" s="142"/>
      <c r="I75" s="148"/>
    </row>
    <row r="76" spans="3:9">
      <c r="C76" s="142"/>
      <c r="D76" s="142"/>
      <c r="E76" s="142"/>
      <c r="F76" s="142"/>
      <c r="G76" s="142"/>
      <c r="I76" s="148"/>
    </row>
    <row r="77" spans="3:9">
      <c r="C77" s="142"/>
      <c r="D77" s="142"/>
      <c r="E77" s="142"/>
      <c r="F77" s="142"/>
      <c r="G77" s="142"/>
      <c r="I77" s="148"/>
    </row>
    <row r="78" spans="3:9">
      <c r="C78" s="142"/>
      <c r="D78" s="142"/>
      <c r="E78" s="142"/>
      <c r="F78" s="142"/>
      <c r="G78" s="142"/>
      <c r="I78" s="148"/>
    </row>
    <row r="79" spans="3:9">
      <c r="C79" s="142"/>
      <c r="D79" s="142"/>
      <c r="E79" s="142"/>
      <c r="F79" s="142"/>
      <c r="G79" s="142"/>
      <c r="I79" s="148"/>
    </row>
    <row r="80" spans="3:9">
      <c r="C80" s="142"/>
      <c r="D80" s="142"/>
      <c r="E80" s="142"/>
      <c r="F80" s="142"/>
      <c r="G80" s="142"/>
      <c r="I80" s="148"/>
    </row>
    <row r="81" spans="3:9">
      <c r="C81" s="142"/>
      <c r="D81" s="142"/>
      <c r="E81" s="142"/>
      <c r="F81" s="142"/>
      <c r="G81" s="142"/>
      <c r="I81" s="148"/>
    </row>
    <row r="82" spans="3:9">
      <c r="C82" s="142"/>
      <c r="D82" s="142"/>
      <c r="E82" s="142"/>
      <c r="F82" s="142"/>
      <c r="G82" s="142"/>
      <c r="I82" s="148"/>
    </row>
    <row r="83" spans="3:9">
      <c r="C83" s="142"/>
      <c r="D83" s="142"/>
      <c r="E83" s="142"/>
      <c r="F83" s="142"/>
      <c r="G83" s="142"/>
      <c r="I83" s="148"/>
    </row>
    <row r="84" spans="3:9">
      <c r="C84" s="142"/>
      <c r="D84" s="142"/>
      <c r="E84" s="142"/>
      <c r="F84" s="142"/>
      <c r="G84" s="142"/>
      <c r="I84" s="148"/>
    </row>
    <row r="85" spans="3:9">
      <c r="C85" s="142"/>
      <c r="D85" s="142"/>
      <c r="E85" s="142"/>
      <c r="F85" s="142"/>
      <c r="G85" s="142"/>
      <c r="I85" s="148"/>
    </row>
    <row r="86" spans="3:9">
      <c r="C86" s="142"/>
      <c r="D86" s="142"/>
      <c r="E86" s="142"/>
      <c r="F86" s="142"/>
      <c r="G86" s="142"/>
      <c r="I86" s="148"/>
    </row>
    <row r="87" spans="3:9">
      <c r="C87" s="142"/>
      <c r="D87" s="142"/>
      <c r="E87" s="142"/>
      <c r="F87" s="142"/>
      <c r="G87" s="142"/>
      <c r="I87" s="148"/>
    </row>
    <row r="88" spans="3:9">
      <c r="C88" s="142"/>
      <c r="D88" s="142"/>
      <c r="E88" s="142"/>
      <c r="F88" s="142"/>
      <c r="G88" s="142"/>
      <c r="I88" s="148"/>
    </row>
    <row r="89" spans="3:9">
      <c r="C89" s="142"/>
      <c r="D89" s="142"/>
      <c r="E89" s="142"/>
      <c r="F89" s="142"/>
      <c r="G89" s="142"/>
      <c r="I89" s="148"/>
    </row>
    <row r="90" spans="3:9">
      <c r="C90" s="142"/>
      <c r="D90" s="142"/>
      <c r="E90" s="142"/>
      <c r="F90" s="142"/>
      <c r="G90" s="142"/>
      <c r="I90" s="148"/>
    </row>
    <row r="91" spans="3:9">
      <c r="C91" s="142"/>
      <c r="D91" s="142"/>
      <c r="E91" s="142"/>
      <c r="F91" s="142"/>
      <c r="G91" s="142"/>
      <c r="I91" s="148"/>
    </row>
    <row r="92" spans="3:9">
      <c r="C92" s="142"/>
      <c r="D92" s="142"/>
      <c r="E92" s="142"/>
      <c r="F92" s="142"/>
      <c r="G92" s="142"/>
      <c r="I92" s="148"/>
    </row>
    <row r="93" spans="3:9">
      <c r="C93" s="142"/>
      <c r="D93" s="142"/>
      <c r="E93" s="142"/>
      <c r="F93" s="142"/>
      <c r="G93" s="142"/>
      <c r="I93" s="148"/>
    </row>
    <row r="94" spans="3:9">
      <c r="C94" s="142"/>
      <c r="D94" s="142"/>
      <c r="E94" s="142"/>
      <c r="F94" s="142"/>
      <c r="G94" s="142"/>
      <c r="I94" s="148"/>
    </row>
    <row r="95" spans="3:9">
      <c r="C95" s="142"/>
      <c r="D95" s="142"/>
      <c r="E95" s="142"/>
      <c r="F95" s="142"/>
      <c r="G95" s="142"/>
      <c r="I95" s="148"/>
    </row>
    <row r="96" spans="3:9">
      <c r="C96" s="142"/>
      <c r="D96" s="142"/>
      <c r="E96" s="142"/>
      <c r="F96" s="142"/>
      <c r="G96" s="142"/>
      <c r="I96" s="148"/>
    </row>
    <row r="97" spans="3:9">
      <c r="C97" s="142"/>
      <c r="D97" s="142"/>
      <c r="E97" s="142"/>
      <c r="F97" s="142"/>
      <c r="G97" s="142"/>
      <c r="I97" s="148"/>
    </row>
    <row r="98" spans="3:9">
      <c r="C98" s="142"/>
      <c r="D98" s="142"/>
      <c r="E98" s="142"/>
      <c r="F98" s="142"/>
      <c r="G98" s="142"/>
      <c r="I98" s="148"/>
    </row>
    <row r="99" spans="3:9">
      <c r="C99" s="142"/>
      <c r="D99" s="142"/>
      <c r="E99" s="142"/>
      <c r="F99" s="142"/>
      <c r="G99" s="142"/>
      <c r="I99" s="148"/>
    </row>
    <row r="100" spans="3:9">
      <c r="C100" s="142"/>
      <c r="D100" s="142"/>
      <c r="E100" s="142"/>
      <c r="F100" s="142"/>
      <c r="G100" s="142"/>
      <c r="I100" s="148"/>
    </row>
    <row r="101" spans="3:9">
      <c r="C101" s="142"/>
      <c r="D101" s="142"/>
      <c r="E101" s="142"/>
      <c r="F101" s="142"/>
      <c r="G101" s="142"/>
      <c r="I101" s="148"/>
    </row>
    <row r="102" spans="3:9">
      <c r="C102" s="142"/>
      <c r="D102" s="142"/>
      <c r="E102" s="142"/>
      <c r="F102" s="142"/>
      <c r="G102" s="142"/>
      <c r="I102" s="148"/>
    </row>
    <row r="103" spans="3:9">
      <c r="C103" s="142"/>
      <c r="D103" s="142"/>
      <c r="E103" s="142"/>
      <c r="F103" s="142"/>
      <c r="G103" s="142"/>
      <c r="I103" s="148"/>
    </row>
    <row r="104" spans="3:9">
      <c r="C104" s="142"/>
      <c r="D104" s="142"/>
      <c r="E104" s="142"/>
      <c r="F104" s="142"/>
      <c r="G104" s="142"/>
      <c r="I104" s="148"/>
    </row>
    <row r="105" spans="3:9">
      <c r="C105" s="142"/>
      <c r="D105" s="142"/>
      <c r="E105" s="142"/>
      <c r="F105" s="142"/>
      <c r="G105" s="142"/>
      <c r="I105" s="148"/>
    </row>
    <row r="106" spans="3:9">
      <c r="C106" s="142"/>
      <c r="D106" s="142"/>
      <c r="E106" s="142"/>
      <c r="F106" s="142"/>
      <c r="G106" s="142"/>
      <c r="I106" s="148"/>
    </row>
    <row r="107" spans="3:9">
      <c r="C107" s="142"/>
      <c r="D107" s="142"/>
      <c r="E107" s="142"/>
      <c r="F107" s="142"/>
      <c r="G107" s="142"/>
      <c r="I107" s="148"/>
    </row>
    <row r="108" spans="3:9">
      <c r="C108" s="142"/>
      <c r="D108" s="142"/>
      <c r="E108" s="142"/>
      <c r="F108" s="142"/>
      <c r="G108" s="142"/>
      <c r="I108" s="148"/>
    </row>
    <row r="109" spans="3:9">
      <c r="C109" s="142"/>
      <c r="D109" s="142"/>
      <c r="E109" s="142"/>
      <c r="F109" s="142"/>
      <c r="G109" s="142"/>
      <c r="I109" s="148"/>
    </row>
    <row r="110" spans="3:9">
      <c r="C110" s="142"/>
      <c r="D110" s="142"/>
      <c r="E110" s="142"/>
      <c r="F110" s="142"/>
      <c r="G110" s="142"/>
      <c r="I110" s="148"/>
    </row>
    <row r="111" spans="3:9">
      <c r="I111" s="148"/>
    </row>
  </sheetData>
  <mergeCells count="4">
    <mergeCell ref="C1:G1"/>
    <mergeCell ref="C2:G2"/>
    <mergeCell ref="C3:G3"/>
    <mergeCell ref="C4:G4"/>
  </mergeCells>
  <printOptions horizontalCentered="1"/>
  <pageMargins left="0" right="0" top="1" bottom="0.5" header="0" footer="0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34"/>
  <sheetViews>
    <sheetView showGridLines="0" zoomScale="90" zoomScaleNormal="90" zoomScaleSheetLayoutView="70" workbookViewId="0">
      <pane xSplit="2" ySplit="4" topLeftCell="G441" activePane="bottomRight" state="frozen"/>
      <selection activeCell="C323" sqref="C323"/>
      <selection pane="topRight" activeCell="C323" sqref="C323"/>
      <selection pane="bottomLeft" activeCell="C323" sqref="C323"/>
      <selection pane="bottomRight" activeCell="A468" sqref="A468:K470"/>
    </sheetView>
  </sheetViews>
  <sheetFormatPr defaultColWidth="9.140625" defaultRowHeight="14.1" customHeight="1"/>
  <cols>
    <col min="1" max="1" width="4.7109375" style="247" bestFit="1" customWidth="1"/>
    <col min="2" max="2" width="57.140625" style="203" customWidth="1"/>
    <col min="3" max="3" width="18.140625" style="203" bestFit="1" customWidth="1"/>
    <col min="4" max="4" width="15.85546875" style="203" customWidth="1"/>
    <col min="5" max="5" width="17.140625" style="203" bestFit="1" customWidth="1"/>
    <col min="6" max="6" width="13.85546875" style="203" bestFit="1" customWidth="1"/>
    <col min="7" max="7" width="17.140625" style="203" bestFit="1" customWidth="1"/>
    <col min="8" max="8" width="15" style="203" bestFit="1" customWidth="1"/>
    <col min="9" max="9" width="14.28515625" style="203" bestFit="1" customWidth="1"/>
    <col min="10" max="10" width="7.28515625" style="203" bestFit="1" customWidth="1"/>
    <col min="11" max="11" width="22.140625" style="15" bestFit="1" customWidth="1"/>
    <col min="12" max="12" width="13.85546875" style="203" bestFit="1" customWidth="1"/>
    <col min="13" max="13" width="32.7109375" style="203" customWidth="1"/>
    <col min="14" max="16384" width="9.140625" style="203"/>
  </cols>
  <sheetData>
    <row r="1" spans="1:12" ht="14.1" customHeight="1">
      <c r="F1" s="27"/>
    </row>
    <row r="2" spans="1:12" ht="14.1" customHeight="1">
      <c r="C2" s="247" t="s">
        <v>322</v>
      </c>
      <c r="D2" s="247" t="s">
        <v>510</v>
      </c>
      <c r="E2" s="247" t="s">
        <v>0</v>
      </c>
      <c r="F2" s="247" t="s">
        <v>371</v>
      </c>
      <c r="G2" s="186"/>
      <c r="H2" s="186"/>
      <c r="J2" s="27"/>
    </row>
    <row r="3" spans="1:12" ht="14.1" customHeight="1">
      <c r="A3" s="247" t="s">
        <v>2</v>
      </c>
      <c r="B3" s="247"/>
      <c r="C3" s="247" t="s">
        <v>3</v>
      </c>
      <c r="D3" s="447" t="s">
        <v>511</v>
      </c>
      <c r="E3" s="247" t="s">
        <v>512</v>
      </c>
      <c r="F3" s="291" t="s">
        <v>8</v>
      </c>
      <c r="G3" s="186" t="s">
        <v>370</v>
      </c>
      <c r="H3" s="186" t="s">
        <v>4</v>
      </c>
      <c r="I3" s="292" t="s">
        <v>1</v>
      </c>
      <c r="J3" s="292"/>
      <c r="K3" s="292"/>
      <c r="L3" s="293" t="s">
        <v>5</v>
      </c>
    </row>
    <row r="4" spans="1:12" ht="26.25" customHeight="1">
      <c r="A4" s="294" t="s">
        <v>6</v>
      </c>
      <c r="B4" s="294" t="s">
        <v>7</v>
      </c>
      <c r="C4" s="295" t="s">
        <v>0</v>
      </c>
      <c r="D4" s="448"/>
      <c r="E4" s="295" t="s">
        <v>513</v>
      </c>
      <c r="F4" s="296" t="s">
        <v>514</v>
      </c>
      <c r="G4" s="295" t="s">
        <v>369</v>
      </c>
      <c r="H4" s="295" t="s">
        <v>9</v>
      </c>
      <c r="I4" s="295" t="s">
        <v>415</v>
      </c>
      <c r="J4" s="297"/>
      <c r="K4" s="291" t="s">
        <v>10</v>
      </c>
      <c r="L4" s="298" t="s">
        <v>11</v>
      </c>
    </row>
    <row r="5" spans="1:12" ht="14.1" customHeight="1">
      <c r="B5" s="299" t="s">
        <v>12</v>
      </c>
      <c r="C5" s="299" t="s">
        <v>13</v>
      </c>
      <c r="D5" s="299" t="s">
        <v>14</v>
      </c>
      <c r="E5" s="299" t="s">
        <v>15</v>
      </c>
      <c r="F5" s="299" t="s">
        <v>782</v>
      </c>
      <c r="G5" s="300" t="s">
        <v>783</v>
      </c>
      <c r="H5" s="300" t="s">
        <v>784</v>
      </c>
      <c r="I5" s="300" t="s">
        <v>16</v>
      </c>
      <c r="J5" s="301"/>
      <c r="K5" s="300"/>
    </row>
    <row r="6" spans="1:12" ht="13.5" customHeight="1">
      <c r="C6" s="43"/>
      <c r="D6" s="43"/>
      <c r="E6" s="43"/>
      <c r="G6" s="302"/>
      <c r="H6" s="27"/>
      <c r="I6" s="27"/>
      <c r="J6" s="158"/>
      <c r="K6" s="27"/>
    </row>
    <row r="7" spans="1:12" ht="14.1" customHeight="1">
      <c r="A7" s="247">
        <v>1</v>
      </c>
      <c r="B7" s="203" t="s">
        <v>324</v>
      </c>
      <c r="C7" s="11">
        <f t="shared" ref="C7:F8" si="0">C265</f>
        <v>567450376.09000003</v>
      </c>
      <c r="D7" s="11">
        <f t="shared" si="0"/>
        <v>-2486805</v>
      </c>
      <c r="E7" s="11">
        <f t="shared" si="0"/>
        <v>564963571.09000003</v>
      </c>
      <c r="F7" s="11">
        <f t="shared" si="0"/>
        <v>0</v>
      </c>
      <c r="G7" s="11">
        <f t="shared" ref="G7:H9" si="1">G265</f>
        <v>564963571.09000003</v>
      </c>
      <c r="H7" s="11">
        <f t="shared" si="1"/>
        <v>-4370496</v>
      </c>
      <c r="I7" s="11">
        <f>G7+H7</f>
        <v>560593075.09000003</v>
      </c>
      <c r="J7" s="48"/>
      <c r="K7" s="303"/>
    </row>
    <row r="8" spans="1:12" ht="14.1" customHeight="1">
      <c r="A8" s="247">
        <f>A7+1</f>
        <v>2</v>
      </c>
      <c r="B8" s="304" t="s">
        <v>17</v>
      </c>
      <c r="C8" s="11">
        <f t="shared" si="0"/>
        <v>6682927</v>
      </c>
      <c r="D8" s="11">
        <f t="shared" si="0"/>
        <v>0</v>
      </c>
      <c r="E8" s="11">
        <f t="shared" si="0"/>
        <v>6682927</v>
      </c>
      <c r="F8" s="11">
        <f>F266</f>
        <v>6682927</v>
      </c>
      <c r="G8" s="11">
        <f t="shared" si="1"/>
        <v>0</v>
      </c>
      <c r="H8" s="11">
        <f t="shared" si="1"/>
        <v>0</v>
      </c>
      <c r="I8" s="11">
        <f>G8+H8</f>
        <v>0</v>
      </c>
      <c r="J8" s="48"/>
      <c r="K8" s="303"/>
    </row>
    <row r="9" spans="1:12" ht="14.1" customHeight="1">
      <c r="A9" s="247">
        <f>A8+1</f>
        <v>3</v>
      </c>
      <c r="B9" s="203" t="s">
        <v>18</v>
      </c>
      <c r="C9" s="11">
        <f>C267</f>
        <v>71157.539999999994</v>
      </c>
      <c r="D9" s="11">
        <f>D267</f>
        <v>-71157.539999999994</v>
      </c>
      <c r="E9" s="11">
        <f>E267</f>
        <v>0</v>
      </c>
      <c r="F9" s="11">
        <f>F267</f>
        <v>0</v>
      </c>
      <c r="G9" s="11">
        <f t="shared" si="1"/>
        <v>0</v>
      </c>
      <c r="H9" s="11">
        <f t="shared" si="1"/>
        <v>0</v>
      </c>
      <c r="I9" s="11">
        <f>G9+H9</f>
        <v>0</v>
      </c>
      <c r="J9" s="48"/>
      <c r="K9" s="303"/>
    </row>
    <row r="10" spans="1:12" ht="14.1" customHeight="1">
      <c r="A10" s="247">
        <f>+A9+1</f>
        <v>4</v>
      </c>
      <c r="B10" s="203" t="s">
        <v>19</v>
      </c>
      <c r="C10" s="11">
        <f t="shared" ref="C10:H10" si="2">C302</f>
        <v>36882197.349999994</v>
      </c>
      <c r="D10" s="11">
        <f t="shared" si="2"/>
        <v>-27125122.54999999</v>
      </c>
      <c r="E10" s="11">
        <f t="shared" si="2"/>
        <v>9757074.8000000007</v>
      </c>
      <c r="F10" s="11">
        <f t="shared" si="2"/>
        <v>2393.3900000003268</v>
      </c>
      <c r="G10" s="11">
        <f t="shared" si="2"/>
        <v>9754682</v>
      </c>
      <c r="H10" s="11">
        <f t="shared" si="2"/>
        <v>251903</v>
      </c>
      <c r="I10" s="11">
        <f>G10+H10</f>
        <v>10006585</v>
      </c>
      <c r="J10" s="48"/>
      <c r="K10" s="303"/>
    </row>
    <row r="11" spans="1:12" ht="14.1" customHeight="1">
      <c r="A11" s="247">
        <f t="shared" ref="A11:A74" si="3">+A10+1</f>
        <v>5</v>
      </c>
      <c r="B11" s="92" t="s">
        <v>20</v>
      </c>
      <c r="C11" s="100">
        <f t="shared" ref="C11:H11" si="4">C273</f>
        <v>220611857.68000001</v>
      </c>
      <c r="D11" s="100">
        <f t="shared" si="4"/>
        <v>-220611857.68000001</v>
      </c>
      <c r="E11" s="100">
        <f t="shared" si="4"/>
        <v>0</v>
      </c>
      <c r="F11" s="100">
        <f t="shared" si="4"/>
        <v>0</v>
      </c>
      <c r="G11" s="100">
        <f t="shared" si="4"/>
        <v>0</v>
      </c>
      <c r="H11" s="100">
        <f t="shared" si="4"/>
        <v>0</v>
      </c>
      <c r="I11" s="100">
        <f>G11+H11</f>
        <v>0</v>
      </c>
      <c r="J11" s="48"/>
      <c r="K11" s="303"/>
    </row>
    <row r="12" spans="1:12" s="23" customFormat="1" ht="14.1" customHeight="1">
      <c r="A12" s="247">
        <f t="shared" si="3"/>
        <v>6</v>
      </c>
      <c r="B12" s="2" t="s">
        <v>515</v>
      </c>
      <c r="C12" s="17">
        <f t="shared" ref="C12:I12" si="5">SUM(C7:C11)</f>
        <v>831698515.66000009</v>
      </c>
      <c r="D12" s="17">
        <f t="shared" si="5"/>
        <v>-250294942.76999998</v>
      </c>
      <c r="E12" s="17">
        <f t="shared" si="5"/>
        <v>581403572.88999999</v>
      </c>
      <c r="F12" s="17">
        <f t="shared" si="5"/>
        <v>6685320.3900000006</v>
      </c>
      <c r="G12" s="17">
        <f t="shared" si="5"/>
        <v>574718253.09000003</v>
      </c>
      <c r="H12" s="17">
        <f t="shared" si="5"/>
        <v>-4118593</v>
      </c>
      <c r="I12" s="17">
        <f t="shared" si="5"/>
        <v>570599660.09000003</v>
      </c>
      <c r="J12" s="17"/>
      <c r="K12" s="17"/>
    </row>
    <row r="13" spans="1:12" s="23" customFormat="1" ht="14.1" customHeight="1">
      <c r="A13" s="247">
        <f t="shared" si="3"/>
        <v>7</v>
      </c>
      <c r="B13" s="7"/>
      <c r="C13" s="17"/>
      <c r="D13" s="17"/>
      <c r="E13" s="17"/>
      <c r="F13" s="17"/>
      <c r="G13" s="305"/>
      <c r="H13" s="48"/>
      <c r="I13" s="306"/>
      <c r="J13" s="17"/>
      <c r="K13" s="306"/>
    </row>
    <row r="14" spans="1:12" ht="14.1" customHeight="1">
      <c r="A14" s="247">
        <f t="shared" si="3"/>
        <v>8</v>
      </c>
      <c r="B14" s="3" t="s">
        <v>22</v>
      </c>
      <c r="C14" s="11"/>
      <c r="D14" s="11"/>
      <c r="E14" s="11"/>
      <c r="F14" s="11"/>
      <c r="G14" s="84"/>
      <c r="H14" s="48"/>
      <c r="I14" s="303"/>
      <c r="J14" s="48"/>
      <c r="K14" s="303"/>
    </row>
    <row r="15" spans="1:12" ht="14.1" customHeight="1">
      <c r="A15" s="247">
        <f t="shared" si="3"/>
        <v>9</v>
      </c>
      <c r="B15" s="203" t="s">
        <v>23</v>
      </c>
      <c r="C15" s="11">
        <f t="shared" ref="C15:H15" si="6">C338</f>
        <v>486506910.76999998</v>
      </c>
      <c r="D15" s="11">
        <f t="shared" si="6"/>
        <v>-211396922.31999999</v>
      </c>
      <c r="E15" s="11">
        <f t="shared" si="6"/>
        <v>275109988.44999999</v>
      </c>
      <c r="F15" s="11">
        <f t="shared" si="6"/>
        <v>4055549.4500000053</v>
      </c>
      <c r="G15" s="11">
        <f t="shared" si="6"/>
        <v>271054439</v>
      </c>
      <c r="H15" s="11">
        <f t="shared" si="6"/>
        <v>14467214</v>
      </c>
      <c r="I15" s="11">
        <f t="shared" ref="I15:I22" si="7">G15+H15</f>
        <v>285521653</v>
      </c>
      <c r="J15" s="48"/>
      <c r="K15" s="303"/>
    </row>
    <row r="16" spans="1:12" ht="14.1" customHeight="1">
      <c r="A16" s="247">
        <f t="shared" si="3"/>
        <v>10</v>
      </c>
      <c r="B16" s="203" t="s">
        <v>24</v>
      </c>
      <c r="C16" s="11">
        <f t="shared" ref="C16:H16" si="8">C365</f>
        <v>21406485.489999998</v>
      </c>
      <c r="D16" s="11">
        <f t="shared" si="8"/>
        <v>-20452369.719999995</v>
      </c>
      <c r="E16" s="11">
        <f t="shared" si="8"/>
        <v>954115.77000001445</v>
      </c>
      <c r="F16" s="11">
        <f t="shared" si="8"/>
        <v>-649858.22999998822</v>
      </c>
      <c r="G16" s="11">
        <f t="shared" si="8"/>
        <v>1603974</v>
      </c>
      <c r="H16" s="11">
        <f t="shared" si="8"/>
        <v>0</v>
      </c>
      <c r="I16" s="11">
        <f t="shared" si="7"/>
        <v>1603974</v>
      </c>
      <c r="J16" s="48"/>
      <c r="K16" s="303"/>
    </row>
    <row r="17" spans="1:12" ht="14.1" customHeight="1">
      <c r="A17" s="247">
        <f t="shared" si="3"/>
        <v>11</v>
      </c>
      <c r="B17" s="203" t="s">
        <v>25</v>
      </c>
      <c r="C17" s="11">
        <f t="shared" ref="C17:H17" si="9">C393</f>
        <v>43790221.989999995</v>
      </c>
      <c r="D17" s="11">
        <f t="shared" si="9"/>
        <v>5745939</v>
      </c>
      <c r="E17" s="11">
        <f t="shared" si="9"/>
        <v>49536160.989999995</v>
      </c>
      <c r="F17" s="11">
        <f t="shared" si="9"/>
        <v>49536.990000001548</v>
      </c>
      <c r="G17" s="11">
        <f t="shared" si="9"/>
        <v>49486624</v>
      </c>
      <c r="H17" s="11">
        <f t="shared" si="9"/>
        <v>7843636</v>
      </c>
      <c r="I17" s="11">
        <f t="shared" si="7"/>
        <v>57330260</v>
      </c>
      <c r="J17" s="48"/>
      <c r="K17" s="303"/>
    </row>
    <row r="18" spans="1:12" ht="14.1" customHeight="1">
      <c r="A18" s="247">
        <f t="shared" si="3"/>
        <v>12</v>
      </c>
      <c r="B18" s="203" t="s">
        <v>26</v>
      </c>
      <c r="C18" s="11">
        <f t="shared" ref="C18:H18" si="10">C402</f>
        <v>6110070.54</v>
      </c>
      <c r="D18" s="11">
        <f t="shared" si="10"/>
        <v>928824</v>
      </c>
      <c r="E18" s="11">
        <f t="shared" si="10"/>
        <v>7038894.54</v>
      </c>
      <c r="F18" s="11">
        <f t="shared" si="10"/>
        <v>83.540000000088185</v>
      </c>
      <c r="G18" s="11">
        <f t="shared" si="10"/>
        <v>7038811</v>
      </c>
      <c r="H18" s="11">
        <f t="shared" si="10"/>
        <v>0</v>
      </c>
      <c r="I18" s="11">
        <f t="shared" si="7"/>
        <v>7038811</v>
      </c>
      <c r="J18" s="48"/>
      <c r="K18" s="303"/>
      <c r="L18" s="43"/>
    </row>
    <row r="19" spans="1:12" ht="14.1" customHeight="1">
      <c r="A19" s="247">
        <f t="shared" si="3"/>
        <v>13</v>
      </c>
      <c r="B19" s="203" t="s">
        <v>27</v>
      </c>
      <c r="C19" s="11">
        <f t="shared" ref="C19:H19" si="11">C416</f>
        <v>34976.75</v>
      </c>
      <c r="D19" s="11">
        <f t="shared" si="11"/>
        <v>0</v>
      </c>
      <c r="E19" s="11">
        <f t="shared" si="11"/>
        <v>34976.75</v>
      </c>
      <c r="F19" s="11">
        <f t="shared" si="11"/>
        <v>0</v>
      </c>
      <c r="G19" s="11">
        <f t="shared" si="11"/>
        <v>34976.75</v>
      </c>
      <c r="H19" s="11">
        <f t="shared" si="11"/>
        <v>0</v>
      </c>
      <c r="I19" s="11">
        <f t="shared" si="7"/>
        <v>34976.75</v>
      </c>
      <c r="J19" s="48"/>
      <c r="K19" s="303"/>
      <c r="L19" s="43"/>
    </row>
    <row r="20" spans="1:12" ht="14.1" customHeight="1">
      <c r="A20" s="247">
        <f t="shared" si="3"/>
        <v>14</v>
      </c>
      <c r="B20" s="203" t="s">
        <v>28</v>
      </c>
      <c r="C20" s="11">
        <f t="shared" ref="C20:H20" si="12">C409</f>
        <v>5025212.8500000006</v>
      </c>
      <c r="D20" s="11">
        <f t="shared" si="12"/>
        <v>-2747918</v>
      </c>
      <c r="E20" s="11">
        <f t="shared" si="12"/>
        <v>2277294.85</v>
      </c>
      <c r="F20" s="11">
        <f t="shared" si="12"/>
        <v>27.850000000515138</v>
      </c>
      <c r="G20" s="11">
        <f t="shared" si="12"/>
        <v>2277267</v>
      </c>
      <c r="H20" s="11">
        <f t="shared" si="12"/>
        <v>0</v>
      </c>
      <c r="I20" s="11">
        <f t="shared" si="7"/>
        <v>2277267</v>
      </c>
      <c r="J20" s="48"/>
      <c r="K20" s="303"/>
      <c r="L20" s="43"/>
    </row>
    <row r="21" spans="1:12" ht="14.1" customHeight="1">
      <c r="A21" s="247">
        <f t="shared" si="3"/>
        <v>15</v>
      </c>
      <c r="B21" s="203" t="s">
        <v>29</v>
      </c>
      <c r="C21" s="11">
        <f t="shared" ref="C21:H21" si="13">C437</f>
        <v>19976794.309999995</v>
      </c>
      <c r="D21" s="11">
        <f t="shared" si="13"/>
        <v>-19708335.829999994</v>
      </c>
      <c r="E21" s="11">
        <f t="shared" si="13"/>
        <v>268458.48</v>
      </c>
      <c r="F21" s="11">
        <f t="shared" si="13"/>
        <v>0.48000000001047738</v>
      </c>
      <c r="G21" s="11">
        <f t="shared" si="13"/>
        <v>268458</v>
      </c>
      <c r="H21" s="11">
        <f t="shared" si="13"/>
        <v>-5422453</v>
      </c>
      <c r="I21" s="11">
        <f t="shared" si="7"/>
        <v>-5153995</v>
      </c>
      <c r="J21" s="48"/>
      <c r="K21" s="303"/>
      <c r="L21" s="43"/>
    </row>
    <row r="22" spans="1:12" ht="14.1" customHeight="1">
      <c r="A22" s="247">
        <f t="shared" si="3"/>
        <v>16</v>
      </c>
      <c r="B22" s="92" t="s">
        <v>30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f t="shared" si="7"/>
        <v>0</v>
      </c>
      <c r="J22" s="48"/>
      <c r="K22" s="303"/>
      <c r="L22" s="43"/>
    </row>
    <row r="23" spans="1:12" s="23" customFormat="1" ht="14.1" customHeight="1">
      <c r="A23" s="247">
        <f t="shared" si="3"/>
        <v>17</v>
      </c>
      <c r="B23" s="2" t="s">
        <v>516</v>
      </c>
      <c r="C23" s="17">
        <f t="shared" ref="C23:I23" si="14">SUM(C15:C22)</f>
        <v>582850672.69999993</v>
      </c>
      <c r="D23" s="17">
        <f t="shared" si="14"/>
        <v>-247630782.86999997</v>
      </c>
      <c r="E23" s="17">
        <f t="shared" si="14"/>
        <v>335219889.8300001</v>
      </c>
      <c r="F23" s="17">
        <f t="shared" si="14"/>
        <v>3455340.0800000192</v>
      </c>
      <c r="G23" s="17">
        <f t="shared" si="14"/>
        <v>331764549.75</v>
      </c>
      <c r="H23" s="17">
        <f t="shared" si="14"/>
        <v>16888397</v>
      </c>
      <c r="I23" s="17">
        <f t="shared" si="14"/>
        <v>348652946.75</v>
      </c>
      <c r="J23" s="17"/>
      <c r="K23" s="17"/>
      <c r="L23" s="43"/>
    </row>
    <row r="24" spans="1:12" s="23" customFormat="1" ht="14.1" customHeight="1">
      <c r="A24" s="247">
        <f t="shared" si="3"/>
        <v>18</v>
      </c>
      <c r="B24" s="7"/>
      <c r="C24" s="17"/>
      <c r="D24" s="17"/>
      <c r="E24" s="17"/>
      <c r="F24" s="17"/>
      <c r="G24" s="17"/>
      <c r="H24" s="48"/>
      <c r="I24" s="306"/>
      <c r="J24" s="17"/>
      <c r="K24" s="306"/>
      <c r="L24" s="43"/>
    </row>
    <row r="25" spans="1:12" ht="14.1" customHeight="1">
      <c r="A25" s="247">
        <f t="shared" si="3"/>
        <v>19</v>
      </c>
      <c r="B25" s="203" t="s">
        <v>32</v>
      </c>
      <c r="C25" s="11">
        <f t="shared" ref="C25:H25" si="15">C472</f>
        <v>85262875.550000012</v>
      </c>
      <c r="D25" s="11">
        <f t="shared" si="15"/>
        <v>0</v>
      </c>
      <c r="E25" s="11">
        <f t="shared" si="15"/>
        <v>85262875.550000012</v>
      </c>
      <c r="F25" s="11">
        <f t="shared" si="15"/>
        <v>753690.49999999965</v>
      </c>
      <c r="G25" s="11">
        <f t="shared" si="15"/>
        <v>84401299</v>
      </c>
      <c r="H25" s="11">
        <f t="shared" si="15"/>
        <v>-379320.48799999885</v>
      </c>
      <c r="I25" s="11">
        <f>G25+H25</f>
        <v>84021978.511999995</v>
      </c>
      <c r="J25" s="48"/>
      <c r="K25" s="303"/>
      <c r="L25" s="43"/>
    </row>
    <row r="26" spans="1:12" ht="14.1" customHeight="1">
      <c r="A26" s="247">
        <f t="shared" si="3"/>
        <v>20</v>
      </c>
      <c r="B26" s="203" t="s">
        <v>33</v>
      </c>
      <c r="C26" s="11">
        <f t="shared" ref="C26:H26" si="16">C491</f>
        <v>18802817.660000004</v>
      </c>
      <c r="D26" s="11">
        <f t="shared" si="16"/>
        <v>-47110</v>
      </c>
      <c r="E26" s="11">
        <f t="shared" si="16"/>
        <v>18755707.660000004</v>
      </c>
      <c r="F26" s="11">
        <f t="shared" si="16"/>
        <v>181321.65999999945</v>
      </c>
      <c r="G26" s="11">
        <f t="shared" si="16"/>
        <v>18574386</v>
      </c>
      <c r="H26" s="11">
        <f t="shared" si="16"/>
        <v>716914</v>
      </c>
      <c r="I26" s="11">
        <f>G26+H26</f>
        <v>19291300</v>
      </c>
      <c r="J26" s="48"/>
      <c r="K26" s="303"/>
      <c r="L26" s="43"/>
    </row>
    <row r="27" spans="1:12" ht="14.1" customHeight="1">
      <c r="A27" s="247">
        <f t="shared" si="3"/>
        <v>21</v>
      </c>
      <c r="B27" s="203" t="s">
        <v>34</v>
      </c>
      <c r="C27" s="11">
        <f t="shared" ref="C27:H27" si="17">C512</f>
        <v>5503882</v>
      </c>
      <c r="D27" s="11">
        <f t="shared" si="17"/>
        <v>-28415</v>
      </c>
      <c r="E27" s="11">
        <f t="shared" si="17"/>
        <v>5475467</v>
      </c>
      <c r="F27" s="11">
        <f t="shared" si="17"/>
        <v>88938</v>
      </c>
      <c r="G27" s="11">
        <f t="shared" si="17"/>
        <v>5386529</v>
      </c>
      <c r="H27" s="11">
        <f t="shared" si="17"/>
        <v>-1095822</v>
      </c>
      <c r="I27" s="11">
        <f>G27+H27</f>
        <v>4290707</v>
      </c>
      <c r="J27" s="48"/>
      <c r="K27" s="303"/>
      <c r="L27" s="43"/>
    </row>
    <row r="28" spans="1:12" ht="14.1" customHeight="1">
      <c r="A28" s="247">
        <f t="shared" si="3"/>
        <v>22</v>
      </c>
      <c r="B28" s="203" t="s">
        <v>35</v>
      </c>
      <c r="C28" s="11">
        <f t="shared" ref="C28:H28" si="18">C497</f>
        <v>32734.720000000001</v>
      </c>
      <c r="D28" s="11">
        <f t="shared" si="18"/>
        <v>0</v>
      </c>
      <c r="E28" s="11">
        <f t="shared" si="18"/>
        <v>32734.720000000001</v>
      </c>
      <c r="F28" s="11">
        <f t="shared" si="18"/>
        <v>-0.27999999999883585</v>
      </c>
      <c r="G28" s="11">
        <f t="shared" si="18"/>
        <v>32735</v>
      </c>
      <c r="H28" s="11">
        <f t="shared" si="18"/>
        <v>-2422</v>
      </c>
      <c r="I28" s="11">
        <f>G28+H28</f>
        <v>30313</v>
      </c>
      <c r="J28" s="48"/>
      <c r="K28" s="303"/>
      <c r="L28" s="43"/>
    </row>
    <row r="29" spans="1:12" ht="14.1" customHeight="1">
      <c r="A29" s="247">
        <f t="shared" si="3"/>
        <v>23</v>
      </c>
      <c r="B29" s="92" t="s">
        <v>36</v>
      </c>
      <c r="C29" s="100">
        <f t="shared" ref="C29:H29" si="19">C508</f>
        <v>4020062.2</v>
      </c>
      <c r="D29" s="100">
        <f t="shared" si="19"/>
        <v>-2916589.68</v>
      </c>
      <c r="E29" s="100">
        <f t="shared" si="19"/>
        <v>1103472.52</v>
      </c>
      <c r="F29" s="100">
        <f t="shared" si="19"/>
        <v>13946.51999999996</v>
      </c>
      <c r="G29" s="100">
        <f t="shared" si="19"/>
        <v>1089526</v>
      </c>
      <c r="H29" s="100">
        <f t="shared" si="19"/>
        <v>363539</v>
      </c>
      <c r="I29" s="100">
        <f>G29+H29</f>
        <v>1453065</v>
      </c>
      <c r="J29" s="48"/>
      <c r="K29" s="303"/>
      <c r="L29" s="43"/>
    </row>
    <row r="30" spans="1:12" s="23" customFormat="1" ht="14.1" customHeight="1">
      <c r="A30" s="247">
        <f t="shared" si="3"/>
        <v>24</v>
      </c>
      <c r="B30" s="2" t="s">
        <v>37</v>
      </c>
      <c r="C30" s="17">
        <f t="shared" ref="C30:I30" si="20">SUM(C12)-SUM(C23:C29)</f>
        <v>135225470.83000004</v>
      </c>
      <c r="D30" s="17">
        <f t="shared" si="20"/>
        <v>327954.78000000119</v>
      </c>
      <c r="E30" s="17">
        <f t="shared" si="20"/>
        <v>135553425.60999984</v>
      </c>
      <c r="F30" s="17">
        <f t="shared" si="20"/>
        <v>2192083.9099999834</v>
      </c>
      <c r="G30" s="17">
        <f t="shared" si="20"/>
        <v>133469228.34000003</v>
      </c>
      <c r="H30" s="17">
        <f t="shared" si="20"/>
        <v>-20609878.512000002</v>
      </c>
      <c r="I30" s="17">
        <f t="shared" si="20"/>
        <v>112859349.82800007</v>
      </c>
      <c r="J30" s="17"/>
      <c r="K30" s="307"/>
      <c r="L30" s="43"/>
    </row>
    <row r="31" spans="1:12" s="23" customFormat="1" ht="14.1" customHeight="1">
      <c r="A31" s="247">
        <f t="shared" si="3"/>
        <v>25</v>
      </c>
      <c r="B31" s="7"/>
      <c r="C31" s="17"/>
      <c r="D31" s="17"/>
      <c r="E31" s="17"/>
      <c r="F31" s="17"/>
      <c r="G31" s="17"/>
      <c r="H31" s="48"/>
      <c r="I31" s="306"/>
      <c r="J31" s="17"/>
      <c r="K31" s="306"/>
      <c r="L31" s="43"/>
    </row>
    <row r="32" spans="1:12" ht="14.1" customHeight="1">
      <c r="A32" s="247">
        <f t="shared" si="3"/>
        <v>26</v>
      </c>
      <c r="B32" s="3" t="s">
        <v>38</v>
      </c>
      <c r="C32" s="11"/>
      <c r="D32" s="11"/>
      <c r="E32" s="11"/>
      <c r="F32" s="11"/>
      <c r="G32" s="48"/>
      <c r="H32" s="308"/>
      <c r="I32" s="303"/>
      <c r="J32" s="48"/>
      <c r="K32" s="303"/>
      <c r="L32" s="43"/>
    </row>
    <row r="33" spans="1:12" ht="14.1" customHeight="1">
      <c r="A33" s="247">
        <f t="shared" si="3"/>
        <v>27</v>
      </c>
      <c r="B33" s="203" t="s">
        <v>39</v>
      </c>
      <c r="C33" s="11">
        <f t="shared" ref="C33:H36" si="21">C513</f>
        <v>33220944</v>
      </c>
      <c r="D33" s="11">
        <f t="shared" si="21"/>
        <v>-163478</v>
      </c>
      <c r="E33" s="11">
        <f t="shared" si="21"/>
        <v>33057466</v>
      </c>
      <c r="F33" s="11">
        <f t="shared" si="21"/>
        <v>528792</v>
      </c>
      <c r="G33" s="11">
        <f t="shared" si="21"/>
        <v>32528674</v>
      </c>
      <c r="H33" s="11">
        <f t="shared" si="21"/>
        <v>-5209435</v>
      </c>
      <c r="I33" s="11">
        <f>G33+H33</f>
        <v>27319239</v>
      </c>
      <c r="J33" s="48"/>
      <c r="K33" s="303"/>
      <c r="L33" s="43"/>
    </row>
    <row r="34" spans="1:12" ht="14.1" customHeight="1">
      <c r="A34" s="247">
        <f t="shared" si="3"/>
        <v>28</v>
      </c>
      <c r="B34" s="203" t="s">
        <v>40</v>
      </c>
      <c r="C34" s="11">
        <f t="shared" si="21"/>
        <v>833174</v>
      </c>
      <c r="D34" s="11">
        <f t="shared" si="21"/>
        <v>0</v>
      </c>
      <c r="E34" s="11">
        <f t="shared" si="21"/>
        <v>833174</v>
      </c>
      <c r="F34" s="11">
        <f t="shared" si="21"/>
        <v>60054</v>
      </c>
      <c r="G34" s="11">
        <f t="shared" si="21"/>
        <v>773120</v>
      </c>
      <c r="H34" s="11">
        <f t="shared" si="21"/>
        <v>-683026</v>
      </c>
      <c r="I34" s="11">
        <f>G34+H34</f>
        <v>90094</v>
      </c>
      <c r="J34" s="48"/>
      <c r="K34" s="303"/>
      <c r="L34" s="43"/>
    </row>
    <row r="35" spans="1:12" s="27" customFormat="1" ht="14.1" customHeight="1">
      <c r="A35" s="247">
        <f t="shared" si="3"/>
        <v>29</v>
      </c>
      <c r="B35" s="27" t="s">
        <v>41</v>
      </c>
      <c r="C35" s="48">
        <f t="shared" si="21"/>
        <v>-129533</v>
      </c>
      <c r="D35" s="48">
        <f t="shared" si="21"/>
        <v>0</v>
      </c>
      <c r="E35" s="48">
        <f t="shared" si="21"/>
        <v>-129533</v>
      </c>
      <c r="F35" s="48">
        <f t="shared" si="21"/>
        <v>-1424</v>
      </c>
      <c r="G35" s="48">
        <f t="shared" si="21"/>
        <v>-128109</v>
      </c>
      <c r="H35" s="48">
        <f t="shared" si="21"/>
        <v>0</v>
      </c>
      <c r="I35" s="11">
        <f>G35+H35</f>
        <v>-128109</v>
      </c>
      <c r="J35" s="48"/>
      <c r="K35" s="303"/>
      <c r="L35" s="43"/>
    </row>
    <row r="36" spans="1:12" s="27" customFormat="1" ht="14.1" customHeight="1">
      <c r="A36" s="247">
        <f t="shared" si="3"/>
        <v>30</v>
      </c>
      <c r="B36" s="93" t="s">
        <v>409</v>
      </c>
      <c r="C36" s="48">
        <f t="shared" si="21"/>
        <v>0</v>
      </c>
      <c r="D36" s="48">
        <f t="shared" si="21"/>
        <v>0</v>
      </c>
      <c r="E36" s="48">
        <f t="shared" si="21"/>
        <v>0</v>
      </c>
      <c r="F36" s="48">
        <f t="shared" si="21"/>
        <v>0</v>
      </c>
      <c r="G36" s="48">
        <f t="shared" si="21"/>
        <v>0</v>
      </c>
      <c r="H36" s="48">
        <f t="shared" si="21"/>
        <v>0</v>
      </c>
      <c r="I36" s="11">
        <f>G36+H36</f>
        <v>0</v>
      </c>
      <c r="J36" s="48"/>
      <c r="K36" s="303"/>
      <c r="L36" s="43"/>
    </row>
    <row r="37" spans="1:12" s="309" customFormat="1" ht="14.1" customHeight="1">
      <c r="A37" s="247">
        <f t="shared" si="3"/>
        <v>31</v>
      </c>
      <c r="B37" s="2" t="s">
        <v>42</v>
      </c>
      <c r="C37" s="189">
        <f>SUM(C32:C36)</f>
        <v>33924585</v>
      </c>
      <c r="D37" s="189">
        <f>SUM(D32:D36)</f>
        <v>-163478</v>
      </c>
      <c r="E37" s="189">
        <f>SUM(E32:E36)</f>
        <v>33761107</v>
      </c>
      <c r="F37" s="189">
        <f>SUM(F32:F36)</f>
        <v>587422</v>
      </c>
      <c r="G37" s="189">
        <f>SUM(G32:G36)</f>
        <v>33173685</v>
      </c>
      <c r="H37" s="189">
        <f>SUM(H33:H36)</f>
        <v>-5892461</v>
      </c>
      <c r="I37" s="189">
        <f>SUM(I32:I36)</f>
        <v>27281224</v>
      </c>
      <c r="J37" s="17"/>
      <c r="K37" s="17"/>
      <c r="L37" s="43"/>
    </row>
    <row r="38" spans="1:12" s="23" customFormat="1" ht="14.1" customHeight="1">
      <c r="A38" s="247">
        <f t="shared" si="3"/>
        <v>32</v>
      </c>
      <c r="B38" s="7"/>
      <c r="C38" s="17"/>
      <c r="D38" s="17"/>
      <c r="E38" s="17"/>
      <c r="F38" s="17"/>
      <c r="G38" s="17"/>
      <c r="H38" s="48"/>
      <c r="I38" s="306"/>
      <c r="J38" s="17"/>
      <c r="K38" s="306"/>
      <c r="L38" s="43"/>
    </row>
    <row r="39" spans="1:12" s="247" customFormat="1" ht="14.1" customHeight="1">
      <c r="A39" s="247">
        <f t="shared" si="3"/>
        <v>33</v>
      </c>
      <c r="B39" s="264" t="s">
        <v>43</v>
      </c>
      <c r="C39" s="48">
        <f t="shared" ref="C39:I39" si="22">C30-C37</f>
        <v>101300885.83000004</v>
      </c>
      <c r="D39" s="48">
        <f t="shared" si="22"/>
        <v>491432.78000000119</v>
      </c>
      <c r="E39" s="48">
        <f t="shared" si="22"/>
        <v>101792318.60999984</v>
      </c>
      <c r="F39" s="48">
        <f t="shared" si="22"/>
        <v>1604661.9099999834</v>
      </c>
      <c r="G39" s="48">
        <f t="shared" si="22"/>
        <v>100295543.34000003</v>
      </c>
      <c r="H39" s="48">
        <f t="shared" si="22"/>
        <v>-14717417.512000002</v>
      </c>
      <c r="I39" s="48">
        <f t="shared" si="22"/>
        <v>85578125.828000069</v>
      </c>
      <c r="J39" s="48"/>
      <c r="K39" s="10"/>
      <c r="L39" s="43"/>
    </row>
    <row r="40" spans="1:12" s="247" customFormat="1" ht="14.1" customHeight="1">
      <c r="A40" s="247">
        <f t="shared" si="3"/>
        <v>34</v>
      </c>
      <c r="B40" s="310" t="s">
        <v>335</v>
      </c>
      <c r="C40" s="100">
        <f>C226</f>
        <v>5577560.3499999987</v>
      </c>
      <c r="D40" s="100">
        <f>-D493-D494-D495-D496</f>
        <v>0</v>
      </c>
      <c r="E40" s="100">
        <f>-E493-E494-E495-E496</f>
        <v>5577560.3499999987</v>
      </c>
      <c r="F40" s="100">
        <f>-F493-F494-F495-F496</f>
        <v>72073.349999999686</v>
      </c>
      <c r="G40" s="100">
        <f>-G493-G494-G495-G496</f>
        <v>5505487</v>
      </c>
      <c r="H40" s="100">
        <f>-H493</f>
        <v>250424</v>
      </c>
      <c r="I40" s="100">
        <f>G40+H40</f>
        <v>5755911</v>
      </c>
      <c r="J40" s="48"/>
      <c r="K40" s="10"/>
      <c r="L40" s="43"/>
    </row>
    <row r="41" spans="1:12" s="247" customFormat="1" ht="14.1" customHeight="1" thickBot="1">
      <c r="A41" s="247">
        <f t="shared" si="3"/>
        <v>35</v>
      </c>
      <c r="B41" s="4" t="s">
        <v>44</v>
      </c>
      <c r="C41" s="311">
        <f>C40+C39</f>
        <v>106878446.18000004</v>
      </c>
      <c r="D41" s="311">
        <f>D40+D39</f>
        <v>491432.78000000119</v>
      </c>
      <c r="E41" s="311">
        <f>E40+E39</f>
        <v>107369878.95999983</v>
      </c>
      <c r="F41" s="311">
        <f>F40+F39</f>
        <v>1676735.259999983</v>
      </c>
      <c r="G41" s="311">
        <f>G39+G40</f>
        <v>105801030.34000003</v>
      </c>
      <c r="H41" s="311">
        <f>H39+H40</f>
        <v>-14466993.512000002</v>
      </c>
      <c r="I41" s="311">
        <f>SUM(I39:I40)</f>
        <v>91334036.828000069</v>
      </c>
      <c r="J41" s="48"/>
      <c r="K41" s="436">
        <f>91334036.828-I41</f>
        <v>0</v>
      </c>
      <c r="L41" s="43"/>
    </row>
    <row r="42" spans="1:12" s="247" customFormat="1" ht="14.1" customHeight="1" thickTop="1">
      <c r="A42" s="247">
        <f t="shared" si="3"/>
        <v>36</v>
      </c>
      <c r="B42" s="264"/>
      <c r="C42" s="48"/>
      <c r="D42" s="48"/>
      <c r="E42" s="48"/>
      <c r="F42" s="48"/>
      <c r="G42" s="48"/>
      <c r="H42" s="48"/>
      <c r="I42" s="303"/>
      <c r="J42" s="48"/>
      <c r="K42" s="186"/>
      <c r="L42" s="43"/>
    </row>
    <row r="43" spans="1:12" ht="14.1" customHeight="1">
      <c r="A43" s="247">
        <f t="shared" si="3"/>
        <v>37</v>
      </c>
      <c r="B43" s="203" t="s">
        <v>45</v>
      </c>
      <c r="C43" s="48">
        <f t="shared" ref="C43:I43" si="23">C169</f>
        <v>2887307417.0900002</v>
      </c>
      <c r="D43" s="48">
        <f t="shared" si="23"/>
        <v>-65017523</v>
      </c>
      <c r="E43" s="48">
        <f t="shared" si="23"/>
        <v>2822289894.0900002</v>
      </c>
      <c r="F43" s="48">
        <f t="shared" si="23"/>
        <v>30255857.369999997</v>
      </c>
      <c r="G43" s="48">
        <f t="shared" si="23"/>
        <v>2792034036.7200003</v>
      </c>
      <c r="H43" s="48">
        <f t="shared" si="23"/>
        <v>-776202944.47210002</v>
      </c>
      <c r="I43" s="48">
        <f t="shared" si="23"/>
        <v>2015831092.2479</v>
      </c>
      <c r="J43" s="48"/>
      <c r="K43" s="27"/>
      <c r="L43" s="43"/>
    </row>
    <row r="44" spans="1:12" ht="14.1" customHeight="1">
      <c r="A44" s="247">
        <f t="shared" si="3"/>
        <v>38</v>
      </c>
      <c r="B44" s="92" t="s">
        <v>46</v>
      </c>
      <c r="C44" s="100">
        <f>-C186-C194-C197</f>
        <v>-1024557425</v>
      </c>
      <c r="D44" s="100">
        <f>-D186-D194-D197</f>
        <v>3842998</v>
      </c>
      <c r="E44" s="100">
        <f>-E186-E194-E197</f>
        <v>-1020714427</v>
      </c>
      <c r="F44" s="100">
        <f>-F186-F194-F197</f>
        <v>-11721693</v>
      </c>
      <c r="G44" s="100">
        <f>-G186-G194-G197</f>
        <v>-1008992734</v>
      </c>
      <c r="H44" s="100">
        <f>-H186-H194</f>
        <v>319573451.11357999</v>
      </c>
      <c r="I44" s="100">
        <f>-I186-I194</f>
        <v>-689419282.88642001</v>
      </c>
      <c r="J44" s="48"/>
      <c r="K44" s="27"/>
      <c r="L44" s="43"/>
    </row>
    <row r="45" spans="1:12" ht="14.1" customHeight="1">
      <c r="A45" s="247">
        <f t="shared" si="3"/>
        <v>39</v>
      </c>
      <c r="B45" s="14" t="s">
        <v>517</v>
      </c>
      <c r="C45" s="48">
        <f t="shared" ref="C45:I45" si="24">SUM(C43:C44)</f>
        <v>1862749992.0900002</v>
      </c>
      <c r="D45" s="48">
        <f t="shared" si="24"/>
        <v>-61174525</v>
      </c>
      <c r="E45" s="48">
        <f t="shared" si="24"/>
        <v>1801575467.0900002</v>
      </c>
      <c r="F45" s="48">
        <f t="shared" si="24"/>
        <v>18534164.369999997</v>
      </c>
      <c r="G45" s="48">
        <f t="shared" si="24"/>
        <v>1783041302.7200003</v>
      </c>
      <c r="H45" s="48">
        <f t="shared" si="24"/>
        <v>-456629493.35852003</v>
      </c>
      <c r="I45" s="48">
        <f t="shared" si="24"/>
        <v>1326411809.36148</v>
      </c>
      <c r="J45" s="230">
        <f>ROUND(G45/E45,3)</f>
        <v>0.99</v>
      </c>
      <c r="K45" s="27"/>
      <c r="L45" s="43"/>
    </row>
    <row r="46" spans="1:12" ht="14.1" customHeight="1">
      <c r="A46" s="247">
        <f t="shared" si="3"/>
        <v>40</v>
      </c>
      <c r="B46" s="203" t="s">
        <v>48</v>
      </c>
      <c r="C46" s="48">
        <f t="shared" ref="C46:H46" si="25">C234</f>
        <v>7405959</v>
      </c>
      <c r="D46" s="48">
        <f t="shared" si="25"/>
        <v>-6778355</v>
      </c>
      <c r="E46" s="48">
        <f t="shared" si="25"/>
        <v>627604</v>
      </c>
      <c r="F46" s="48">
        <f t="shared" si="25"/>
        <v>628</v>
      </c>
      <c r="G46" s="48">
        <f t="shared" si="25"/>
        <v>626976</v>
      </c>
      <c r="H46" s="48">
        <f t="shared" si="25"/>
        <v>0</v>
      </c>
      <c r="I46" s="48">
        <f>G46+H46</f>
        <v>626976</v>
      </c>
      <c r="J46" s="48"/>
      <c r="K46" s="158"/>
      <c r="L46" s="43"/>
    </row>
    <row r="47" spans="1:12" ht="14.1" customHeight="1">
      <c r="A47" s="247">
        <f t="shared" si="3"/>
        <v>41</v>
      </c>
      <c r="B47" s="203" t="s">
        <v>383</v>
      </c>
      <c r="C47" s="48">
        <f t="shared" ref="C47:H47" si="26">C245+C246</f>
        <v>2504389</v>
      </c>
      <c r="D47" s="48">
        <f t="shared" si="26"/>
        <v>0</v>
      </c>
      <c r="E47" s="48">
        <f t="shared" si="26"/>
        <v>2504389</v>
      </c>
      <c r="F47" s="48">
        <f t="shared" si="26"/>
        <v>27548</v>
      </c>
      <c r="G47" s="48">
        <f t="shared" si="26"/>
        <v>2476841</v>
      </c>
      <c r="H47" s="48">
        <f t="shared" si="26"/>
        <v>0</v>
      </c>
      <c r="I47" s="48">
        <f>G47+H47</f>
        <v>2476841</v>
      </c>
      <c r="J47" s="48"/>
      <c r="K47" s="27"/>
      <c r="L47" s="43"/>
    </row>
    <row r="48" spans="1:12" ht="14.1" customHeight="1">
      <c r="A48" s="247">
        <f t="shared" si="3"/>
        <v>42</v>
      </c>
      <c r="B48" s="203" t="s">
        <v>384</v>
      </c>
      <c r="C48" s="48">
        <f t="shared" ref="C48:H48" si="27">C242</f>
        <v>71329801.690000013</v>
      </c>
      <c r="D48" s="48">
        <f t="shared" si="27"/>
        <v>0</v>
      </c>
      <c r="E48" s="48">
        <f t="shared" si="27"/>
        <v>71329801.690000013</v>
      </c>
      <c r="F48" s="48">
        <f t="shared" si="27"/>
        <v>970565.69</v>
      </c>
      <c r="G48" s="48">
        <f t="shared" si="27"/>
        <v>70359236</v>
      </c>
      <c r="H48" s="48">
        <f t="shared" si="27"/>
        <v>-24313539</v>
      </c>
      <c r="I48" s="48">
        <f>G48+H48</f>
        <v>46045697</v>
      </c>
      <c r="J48" s="48"/>
      <c r="K48" s="27"/>
      <c r="L48" s="43"/>
    </row>
    <row r="49" spans="1:12" ht="14.1" customHeight="1">
      <c r="A49" s="247">
        <f t="shared" si="3"/>
        <v>43</v>
      </c>
      <c r="B49" s="203" t="s">
        <v>385</v>
      </c>
      <c r="C49" s="48">
        <f t="shared" ref="C49:H49" si="28">C450</f>
        <v>72856334.087499991</v>
      </c>
      <c r="D49" s="48">
        <f t="shared" si="28"/>
        <v>-30953847.858749997</v>
      </c>
      <c r="E49" s="48">
        <f t="shared" si="28"/>
        <v>41902486.228750005</v>
      </c>
      <c r="F49" s="48">
        <f t="shared" si="28"/>
        <v>431917.5100000024</v>
      </c>
      <c r="G49" s="48">
        <f t="shared" si="28"/>
        <v>41470568.71875</v>
      </c>
      <c r="H49" s="48">
        <f t="shared" si="28"/>
        <v>2100138.875</v>
      </c>
      <c r="I49" s="48">
        <f>G49+H49</f>
        <v>43570707.59375</v>
      </c>
      <c r="J49" s="48"/>
      <c r="K49" s="27"/>
      <c r="L49" s="43"/>
    </row>
    <row r="50" spans="1:12" ht="14.1" customHeight="1">
      <c r="A50" s="247">
        <f t="shared" si="3"/>
        <v>44</v>
      </c>
      <c r="B50" s="203" t="s">
        <v>47</v>
      </c>
      <c r="C50" s="48">
        <f>C227</f>
        <v>80210719</v>
      </c>
      <c r="D50" s="48">
        <f t="shared" ref="D50:I50" si="29">D227</f>
        <v>-21313</v>
      </c>
      <c r="E50" s="48">
        <f t="shared" si="29"/>
        <v>80189406</v>
      </c>
      <c r="F50" s="48">
        <f t="shared" si="29"/>
        <v>1004855</v>
      </c>
      <c r="G50" s="48">
        <f t="shared" si="29"/>
        <v>79184551</v>
      </c>
      <c r="H50" s="48">
        <f t="shared" si="29"/>
        <v>-1584601</v>
      </c>
      <c r="I50" s="48">
        <f t="shared" si="29"/>
        <v>77599950</v>
      </c>
      <c r="J50" s="48"/>
      <c r="K50" s="27"/>
      <c r="L50" s="43"/>
    </row>
    <row r="51" spans="1:12" ht="14.1" customHeight="1">
      <c r="A51" s="247">
        <f t="shared" si="3"/>
        <v>45</v>
      </c>
      <c r="B51" s="203" t="s">
        <v>387</v>
      </c>
      <c r="C51" s="48">
        <f>(C257+C258)</f>
        <v>-25377961.109999999</v>
      </c>
      <c r="D51" s="48">
        <f>(D257+D258)</f>
        <v>0</v>
      </c>
      <c r="E51" s="48">
        <f>(E257+E258)</f>
        <v>-25377961.109999999</v>
      </c>
      <c r="F51" s="48">
        <f>(F257+F258)</f>
        <v>-0.1100000005972106</v>
      </c>
      <c r="G51" s="48">
        <f>(G257+G258)</f>
        <v>-25377961</v>
      </c>
      <c r="H51" s="48">
        <f>(H257+H258)*-1</f>
        <v>0</v>
      </c>
      <c r="I51" s="48">
        <f>G51+H51</f>
        <v>-25377961</v>
      </c>
      <c r="J51" s="48"/>
      <c r="K51" s="27"/>
      <c r="L51" s="43"/>
    </row>
    <row r="52" spans="1:12" ht="14.1" customHeight="1">
      <c r="A52" s="247">
        <f t="shared" si="3"/>
        <v>46</v>
      </c>
      <c r="B52" s="92" t="s">
        <v>49</v>
      </c>
      <c r="C52" s="100">
        <f t="shared" ref="C52:H52" si="30">C254</f>
        <v>-399250637.23000002</v>
      </c>
      <c r="D52" s="100">
        <f t="shared" si="30"/>
        <v>0</v>
      </c>
      <c r="E52" s="100">
        <f t="shared" si="30"/>
        <v>-399250637.23000002</v>
      </c>
      <c r="F52" s="100">
        <f t="shared" si="30"/>
        <v>-4391757.2300000191</v>
      </c>
      <c r="G52" s="100">
        <f t="shared" si="30"/>
        <v>-394858880</v>
      </c>
      <c r="H52" s="100">
        <f t="shared" si="30"/>
        <v>81691374</v>
      </c>
      <c r="I52" s="100">
        <f>G52+H52</f>
        <v>-313167506</v>
      </c>
      <c r="J52" s="48"/>
      <c r="K52" s="312"/>
      <c r="L52" s="43"/>
    </row>
    <row r="53" spans="1:12" s="23" customFormat="1" ht="14.1" customHeight="1" thickBot="1">
      <c r="A53" s="247">
        <f t="shared" si="3"/>
        <v>47</v>
      </c>
      <c r="B53" s="6" t="s">
        <v>50</v>
      </c>
      <c r="C53" s="313">
        <f t="shared" ref="C53:I53" si="31">SUM(C45:C52)</f>
        <v>1672428596.5275004</v>
      </c>
      <c r="D53" s="313">
        <f t="shared" si="31"/>
        <v>-98928040.858750001</v>
      </c>
      <c r="E53" s="313">
        <f t="shared" si="31"/>
        <v>1573500555.6687503</v>
      </c>
      <c r="F53" s="313">
        <f t="shared" si="31"/>
        <v>16577921.229999982</v>
      </c>
      <c r="G53" s="313">
        <f t="shared" si="31"/>
        <v>1556922634.4387503</v>
      </c>
      <c r="H53" s="313">
        <f t="shared" si="31"/>
        <v>-398736120.48352003</v>
      </c>
      <c r="I53" s="313">
        <f t="shared" si="31"/>
        <v>1158186513.95523</v>
      </c>
      <c r="J53" s="17"/>
      <c r="K53" s="314" t="s">
        <v>51</v>
      </c>
      <c r="L53" s="43"/>
    </row>
    <row r="54" spans="1:12" s="23" customFormat="1" ht="14.1" customHeight="1" thickTop="1">
      <c r="A54" s="247">
        <f t="shared" si="3"/>
        <v>48</v>
      </c>
      <c r="B54" s="7"/>
      <c r="C54" s="17"/>
      <c r="D54" s="17"/>
      <c r="E54" s="17"/>
      <c r="F54" s="17"/>
      <c r="G54" s="17"/>
      <c r="H54" s="17"/>
      <c r="I54" s="17"/>
      <c r="J54" s="17"/>
      <c r="K54" s="309"/>
      <c r="L54" s="43"/>
    </row>
    <row r="55" spans="1:12" s="23" customFormat="1" ht="14.1" customHeight="1">
      <c r="A55" s="247">
        <f t="shared" si="3"/>
        <v>49</v>
      </c>
      <c r="B55" s="2" t="s">
        <v>52</v>
      </c>
      <c r="C55" s="315">
        <f>C41/C53</f>
        <v>6.3906134110546825E-2</v>
      </c>
      <c r="D55" s="315"/>
      <c r="E55" s="315"/>
      <c r="F55" s="316">
        <f>+F41/F53</f>
        <v>0.10114267263893767</v>
      </c>
      <c r="G55" s="315">
        <f>+G41/G53</f>
        <v>6.7955226547361414E-2</v>
      </c>
      <c r="H55" s="316"/>
      <c r="I55" s="315">
        <f>+I41/I53</f>
        <v>7.8859523684222943E-2</v>
      </c>
      <c r="J55" s="317"/>
      <c r="K55" s="309"/>
      <c r="L55" s="43"/>
    </row>
    <row r="56" spans="1:12" s="23" customFormat="1" ht="14.1" customHeight="1">
      <c r="A56" s="247">
        <f t="shared" si="3"/>
        <v>50</v>
      </c>
      <c r="B56" s="7"/>
      <c r="C56" s="318"/>
      <c r="D56" s="318"/>
      <c r="E56" s="318"/>
      <c r="F56" s="318"/>
      <c r="G56" s="317"/>
      <c r="H56" s="317"/>
      <c r="I56" s="317"/>
      <c r="J56" s="309"/>
      <c r="K56" s="319"/>
      <c r="L56" s="43"/>
    </row>
    <row r="57" spans="1:12" ht="13.5" customHeight="1">
      <c r="A57" s="247">
        <f t="shared" si="3"/>
        <v>51</v>
      </c>
      <c r="C57" s="11"/>
      <c r="D57" s="11"/>
      <c r="E57" s="11"/>
      <c r="F57" s="248"/>
      <c r="G57" s="248"/>
      <c r="H57" s="248"/>
      <c r="I57" s="317"/>
      <c r="K57" s="27"/>
      <c r="L57" s="43"/>
    </row>
    <row r="58" spans="1:12" s="26" customFormat="1" ht="14.1" customHeight="1">
      <c r="A58" s="247">
        <f t="shared" si="3"/>
        <v>52</v>
      </c>
      <c r="B58" s="89" t="s">
        <v>53</v>
      </c>
      <c r="C58" s="11"/>
      <c r="D58" s="11"/>
      <c r="E58" s="11"/>
      <c r="F58" s="24"/>
      <c r="G58" s="24"/>
      <c r="H58" s="24"/>
      <c r="I58" s="320"/>
      <c r="L58" s="43"/>
    </row>
    <row r="59" spans="1:12" ht="14.1" customHeight="1">
      <c r="A59" s="247">
        <f t="shared" si="3"/>
        <v>53</v>
      </c>
      <c r="B59" s="9" t="s">
        <v>54</v>
      </c>
      <c r="C59" s="11"/>
      <c r="D59" s="11"/>
      <c r="E59" s="11"/>
      <c r="F59" s="24"/>
      <c r="G59" s="11"/>
      <c r="H59" s="11"/>
      <c r="I59" s="43"/>
      <c r="K59" s="203"/>
      <c r="L59" s="43"/>
    </row>
    <row r="60" spans="1:12" ht="14.1" customHeight="1">
      <c r="A60" s="247">
        <f t="shared" si="3"/>
        <v>54</v>
      </c>
      <c r="B60" s="203" t="s">
        <v>55</v>
      </c>
      <c r="C60" s="11">
        <v>15307104</v>
      </c>
      <c r="D60" s="11">
        <v>0</v>
      </c>
      <c r="E60" s="11">
        <f>C60+D60</f>
        <v>15307104</v>
      </c>
      <c r="F60" s="11">
        <f>E60-G60</f>
        <v>168378</v>
      </c>
      <c r="G60" s="11">
        <f>ROUND(E60*'Allocation Factors'!$G$22,0)</f>
        <v>15138726</v>
      </c>
      <c r="H60" s="11">
        <f>'Sch 5'!C60</f>
        <v>0</v>
      </c>
      <c r="I60" s="11">
        <f>G60+H60</f>
        <v>15138726</v>
      </c>
      <c r="J60" s="11"/>
      <c r="K60" s="16" t="s">
        <v>381</v>
      </c>
      <c r="L60" s="43"/>
    </row>
    <row r="61" spans="1:12" ht="14.1" customHeight="1">
      <c r="A61" s="247">
        <f t="shared" si="3"/>
        <v>55</v>
      </c>
      <c r="B61" s="92" t="s">
        <v>56</v>
      </c>
      <c r="C61" s="11">
        <v>0</v>
      </c>
      <c r="D61" s="11">
        <v>0</v>
      </c>
      <c r="E61" s="11">
        <f>C61+D61</f>
        <v>0</v>
      </c>
      <c r="F61" s="11">
        <f>E61-G61</f>
        <v>0</v>
      </c>
      <c r="G61" s="11">
        <f>ROUND(E61*'Allocation Factors'!$G$22,0)</f>
        <v>0</v>
      </c>
      <c r="H61" s="11">
        <f>'Sch 5'!C61</f>
        <v>0</v>
      </c>
      <c r="I61" s="11">
        <f>G61+H61</f>
        <v>0</v>
      </c>
      <c r="J61" s="11"/>
      <c r="K61" s="16" t="s">
        <v>381</v>
      </c>
      <c r="L61" s="43"/>
    </row>
    <row r="62" spans="1:12" ht="14.1" customHeight="1">
      <c r="A62" s="247">
        <f t="shared" si="3"/>
        <v>56</v>
      </c>
      <c r="B62" s="3" t="s">
        <v>518</v>
      </c>
      <c r="C62" s="83">
        <f t="shared" ref="C62:I62" si="32">SUM(C60:C61)</f>
        <v>15307104</v>
      </c>
      <c r="D62" s="83">
        <f t="shared" si="32"/>
        <v>0</v>
      </c>
      <c r="E62" s="83">
        <f t="shared" si="32"/>
        <v>15307104</v>
      </c>
      <c r="F62" s="83">
        <f t="shared" si="32"/>
        <v>168378</v>
      </c>
      <c r="G62" s="83">
        <f t="shared" si="32"/>
        <v>15138726</v>
      </c>
      <c r="H62" s="83">
        <f t="shared" si="32"/>
        <v>0</v>
      </c>
      <c r="I62" s="83">
        <f t="shared" si="32"/>
        <v>15138726</v>
      </c>
      <c r="J62" s="83"/>
      <c r="K62" s="321"/>
      <c r="L62" s="43"/>
    </row>
    <row r="63" spans="1:12" ht="14.1" customHeight="1">
      <c r="A63" s="247">
        <f t="shared" si="3"/>
        <v>57</v>
      </c>
      <c r="C63" s="10"/>
      <c r="D63" s="10"/>
      <c r="E63" s="10"/>
      <c r="F63" s="48"/>
      <c r="G63" s="84"/>
      <c r="H63" s="48"/>
      <c r="I63" s="48"/>
      <c r="J63" s="48"/>
      <c r="K63" s="16"/>
      <c r="L63" s="43"/>
    </row>
    <row r="64" spans="1:12" ht="14.1" customHeight="1">
      <c r="A64" s="247">
        <f t="shared" si="3"/>
        <v>58</v>
      </c>
      <c r="B64" s="3" t="s">
        <v>59</v>
      </c>
      <c r="C64" s="11"/>
      <c r="D64" s="11"/>
      <c r="E64" s="11"/>
      <c r="F64" s="24"/>
      <c r="G64" s="11"/>
      <c r="H64" s="11"/>
      <c r="I64" s="11"/>
      <c r="J64" s="11"/>
      <c r="K64" s="16"/>
      <c r="L64" s="43"/>
    </row>
    <row r="65" spans="1:12" ht="14.1" customHeight="1">
      <c r="A65" s="247">
        <f t="shared" si="3"/>
        <v>59</v>
      </c>
      <c r="B65" s="3" t="s">
        <v>60</v>
      </c>
      <c r="C65" s="11"/>
      <c r="D65" s="11"/>
      <c r="E65" s="11"/>
      <c r="F65" s="24"/>
      <c r="G65" s="11"/>
      <c r="H65" s="11"/>
      <c r="I65" s="11"/>
      <c r="J65" s="11"/>
      <c r="K65" s="16"/>
      <c r="L65" s="43"/>
    </row>
    <row r="66" spans="1:12" ht="14.1" customHeight="1">
      <c r="A66" s="247">
        <f t="shared" si="3"/>
        <v>60</v>
      </c>
      <c r="B66" s="203" t="s">
        <v>61</v>
      </c>
      <c r="C66" s="11">
        <v>2358529.64</v>
      </c>
      <c r="D66" s="11">
        <v>0</v>
      </c>
      <c r="E66" s="11">
        <f>C66+D66</f>
        <v>2358529.64</v>
      </c>
      <c r="F66" s="11">
        <f>E66-G66</f>
        <v>33019.64000000013</v>
      </c>
      <c r="G66" s="11">
        <f>ROUND(E66*'Allocation Factors'!$G$10,0)</f>
        <v>2325510</v>
      </c>
      <c r="H66" s="11">
        <f>'Sch 5'!C66</f>
        <v>0</v>
      </c>
      <c r="I66" s="11">
        <f t="shared" ref="I66:I73" si="33">G66+H66</f>
        <v>2325510</v>
      </c>
      <c r="J66" s="11"/>
      <c r="K66" s="16" t="s">
        <v>346</v>
      </c>
      <c r="L66" s="43"/>
    </row>
    <row r="67" spans="1:12" ht="14.1" customHeight="1">
      <c r="A67" s="247">
        <f t="shared" si="3"/>
        <v>61</v>
      </c>
      <c r="B67" s="203" t="s">
        <v>63</v>
      </c>
      <c r="C67" s="11">
        <v>85622398.5</v>
      </c>
      <c r="D67" s="11">
        <v>0</v>
      </c>
      <c r="E67" s="11">
        <f t="shared" ref="E67:E73" si="34">C67+D67</f>
        <v>85622398.5</v>
      </c>
      <c r="F67" s="11">
        <f t="shared" ref="F67:F73" si="35">E67-G67</f>
        <v>1198713.5</v>
      </c>
      <c r="G67" s="11">
        <f>ROUND(E67*'Allocation Factors'!$G$10,0)</f>
        <v>84423685</v>
      </c>
      <c r="H67" s="11">
        <f>'Sch 5'!C67</f>
        <v>-34844224.94258</v>
      </c>
      <c r="I67" s="11">
        <f t="shared" si="33"/>
        <v>49579460.05742</v>
      </c>
      <c r="J67" s="11"/>
      <c r="K67" s="16" t="s">
        <v>346</v>
      </c>
      <c r="L67" s="43"/>
    </row>
    <row r="68" spans="1:12" ht="14.1" customHeight="1">
      <c r="A68" s="247">
        <f t="shared" si="3"/>
        <v>62</v>
      </c>
      <c r="B68" s="203" t="s">
        <v>64</v>
      </c>
      <c r="C68" s="11">
        <v>1143938825.26</v>
      </c>
      <c r="D68" s="11">
        <v>0</v>
      </c>
      <c r="E68" s="11">
        <f t="shared" si="34"/>
        <v>1143938825.26</v>
      </c>
      <c r="F68" s="11">
        <f t="shared" si="35"/>
        <v>16015143.25999999</v>
      </c>
      <c r="G68" s="11">
        <f>ROUND(E68*'Allocation Factors'!$G$10,0)</f>
        <v>1127923682</v>
      </c>
      <c r="H68" s="11">
        <f>'Sch 5'!C68</f>
        <v>-663493997.22192001</v>
      </c>
      <c r="I68" s="11">
        <f t="shared" si="33"/>
        <v>464429684.77807999</v>
      </c>
      <c r="J68" s="11"/>
      <c r="K68" s="16" t="s">
        <v>346</v>
      </c>
      <c r="L68" s="43"/>
    </row>
    <row r="69" spans="1:12" ht="14.1" customHeight="1">
      <c r="A69" s="247">
        <f t="shared" si="3"/>
        <v>63</v>
      </c>
      <c r="B69" s="203" t="s">
        <v>65</v>
      </c>
      <c r="C69" s="11">
        <v>0</v>
      </c>
      <c r="D69" s="11">
        <v>0</v>
      </c>
      <c r="E69" s="11">
        <f t="shared" si="34"/>
        <v>0</v>
      </c>
      <c r="F69" s="11">
        <f t="shared" si="35"/>
        <v>0</v>
      </c>
      <c r="G69" s="11">
        <f>ROUND(E69*'Allocation Factors'!$G$10,0)</f>
        <v>0</v>
      </c>
      <c r="H69" s="11">
        <f>'Sch 5'!C69</f>
        <v>-8033555.1638200004</v>
      </c>
      <c r="I69" s="11">
        <f t="shared" si="33"/>
        <v>-8033555.1638200004</v>
      </c>
      <c r="J69" s="11"/>
      <c r="K69" s="16" t="s">
        <v>346</v>
      </c>
      <c r="L69" s="43"/>
    </row>
    <row r="70" spans="1:12" ht="14.1" customHeight="1">
      <c r="A70" s="247">
        <f t="shared" si="3"/>
        <v>64</v>
      </c>
      <c r="B70" s="203" t="s">
        <v>66</v>
      </c>
      <c r="C70" s="11">
        <v>165079406.58000001</v>
      </c>
      <c r="D70" s="11">
        <v>0</v>
      </c>
      <c r="E70" s="11">
        <f t="shared" si="34"/>
        <v>165079406.58000001</v>
      </c>
      <c r="F70" s="11">
        <f t="shared" si="35"/>
        <v>2311111.5800000131</v>
      </c>
      <c r="G70" s="11">
        <f>ROUND(E70*'Allocation Factors'!$G$10,0)</f>
        <v>162768295</v>
      </c>
      <c r="H70" s="11">
        <f>'Sch 5'!C70</f>
        <v>-49960050.77234</v>
      </c>
      <c r="I70" s="11">
        <f t="shared" si="33"/>
        <v>112808244.22766</v>
      </c>
      <c r="J70" s="11"/>
      <c r="K70" s="16" t="s">
        <v>346</v>
      </c>
      <c r="L70" s="43"/>
    </row>
    <row r="71" spans="1:12" ht="14.1" customHeight="1">
      <c r="A71" s="247">
        <f t="shared" si="3"/>
        <v>65</v>
      </c>
      <c r="B71" s="203" t="s">
        <v>67</v>
      </c>
      <c r="C71" s="11">
        <v>33644628.950000003</v>
      </c>
      <c r="D71" s="11">
        <v>0</v>
      </c>
      <c r="E71" s="11">
        <f t="shared" si="34"/>
        <v>33644628.950000003</v>
      </c>
      <c r="F71" s="11">
        <f t="shared" si="35"/>
        <v>471024.95000000298</v>
      </c>
      <c r="G71" s="11">
        <f>ROUND(E71*'Allocation Factors'!$G$10,0)</f>
        <v>33173604</v>
      </c>
      <c r="H71" s="11">
        <f>'Sch 5'!C71</f>
        <v>-12693449.643479999</v>
      </c>
      <c r="I71" s="11">
        <f t="shared" si="33"/>
        <v>20480154.356520001</v>
      </c>
      <c r="J71" s="11"/>
      <c r="K71" s="16" t="s">
        <v>346</v>
      </c>
      <c r="L71" s="43"/>
    </row>
    <row r="72" spans="1:12" ht="14.1" customHeight="1">
      <c r="A72" s="247">
        <f t="shared" si="3"/>
        <v>66</v>
      </c>
      <c r="B72" s="203" t="s">
        <v>68</v>
      </c>
      <c r="C72" s="11">
        <v>16501061.85</v>
      </c>
      <c r="D72" s="11">
        <v>0</v>
      </c>
      <c r="E72" s="11">
        <f t="shared" si="34"/>
        <v>16501061.85</v>
      </c>
      <c r="F72" s="11">
        <f t="shared" si="35"/>
        <v>231014.84999999963</v>
      </c>
      <c r="G72" s="11">
        <f>ROUND(E72*'Allocation Factors'!$G$10,0)</f>
        <v>16270047</v>
      </c>
      <c r="H72" s="11">
        <f>'Sch 5'!C72</f>
        <v>-6159002.24388</v>
      </c>
      <c r="I72" s="11">
        <f t="shared" si="33"/>
        <v>10111044.75612</v>
      </c>
      <c r="J72" s="11"/>
      <c r="K72" s="16" t="s">
        <v>346</v>
      </c>
      <c r="L72" s="43"/>
    </row>
    <row r="73" spans="1:12" ht="14.1" customHeight="1">
      <c r="A73" s="247">
        <f t="shared" si="3"/>
        <v>67</v>
      </c>
      <c r="B73" s="92" t="s">
        <v>69</v>
      </c>
      <c r="C73" s="11">
        <v>58986497.719999999</v>
      </c>
      <c r="D73" s="11">
        <f>C73*-1</f>
        <v>-58986497.719999999</v>
      </c>
      <c r="E73" s="11">
        <f t="shared" si="34"/>
        <v>0</v>
      </c>
      <c r="F73" s="11">
        <f t="shared" si="35"/>
        <v>0</v>
      </c>
      <c r="G73" s="11">
        <f>ROUND(E73*'Allocation Factors'!$G$10,0)</f>
        <v>0</v>
      </c>
      <c r="H73" s="11">
        <f>'Sch 5'!C73</f>
        <v>0</v>
      </c>
      <c r="I73" s="11">
        <f t="shared" si="33"/>
        <v>0</v>
      </c>
      <c r="J73" s="11"/>
      <c r="K73" s="16" t="s">
        <v>346</v>
      </c>
      <c r="L73" s="43"/>
    </row>
    <row r="74" spans="1:12" s="23" customFormat="1" ht="14.1" customHeight="1">
      <c r="A74" s="247">
        <f t="shared" si="3"/>
        <v>68</v>
      </c>
      <c r="B74" s="2" t="s">
        <v>519</v>
      </c>
      <c r="C74" s="189">
        <f t="shared" ref="C74:I74" si="36">SUM(C66:C73)</f>
        <v>1506131348.5</v>
      </c>
      <c r="D74" s="189">
        <f t="shared" si="36"/>
        <v>-58986497.719999999</v>
      </c>
      <c r="E74" s="189">
        <f t="shared" si="36"/>
        <v>1447144850.78</v>
      </c>
      <c r="F74" s="189">
        <f t="shared" si="36"/>
        <v>20260027.780000009</v>
      </c>
      <c r="G74" s="189">
        <f t="shared" si="36"/>
        <v>1426884823</v>
      </c>
      <c r="H74" s="189">
        <f t="shared" si="36"/>
        <v>-775184279.98802006</v>
      </c>
      <c r="I74" s="189">
        <f t="shared" si="36"/>
        <v>651700543.01197994</v>
      </c>
      <c r="J74" s="189"/>
      <c r="K74" s="322"/>
      <c r="L74" s="43"/>
    </row>
    <row r="75" spans="1:12" s="23" customFormat="1" ht="14.1" customHeight="1">
      <c r="A75" s="247">
        <f t="shared" ref="A75:A138" si="37">+A74+1</f>
        <v>69</v>
      </c>
      <c r="B75" s="7"/>
      <c r="C75" s="13"/>
      <c r="D75" s="13"/>
      <c r="E75" s="13"/>
      <c r="F75" s="17"/>
      <c r="G75" s="305"/>
      <c r="H75" s="17"/>
      <c r="I75" s="17"/>
      <c r="J75" s="17"/>
      <c r="K75" s="30"/>
      <c r="L75" s="43"/>
    </row>
    <row r="76" spans="1:12" ht="14.1" customHeight="1">
      <c r="A76" s="247">
        <f t="shared" si="37"/>
        <v>70</v>
      </c>
      <c r="B76" s="3" t="s">
        <v>70</v>
      </c>
      <c r="C76" s="11"/>
      <c r="D76" s="11"/>
      <c r="E76" s="11"/>
      <c r="F76" s="11"/>
      <c r="G76" s="11"/>
      <c r="H76" s="11"/>
      <c r="I76" s="11"/>
      <c r="J76" s="11"/>
      <c r="K76" s="16"/>
      <c r="L76" s="43"/>
    </row>
    <row r="77" spans="1:12" ht="14.1" customHeight="1">
      <c r="A77" s="247">
        <f t="shared" si="37"/>
        <v>71</v>
      </c>
      <c r="B77" s="203" t="s">
        <v>71</v>
      </c>
      <c r="C77" s="11">
        <v>0</v>
      </c>
      <c r="D77" s="11">
        <v>0</v>
      </c>
      <c r="E77" s="11">
        <f t="shared" ref="E77:E82" si="38">C77+D77</f>
        <v>0</v>
      </c>
      <c r="F77" s="24">
        <v>0</v>
      </c>
      <c r="G77" s="11">
        <v>0</v>
      </c>
      <c r="H77" s="11">
        <f>'Sch 5'!C77</f>
        <v>0</v>
      </c>
      <c r="I77" s="11">
        <f t="shared" ref="I77:I82" si="39">G77+H77</f>
        <v>0</v>
      </c>
      <c r="J77" s="11"/>
      <c r="K77" s="16"/>
      <c r="L77" s="43"/>
    </row>
    <row r="78" spans="1:12" ht="14.1" customHeight="1">
      <c r="A78" s="247">
        <f t="shared" si="37"/>
        <v>72</v>
      </c>
      <c r="B78" s="203" t="s">
        <v>72</v>
      </c>
      <c r="C78" s="11">
        <v>0</v>
      </c>
      <c r="D78" s="11">
        <v>0</v>
      </c>
      <c r="E78" s="11">
        <f t="shared" si="38"/>
        <v>0</v>
      </c>
      <c r="F78" s="24">
        <v>0</v>
      </c>
      <c r="G78" s="11">
        <v>0</v>
      </c>
      <c r="H78" s="11">
        <f>'Sch 5'!C78</f>
        <v>0</v>
      </c>
      <c r="I78" s="11">
        <f t="shared" si="39"/>
        <v>0</v>
      </c>
      <c r="J78" s="11"/>
      <c r="K78" s="16"/>
      <c r="L78" s="43"/>
    </row>
    <row r="79" spans="1:12" ht="14.1" customHeight="1">
      <c r="A79" s="247">
        <f t="shared" si="37"/>
        <v>73</v>
      </c>
      <c r="B79" s="203" t="s">
        <v>73</v>
      </c>
      <c r="C79" s="11">
        <v>0</v>
      </c>
      <c r="D79" s="11">
        <v>0</v>
      </c>
      <c r="E79" s="11">
        <f t="shared" si="38"/>
        <v>0</v>
      </c>
      <c r="F79" s="24">
        <v>0</v>
      </c>
      <c r="G79" s="11">
        <v>0</v>
      </c>
      <c r="H79" s="11">
        <f>'Sch 5'!C79</f>
        <v>0</v>
      </c>
      <c r="I79" s="11">
        <f t="shared" si="39"/>
        <v>0</v>
      </c>
      <c r="J79" s="11"/>
      <c r="K79" s="16"/>
      <c r="L79" s="43"/>
    </row>
    <row r="80" spans="1:12" ht="14.1" customHeight="1">
      <c r="A80" s="247">
        <f t="shared" si="37"/>
        <v>74</v>
      </c>
      <c r="B80" s="203" t="s">
        <v>74</v>
      </c>
      <c r="C80" s="11">
        <v>0</v>
      </c>
      <c r="D80" s="11">
        <v>0</v>
      </c>
      <c r="E80" s="11">
        <f t="shared" si="38"/>
        <v>0</v>
      </c>
      <c r="F80" s="24">
        <v>0</v>
      </c>
      <c r="G80" s="11">
        <v>0</v>
      </c>
      <c r="H80" s="11">
        <f>'Sch 5'!C80</f>
        <v>0</v>
      </c>
      <c r="I80" s="11">
        <f t="shared" si="39"/>
        <v>0</v>
      </c>
      <c r="J80" s="11"/>
      <c r="K80" s="16"/>
      <c r="L80" s="43"/>
    </row>
    <row r="81" spans="1:12" ht="14.1" customHeight="1">
      <c r="A81" s="247">
        <f t="shared" si="37"/>
        <v>75</v>
      </c>
      <c r="B81" s="203" t="s">
        <v>75</v>
      </c>
      <c r="C81" s="11">
        <v>0</v>
      </c>
      <c r="D81" s="11">
        <v>0</v>
      </c>
      <c r="E81" s="11">
        <f t="shared" si="38"/>
        <v>0</v>
      </c>
      <c r="F81" s="24">
        <v>0</v>
      </c>
      <c r="G81" s="11">
        <v>0</v>
      </c>
      <c r="H81" s="11">
        <f>'Sch 5'!C81</f>
        <v>0</v>
      </c>
      <c r="I81" s="11">
        <f t="shared" si="39"/>
        <v>0</v>
      </c>
      <c r="J81" s="11"/>
      <c r="K81" s="16"/>
      <c r="L81" s="43"/>
    </row>
    <row r="82" spans="1:12" ht="14.1" customHeight="1">
      <c r="A82" s="247">
        <f t="shared" si="37"/>
        <v>76</v>
      </c>
      <c r="B82" s="92" t="s">
        <v>76</v>
      </c>
      <c r="C82" s="11">
        <v>0</v>
      </c>
      <c r="D82" s="11">
        <v>0</v>
      </c>
      <c r="E82" s="11">
        <f t="shared" si="38"/>
        <v>0</v>
      </c>
      <c r="F82" s="24">
        <v>0</v>
      </c>
      <c r="G82" s="11">
        <v>0</v>
      </c>
      <c r="H82" s="11">
        <f>'Sch 5'!C82</f>
        <v>0</v>
      </c>
      <c r="I82" s="11">
        <f t="shared" si="39"/>
        <v>0</v>
      </c>
      <c r="J82" s="11"/>
      <c r="K82" s="16"/>
      <c r="L82" s="43"/>
    </row>
    <row r="83" spans="1:12" s="23" customFormat="1" ht="14.1" customHeight="1">
      <c r="A83" s="247">
        <f t="shared" si="37"/>
        <v>77</v>
      </c>
      <c r="B83" s="2" t="s">
        <v>520</v>
      </c>
      <c r="C83" s="189">
        <f t="shared" ref="C83:I83" si="40">SUM(C77:C82)</f>
        <v>0</v>
      </c>
      <c r="D83" s="189">
        <f t="shared" si="40"/>
        <v>0</v>
      </c>
      <c r="E83" s="189">
        <f t="shared" si="40"/>
        <v>0</v>
      </c>
      <c r="F83" s="189">
        <f t="shared" si="40"/>
        <v>0</v>
      </c>
      <c r="G83" s="189">
        <f t="shared" si="40"/>
        <v>0</v>
      </c>
      <c r="H83" s="189">
        <f t="shared" si="40"/>
        <v>0</v>
      </c>
      <c r="I83" s="189">
        <f t="shared" si="40"/>
        <v>0</v>
      </c>
      <c r="J83" s="189"/>
      <c r="K83" s="323"/>
      <c r="L83" s="43"/>
    </row>
    <row r="84" spans="1:12" s="23" customFormat="1" ht="14.1" customHeight="1">
      <c r="A84" s="247">
        <f t="shared" si="37"/>
        <v>78</v>
      </c>
      <c r="B84" s="7"/>
      <c r="C84" s="17"/>
      <c r="D84" s="17"/>
      <c r="E84" s="17"/>
      <c r="F84" s="17"/>
      <c r="G84" s="17"/>
      <c r="H84" s="17"/>
      <c r="I84" s="17"/>
      <c r="J84" s="17"/>
      <c r="K84" s="30"/>
      <c r="L84" s="43"/>
    </row>
    <row r="85" spans="1:12" ht="14.1" customHeight="1">
      <c r="A85" s="247">
        <f t="shared" si="37"/>
        <v>79</v>
      </c>
      <c r="B85" s="3" t="s">
        <v>77</v>
      </c>
      <c r="C85" s="11"/>
      <c r="D85" s="11"/>
      <c r="E85" s="11"/>
      <c r="F85" s="11"/>
      <c r="G85" s="11"/>
      <c r="H85" s="11"/>
      <c r="I85" s="11"/>
      <c r="J85" s="11"/>
      <c r="K85" s="16"/>
      <c r="L85" s="43"/>
    </row>
    <row r="86" spans="1:12" ht="14.1" customHeight="1">
      <c r="A86" s="247">
        <f t="shared" si="37"/>
        <v>80</v>
      </c>
      <c r="B86" s="203" t="s">
        <v>78</v>
      </c>
      <c r="C86" s="11">
        <v>0</v>
      </c>
      <c r="D86" s="11">
        <v>0</v>
      </c>
      <c r="E86" s="11">
        <f>C86+D86</f>
        <v>0</v>
      </c>
      <c r="F86" s="11">
        <v>0</v>
      </c>
      <c r="G86" s="11">
        <v>0</v>
      </c>
      <c r="H86" s="11">
        <f>'Sch 5'!C86</f>
        <v>0</v>
      </c>
      <c r="I86" s="11">
        <f t="shared" ref="I86:I93" si="41">G86+H86</f>
        <v>0</v>
      </c>
      <c r="J86" s="11"/>
      <c r="K86" s="16"/>
      <c r="L86" s="43"/>
    </row>
    <row r="87" spans="1:12" ht="14.1" customHeight="1">
      <c r="A87" s="247">
        <f t="shared" si="37"/>
        <v>81</v>
      </c>
      <c r="B87" s="203" t="s">
        <v>79</v>
      </c>
      <c r="C87" s="11">
        <v>0</v>
      </c>
      <c r="D87" s="11">
        <v>0</v>
      </c>
      <c r="E87" s="11">
        <f t="shared" ref="E87:E93" si="42">C87+D87</f>
        <v>0</v>
      </c>
      <c r="F87" s="11">
        <v>0</v>
      </c>
      <c r="G87" s="11">
        <v>0</v>
      </c>
      <c r="H87" s="11">
        <f>'Sch 5'!C87</f>
        <v>0</v>
      </c>
      <c r="I87" s="11">
        <f t="shared" si="41"/>
        <v>0</v>
      </c>
      <c r="J87" s="11"/>
      <c r="K87" s="16"/>
      <c r="L87" s="43"/>
    </row>
    <row r="88" spans="1:12" ht="14.1" customHeight="1">
      <c r="A88" s="247">
        <f t="shared" si="37"/>
        <v>82</v>
      </c>
      <c r="B88" s="203" t="s">
        <v>80</v>
      </c>
      <c r="C88" s="11">
        <v>0</v>
      </c>
      <c r="D88" s="11">
        <v>0</v>
      </c>
      <c r="E88" s="11">
        <f t="shared" si="42"/>
        <v>0</v>
      </c>
      <c r="F88" s="11">
        <v>0</v>
      </c>
      <c r="G88" s="11">
        <v>0</v>
      </c>
      <c r="H88" s="11">
        <f>'Sch 5'!C88</f>
        <v>0</v>
      </c>
      <c r="I88" s="11">
        <f t="shared" si="41"/>
        <v>0</v>
      </c>
      <c r="J88" s="11"/>
      <c r="K88" s="16"/>
      <c r="L88" s="43"/>
    </row>
    <row r="89" spans="1:12" ht="14.1" customHeight="1">
      <c r="A89" s="247">
        <f t="shared" si="37"/>
        <v>83</v>
      </c>
      <c r="B89" s="203" t="s">
        <v>81</v>
      </c>
      <c r="C89" s="11">
        <v>0</v>
      </c>
      <c r="D89" s="11">
        <v>0</v>
      </c>
      <c r="E89" s="11">
        <f t="shared" si="42"/>
        <v>0</v>
      </c>
      <c r="F89" s="11">
        <v>0</v>
      </c>
      <c r="G89" s="11">
        <v>0</v>
      </c>
      <c r="H89" s="11">
        <f>'Sch 5'!C89</f>
        <v>0</v>
      </c>
      <c r="I89" s="11">
        <f t="shared" si="41"/>
        <v>0</v>
      </c>
      <c r="J89" s="11"/>
      <c r="K89" s="16"/>
      <c r="L89" s="43"/>
    </row>
    <row r="90" spans="1:12" ht="14.1" customHeight="1">
      <c r="A90" s="247">
        <f t="shared" si="37"/>
        <v>84</v>
      </c>
      <c r="B90" s="203" t="s">
        <v>82</v>
      </c>
      <c r="C90" s="11">
        <v>0</v>
      </c>
      <c r="D90" s="11">
        <v>0</v>
      </c>
      <c r="E90" s="11">
        <f t="shared" si="42"/>
        <v>0</v>
      </c>
      <c r="F90" s="11">
        <v>0</v>
      </c>
      <c r="G90" s="11">
        <v>0</v>
      </c>
      <c r="H90" s="11">
        <f>'Sch 5'!C90</f>
        <v>0</v>
      </c>
      <c r="I90" s="11">
        <f t="shared" si="41"/>
        <v>0</v>
      </c>
      <c r="J90" s="11"/>
      <c r="K90" s="16"/>
      <c r="L90" s="43"/>
    </row>
    <row r="91" spans="1:12" ht="14.1" customHeight="1">
      <c r="A91" s="247">
        <f t="shared" si="37"/>
        <v>85</v>
      </c>
      <c r="B91" s="203" t="s">
        <v>83</v>
      </c>
      <c r="C91" s="11">
        <v>0</v>
      </c>
      <c r="D91" s="11">
        <v>0</v>
      </c>
      <c r="E91" s="11">
        <f t="shared" si="42"/>
        <v>0</v>
      </c>
      <c r="F91" s="11">
        <v>0</v>
      </c>
      <c r="G91" s="11">
        <v>0</v>
      </c>
      <c r="H91" s="11">
        <f>'Sch 5'!C91</f>
        <v>0</v>
      </c>
      <c r="I91" s="11">
        <f t="shared" si="41"/>
        <v>0</v>
      </c>
      <c r="J91" s="11"/>
      <c r="K91" s="16"/>
      <c r="L91" s="43"/>
    </row>
    <row r="92" spans="1:12" ht="14.1" customHeight="1">
      <c r="A92" s="247">
        <f t="shared" si="37"/>
        <v>86</v>
      </c>
      <c r="B92" s="203" t="s">
        <v>84</v>
      </c>
      <c r="C92" s="11">
        <v>0</v>
      </c>
      <c r="D92" s="11">
        <v>0</v>
      </c>
      <c r="E92" s="11">
        <f t="shared" si="42"/>
        <v>0</v>
      </c>
      <c r="F92" s="11">
        <v>0</v>
      </c>
      <c r="G92" s="11">
        <v>0</v>
      </c>
      <c r="H92" s="11">
        <f>'Sch 5'!C92</f>
        <v>0</v>
      </c>
      <c r="I92" s="11">
        <f t="shared" si="41"/>
        <v>0</v>
      </c>
      <c r="J92" s="11"/>
      <c r="K92" s="16"/>
      <c r="L92" s="43"/>
    </row>
    <row r="93" spans="1:12" ht="13.5" customHeight="1">
      <c r="A93" s="247">
        <f t="shared" si="37"/>
        <v>87</v>
      </c>
      <c r="B93" s="92" t="s">
        <v>85</v>
      </c>
      <c r="C93" s="11">
        <v>0</v>
      </c>
      <c r="D93" s="11">
        <v>0</v>
      </c>
      <c r="E93" s="11">
        <f t="shared" si="42"/>
        <v>0</v>
      </c>
      <c r="F93" s="11">
        <v>0</v>
      </c>
      <c r="G93" s="11">
        <v>0</v>
      </c>
      <c r="H93" s="11">
        <f>'Sch 5'!C93</f>
        <v>0</v>
      </c>
      <c r="I93" s="11">
        <f t="shared" si="41"/>
        <v>0</v>
      </c>
      <c r="J93" s="11"/>
      <c r="K93" s="16"/>
      <c r="L93" s="43"/>
    </row>
    <row r="94" spans="1:12" s="23" customFormat="1" ht="14.1" customHeight="1">
      <c r="A94" s="247">
        <f t="shared" si="37"/>
        <v>88</v>
      </c>
      <c r="B94" s="2" t="s">
        <v>521</v>
      </c>
      <c r="C94" s="189">
        <f t="shared" ref="C94:I94" si="43">SUM(C86:C93)</f>
        <v>0</v>
      </c>
      <c r="D94" s="189">
        <f t="shared" si="43"/>
        <v>0</v>
      </c>
      <c r="E94" s="189">
        <f t="shared" si="43"/>
        <v>0</v>
      </c>
      <c r="F94" s="189">
        <f t="shared" si="43"/>
        <v>0</v>
      </c>
      <c r="G94" s="189">
        <f t="shared" si="43"/>
        <v>0</v>
      </c>
      <c r="H94" s="189">
        <f t="shared" si="43"/>
        <v>0</v>
      </c>
      <c r="I94" s="189">
        <f t="shared" si="43"/>
        <v>0</v>
      </c>
      <c r="J94" s="189"/>
      <c r="K94" s="322"/>
      <c r="L94" s="43"/>
    </row>
    <row r="95" spans="1:12" s="23" customFormat="1" ht="14.1" customHeight="1">
      <c r="A95" s="247">
        <f t="shared" si="37"/>
        <v>89</v>
      </c>
      <c r="B95" s="7"/>
      <c r="C95" s="13"/>
      <c r="D95" s="13"/>
      <c r="E95" s="13"/>
      <c r="F95" s="17"/>
      <c r="G95" s="305"/>
      <c r="H95" s="17"/>
      <c r="I95" s="17"/>
      <c r="J95" s="17"/>
      <c r="K95" s="30"/>
      <c r="L95" s="43"/>
    </row>
    <row r="96" spans="1:12" ht="14.1" customHeight="1">
      <c r="A96" s="247">
        <f t="shared" si="37"/>
        <v>90</v>
      </c>
      <c r="B96" s="3" t="s">
        <v>86</v>
      </c>
      <c r="C96" s="48"/>
      <c r="D96" s="48"/>
      <c r="E96" s="48"/>
      <c r="F96" s="17"/>
      <c r="G96" s="48"/>
      <c r="H96" s="48"/>
      <c r="I96" s="48"/>
      <c r="J96" s="48"/>
      <c r="K96" s="16"/>
      <c r="L96" s="43"/>
    </row>
    <row r="97" spans="1:13" ht="14.1" customHeight="1">
      <c r="A97" s="247">
        <f t="shared" si="37"/>
        <v>91</v>
      </c>
      <c r="B97" s="203" t="s">
        <v>87</v>
      </c>
      <c r="C97" s="11">
        <v>0</v>
      </c>
      <c r="D97" s="11">
        <v>0</v>
      </c>
      <c r="E97" s="11">
        <f>C97+D97</f>
        <v>0</v>
      </c>
      <c r="F97" s="11">
        <v>0</v>
      </c>
      <c r="G97" s="11">
        <v>0</v>
      </c>
      <c r="H97" s="11">
        <f>'Sch 5'!C97</f>
        <v>0</v>
      </c>
      <c r="I97" s="11">
        <f t="shared" ref="I97:I103" si="44">G97+H97</f>
        <v>0</v>
      </c>
      <c r="J97" s="11"/>
      <c r="K97" s="16"/>
      <c r="L97" s="43"/>
    </row>
    <row r="98" spans="1:13" ht="14.1" customHeight="1">
      <c r="A98" s="247">
        <f t="shared" si="37"/>
        <v>92</v>
      </c>
      <c r="B98" s="203" t="s">
        <v>88</v>
      </c>
      <c r="C98" s="11">
        <v>0</v>
      </c>
      <c r="D98" s="11">
        <v>0</v>
      </c>
      <c r="E98" s="11">
        <f t="shared" ref="E98:E103" si="45">C98+D98</f>
        <v>0</v>
      </c>
      <c r="F98" s="11">
        <v>0</v>
      </c>
      <c r="G98" s="11">
        <v>0</v>
      </c>
      <c r="H98" s="11">
        <f>'Sch 5'!C98</f>
        <v>0</v>
      </c>
      <c r="I98" s="11">
        <f t="shared" si="44"/>
        <v>0</v>
      </c>
      <c r="J98" s="11"/>
      <c r="K98" s="16"/>
      <c r="L98" s="43"/>
    </row>
    <row r="99" spans="1:13" ht="14.1" customHeight="1">
      <c r="A99" s="247">
        <f t="shared" si="37"/>
        <v>93</v>
      </c>
      <c r="B99" s="203" t="s">
        <v>89</v>
      </c>
      <c r="C99" s="11">
        <v>0</v>
      </c>
      <c r="D99" s="11">
        <v>0</v>
      </c>
      <c r="E99" s="11">
        <f t="shared" si="45"/>
        <v>0</v>
      </c>
      <c r="F99" s="11">
        <v>0</v>
      </c>
      <c r="G99" s="11">
        <v>0</v>
      </c>
      <c r="H99" s="11">
        <f>'Sch 5'!C99</f>
        <v>0</v>
      </c>
      <c r="I99" s="11">
        <f t="shared" si="44"/>
        <v>0</v>
      </c>
      <c r="J99" s="11"/>
      <c r="K99" s="16"/>
      <c r="L99" s="43"/>
    </row>
    <row r="100" spans="1:13" ht="14.1" customHeight="1">
      <c r="A100" s="247">
        <f t="shared" si="37"/>
        <v>94</v>
      </c>
      <c r="B100" s="203" t="s">
        <v>90</v>
      </c>
      <c r="C100" s="11">
        <v>0</v>
      </c>
      <c r="D100" s="11">
        <v>0</v>
      </c>
      <c r="E100" s="11">
        <f t="shared" si="45"/>
        <v>0</v>
      </c>
      <c r="F100" s="11">
        <v>0</v>
      </c>
      <c r="G100" s="11">
        <v>0</v>
      </c>
      <c r="H100" s="11">
        <f>'Sch 5'!C100</f>
        <v>0</v>
      </c>
      <c r="I100" s="11">
        <f t="shared" si="44"/>
        <v>0</v>
      </c>
      <c r="J100" s="11"/>
      <c r="K100" s="16"/>
      <c r="L100" s="43"/>
    </row>
    <row r="101" spans="1:13" ht="14.1" customHeight="1">
      <c r="A101" s="247">
        <f t="shared" si="37"/>
        <v>95</v>
      </c>
      <c r="B101" s="203" t="s">
        <v>91</v>
      </c>
      <c r="C101" s="11">
        <v>0</v>
      </c>
      <c r="D101" s="11">
        <v>0</v>
      </c>
      <c r="E101" s="11">
        <f t="shared" si="45"/>
        <v>0</v>
      </c>
      <c r="F101" s="11">
        <v>0</v>
      </c>
      <c r="G101" s="11">
        <v>0</v>
      </c>
      <c r="H101" s="11">
        <f>'Sch 5'!C101</f>
        <v>0</v>
      </c>
      <c r="I101" s="11">
        <f t="shared" si="44"/>
        <v>0</v>
      </c>
      <c r="J101" s="11"/>
      <c r="K101" s="16"/>
      <c r="L101" s="43"/>
    </row>
    <row r="102" spans="1:13" ht="14.1" customHeight="1">
      <c r="A102" s="247">
        <f t="shared" si="37"/>
        <v>96</v>
      </c>
      <c r="B102" s="203" t="s">
        <v>92</v>
      </c>
      <c r="C102" s="11">
        <v>0</v>
      </c>
      <c r="D102" s="11">
        <v>0</v>
      </c>
      <c r="E102" s="11">
        <f t="shared" si="45"/>
        <v>0</v>
      </c>
      <c r="F102" s="11">
        <v>0</v>
      </c>
      <c r="G102" s="11">
        <v>0</v>
      </c>
      <c r="H102" s="11">
        <f>'Sch 5'!C102</f>
        <v>0</v>
      </c>
      <c r="I102" s="11">
        <f t="shared" si="44"/>
        <v>0</v>
      </c>
      <c r="J102" s="11"/>
      <c r="K102" s="16"/>
      <c r="L102" s="43"/>
    </row>
    <row r="103" spans="1:13" ht="14.1" customHeight="1">
      <c r="A103" s="247">
        <f t="shared" si="37"/>
        <v>97</v>
      </c>
      <c r="B103" s="92" t="s">
        <v>93</v>
      </c>
      <c r="C103" s="11">
        <v>0</v>
      </c>
      <c r="D103" s="11">
        <v>0</v>
      </c>
      <c r="E103" s="11">
        <f t="shared" si="45"/>
        <v>0</v>
      </c>
      <c r="F103" s="11">
        <v>0</v>
      </c>
      <c r="G103" s="11">
        <v>0</v>
      </c>
      <c r="H103" s="11">
        <f>'Sch 5'!C103</f>
        <v>0</v>
      </c>
      <c r="I103" s="11">
        <f t="shared" si="44"/>
        <v>0</v>
      </c>
      <c r="J103" s="11"/>
      <c r="K103" s="16"/>
      <c r="L103" s="43"/>
    </row>
    <row r="104" spans="1:13" s="23" customFormat="1" ht="14.1" customHeight="1">
      <c r="A104" s="247">
        <f t="shared" si="37"/>
        <v>98</v>
      </c>
      <c r="B104" s="2" t="s">
        <v>522</v>
      </c>
      <c r="C104" s="189">
        <f t="shared" ref="C104:H104" si="46">SUM(C96:C103)</f>
        <v>0</v>
      </c>
      <c r="D104" s="189">
        <f t="shared" si="46"/>
        <v>0</v>
      </c>
      <c r="E104" s="189">
        <f t="shared" si="46"/>
        <v>0</v>
      </c>
      <c r="F104" s="189">
        <f t="shared" si="46"/>
        <v>0</v>
      </c>
      <c r="G104" s="189">
        <f t="shared" si="46"/>
        <v>0</v>
      </c>
      <c r="H104" s="189">
        <f t="shared" si="46"/>
        <v>0</v>
      </c>
      <c r="I104" s="189">
        <f>SUM(I97:I103)</f>
        <v>0</v>
      </c>
      <c r="J104" s="189"/>
      <c r="K104" s="322"/>
      <c r="L104" s="43"/>
    </row>
    <row r="105" spans="1:13" s="23" customFormat="1" ht="14.1" customHeight="1">
      <c r="A105" s="247">
        <f t="shared" si="37"/>
        <v>99</v>
      </c>
      <c r="B105" s="7"/>
      <c r="C105" s="13"/>
      <c r="D105" s="13"/>
      <c r="E105" s="13"/>
      <c r="F105" s="17"/>
      <c r="G105" s="305"/>
      <c r="H105" s="17"/>
      <c r="I105" s="17"/>
      <c r="J105" s="17"/>
      <c r="K105" s="30"/>
      <c r="L105" s="43"/>
    </row>
    <row r="106" spans="1:13" ht="14.1" customHeight="1">
      <c r="A106" s="247">
        <f t="shared" si="37"/>
        <v>100</v>
      </c>
      <c r="B106" s="203" t="s">
        <v>94</v>
      </c>
      <c r="C106" s="48">
        <v>0</v>
      </c>
      <c r="D106" s="48">
        <f>L106+L107</f>
        <v>701791</v>
      </c>
      <c r="E106" s="48">
        <f>C106+D106</f>
        <v>701791</v>
      </c>
      <c r="F106" s="11">
        <f>E106-G106</f>
        <v>9825</v>
      </c>
      <c r="G106" s="11">
        <f>ROUND(E106*'Allocation Factors'!$G$16,0)</f>
        <v>691966</v>
      </c>
      <c r="H106" s="11">
        <f>'Sch 5'!C106</f>
        <v>0</v>
      </c>
      <c r="I106" s="11">
        <f>G106+H106</f>
        <v>691966</v>
      </c>
      <c r="J106" s="11"/>
      <c r="K106" s="16" t="s">
        <v>351</v>
      </c>
      <c r="L106" s="43">
        <v>607176</v>
      </c>
      <c r="M106" s="203" t="s">
        <v>484</v>
      </c>
    </row>
    <row r="107" spans="1:13" ht="14.1" customHeight="1">
      <c r="A107" s="247">
        <f t="shared" si="37"/>
        <v>101</v>
      </c>
      <c r="B107" s="92" t="s">
        <v>95</v>
      </c>
      <c r="C107" s="100">
        <v>0</v>
      </c>
      <c r="D107" s="100"/>
      <c r="E107" s="100">
        <f>C107+D107</f>
        <v>0</v>
      </c>
      <c r="F107" s="100">
        <v>0</v>
      </c>
      <c r="G107" s="100">
        <v>0</v>
      </c>
      <c r="H107" s="11">
        <f>'Sch 5'!C107</f>
        <v>0</v>
      </c>
      <c r="I107" s="11">
        <f>G107+H107</f>
        <v>0</v>
      </c>
      <c r="J107" s="11"/>
      <c r="K107" s="16"/>
      <c r="L107" s="43">
        <v>94615</v>
      </c>
      <c r="M107" s="203" t="s">
        <v>485</v>
      </c>
    </row>
    <row r="108" spans="1:13" s="23" customFormat="1" ht="14.1" customHeight="1">
      <c r="A108" s="247">
        <f t="shared" si="37"/>
        <v>102</v>
      </c>
      <c r="B108" s="2" t="s">
        <v>523</v>
      </c>
      <c r="C108" s="83">
        <f t="shared" ref="C108:I108" si="47">C107+C106+C104+C94+C83+C74</f>
        <v>1506131348.5</v>
      </c>
      <c r="D108" s="83">
        <f t="shared" si="47"/>
        <v>-58284706.719999999</v>
      </c>
      <c r="E108" s="83">
        <f t="shared" si="47"/>
        <v>1447846641.78</v>
      </c>
      <c r="F108" s="83">
        <f t="shared" si="47"/>
        <v>20269852.780000009</v>
      </c>
      <c r="G108" s="83">
        <f t="shared" si="47"/>
        <v>1427576789</v>
      </c>
      <c r="H108" s="83">
        <f t="shared" si="47"/>
        <v>-775184279.98802006</v>
      </c>
      <c r="I108" s="83">
        <f t="shared" si="47"/>
        <v>652392509.01197994</v>
      </c>
      <c r="J108" s="83"/>
      <c r="K108" s="85"/>
      <c r="L108" s="43"/>
    </row>
    <row r="109" spans="1:13" s="23" customFormat="1" ht="14.1" customHeight="1">
      <c r="A109" s="247">
        <f t="shared" si="37"/>
        <v>103</v>
      </c>
      <c r="B109" s="7"/>
      <c r="C109" s="10"/>
      <c r="D109" s="10"/>
      <c r="E109" s="10"/>
      <c r="F109" s="17"/>
      <c r="G109" s="305"/>
      <c r="H109" s="17"/>
      <c r="I109" s="17"/>
      <c r="J109" s="17"/>
      <c r="K109" s="30"/>
      <c r="L109" s="43"/>
    </row>
    <row r="110" spans="1:13" ht="14.1" customHeight="1">
      <c r="A110" s="247">
        <f t="shared" si="37"/>
        <v>104</v>
      </c>
      <c r="B110" s="3" t="s">
        <v>96</v>
      </c>
      <c r="C110" s="48"/>
      <c r="D110" s="48"/>
      <c r="E110" s="48"/>
      <c r="F110" s="11"/>
      <c r="G110" s="11"/>
      <c r="H110" s="11"/>
      <c r="I110" s="11"/>
      <c r="J110" s="11"/>
      <c r="K110" s="16"/>
      <c r="L110" s="43"/>
    </row>
    <row r="111" spans="1:13" ht="14.1" customHeight="1">
      <c r="A111" s="247">
        <f t="shared" si="37"/>
        <v>105</v>
      </c>
      <c r="B111" s="203" t="s">
        <v>97</v>
      </c>
      <c r="C111" s="11">
        <v>29820795.52</v>
      </c>
      <c r="D111" s="11">
        <v>0</v>
      </c>
      <c r="E111" s="11">
        <f>C111+D111</f>
        <v>29820795.52</v>
      </c>
      <c r="F111" s="43">
        <f>E111-G111</f>
        <v>417491.51999999955</v>
      </c>
      <c r="G111" s="43">
        <f>ROUND(E111*'Allocation Factors'!$G$12,0)</f>
        <v>29403304</v>
      </c>
      <c r="H111" s="11">
        <f>'Sch 5'!C111</f>
        <v>0</v>
      </c>
      <c r="I111" s="11">
        <f t="shared" ref="I111:I121" si="48">G111+H111</f>
        <v>29403304</v>
      </c>
      <c r="J111" s="11"/>
      <c r="K111" s="16" t="s">
        <v>348</v>
      </c>
      <c r="L111" s="43"/>
    </row>
    <row r="112" spans="1:13" ht="14.1" customHeight="1">
      <c r="A112" s="247">
        <f t="shared" si="37"/>
        <v>106</v>
      </c>
      <c r="B112" s="203" t="s">
        <v>98</v>
      </c>
      <c r="C112" s="11">
        <v>6610517.79</v>
      </c>
      <c r="D112" s="11">
        <v>0</v>
      </c>
      <c r="E112" s="11">
        <f t="shared" ref="E112:E121" si="49">C112+D112</f>
        <v>6610517.79</v>
      </c>
      <c r="F112" s="43">
        <f t="shared" ref="F112:F121" si="50">E112-G112</f>
        <v>92546.790000000037</v>
      </c>
      <c r="G112" s="43">
        <f>ROUND(E112*'Allocation Factors'!$G$12,0)</f>
        <v>6517971</v>
      </c>
      <c r="H112" s="11">
        <f>'Sch 5'!C112</f>
        <v>0</v>
      </c>
      <c r="I112" s="11">
        <f t="shared" si="48"/>
        <v>6517971</v>
      </c>
      <c r="J112" s="11"/>
      <c r="K112" s="16" t="s">
        <v>348</v>
      </c>
      <c r="L112" s="43"/>
    </row>
    <row r="113" spans="1:12" ht="14.1" customHeight="1">
      <c r="A113" s="247">
        <f t="shared" si="37"/>
        <v>107</v>
      </c>
      <c r="B113" s="203" t="s">
        <v>99</v>
      </c>
      <c r="C113" s="11">
        <v>164718197.25999999</v>
      </c>
      <c r="D113" s="11">
        <v>0</v>
      </c>
      <c r="E113" s="11">
        <f t="shared" si="49"/>
        <v>164718197.25999999</v>
      </c>
      <c r="F113" s="43">
        <f t="shared" si="50"/>
        <v>2306055.2599999905</v>
      </c>
      <c r="G113" s="43">
        <f>ROUND(E113*'Allocation Factors'!$G$12,0)</f>
        <v>162412142</v>
      </c>
      <c r="H113" s="11">
        <f>'Sch 5'!C113</f>
        <v>0</v>
      </c>
      <c r="I113" s="11">
        <f t="shared" si="48"/>
        <v>162412142</v>
      </c>
      <c r="J113" s="11"/>
      <c r="K113" s="16" t="s">
        <v>348</v>
      </c>
      <c r="L113" s="43"/>
    </row>
    <row r="114" spans="1:12" ht="14.1" customHeight="1">
      <c r="A114" s="247">
        <f t="shared" si="37"/>
        <v>108</v>
      </c>
      <c r="B114" s="203" t="s">
        <v>100</v>
      </c>
      <c r="C114" s="11">
        <v>98267.11</v>
      </c>
      <c r="D114" s="11">
        <v>0</v>
      </c>
      <c r="E114" s="11">
        <f t="shared" si="49"/>
        <v>98267.11</v>
      </c>
      <c r="F114" s="43">
        <f t="shared" si="50"/>
        <v>1376.1100000000006</v>
      </c>
      <c r="G114" s="43">
        <f>ROUND(E114*'Allocation Factors'!$G$10,0)</f>
        <v>96891</v>
      </c>
      <c r="H114" s="11">
        <f>'Sch 5'!C114</f>
        <v>-16181.107960000001</v>
      </c>
      <c r="I114" s="11">
        <f t="shared" si="48"/>
        <v>80709.892040000006</v>
      </c>
      <c r="J114" s="11"/>
      <c r="K114" s="16" t="s">
        <v>346</v>
      </c>
      <c r="L114" s="43"/>
    </row>
    <row r="115" spans="1:12" ht="14.1" customHeight="1">
      <c r="A115" s="247">
        <f t="shared" si="37"/>
        <v>109</v>
      </c>
      <c r="B115" s="203" t="s">
        <v>101</v>
      </c>
      <c r="C115" s="11">
        <v>11133118</v>
      </c>
      <c r="D115" s="11">
        <v>0</v>
      </c>
      <c r="E115" s="11">
        <f t="shared" si="49"/>
        <v>11133118</v>
      </c>
      <c r="F115" s="43">
        <f t="shared" si="50"/>
        <v>155864</v>
      </c>
      <c r="G115" s="43">
        <f>ROUND(E115*'Allocation Factors'!$G$10,0)</f>
        <v>10977254</v>
      </c>
      <c r="H115" s="11">
        <f>'Sch 5'!C115</f>
        <v>-1002483.37612</v>
      </c>
      <c r="I115" s="11">
        <f t="shared" si="48"/>
        <v>9974770.6238800008</v>
      </c>
      <c r="J115" s="11"/>
      <c r="K115" s="16" t="s">
        <v>346</v>
      </c>
      <c r="L115" s="43"/>
    </row>
    <row r="116" spans="1:12" ht="14.1" customHeight="1">
      <c r="A116" s="247">
        <f t="shared" si="37"/>
        <v>110</v>
      </c>
      <c r="B116" s="203" t="s">
        <v>102</v>
      </c>
      <c r="C116" s="11">
        <v>94436651.280000001</v>
      </c>
      <c r="D116" s="11">
        <v>0</v>
      </c>
      <c r="E116" s="11">
        <f t="shared" si="49"/>
        <v>94436651.280000001</v>
      </c>
      <c r="F116" s="43">
        <f t="shared" si="50"/>
        <v>1322113.2800000012</v>
      </c>
      <c r="G116" s="43">
        <f>ROUND(E116*'Allocation Factors'!$G$12,0)</f>
        <v>93114538</v>
      </c>
      <c r="H116" s="11">
        <f>'Sch 5'!C116</f>
        <v>0</v>
      </c>
      <c r="I116" s="11">
        <f t="shared" si="48"/>
        <v>93114538</v>
      </c>
      <c r="J116" s="11"/>
      <c r="K116" s="16" t="s">
        <v>348</v>
      </c>
      <c r="L116" s="43"/>
    </row>
    <row r="117" spans="1:12" ht="14.1" customHeight="1">
      <c r="A117" s="247">
        <f t="shared" si="37"/>
        <v>111</v>
      </c>
      <c r="B117" s="203" t="s">
        <v>103</v>
      </c>
      <c r="C117" s="11">
        <v>58713121.880000003</v>
      </c>
      <c r="D117" s="11">
        <v>0</v>
      </c>
      <c r="E117" s="11">
        <f t="shared" si="49"/>
        <v>58713121.880000003</v>
      </c>
      <c r="F117" s="43">
        <f t="shared" si="50"/>
        <v>821983.88000000268</v>
      </c>
      <c r="G117" s="43">
        <f>ROUND(E117*'Allocation Factors'!$G$12,0)</f>
        <v>57891138</v>
      </c>
      <c r="H117" s="11">
        <f>'Sch 5'!C117</f>
        <v>0</v>
      </c>
      <c r="I117" s="11">
        <f t="shared" si="48"/>
        <v>57891138</v>
      </c>
      <c r="J117" s="11"/>
      <c r="K117" s="16" t="s">
        <v>348</v>
      </c>
      <c r="L117" s="43"/>
    </row>
    <row r="118" spans="1:12" ht="14.1" customHeight="1">
      <c r="A118" s="247">
        <f t="shared" si="37"/>
        <v>112</v>
      </c>
      <c r="B118" s="203" t="s">
        <v>104</v>
      </c>
      <c r="C118" s="11">
        <v>117008240.63</v>
      </c>
      <c r="D118" s="11">
        <v>0</v>
      </c>
      <c r="E118" s="11">
        <f t="shared" si="49"/>
        <v>117008240.63</v>
      </c>
      <c r="F118" s="43">
        <f t="shared" si="50"/>
        <v>1638115.6299999952</v>
      </c>
      <c r="G118" s="43">
        <f>ROUND(E118*'Allocation Factors'!$G$12,0)</f>
        <v>115370125</v>
      </c>
      <c r="H118" s="11">
        <f>'Sch 5'!C118</f>
        <v>0</v>
      </c>
      <c r="I118" s="11">
        <f t="shared" si="48"/>
        <v>115370125</v>
      </c>
      <c r="J118" s="11"/>
      <c r="K118" s="16" t="s">
        <v>348</v>
      </c>
      <c r="L118" s="43"/>
    </row>
    <row r="119" spans="1:12" ht="14.1" customHeight="1">
      <c r="A119" s="247">
        <f t="shared" si="37"/>
        <v>113</v>
      </c>
      <c r="B119" s="203" t="s">
        <v>105</v>
      </c>
      <c r="C119" s="11">
        <v>11590</v>
      </c>
      <c r="D119" s="11">
        <v>0</v>
      </c>
      <c r="E119" s="11">
        <f t="shared" si="49"/>
        <v>11590</v>
      </c>
      <c r="F119" s="43">
        <f t="shared" si="50"/>
        <v>162</v>
      </c>
      <c r="G119" s="43">
        <f>ROUND(E119*'Allocation Factors'!$G$12,0)</f>
        <v>11428</v>
      </c>
      <c r="H119" s="11">
        <f>'Sch 5'!C119</f>
        <v>0</v>
      </c>
      <c r="I119" s="11">
        <f t="shared" si="48"/>
        <v>11428</v>
      </c>
      <c r="J119" s="11"/>
      <c r="K119" s="16" t="s">
        <v>348</v>
      </c>
      <c r="L119" s="43"/>
    </row>
    <row r="120" spans="1:12" ht="14.1" customHeight="1">
      <c r="A120" s="247">
        <f t="shared" si="37"/>
        <v>114</v>
      </c>
      <c r="B120" s="203" t="s">
        <v>106</v>
      </c>
      <c r="C120" s="11">
        <v>106066</v>
      </c>
      <c r="D120" s="11">
        <v>0</v>
      </c>
      <c r="E120" s="11">
        <f t="shared" si="49"/>
        <v>106066</v>
      </c>
      <c r="F120" s="43">
        <f t="shared" si="50"/>
        <v>1485</v>
      </c>
      <c r="G120" s="43">
        <f>ROUND(E120*'Allocation Factors'!$G$12,0)</f>
        <v>104581</v>
      </c>
      <c r="H120" s="11">
        <f>'Sch 5'!C120</f>
        <v>0</v>
      </c>
      <c r="I120" s="11">
        <f t="shared" si="48"/>
        <v>104581</v>
      </c>
      <c r="J120" s="11"/>
      <c r="K120" s="16" t="s">
        <v>348</v>
      </c>
      <c r="L120" s="43"/>
    </row>
    <row r="121" spans="1:12" ht="14.1" customHeight="1">
      <c r="A121" s="247">
        <f t="shared" si="37"/>
        <v>115</v>
      </c>
      <c r="B121" s="92" t="s">
        <v>107</v>
      </c>
      <c r="C121" s="11">
        <v>0</v>
      </c>
      <c r="D121" s="11">
        <v>0</v>
      </c>
      <c r="E121" s="11">
        <f t="shared" si="49"/>
        <v>0</v>
      </c>
      <c r="F121" s="43">
        <f t="shared" si="50"/>
        <v>0</v>
      </c>
      <c r="G121" s="43">
        <f>ROUND(E121*'Allocation Factors'!$G$12,0)</f>
        <v>0</v>
      </c>
      <c r="H121" s="11">
        <f>'Sch 5'!C121</f>
        <v>0</v>
      </c>
      <c r="I121" s="11">
        <f t="shared" si="48"/>
        <v>0</v>
      </c>
      <c r="J121" s="11"/>
      <c r="K121" s="16" t="s">
        <v>348</v>
      </c>
      <c r="L121" s="43"/>
    </row>
    <row r="122" spans="1:12" ht="14.1" customHeight="1">
      <c r="A122" s="247">
        <f t="shared" si="37"/>
        <v>116</v>
      </c>
      <c r="B122" s="2" t="s">
        <v>524</v>
      </c>
      <c r="C122" s="189">
        <f t="shared" ref="C122:I122" si="51">SUM(C111:C121)</f>
        <v>482656565.47000003</v>
      </c>
      <c r="D122" s="189">
        <f t="shared" si="51"/>
        <v>0</v>
      </c>
      <c r="E122" s="189">
        <f t="shared" si="51"/>
        <v>482656565.47000003</v>
      </c>
      <c r="F122" s="189">
        <f t="shared" si="51"/>
        <v>6757193.4699999895</v>
      </c>
      <c r="G122" s="189">
        <f t="shared" si="51"/>
        <v>475899372</v>
      </c>
      <c r="H122" s="189">
        <f t="shared" si="51"/>
        <v>-1018664.4840800001</v>
      </c>
      <c r="I122" s="189">
        <f t="shared" si="51"/>
        <v>474880707.51592004</v>
      </c>
      <c r="J122" s="189"/>
      <c r="K122" s="324"/>
      <c r="L122" s="43"/>
    </row>
    <row r="123" spans="1:12" ht="14.1" customHeight="1">
      <c r="A123" s="247">
        <f t="shared" si="37"/>
        <v>117</v>
      </c>
      <c r="B123" s="7"/>
      <c r="C123" s="17"/>
      <c r="D123" s="17"/>
      <c r="E123" s="17"/>
      <c r="F123" s="17"/>
      <c r="G123" s="305"/>
      <c r="H123" s="17"/>
      <c r="I123" s="48"/>
      <c r="J123" s="48"/>
      <c r="K123" s="16"/>
      <c r="L123" s="43"/>
    </row>
    <row r="124" spans="1:12" ht="14.1" customHeight="1">
      <c r="A124" s="247">
        <f t="shared" si="37"/>
        <v>118</v>
      </c>
      <c r="B124" s="3" t="s">
        <v>108</v>
      </c>
      <c r="C124" s="11"/>
      <c r="D124" s="11"/>
      <c r="E124" s="11"/>
      <c r="F124" s="11"/>
      <c r="G124" s="325"/>
      <c r="H124" s="11"/>
      <c r="I124" s="11"/>
      <c r="J124" s="11"/>
      <c r="K124" s="16"/>
      <c r="L124" s="43"/>
    </row>
    <row r="125" spans="1:12" ht="14.1" customHeight="1">
      <c r="A125" s="247">
        <f t="shared" si="37"/>
        <v>119</v>
      </c>
      <c r="B125" s="203" t="s">
        <v>109</v>
      </c>
      <c r="C125" s="11">
        <v>7496164.6200000001</v>
      </c>
      <c r="D125" s="11">
        <v>0</v>
      </c>
      <c r="E125" s="11">
        <f>C125+D125</f>
        <v>7496164.6200000001</v>
      </c>
      <c r="F125" s="24">
        <v>1408</v>
      </c>
      <c r="G125" s="204">
        <f>E125-F125</f>
        <v>7494756.6200000001</v>
      </c>
      <c r="H125" s="11">
        <f>'Sch 5'!C125</f>
        <v>0</v>
      </c>
      <c r="I125" s="11">
        <f t="shared" ref="I125:I139" si="52">G125+H125</f>
        <v>7494756.6200000001</v>
      </c>
      <c r="J125" s="11"/>
      <c r="K125" s="16" t="s">
        <v>57</v>
      </c>
      <c r="L125" s="43"/>
    </row>
    <row r="126" spans="1:12" ht="14.1" customHeight="1">
      <c r="A126" s="247">
        <f t="shared" si="37"/>
        <v>120</v>
      </c>
      <c r="B126" s="203" t="s">
        <v>110</v>
      </c>
      <c r="C126" s="11">
        <v>4372005.84</v>
      </c>
      <c r="D126" s="11">
        <v>0</v>
      </c>
      <c r="E126" s="11">
        <f t="shared" ref="E126:E139" si="53">C126+D126</f>
        <v>4372005.84</v>
      </c>
      <c r="F126" s="24">
        <v>44907</v>
      </c>
      <c r="G126" s="204">
        <f t="shared" ref="G126:G139" si="54">E126-F126</f>
        <v>4327098.84</v>
      </c>
      <c r="H126" s="11">
        <f>'Sch 5'!C126</f>
        <v>0</v>
      </c>
      <c r="I126" s="11">
        <f t="shared" si="52"/>
        <v>4327098.84</v>
      </c>
      <c r="J126" s="11"/>
      <c r="K126" s="16" t="s">
        <v>57</v>
      </c>
      <c r="L126" s="43"/>
    </row>
    <row r="127" spans="1:12" ht="14.1" customHeight="1">
      <c r="A127" s="247">
        <f t="shared" si="37"/>
        <v>121</v>
      </c>
      <c r="B127" s="203" t="s">
        <v>111</v>
      </c>
      <c r="C127" s="11">
        <v>73319923.480000004</v>
      </c>
      <c r="D127" s="11">
        <v>0</v>
      </c>
      <c r="E127" s="11">
        <f t="shared" si="53"/>
        <v>73319923.480000004</v>
      </c>
      <c r="F127" s="24">
        <v>903859</v>
      </c>
      <c r="G127" s="204">
        <f t="shared" si="54"/>
        <v>72416064.480000004</v>
      </c>
      <c r="H127" s="11">
        <f>'Sch 5'!C127</f>
        <v>0</v>
      </c>
      <c r="I127" s="11">
        <f t="shared" si="52"/>
        <v>72416064.480000004</v>
      </c>
      <c r="J127" s="11"/>
      <c r="K127" s="16" t="s">
        <v>57</v>
      </c>
      <c r="L127" s="43"/>
    </row>
    <row r="128" spans="1:12" ht="14.1" customHeight="1">
      <c r="A128" s="247">
        <f t="shared" si="37"/>
        <v>122</v>
      </c>
      <c r="B128" s="203" t="s">
        <v>112</v>
      </c>
      <c r="C128" s="11">
        <v>0</v>
      </c>
      <c r="D128" s="11">
        <v>0</v>
      </c>
      <c r="E128" s="11">
        <f t="shared" si="53"/>
        <v>0</v>
      </c>
      <c r="F128" s="24">
        <v>0</v>
      </c>
      <c r="G128" s="24">
        <f t="shared" si="54"/>
        <v>0</v>
      </c>
      <c r="H128" s="11">
        <f>'Sch 5'!C128</f>
        <v>0</v>
      </c>
      <c r="I128" s="11">
        <f t="shared" si="52"/>
        <v>0</v>
      </c>
      <c r="J128" s="11"/>
      <c r="K128" s="16" t="s">
        <v>367</v>
      </c>
      <c r="L128" s="43"/>
    </row>
    <row r="129" spans="1:12" ht="14.1" customHeight="1">
      <c r="A129" s="247">
        <f t="shared" si="37"/>
        <v>123</v>
      </c>
      <c r="B129" s="203" t="s">
        <v>113</v>
      </c>
      <c r="C129" s="11">
        <v>182368418.75</v>
      </c>
      <c r="D129" s="11">
        <v>0</v>
      </c>
      <c r="E129" s="11">
        <f t="shared" si="53"/>
        <v>182368418.75</v>
      </c>
      <c r="F129" s="24">
        <v>0</v>
      </c>
      <c r="G129" s="204">
        <f t="shared" si="54"/>
        <v>182368418.75</v>
      </c>
      <c r="H129" s="11">
        <f>'Sch 5'!C129</f>
        <v>0</v>
      </c>
      <c r="I129" s="11">
        <f t="shared" si="52"/>
        <v>182368418.75</v>
      </c>
      <c r="J129" s="11"/>
      <c r="K129" s="16" t="s">
        <v>367</v>
      </c>
      <c r="L129" s="43"/>
    </row>
    <row r="130" spans="1:12" ht="14.1" customHeight="1">
      <c r="A130" s="247">
        <f t="shared" si="37"/>
        <v>124</v>
      </c>
      <c r="B130" s="203" t="s">
        <v>114</v>
      </c>
      <c r="C130" s="11">
        <v>181862887.90000001</v>
      </c>
      <c r="D130" s="11">
        <v>0</v>
      </c>
      <c r="E130" s="11">
        <f t="shared" si="53"/>
        <v>181862887.90000001</v>
      </c>
      <c r="F130" s="24">
        <v>0</v>
      </c>
      <c r="G130" s="204">
        <f t="shared" si="54"/>
        <v>181862887.90000001</v>
      </c>
      <c r="H130" s="11">
        <f>'Sch 5'!C130</f>
        <v>0</v>
      </c>
      <c r="I130" s="11">
        <f t="shared" si="52"/>
        <v>181862887.90000001</v>
      </c>
      <c r="J130" s="11"/>
      <c r="K130" s="16" t="s">
        <v>367</v>
      </c>
      <c r="L130" s="43"/>
    </row>
    <row r="131" spans="1:12" ht="14.1" customHeight="1">
      <c r="A131" s="247">
        <f t="shared" si="37"/>
        <v>125</v>
      </c>
      <c r="B131" s="203" t="s">
        <v>115</v>
      </c>
      <c r="C131" s="11">
        <v>6554721.4900000002</v>
      </c>
      <c r="D131" s="11">
        <v>0</v>
      </c>
      <c r="E131" s="11">
        <f t="shared" si="53"/>
        <v>6554721.4900000002</v>
      </c>
      <c r="F131" s="24">
        <v>0</v>
      </c>
      <c r="G131" s="204">
        <f t="shared" si="54"/>
        <v>6554721.4900000002</v>
      </c>
      <c r="H131" s="11">
        <f>'Sch 5'!C131</f>
        <v>0</v>
      </c>
      <c r="I131" s="11">
        <f t="shared" si="52"/>
        <v>6554721.4900000002</v>
      </c>
      <c r="J131" s="11"/>
      <c r="K131" s="16" t="s">
        <v>367</v>
      </c>
      <c r="L131" s="43"/>
    </row>
    <row r="132" spans="1:12" ht="14.1" customHeight="1">
      <c r="A132" s="247">
        <f t="shared" si="37"/>
        <v>126</v>
      </c>
      <c r="B132" s="203" t="s">
        <v>116</v>
      </c>
      <c r="C132" s="11">
        <v>9888360.5800000001</v>
      </c>
      <c r="D132" s="11">
        <v>0</v>
      </c>
      <c r="E132" s="11">
        <f t="shared" si="53"/>
        <v>9888360.5800000001</v>
      </c>
      <c r="F132" s="24">
        <v>0</v>
      </c>
      <c r="G132" s="204">
        <f t="shared" si="54"/>
        <v>9888360.5800000001</v>
      </c>
      <c r="H132" s="11">
        <f>'Sch 5'!C132</f>
        <v>0</v>
      </c>
      <c r="I132" s="11">
        <f t="shared" si="52"/>
        <v>9888360.5800000001</v>
      </c>
      <c r="J132" s="11"/>
      <c r="K132" s="16" t="s">
        <v>367</v>
      </c>
      <c r="L132" s="43"/>
    </row>
    <row r="133" spans="1:12" ht="14.1" customHeight="1">
      <c r="A133" s="247">
        <f t="shared" si="37"/>
        <v>127</v>
      </c>
      <c r="B133" s="203" t="s">
        <v>117</v>
      </c>
      <c r="C133" s="11">
        <v>121414759.15000001</v>
      </c>
      <c r="D133" s="11">
        <v>0</v>
      </c>
      <c r="E133" s="11">
        <f t="shared" si="53"/>
        <v>121414759.15000001</v>
      </c>
      <c r="F133" s="24">
        <v>0</v>
      </c>
      <c r="G133" s="204">
        <f t="shared" si="54"/>
        <v>121414759.15000001</v>
      </c>
      <c r="H133" s="11">
        <f>'Sch 5'!C133</f>
        <v>0</v>
      </c>
      <c r="I133" s="11">
        <f t="shared" si="52"/>
        <v>121414759.15000001</v>
      </c>
      <c r="J133" s="11"/>
      <c r="K133" s="16" t="s">
        <v>367</v>
      </c>
      <c r="L133" s="43"/>
    </row>
    <row r="134" spans="1:12" ht="14.1" customHeight="1">
      <c r="A134" s="247">
        <f t="shared" si="37"/>
        <v>128</v>
      </c>
      <c r="B134" s="203" t="s">
        <v>118</v>
      </c>
      <c r="C134" s="11">
        <v>54979154.359999999</v>
      </c>
      <c r="D134" s="11">
        <v>0</v>
      </c>
      <c r="E134" s="11">
        <f t="shared" si="53"/>
        <v>54979154.359999999</v>
      </c>
      <c r="F134" s="24">
        <v>0</v>
      </c>
      <c r="G134" s="204">
        <f t="shared" si="54"/>
        <v>54979154.359999999</v>
      </c>
      <c r="H134" s="11">
        <f>'Sch 5'!C134</f>
        <v>0</v>
      </c>
      <c r="I134" s="11">
        <f t="shared" si="52"/>
        <v>54979154.359999999</v>
      </c>
      <c r="J134" s="11"/>
      <c r="K134" s="16" t="s">
        <v>367</v>
      </c>
      <c r="L134" s="43"/>
    </row>
    <row r="135" spans="1:12" ht="14.1" customHeight="1">
      <c r="A135" s="247">
        <f t="shared" si="37"/>
        <v>129</v>
      </c>
      <c r="B135" s="203" t="s">
        <v>119</v>
      </c>
      <c r="C135" s="11">
        <v>24401895.530000001</v>
      </c>
      <c r="D135" s="11">
        <v>0</v>
      </c>
      <c r="E135" s="11">
        <f t="shared" si="53"/>
        <v>24401895.530000001</v>
      </c>
      <c r="F135" s="24">
        <v>4102</v>
      </c>
      <c r="G135" s="204">
        <f t="shared" si="54"/>
        <v>24397793.530000001</v>
      </c>
      <c r="H135" s="11">
        <f>'Sch 5'!C135</f>
        <v>0</v>
      </c>
      <c r="I135" s="11">
        <f t="shared" si="52"/>
        <v>24397793.530000001</v>
      </c>
      <c r="J135" s="11"/>
      <c r="K135" s="16" t="s">
        <v>57</v>
      </c>
      <c r="L135" s="43"/>
    </row>
    <row r="136" spans="1:12" ht="14.1" customHeight="1">
      <c r="A136" s="247">
        <f t="shared" si="37"/>
        <v>130</v>
      </c>
      <c r="B136" s="203" t="s">
        <v>120</v>
      </c>
      <c r="C136" s="11">
        <v>19919675.879999999</v>
      </c>
      <c r="D136" s="11">
        <v>0</v>
      </c>
      <c r="E136" s="11">
        <f t="shared" si="53"/>
        <v>19919675.879999999</v>
      </c>
      <c r="F136" s="24">
        <v>0</v>
      </c>
      <c r="G136" s="204">
        <f t="shared" si="54"/>
        <v>19919675.879999999</v>
      </c>
      <c r="H136" s="11">
        <f>'Sch 5'!C136</f>
        <v>0</v>
      </c>
      <c r="I136" s="11">
        <f t="shared" si="52"/>
        <v>19919675.879999999</v>
      </c>
      <c r="J136" s="11"/>
      <c r="K136" s="16" t="s">
        <v>367</v>
      </c>
      <c r="L136" s="43"/>
    </row>
    <row r="137" spans="1:12" ht="14.1" customHeight="1">
      <c r="A137" s="247">
        <f t="shared" si="37"/>
        <v>131</v>
      </c>
      <c r="B137" s="203" t="s">
        <v>121</v>
      </c>
      <c r="C137" s="11">
        <v>0</v>
      </c>
      <c r="D137" s="11">
        <v>0</v>
      </c>
      <c r="E137" s="11">
        <f t="shared" si="53"/>
        <v>0</v>
      </c>
      <c r="F137" s="24">
        <v>0</v>
      </c>
      <c r="G137" s="24">
        <f t="shared" si="54"/>
        <v>0</v>
      </c>
      <c r="H137" s="11">
        <f>'Sch 5'!C137</f>
        <v>0</v>
      </c>
      <c r="I137" s="11">
        <f t="shared" si="52"/>
        <v>0</v>
      </c>
      <c r="J137" s="11"/>
      <c r="K137" s="16" t="s">
        <v>367</v>
      </c>
      <c r="L137" s="43"/>
    </row>
    <row r="138" spans="1:12" ht="14.1" customHeight="1">
      <c r="A138" s="247">
        <f t="shared" si="37"/>
        <v>132</v>
      </c>
      <c r="B138" s="203" t="s">
        <v>122</v>
      </c>
      <c r="C138" s="11">
        <v>3401549.14</v>
      </c>
      <c r="D138" s="11">
        <v>0</v>
      </c>
      <c r="E138" s="11">
        <f t="shared" si="53"/>
        <v>3401549.14</v>
      </c>
      <c r="F138" s="24">
        <v>0</v>
      </c>
      <c r="G138" s="204">
        <f t="shared" si="54"/>
        <v>3401549.14</v>
      </c>
      <c r="H138" s="11">
        <f>'Sch 5'!C138</f>
        <v>0</v>
      </c>
      <c r="I138" s="11">
        <f t="shared" si="52"/>
        <v>3401549.14</v>
      </c>
      <c r="J138" s="11"/>
      <c r="K138" s="16" t="s">
        <v>367</v>
      </c>
      <c r="L138" s="43"/>
    </row>
    <row r="139" spans="1:12" ht="14.1" customHeight="1">
      <c r="A139" s="247">
        <f t="shared" ref="A139:A180" si="55">+A138+1</f>
        <v>133</v>
      </c>
      <c r="B139" s="92" t="s">
        <v>123</v>
      </c>
      <c r="C139" s="11">
        <v>0</v>
      </c>
      <c r="D139" s="11">
        <v>0</v>
      </c>
      <c r="E139" s="11">
        <f t="shared" si="53"/>
        <v>0</v>
      </c>
      <c r="F139" s="24">
        <v>0</v>
      </c>
      <c r="G139" s="24">
        <f t="shared" si="54"/>
        <v>0</v>
      </c>
      <c r="H139" s="11">
        <f>'Sch 5'!C139</f>
        <v>0</v>
      </c>
      <c r="I139" s="11">
        <f t="shared" si="52"/>
        <v>0</v>
      </c>
      <c r="J139" s="11"/>
      <c r="K139" s="16" t="s">
        <v>367</v>
      </c>
      <c r="L139" s="43"/>
    </row>
    <row r="140" spans="1:12" ht="14.1" customHeight="1">
      <c r="A140" s="247">
        <f t="shared" si="55"/>
        <v>134</v>
      </c>
      <c r="B140" s="2" t="s">
        <v>525</v>
      </c>
      <c r="C140" s="189">
        <f t="shared" ref="C140:I140" si="56">SUM(C125:C139)</f>
        <v>689979516.72000003</v>
      </c>
      <c r="D140" s="189">
        <f t="shared" si="56"/>
        <v>0</v>
      </c>
      <c r="E140" s="189">
        <f t="shared" si="56"/>
        <v>689979516.72000003</v>
      </c>
      <c r="F140" s="189">
        <f t="shared" si="56"/>
        <v>954276</v>
      </c>
      <c r="G140" s="189">
        <f t="shared" si="56"/>
        <v>689025240.72000003</v>
      </c>
      <c r="H140" s="189">
        <f t="shared" si="56"/>
        <v>0</v>
      </c>
      <c r="I140" s="189">
        <f t="shared" si="56"/>
        <v>689025240.72000003</v>
      </c>
      <c r="J140" s="189"/>
      <c r="K140" s="324"/>
      <c r="L140" s="43"/>
    </row>
    <row r="141" spans="1:12" ht="14.1" customHeight="1">
      <c r="A141" s="247">
        <f t="shared" si="55"/>
        <v>135</v>
      </c>
      <c r="B141" s="7"/>
      <c r="C141" s="17"/>
      <c r="D141" s="17"/>
      <c r="E141" s="17"/>
      <c r="F141" s="17"/>
      <c r="G141" s="305"/>
      <c r="H141" s="17"/>
      <c r="I141" s="48"/>
      <c r="J141" s="48"/>
      <c r="K141" s="16"/>
      <c r="L141" s="43"/>
    </row>
    <row r="142" spans="1:12" ht="14.1" customHeight="1">
      <c r="A142" s="247">
        <f t="shared" si="55"/>
        <v>136</v>
      </c>
      <c r="B142" s="3" t="s">
        <v>124</v>
      </c>
      <c r="C142" s="11"/>
      <c r="D142" s="11"/>
      <c r="E142" s="11"/>
      <c r="F142" s="11"/>
      <c r="G142" s="11"/>
      <c r="H142" s="11"/>
      <c r="I142" s="11"/>
      <c r="J142" s="11"/>
      <c r="K142" s="16"/>
      <c r="L142" s="43"/>
    </row>
    <row r="143" spans="1:12" ht="14.1" customHeight="1">
      <c r="A143" s="247">
        <f t="shared" si="55"/>
        <v>137</v>
      </c>
      <c r="B143" s="203" t="s">
        <v>125</v>
      </c>
      <c r="C143" s="11">
        <v>1524731</v>
      </c>
      <c r="D143" s="11">
        <v>0</v>
      </c>
      <c r="E143" s="11">
        <f>C143+D143</f>
        <v>1524731</v>
      </c>
      <c r="F143" s="11">
        <f>E143-G143</f>
        <v>16772</v>
      </c>
      <c r="G143" s="11">
        <f>ROUND(E143*'Allocation Factors'!$G$22,0)</f>
        <v>1507959</v>
      </c>
      <c r="H143" s="11">
        <f>'Sch 5'!C143</f>
        <v>0</v>
      </c>
      <c r="I143" s="11">
        <f t="shared" ref="I143:I154" si="57">G143+H143</f>
        <v>1507959</v>
      </c>
      <c r="J143" s="11"/>
      <c r="K143" s="16" t="s">
        <v>381</v>
      </c>
      <c r="L143" s="43"/>
    </row>
    <row r="144" spans="1:12" ht="14.1" customHeight="1">
      <c r="A144" s="247">
        <f t="shared" si="55"/>
        <v>138</v>
      </c>
      <c r="B144" s="203" t="s">
        <v>126</v>
      </c>
      <c r="C144" s="11">
        <v>21495203.489999998</v>
      </c>
      <c r="D144" s="11">
        <v>0</v>
      </c>
      <c r="E144" s="11">
        <f t="shared" ref="E144:E154" si="58">C144+D144</f>
        <v>21495203.489999998</v>
      </c>
      <c r="F144" s="11">
        <f t="shared" ref="F144:F154" si="59">E144-G144</f>
        <v>236447.48999999836</v>
      </c>
      <c r="G144" s="11">
        <f>ROUND(E144*'Allocation Factors'!$G$22,0)</f>
        <v>21258756</v>
      </c>
      <c r="H144" s="11">
        <f>'Sch 5'!C144</f>
        <v>0</v>
      </c>
      <c r="I144" s="11">
        <f t="shared" si="57"/>
        <v>21258756</v>
      </c>
      <c r="J144" s="11"/>
      <c r="K144" s="16" t="s">
        <v>381</v>
      </c>
      <c r="L144" s="43"/>
    </row>
    <row r="145" spans="1:12" ht="14.1" customHeight="1">
      <c r="A145" s="247">
        <f t="shared" si="55"/>
        <v>139</v>
      </c>
      <c r="B145" s="203" t="s">
        <v>127</v>
      </c>
      <c r="C145" s="11">
        <v>1683332.81</v>
      </c>
      <c r="D145" s="11">
        <v>0</v>
      </c>
      <c r="E145" s="11">
        <f t="shared" si="58"/>
        <v>1683332.81</v>
      </c>
      <c r="F145" s="11">
        <f t="shared" si="59"/>
        <v>18516.810000000056</v>
      </c>
      <c r="G145" s="11">
        <f>ROUND(E145*'Allocation Factors'!$G$22,0)</f>
        <v>1664816</v>
      </c>
      <c r="H145" s="11">
        <f>'Sch 5'!C145</f>
        <v>0</v>
      </c>
      <c r="I145" s="11">
        <f t="shared" si="57"/>
        <v>1664816</v>
      </c>
      <c r="J145" s="11"/>
      <c r="K145" s="16" t="s">
        <v>381</v>
      </c>
      <c r="L145" s="43"/>
    </row>
    <row r="146" spans="1:12" ht="14.1" customHeight="1">
      <c r="A146" s="247">
        <f t="shared" si="55"/>
        <v>140</v>
      </c>
      <c r="B146" s="203" t="s">
        <v>128</v>
      </c>
      <c r="C146" s="11">
        <v>14767.6</v>
      </c>
      <c r="D146" s="11">
        <v>0</v>
      </c>
      <c r="E146" s="11">
        <f t="shared" si="58"/>
        <v>14767.6</v>
      </c>
      <c r="F146" s="11">
        <f t="shared" si="59"/>
        <v>162.60000000000036</v>
      </c>
      <c r="G146" s="11">
        <f>ROUND(E146*'Allocation Factors'!$G$22,0)</f>
        <v>14605</v>
      </c>
      <c r="H146" s="11">
        <f>'Sch 5'!C146</f>
        <v>0</v>
      </c>
      <c r="I146" s="11">
        <f t="shared" si="57"/>
        <v>14605</v>
      </c>
      <c r="J146" s="11"/>
      <c r="K146" s="16" t="s">
        <v>381</v>
      </c>
      <c r="L146" s="43"/>
    </row>
    <row r="147" spans="1:12" ht="14.1" customHeight="1">
      <c r="A147" s="247">
        <f t="shared" si="55"/>
        <v>141</v>
      </c>
      <c r="B147" s="203" t="s">
        <v>129</v>
      </c>
      <c r="C147" s="11">
        <v>164548.38</v>
      </c>
      <c r="D147" s="11">
        <v>0</v>
      </c>
      <c r="E147" s="11">
        <f t="shared" si="58"/>
        <v>164548.38</v>
      </c>
      <c r="F147" s="11">
        <f t="shared" si="59"/>
        <v>1810.3800000000047</v>
      </c>
      <c r="G147" s="11">
        <f>ROUND(E147*'Allocation Factors'!$G$22,0)</f>
        <v>162738</v>
      </c>
      <c r="H147" s="11">
        <f>'Sch 5'!C147</f>
        <v>0</v>
      </c>
      <c r="I147" s="11">
        <f t="shared" si="57"/>
        <v>162738</v>
      </c>
      <c r="J147" s="11"/>
      <c r="K147" s="16" t="s">
        <v>381</v>
      </c>
      <c r="L147" s="43"/>
    </row>
    <row r="148" spans="1:12" ht="14.1" customHeight="1">
      <c r="A148" s="247">
        <f t="shared" si="55"/>
        <v>142</v>
      </c>
      <c r="B148" s="203" t="s">
        <v>130</v>
      </c>
      <c r="C148" s="11">
        <v>3567435.8</v>
      </c>
      <c r="D148" s="11">
        <v>0</v>
      </c>
      <c r="E148" s="11">
        <f t="shared" si="58"/>
        <v>3567435.8</v>
      </c>
      <c r="F148" s="11">
        <f t="shared" si="59"/>
        <v>39241.799999999814</v>
      </c>
      <c r="G148" s="11">
        <f>ROUND(E148*'Allocation Factors'!$G$22,0)</f>
        <v>3528194</v>
      </c>
      <c r="H148" s="11">
        <f>'Sch 5'!C148</f>
        <v>0</v>
      </c>
      <c r="I148" s="11">
        <f t="shared" si="57"/>
        <v>3528194</v>
      </c>
      <c r="J148" s="11"/>
      <c r="K148" s="16" t="s">
        <v>381</v>
      </c>
      <c r="L148" s="43"/>
    </row>
    <row r="149" spans="1:12" ht="14.1" customHeight="1">
      <c r="A149" s="247">
        <f t="shared" si="55"/>
        <v>143</v>
      </c>
      <c r="B149" s="203" t="s">
        <v>131</v>
      </c>
      <c r="C149" s="11">
        <v>141764.70000000001</v>
      </c>
      <c r="D149" s="11">
        <v>0</v>
      </c>
      <c r="E149" s="11">
        <f t="shared" si="58"/>
        <v>141764.70000000001</v>
      </c>
      <c r="F149" s="11">
        <f t="shared" si="59"/>
        <v>1559.7000000000116</v>
      </c>
      <c r="G149" s="11">
        <f>ROUND(E149*'Allocation Factors'!$G$22,0)</f>
        <v>140205</v>
      </c>
      <c r="H149" s="11">
        <f>'Sch 5'!C149</f>
        <v>0</v>
      </c>
      <c r="I149" s="11">
        <f t="shared" si="57"/>
        <v>140205</v>
      </c>
      <c r="J149" s="11"/>
      <c r="K149" s="16" t="s">
        <v>381</v>
      </c>
      <c r="L149" s="43"/>
    </row>
    <row r="150" spans="1:12" ht="14.1" customHeight="1">
      <c r="A150" s="247">
        <f t="shared" si="55"/>
        <v>144</v>
      </c>
      <c r="B150" s="203" t="s">
        <v>132</v>
      </c>
      <c r="C150" s="11">
        <v>5931.29</v>
      </c>
      <c r="D150" s="11">
        <v>0</v>
      </c>
      <c r="E150" s="11">
        <f t="shared" si="58"/>
        <v>5931.29</v>
      </c>
      <c r="F150" s="11">
        <f t="shared" si="59"/>
        <v>65.289999999999964</v>
      </c>
      <c r="G150" s="11">
        <f>ROUND(E150*'Allocation Factors'!$G$22,0)</f>
        <v>5866</v>
      </c>
      <c r="H150" s="11">
        <f>'Sch 5'!C150</f>
        <v>0</v>
      </c>
      <c r="I150" s="11">
        <f t="shared" si="57"/>
        <v>5866</v>
      </c>
      <c r="J150" s="11"/>
      <c r="K150" s="16" t="s">
        <v>381</v>
      </c>
      <c r="L150" s="43"/>
    </row>
    <row r="151" spans="1:12" ht="14.1" customHeight="1">
      <c r="A151" s="247">
        <f t="shared" si="55"/>
        <v>145</v>
      </c>
      <c r="B151" s="203" t="s">
        <v>133</v>
      </c>
      <c r="C151" s="11">
        <v>7403037.8099999996</v>
      </c>
      <c r="D151" s="11">
        <v>0</v>
      </c>
      <c r="E151" s="11">
        <f t="shared" si="58"/>
        <v>7403037.8099999996</v>
      </c>
      <c r="F151" s="11">
        <f t="shared" si="59"/>
        <v>81433.80999999959</v>
      </c>
      <c r="G151" s="11">
        <f>ROUND(E151*'Allocation Factors'!$G$22,0)</f>
        <v>7321604</v>
      </c>
      <c r="H151" s="11">
        <f>'Sch 5'!C151</f>
        <v>0</v>
      </c>
      <c r="I151" s="11">
        <f t="shared" si="57"/>
        <v>7321604</v>
      </c>
      <c r="J151" s="11"/>
      <c r="K151" s="16" t="s">
        <v>381</v>
      </c>
      <c r="L151" s="43"/>
    </row>
    <row r="152" spans="1:12" ht="14.1" customHeight="1">
      <c r="A152" s="247">
        <f t="shared" si="55"/>
        <v>146</v>
      </c>
      <c r="B152" s="203" t="s">
        <v>134</v>
      </c>
      <c r="C152" s="11">
        <v>1563842.24</v>
      </c>
      <c r="D152" s="11">
        <v>0</v>
      </c>
      <c r="E152" s="11">
        <f t="shared" si="58"/>
        <v>1563842.24</v>
      </c>
      <c r="F152" s="11">
        <f t="shared" si="59"/>
        <v>17202.239999999991</v>
      </c>
      <c r="G152" s="11">
        <f>ROUND(E152*'Allocation Factors'!$G$22,0)</f>
        <v>1546640</v>
      </c>
      <c r="H152" s="11">
        <f>'Sch 5'!C152</f>
        <v>0</v>
      </c>
      <c r="I152" s="11">
        <f t="shared" si="57"/>
        <v>1546640</v>
      </c>
      <c r="J152" s="11"/>
      <c r="K152" s="16" t="s">
        <v>381</v>
      </c>
      <c r="L152" s="43"/>
    </row>
    <row r="153" spans="1:12" ht="14.1" customHeight="1">
      <c r="A153" s="247">
        <f t="shared" si="55"/>
        <v>147</v>
      </c>
      <c r="B153" s="203" t="s">
        <v>135</v>
      </c>
      <c r="C153" s="11">
        <v>0</v>
      </c>
      <c r="D153" s="11">
        <v>0</v>
      </c>
      <c r="E153" s="11">
        <f t="shared" si="58"/>
        <v>0</v>
      </c>
      <c r="F153" s="11">
        <f t="shared" si="59"/>
        <v>0</v>
      </c>
      <c r="G153" s="11">
        <f>ROUND(E153*'Allocation Factors'!$G$22,0)</f>
        <v>0</v>
      </c>
      <c r="H153" s="11">
        <f>'Sch 5'!C153</f>
        <v>0</v>
      </c>
      <c r="I153" s="11">
        <f t="shared" si="57"/>
        <v>0</v>
      </c>
      <c r="J153" s="11"/>
      <c r="K153" s="16" t="s">
        <v>381</v>
      </c>
      <c r="L153" s="43"/>
    </row>
    <row r="154" spans="1:12" ht="14.1" customHeight="1">
      <c r="A154" s="247">
        <f t="shared" si="55"/>
        <v>148</v>
      </c>
      <c r="B154" s="92" t="s">
        <v>136</v>
      </c>
      <c r="C154" s="11">
        <v>81054.350000000006</v>
      </c>
      <c r="D154" s="11">
        <f>C154*-1</f>
        <v>-81054.350000000006</v>
      </c>
      <c r="E154" s="11">
        <f t="shared" si="58"/>
        <v>0</v>
      </c>
      <c r="F154" s="11">
        <f t="shared" si="59"/>
        <v>0</v>
      </c>
      <c r="G154" s="11">
        <f>ROUND(E154*'Allocation Factors'!$G$22,0)</f>
        <v>0</v>
      </c>
      <c r="H154" s="11">
        <f>'Sch 5'!C154</f>
        <v>0</v>
      </c>
      <c r="I154" s="11">
        <f t="shared" si="57"/>
        <v>0</v>
      </c>
      <c r="J154" s="11"/>
      <c r="K154" s="16" t="s">
        <v>381</v>
      </c>
      <c r="L154" s="43"/>
    </row>
    <row r="155" spans="1:12" ht="14.1" customHeight="1">
      <c r="A155" s="247">
        <f t="shared" si="55"/>
        <v>149</v>
      </c>
      <c r="B155" s="205" t="s">
        <v>526</v>
      </c>
      <c r="C155" s="189">
        <f t="shared" ref="C155:I155" si="60">SUM(C143:C154)</f>
        <v>37645649.469999999</v>
      </c>
      <c r="D155" s="189">
        <f t="shared" si="60"/>
        <v>-81054.350000000006</v>
      </c>
      <c r="E155" s="189">
        <f t="shared" si="60"/>
        <v>37564595.119999997</v>
      </c>
      <c r="F155" s="189">
        <f t="shared" si="60"/>
        <v>413212.11999999778</v>
      </c>
      <c r="G155" s="189">
        <f t="shared" si="60"/>
        <v>37151383</v>
      </c>
      <c r="H155" s="189">
        <f t="shared" si="60"/>
        <v>0</v>
      </c>
      <c r="I155" s="189">
        <f t="shared" si="60"/>
        <v>37151383</v>
      </c>
      <c r="J155" s="189"/>
      <c r="K155" s="322"/>
      <c r="L155" s="43"/>
    </row>
    <row r="156" spans="1:12" ht="14.1" customHeight="1">
      <c r="A156" s="247">
        <f t="shared" si="55"/>
        <v>150</v>
      </c>
      <c r="B156" s="205"/>
      <c r="C156" s="17"/>
      <c r="D156" s="17"/>
      <c r="E156" s="17"/>
      <c r="F156" s="17"/>
      <c r="G156" s="17"/>
      <c r="H156" s="17"/>
      <c r="I156" s="17"/>
      <c r="J156" s="17"/>
      <c r="K156" s="18"/>
      <c r="L156" s="43"/>
    </row>
    <row r="157" spans="1:12" ht="14.1" customHeight="1">
      <c r="A157" s="247">
        <f t="shared" si="55"/>
        <v>151</v>
      </c>
      <c r="B157" s="205" t="s">
        <v>150</v>
      </c>
      <c r="C157" s="11"/>
      <c r="D157" s="11"/>
      <c r="E157" s="11"/>
      <c r="F157" s="24"/>
      <c r="G157" s="17"/>
      <c r="H157" s="17"/>
      <c r="I157" s="24"/>
      <c r="J157" s="24"/>
      <c r="K157" s="30"/>
      <c r="L157" s="43"/>
    </row>
    <row r="158" spans="1:12" ht="14.1" customHeight="1">
      <c r="A158" s="247">
        <f t="shared" si="55"/>
        <v>152</v>
      </c>
      <c r="B158" s="30" t="s">
        <v>151</v>
      </c>
      <c r="C158" s="11">
        <v>3102995</v>
      </c>
      <c r="D158" s="11">
        <v>0</v>
      </c>
      <c r="E158" s="11">
        <f>C158+D158</f>
        <v>3102995</v>
      </c>
      <c r="F158" s="17">
        <f>E158-G158</f>
        <v>34133</v>
      </c>
      <c r="G158" s="11">
        <f>ROUND(E158*'Allocation Factors'!$G$22,0)</f>
        <v>3068862</v>
      </c>
      <c r="H158" s="11">
        <f>'Sch 5'!C158</f>
        <v>0</v>
      </c>
      <c r="I158" s="11">
        <f>G158+H158</f>
        <v>3068862</v>
      </c>
      <c r="J158" s="11"/>
      <c r="K158" s="16" t="s">
        <v>381</v>
      </c>
      <c r="L158" s="43"/>
    </row>
    <row r="159" spans="1:12" ht="14.1" customHeight="1">
      <c r="A159" s="247">
        <f t="shared" si="55"/>
        <v>153</v>
      </c>
      <c r="B159" s="30" t="s">
        <v>152</v>
      </c>
      <c r="C159" s="11">
        <v>78006524</v>
      </c>
      <c r="D159" s="11">
        <v>0</v>
      </c>
      <c r="E159" s="11">
        <f>C159+D159</f>
        <v>78006524</v>
      </c>
      <c r="F159" s="17">
        <f>E159-G159</f>
        <v>1092091</v>
      </c>
      <c r="G159" s="11">
        <f>ROUND(E159*'Allocation Factors'!$G$10,0)</f>
        <v>76914433</v>
      </c>
      <c r="H159" s="11">
        <f>'Sch 5'!C159</f>
        <v>0</v>
      </c>
      <c r="I159" s="11">
        <f>G159+H159</f>
        <v>76914433</v>
      </c>
      <c r="J159" s="11"/>
      <c r="K159" s="16" t="s">
        <v>346</v>
      </c>
      <c r="L159" s="43"/>
    </row>
    <row r="160" spans="1:12" ht="14.1" customHeight="1">
      <c r="A160" s="247">
        <f t="shared" si="55"/>
        <v>154</v>
      </c>
      <c r="B160" s="30" t="s">
        <v>140</v>
      </c>
      <c r="C160" s="11">
        <v>40219093</v>
      </c>
      <c r="D160" s="11">
        <v>0</v>
      </c>
      <c r="E160" s="11">
        <f>C160+D160</f>
        <v>40219093</v>
      </c>
      <c r="F160" s="17">
        <f>E160-G160</f>
        <v>563067</v>
      </c>
      <c r="G160" s="17">
        <f>ROUND(E160*'Allocation Factors'!$G$12,0)</f>
        <v>39656026</v>
      </c>
      <c r="H160" s="11">
        <f>'Sch 5'!C160</f>
        <v>0</v>
      </c>
      <c r="I160" s="11">
        <f>G160+H160</f>
        <v>39656026</v>
      </c>
      <c r="J160" s="11"/>
      <c r="K160" s="16" t="s">
        <v>348</v>
      </c>
      <c r="L160" s="43"/>
    </row>
    <row r="161" spans="1:12" ht="14.1" customHeight="1">
      <c r="A161" s="247">
        <f t="shared" si="55"/>
        <v>155</v>
      </c>
      <c r="B161" s="30" t="s">
        <v>153</v>
      </c>
      <c r="C161" s="11">
        <v>27274638</v>
      </c>
      <c r="D161" s="11">
        <v>0</v>
      </c>
      <c r="E161" s="11">
        <f>C161+D161</f>
        <v>27274638</v>
      </c>
      <c r="F161" s="17">
        <f>E161-G161</f>
        <v>0</v>
      </c>
      <c r="G161" s="11">
        <f>E161</f>
        <v>27274638</v>
      </c>
      <c r="H161" s="11">
        <f>'Sch 5'!C161</f>
        <v>0</v>
      </c>
      <c r="I161" s="11">
        <f>G161+H161</f>
        <v>27274638</v>
      </c>
      <c r="J161" s="11"/>
      <c r="K161" s="30" t="s">
        <v>57</v>
      </c>
      <c r="L161" s="43"/>
    </row>
    <row r="162" spans="1:12" ht="14.1" customHeight="1">
      <c r="A162" s="247">
        <f t="shared" si="55"/>
        <v>156</v>
      </c>
      <c r="B162" s="88" t="s">
        <v>154</v>
      </c>
      <c r="C162" s="11">
        <v>332221</v>
      </c>
      <c r="D162" s="11">
        <v>0</v>
      </c>
      <c r="E162" s="11">
        <f>C162+D162</f>
        <v>332221</v>
      </c>
      <c r="F162" s="17">
        <f>E162-G162</f>
        <v>3654</v>
      </c>
      <c r="G162" s="48">
        <f>ROUND(E162*'Allocation Factors'!$G$22,0)</f>
        <v>328567</v>
      </c>
      <c r="H162" s="11">
        <f>'Sch 5'!C162</f>
        <v>0</v>
      </c>
      <c r="I162" s="11">
        <f>G162+H162</f>
        <v>328567</v>
      </c>
      <c r="J162" s="11"/>
      <c r="K162" s="16" t="s">
        <v>381</v>
      </c>
      <c r="L162" s="43"/>
    </row>
    <row r="163" spans="1:12" ht="14.1" customHeight="1">
      <c r="A163" s="247">
        <f t="shared" si="55"/>
        <v>157</v>
      </c>
      <c r="B163" s="205" t="s">
        <v>537</v>
      </c>
      <c r="C163" s="189">
        <f t="shared" ref="C163:I163" si="61">SUM(C158:C162)</f>
        <v>148935471</v>
      </c>
      <c r="D163" s="189">
        <f t="shared" si="61"/>
        <v>0</v>
      </c>
      <c r="E163" s="189">
        <f t="shared" si="61"/>
        <v>148935471</v>
      </c>
      <c r="F163" s="189">
        <f t="shared" si="61"/>
        <v>1692945</v>
      </c>
      <c r="G163" s="189">
        <f t="shared" si="61"/>
        <v>147242526</v>
      </c>
      <c r="H163" s="189">
        <f t="shared" si="61"/>
        <v>0</v>
      </c>
      <c r="I163" s="189">
        <f t="shared" si="61"/>
        <v>147242526</v>
      </c>
      <c r="J163" s="189"/>
      <c r="K163" s="324"/>
      <c r="L163" s="43"/>
    </row>
    <row r="164" spans="1:12" ht="14.1" customHeight="1">
      <c r="A164" s="247">
        <f t="shared" si="55"/>
        <v>158</v>
      </c>
      <c r="B164" s="205"/>
      <c r="C164" s="17"/>
      <c r="D164" s="17"/>
      <c r="E164" s="17"/>
      <c r="F164" s="17"/>
      <c r="G164" s="17"/>
      <c r="H164" s="17"/>
      <c r="I164" s="17"/>
      <c r="J164" s="17"/>
      <c r="K164" s="18"/>
      <c r="L164" s="43"/>
    </row>
    <row r="165" spans="1:12" ht="14.1" customHeight="1">
      <c r="A165" s="247">
        <f t="shared" si="55"/>
        <v>159</v>
      </c>
      <c r="B165" s="30" t="s">
        <v>337</v>
      </c>
      <c r="C165" s="17">
        <v>6651761.9299999997</v>
      </c>
      <c r="D165" s="17">
        <f>C165*-1</f>
        <v>-6651761.9299999997</v>
      </c>
      <c r="E165" s="17">
        <f>C165+D165</f>
        <v>0</v>
      </c>
      <c r="F165" s="17"/>
      <c r="G165" s="11"/>
      <c r="H165" s="11"/>
      <c r="I165" s="11"/>
      <c r="J165" s="17"/>
      <c r="K165" s="16"/>
      <c r="L165" s="43"/>
    </row>
    <row r="166" spans="1:12" ht="14.1" customHeight="1">
      <c r="A166" s="247">
        <f t="shared" si="55"/>
        <v>160</v>
      </c>
      <c r="B166" s="88" t="s">
        <v>338</v>
      </c>
      <c r="C166" s="326">
        <v>0</v>
      </c>
      <c r="D166" s="17">
        <f>C166*-1</f>
        <v>0</v>
      </c>
      <c r="E166" s="17">
        <f>C166+D166</f>
        <v>0</v>
      </c>
      <c r="F166" s="17"/>
      <c r="G166" s="11"/>
      <c r="H166" s="11"/>
      <c r="I166" s="11"/>
      <c r="J166" s="326"/>
      <c r="K166" s="16"/>
      <c r="L166" s="43"/>
    </row>
    <row r="167" spans="1:12" ht="14.1" customHeight="1">
      <c r="A167" s="247">
        <f t="shared" si="55"/>
        <v>161</v>
      </c>
      <c r="B167" s="205" t="s">
        <v>527</v>
      </c>
      <c r="C167" s="189">
        <f>SUM(C165:C166)</f>
        <v>6651761.9299999997</v>
      </c>
      <c r="D167" s="189">
        <f>SUM(D165:D166)</f>
        <v>-6651761.9299999997</v>
      </c>
      <c r="E167" s="189">
        <f>SUM(E165:E166)</f>
        <v>0</v>
      </c>
      <c r="F167" s="189"/>
      <c r="G167" s="189"/>
      <c r="H167" s="189"/>
      <c r="I167" s="189"/>
      <c r="J167" s="189"/>
      <c r="K167" s="322"/>
      <c r="L167" s="43"/>
    </row>
    <row r="168" spans="1:12" ht="14.1" customHeight="1">
      <c r="A168" s="247">
        <f t="shared" si="55"/>
        <v>162</v>
      </c>
      <c r="B168" s="96"/>
      <c r="C168" s="326"/>
      <c r="D168" s="326"/>
      <c r="E168" s="326"/>
      <c r="F168" s="326"/>
      <c r="G168" s="326"/>
      <c r="H168" s="326"/>
      <c r="I168" s="326"/>
      <c r="J168" s="326"/>
      <c r="K168" s="327"/>
      <c r="L168" s="43"/>
    </row>
    <row r="169" spans="1:12" ht="14.1" customHeight="1" thickBot="1">
      <c r="A169" s="247">
        <f t="shared" si="55"/>
        <v>163</v>
      </c>
      <c r="B169" s="90" t="s">
        <v>137</v>
      </c>
      <c r="C169" s="328">
        <f>+C167+C163+C155+C140+C122+C108+C62</f>
        <v>2887307417.0900002</v>
      </c>
      <c r="D169" s="328">
        <f t="shared" ref="D169:I169" si="62">+D167+D163+D155+D140+D122+D108+D62</f>
        <v>-65017523</v>
      </c>
      <c r="E169" s="328">
        <f t="shared" si="62"/>
        <v>2822289894.0900002</v>
      </c>
      <c r="F169" s="328">
        <f t="shared" si="62"/>
        <v>30255857.369999997</v>
      </c>
      <c r="G169" s="328">
        <f t="shared" si="62"/>
        <v>2792034036.7200003</v>
      </c>
      <c r="H169" s="328">
        <f t="shared" si="62"/>
        <v>-776202944.47210002</v>
      </c>
      <c r="I169" s="328">
        <f t="shared" si="62"/>
        <v>2015831092.2479</v>
      </c>
      <c r="J169" s="208"/>
      <c r="K169" s="329"/>
      <c r="L169" s="43"/>
    </row>
    <row r="170" spans="1:12" ht="14.1" customHeight="1" thickTop="1">
      <c r="A170" s="247">
        <f t="shared" si="55"/>
        <v>164</v>
      </c>
      <c r="C170" s="11"/>
      <c r="D170" s="11"/>
      <c r="E170" s="11"/>
      <c r="F170" s="11"/>
      <c r="G170" s="12"/>
      <c r="H170" s="11"/>
      <c r="I170" s="11"/>
      <c r="J170" s="11"/>
      <c r="K170" s="16"/>
      <c r="L170" s="43"/>
    </row>
    <row r="171" spans="1:12" ht="14.1" customHeight="1">
      <c r="A171" s="247">
        <f t="shared" si="55"/>
        <v>165</v>
      </c>
      <c r="B171" s="205" t="s">
        <v>942</v>
      </c>
      <c r="C171" s="11">
        <f>C122+C160</f>
        <v>522875658.47000003</v>
      </c>
      <c r="D171" s="11">
        <f t="shared" ref="D171:I171" si="63">D122+D160</f>
        <v>0</v>
      </c>
      <c r="E171" s="11">
        <f t="shared" si="63"/>
        <v>522875658.47000003</v>
      </c>
      <c r="F171" s="11">
        <f t="shared" si="63"/>
        <v>7320260.4699999895</v>
      </c>
      <c r="G171" s="11">
        <f t="shared" si="63"/>
        <v>515555398</v>
      </c>
      <c r="H171" s="11">
        <f t="shared" si="63"/>
        <v>-1018664.4840800001</v>
      </c>
      <c r="I171" s="11">
        <f t="shared" si="63"/>
        <v>514536733.51592004</v>
      </c>
      <c r="J171" s="231">
        <f>ROUND(G171/E171,3)</f>
        <v>0.98599999999999999</v>
      </c>
      <c r="K171" s="16"/>
      <c r="L171" s="43"/>
    </row>
    <row r="172" spans="1:12" ht="14.1" customHeight="1">
      <c r="A172" s="247">
        <f t="shared" si="55"/>
        <v>166</v>
      </c>
      <c r="C172" s="11"/>
      <c r="D172" s="11"/>
      <c r="E172" s="11"/>
      <c r="F172" s="11"/>
      <c r="G172" s="12"/>
      <c r="H172" s="11"/>
      <c r="I172" s="11"/>
      <c r="J172" s="231"/>
      <c r="K172" s="16"/>
      <c r="L172" s="43"/>
    </row>
    <row r="173" spans="1:12" ht="14.1" customHeight="1">
      <c r="A173" s="247">
        <f t="shared" si="55"/>
        <v>167</v>
      </c>
      <c r="B173" s="205" t="s">
        <v>943</v>
      </c>
      <c r="C173" s="11">
        <f>C140+C161</f>
        <v>717254154.72000003</v>
      </c>
      <c r="D173" s="11">
        <f t="shared" ref="D173:I173" si="64">D140+D161</f>
        <v>0</v>
      </c>
      <c r="E173" s="11">
        <f t="shared" si="64"/>
        <v>717254154.72000003</v>
      </c>
      <c r="F173" s="11">
        <f t="shared" si="64"/>
        <v>954276</v>
      </c>
      <c r="G173" s="11">
        <f t="shared" si="64"/>
        <v>716299878.72000003</v>
      </c>
      <c r="H173" s="11">
        <f t="shared" si="64"/>
        <v>0</v>
      </c>
      <c r="I173" s="11">
        <f t="shared" si="64"/>
        <v>716299878.72000003</v>
      </c>
      <c r="J173" s="231">
        <f>ROUND(G173/E173,3)</f>
        <v>0.999</v>
      </c>
      <c r="K173" s="16"/>
      <c r="L173" s="43"/>
    </row>
    <row r="174" spans="1:12" ht="14.1" customHeight="1">
      <c r="A174" s="247">
        <f t="shared" si="55"/>
        <v>168</v>
      </c>
      <c r="C174" s="11"/>
      <c r="D174" s="11"/>
      <c r="E174" s="11"/>
      <c r="F174" s="11"/>
      <c r="G174" s="12"/>
      <c r="H174" s="11"/>
      <c r="I174" s="11"/>
      <c r="J174" s="231"/>
      <c r="K174" s="16"/>
      <c r="L174" s="43"/>
    </row>
    <row r="175" spans="1:12" ht="14.1" customHeight="1">
      <c r="A175" s="247">
        <f t="shared" si="55"/>
        <v>169</v>
      </c>
      <c r="B175" s="205" t="s">
        <v>944</v>
      </c>
      <c r="C175" s="11">
        <f>C122+C140+C160+C161</f>
        <v>1240129813.1900001</v>
      </c>
      <c r="D175" s="11">
        <f t="shared" ref="D175:I175" si="65">D122+D140+D160+D161</f>
        <v>0</v>
      </c>
      <c r="E175" s="11">
        <f t="shared" si="65"/>
        <v>1240129813.1900001</v>
      </c>
      <c r="F175" s="11">
        <f t="shared" si="65"/>
        <v>8274536.4699999895</v>
      </c>
      <c r="G175" s="11">
        <f t="shared" si="65"/>
        <v>1231855276.72</v>
      </c>
      <c r="H175" s="11">
        <f t="shared" si="65"/>
        <v>-1018664.4840800001</v>
      </c>
      <c r="I175" s="11">
        <f t="shared" si="65"/>
        <v>1230836612.23592</v>
      </c>
      <c r="J175" s="231">
        <f>ROUND(G175/E175,3)</f>
        <v>0.99299999999999999</v>
      </c>
      <c r="K175" s="16"/>
      <c r="L175" s="43"/>
    </row>
    <row r="176" spans="1:12" ht="14.1" customHeight="1">
      <c r="A176" s="247">
        <f t="shared" si="55"/>
        <v>170</v>
      </c>
      <c r="C176" s="11"/>
      <c r="D176" s="11"/>
      <c r="E176" s="11"/>
      <c r="F176" s="11"/>
      <c r="G176" s="12"/>
      <c r="H176" s="11"/>
      <c r="I176" s="11"/>
      <c r="J176" s="231"/>
      <c r="K176" s="16"/>
      <c r="L176" s="43"/>
    </row>
    <row r="177" spans="1:13" ht="14.1" customHeight="1">
      <c r="A177" s="247">
        <f t="shared" si="55"/>
        <v>171</v>
      </c>
      <c r="B177" s="205" t="s">
        <v>878</v>
      </c>
      <c r="C177" s="17">
        <f t="shared" ref="C177:I177" si="66">C62+C108+C122+C140+C155+C163</f>
        <v>2880655655.1599998</v>
      </c>
      <c r="D177" s="17">
        <f t="shared" si="66"/>
        <v>-58365761.07</v>
      </c>
      <c r="E177" s="17">
        <f t="shared" si="66"/>
        <v>2822289894.0900002</v>
      </c>
      <c r="F177" s="17">
        <f t="shared" si="66"/>
        <v>30255857.369999997</v>
      </c>
      <c r="G177" s="17">
        <f t="shared" si="66"/>
        <v>2792034036.7200003</v>
      </c>
      <c r="H177" s="17">
        <f t="shared" si="66"/>
        <v>-776202944.47210002</v>
      </c>
      <c r="I177" s="17">
        <f t="shared" si="66"/>
        <v>2015831092.2479</v>
      </c>
      <c r="J177" s="231">
        <f>ROUND(G177/E177,3)</f>
        <v>0.98899999999999999</v>
      </c>
      <c r="K177" s="330"/>
      <c r="L177" s="43"/>
    </row>
    <row r="178" spans="1:13" ht="14.1" customHeight="1">
      <c r="A178" s="247">
        <f t="shared" si="55"/>
        <v>172</v>
      </c>
      <c r="B178" s="205"/>
      <c r="C178" s="17"/>
      <c r="D178" s="17"/>
      <c r="E178" s="17"/>
      <c r="F178" s="17"/>
      <c r="G178" s="17"/>
      <c r="H178" s="17"/>
      <c r="I178" s="17"/>
      <c r="J178" s="232"/>
      <c r="K178" s="330"/>
      <c r="L178" s="43"/>
    </row>
    <row r="179" spans="1:13" ht="14.1" customHeight="1">
      <c r="A179" s="247">
        <f t="shared" si="55"/>
        <v>173</v>
      </c>
      <c r="B179" s="205" t="s">
        <v>941</v>
      </c>
      <c r="C179" s="17">
        <f t="shared" ref="C179:I179" si="67">C108+C122+C140+C159+C160+C161</f>
        <v>2824267685.6900001</v>
      </c>
      <c r="D179" s="17">
        <f t="shared" si="67"/>
        <v>-58284706.719999999</v>
      </c>
      <c r="E179" s="17">
        <f t="shared" si="67"/>
        <v>2765982978.9700003</v>
      </c>
      <c r="F179" s="17">
        <f t="shared" si="67"/>
        <v>29636480.25</v>
      </c>
      <c r="G179" s="17">
        <f t="shared" si="67"/>
        <v>2736346498.7200003</v>
      </c>
      <c r="H179" s="17">
        <f t="shared" si="67"/>
        <v>-776202944.47210002</v>
      </c>
      <c r="I179" s="17">
        <f t="shared" si="67"/>
        <v>1960143554.2479</v>
      </c>
      <c r="J179" s="231">
        <f>ROUND(G179/E179,3)</f>
        <v>0.98899999999999999</v>
      </c>
      <c r="K179" s="330"/>
      <c r="L179" s="43"/>
    </row>
    <row r="180" spans="1:13" ht="14.1" customHeight="1">
      <c r="A180" s="247">
        <f t="shared" si="55"/>
        <v>174</v>
      </c>
      <c r="C180" s="11"/>
      <c r="D180" s="11"/>
      <c r="E180" s="11"/>
      <c r="F180" s="11"/>
      <c r="G180" s="12"/>
      <c r="H180" s="11"/>
      <c r="I180" s="11"/>
      <c r="J180" s="11"/>
      <c r="K180" s="16"/>
      <c r="L180" s="43"/>
    </row>
    <row r="181" spans="1:13" ht="14.1" customHeight="1">
      <c r="A181" s="247">
        <f>+A170+1</f>
        <v>165</v>
      </c>
      <c r="B181" s="3" t="s">
        <v>138</v>
      </c>
      <c r="C181" s="11"/>
      <c r="D181" s="11"/>
      <c r="E181" s="11"/>
      <c r="F181" s="24"/>
      <c r="G181" s="11"/>
      <c r="H181" s="11"/>
      <c r="I181" s="11"/>
      <c r="J181" s="11"/>
      <c r="K181" s="16"/>
      <c r="L181" s="43"/>
    </row>
    <row r="182" spans="1:13" ht="14.1" customHeight="1">
      <c r="A182" s="247">
        <f t="shared" ref="A182:A244" si="68">+A181+1</f>
        <v>166</v>
      </c>
      <c r="B182" s="203" t="s">
        <v>139</v>
      </c>
      <c r="C182" s="11">
        <f>631769236-4135279</f>
        <v>627633957</v>
      </c>
      <c r="D182" s="11">
        <v>0</v>
      </c>
      <c r="E182" s="11">
        <f>C182+D182</f>
        <v>627633957</v>
      </c>
      <c r="F182" s="11">
        <f>E182-G182</f>
        <v>8786875</v>
      </c>
      <c r="G182" s="11">
        <f>ROUND(E182*'Allocation Factors'!$G$10,0)</f>
        <v>618847082</v>
      </c>
      <c r="H182" s="11">
        <f>'Sch 5'!C172</f>
        <v>-319141551.95598</v>
      </c>
      <c r="I182" s="11">
        <f>G182+H182</f>
        <v>299705530.04402</v>
      </c>
      <c r="J182" s="11"/>
      <c r="K182" s="16" t="s">
        <v>346</v>
      </c>
      <c r="L182" s="43"/>
    </row>
    <row r="183" spans="1:13" ht="14.1" customHeight="1">
      <c r="A183" s="247">
        <f t="shared" si="68"/>
        <v>167</v>
      </c>
      <c r="B183" s="27" t="s">
        <v>148</v>
      </c>
      <c r="C183" s="11">
        <f>172761832-3983691</f>
        <v>168778141</v>
      </c>
      <c r="D183" s="11">
        <f>L183</f>
        <v>996670</v>
      </c>
      <c r="E183" s="11">
        <f>C183+D183</f>
        <v>169774811</v>
      </c>
      <c r="F183" s="11">
        <f>E183-G183</f>
        <v>2376847</v>
      </c>
      <c r="G183" s="11">
        <f>ROUND(E183*'Allocation Factors'!$G$16,0)</f>
        <v>167397964</v>
      </c>
      <c r="H183" s="11">
        <f>'Sch 5'!C173</f>
        <v>-431899.15759999998</v>
      </c>
      <c r="I183" s="11">
        <f>G183+H183</f>
        <v>166966064.84240001</v>
      </c>
      <c r="J183" s="11"/>
      <c r="K183" s="16" t="s">
        <v>351</v>
      </c>
      <c r="L183" s="43">
        <v>996670</v>
      </c>
      <c r="M183" s="203" t="s">
        <v>1010</v>
      </c>
    </row>
    <row r="184" spans="1:13" ht="14.1" customHeight="1">
      <c r="A184" s="247">
        <f t="shared" si="68"/>
        <v>168</v>
      </c>
      <c r="B184" s="27" t="s">
        <v>141</v>
      </c>
      <c r="C184" s="11">
        <f>196289628-1002421</f>
        <v>195287207</v>
      </c>
      <c r="D184" s="11">
        <v>0</v>
      </c>
      <c r="E184" s="11">
        <f>C184+D184</f>
        <v>195287207</v>
      </c>
      <c r="F184" s="11">
        <f>E184-G184</f>
        <v>195287</v>
      </c>
      <c r="G184" s="11">
        <f>ROUND(E184*'Allocation Factors'!$G$18,0)</f>
        <v>195091920</v>
      </c>
      <c r="H184" s="11">
        <f>'Sch 5'!C174</f>
        <v>0</v>
      </c>
      <c r="I184" s="11">
        <f>G184+H184</f>
        <v>195091920</v>
      </c>
      <c r="J184" s="11"/>
      <c r="K184" s="30" t="s">
        <v>353</v>
      </c>
      <c r="L184" s="43"/>
    </row>
    <row r="185" spans="1:13" ht="13.5" customHeight="1">
      <c r="A185" s="247">
        <f t="shared" si="68"/>
        <v>169</v>
      </c>
      <c r="B185" s="27" t="s">
        <v>142</v>
      </c>
      <c r="C185" s="11">
        <f>8775396-13911</f>
        <v>8761485</v>
      </c>
      <c r="D185" s="11">
        <v>0</v>
      </c>
      <c r="E185" s="11">
        <f>C185+D185</f>
        <v>8761485</v>
      </c>
      <c r="F185" s="11">
        <f>E185-G185</f>
        <v>96376</v>
      </c>
      <c r="G185" s="11">
        <f>ROUND(E185*'Allocation Factors'!$G$22,0)</f>
        <v>8665109</v>
      </c>
      <c r="H185" s="11">
        <f>'Sch 5'!C175</f>
        <v>0</v>
      </c>
      <c r="I185" s="11">
        <f>G185+H185</f>
        <v>8665109</v>
      </c>
      <c r="J185" s="11"/>
      <c r="K185" s="16" t="s">
        <v>381</v>
      </c>
      <c r="L185" s="43"/>
    </row>
    <row r="186" spans="1:13" ht="14.1" customHeight="1">
      <c r="A186" s="247">
        <f t="shared" si="68"/>
        <v>170</v>
      </c>
      <c r="B186" s="205" t="s">
        <v>528</v>
      </c>
      <c r="C186" s="189">
        <f t="shared" ref="C186:I186" si="69">SUM(C182:C185)</f>
        <v>1000460790</v>
      </c>
      <c r="D186" s="189">
        <f t="shared" si="69"/>
        <v>996670</v>
      </c>
      <c r="E186" s="189">
        <f t="shared" si="69"/>
        <v>1001457460</v>
      </c>
      <c r="F186" s="189">
        <f t="shared" si="69"/>
        <v>11455385</v>
      </c>
      <c r="G186" s="189">
        <f t="shared" si="69"/>
        <v>990002075</v>
      </c>
      <c r="H186" s="189">
        <f t="shared" si="69"/>
        <v>-319573451.11357999</v>
      </c>
      <c r="I186" s="189">
        <f t="shared" si="69"/>
        <v>670428623.88642001</v>
      </c>
      <c r="J186" s="83"/>
      <c r="K186" s="322"/>
      <c r="L186" s="43"/>
    </row>
    <row r="187" spans="1:13" ht="14.1" customHeight="1">
      <c r="A187" s="247">
        <f t="shared" si="68"/>
        <v>171</v>
      </c>
      <c r="B187" s="30"/>
      <c r="C187" s="17"/>
      <c r="D187" s="17"/>
      <c r="E187" s="17"/>
      <c r="F187" s="17"/>
      <c r="G187" s="305"/>
      <c r="H187" s="17"/>
      <c r="I187" s="48"/>
      <c r="J187" s="48"/>
      <c r="K187" s="331"/>
      <c r="L187" s="43"/>
    </row>
    <row r="188" spans="1:13" ht="14.1" customHeight="1">
      <c r="A188" s="247">
        <f t="shared" si="68"/>
        <v>172</v>
      </c>
      <c r="B188" s="205" t="s">
        <v>143</v>
      </c>
      <c r="C188" s="17"/>
      <c r="D188" s="17"/>
      <c r="E188" s="17"/>
      <c r="F188" s="17"/>
      <c r="G188" s="17"/>
      <c r="H188" s="17"/>
      <c r="I188" s="11"/>
      <c r="J188" s="11"/>
      <c r="K188" s="16"/>
      <c r="L188" s="43"/>
    </row>
    <row r="189" spans="1:13" ht="14.1" customHeight="1">
      <c r="A189" s="247">
        <f t="shared" si="68"/>
        <v>173</v>
      </c>
      <c r="B189" s="27" t="s">
        <v>146</v>
      </c>
      <c r="C189" s="11">
        <v>6034126</v>
      </c>
      <c r="D189" s="11">
        <v>0</v>
      </c>
      <c r="E189" s="11">
        <f>C189+D189</f>
        <v>6034126</v>
      </c>
      <c r="F189" s="11">
        <f>E189-G189</f>
        <v>84478</v>
      </c>
      <c r="G189" s="11">
        <f>ROUND(E189*'Allocation Factors'!$G$10,0)</f>
        <v>5949648</v>
      </c>
      <c r="H189" s="11">
        <f>'Sch 5'!C179</f>
        <v>0</v>
      </c>
      <c r="I189" s="11">
        <f>G189+H189</f>
        <v>5949648</v>
      </c>
      <c r="J189" s="11"/>
      <c r="K189" s="16" t="s">
        <v>357</v>
      </c>
    </row>
    <row r="190" spans="1:13" ht="14.1" customHeight="1">
      <c r="A190" s="247">
        <f t="shared" si="68"/>
        <v>174</v>
      </c>
      <c r="B190" s="27" t="s">
        <v>139</v>
      </c>
      <c r="C190" s="11">
        <v>14820331</v>
      </c>
      <c r="D190" s="11">
        <f>L190</f>
        <v>-2694188</v>
      </c>
      <c r="E190" s="11">
        <f>C190+D190</f>
        <v>12126143</v>
      </c>
      <c r="F190" s="11">
        <f>E190-G190</f>
        <v>169766</v>
      </c>
      <c r="G190" s="11">
        <f>ROUND(E190*'Allocation Factors'!$G$10,0)</f>
        <v>11956377</v>
      </c>
      <c r="H190" s="11">
        <f>'Sch 5'!C180</f>
        <v>0</v>
      </c>
      <c r="I190" s="11">
        <f>G190+H190</f>
        <v>11956377</v>
      </c>
      <c r="J190" s="11"/>
      <c r="K190" s="16" t="s">
        <v>346</v>
      </c>
      <c r="L190" s="43">
        <v>-2694188</v>
      </c>
      <c r="M190" s="203" t="s">
        <v>1011</v>
      </c>
    </row>
    <row r="191" spans="1:13" ht="14.1" customHeight="1">
      <c r="A191" s="247">
        <f t="shared" si="68"/>
        <v>175</v>
      </c>
      <c r="B191" s="27" t="s">
        <v>140</v>
      </c>
      <c r="C191" s="48">
        <v>0</v>
      </c>
      <c r="D191" s="48">
        <v>0</v>
      </c>
      <c r="E191" s="48">
        <v>0</v>
      </c>
      <c r="F191" s="17">
        <v>0</v>
      </c>
      <c r="G191" s="48">
        <v>0</v>
      </c>
      <c r="H191" s="11">
        <f>'Sch 5'!C181</f>
        <v>0</v>
      </c>
      <c r="I191" s="48">
        <v>0</v>
      </c>
      <c r="J191" s="48"/>
      <c r="K191" s="16"/>
      <c r="L191" s="43"/>
    </row>
    <row r="192" spans="1:13" ht="14.1" customHeight="1">
      <c r="A192" s="247">
        <f t="shared" si="68"/>
        <v>176</v>
      </c>
      <c r="B192" s="27" t="s">
        <v>141</v>
      </c>
      <c r="C192" s="48">
        <v>0</v>
      </c>
      <c r="D192" s="48">
        <v>0</v>
      </c>
      <c r="E192" s="48">
        <f>C192+D192</f>
        <v>0</v>
      </c>
      <c r="F192" s="17">
        <f>E192-G192</f>
        <v>0</v>
      </c>
      <c r="G192" s="48">
        <v>0</v>
      </c>
      <c r="H192" s="11">
        <f>'Sch 5'!C182</f>
        <v>0</v>
      </c>
      <c r="I192" s="48">
        <v>0</v>
      </c>
      <c r="J192" s="48"/>
      <c r="K192" s="16"/>
      <c r="L192" s="43"/>
    </row>
    <row r="193" spans="1:12" s="23" customFormat="1" ht="14.1" customHeight="1">
      <c r="A193" s="247">
        <f t="shared" si="68"/>
        <v>177</v>
      </c>
      <c r="B193" s="92" t="s">
        <v>142</v>
      </c>
      <c r="C193" s="100">
        <v>1096698</v>
      </c>
      <c r="D193" s="100">
        <v>0</v>
      </c>
      <c r="E193" s="100">
        <f>C193+D193</f>
        <v>1096698</v>
      </c>
      <c r="F193" s="100">
        <f>E193-G193</f>
        <v>12064</v>
      </c>
      <c r="G193" s="100">
        <f>ROUND(E193*'Allocation Factors'!$G$22,0)</f>
        <v>1084634</v>
      </c>
      <c r="H193" s="100">
        <f>'Sch 5'!C183</f>
        <v>0</v>
      </c>
      <c r="I193" s="100">
        <f>G193+H193</f>
        <v>1084634</v>
      </c>
      <c r="J193" s="100"/>
      <c r="K193" s="310" t="s">
        <v>381</v>
      </c>
      <c r="L193" s="43"/>
    </row>
    <row r="194" spans="1:12" ht="14.1" customHeight="1">
      <c r="A194" s="247">
        <f t="shared" si="68"/>
        <v>178</v>
      </c>
      <c r="B194" s="205" t="s">
        <v>532</v>
      </c>
      <c r="C194" s="17">
        <f t="shared" ref="C194:I194" si="70">SUM(C189:C193)</f>
        <v>21951155</v>
      </c>
      <c r="D194" s="17">
        <f t="shared" si="70"/>
        <v>-2694188</v>
      </c>
      <c r="E194" s="17">
        <f t="shared" si="70"/>
        <v>19256967</v>
      </c>
      <c r="F194" s="17">
        <f t="shared" si="70"/>
        <v>266308</v>
      </c>
      <c r="G194" s="17">
        <f t="shared" si="70"/>
        <v>18990659</v>
      </c>
      <c r="H194" s="17">
        <f t="shared" si="70"/>
        <v>0</v>
      </c>
      <c r="I194" s="17">
        <f t="shared" si="70"/>
        <v>18990659</v>
      </c>
      <c r="J194" s="17"/>
      <c r="K194" s="18"/>
      <c r="L194" s="43"/>
    </row>
    <row r="195" spans="1:12" ht="14.1" customHeight="1">
      <c r="A195" s="247">
        <f t="shared" si="68"/>
        <v>179</v>
      </c>
      <c r="B195" s="30"/>
      <c r="C195" s="17"/>
      <c r="D195" s="17"/>
      <c r="E195" s="17"/>
      <c r="F195" s="17"/>
      <c r="G195" s="305"/>
      <c r="H195" s="17"/>
      <c r="I195" s="48"/>
      <c r="J195" s="48"/>
      <c r="K195" s="16"/>
      <c r="L195" s="43"/>
    </row>
    <row r="196" spans="1:12" ht="14.1" customHeight="1">
      <c r="A196" s="247">
        <f t="shared" si="68"/>
        <v>180</v>
      </c>
      <c r="B196" s="88" t="s">
        <v>336</v>
      </c>
      <c r="C196" s="326">
        <v>2145480</v>
      </c>
      <c r="D196" s="326">
        <f>C196*-1</f>
        <v>-2145480</v>
      </c>
      <c r="E196" s="326">
        <f>C196+D196</f>
        <v>0</v>
      </c>
      <c r="F196" s="326"/>
      <c r="G196" s="100"/>
      <c r="H196" s="326"/>
      <c r="I196" s="100"/>
      <c r="J196" s="100"/>
      <c r="K196" s="310"/>
      <c r="L196" s="43"/>
    </row>
    <row r="197" spans="1:12" ht="14.1" customHeight="1">
      <c r="A197" s="247">
        <f t="shared" si="68"/>
        <v>181</v>
      </c>
      <c r="B197" s="205" t="s">
        <v>535</v>
      </c>
      <c r="C197" s="17">
        <f>SUM(C196:C196)</f>
        <v>2145480</v>
      </c>
      <c r="D197" s="17">
        <f>SUM(D196:D196)</f>
        <v>-2145480</v>
      </c>
      <c r="E197" s="17">
        <f>SUM(E196:E196)</f>
        <v>0</v>
      </c>
      <c r="F197" s="17"/>
      <c r="G197" s="17"/>
      <c r="H197" s="17"/>
      <c r="I197" s="17"/>
      <c r="J197" s="48"/>
      <c r="K197" s="16"/>
      <c r="L197" s="43"/>
    </row>
    <row r="198" spans="1:12" ht="14.1" customHeight="1">
      <c r="A198" s="247">
        <f t="shared" si="68"/>
        <v>182</v>
      </c>
      <c r="B198" s="88"/>
      <c r="C198" s="326"/>
      <c r="D198" s="326"/>
      <c r="E198" s="326"/>
      <c r="F198" s="326"/>
      <c r="G198" s="94"/>
      <c r="H198" s="326"/>
      <c r="I198" s="100"/>
      <c r="J198" s="100"/>
      <c r="K198" s="310"/>
      <c r="L198" s="43"/>
    </row>
    <row r="199" spans="1:12" ht="14.1" customHeight="1">
      <c r="A199" s="247">
        <f t="shared" si="68"/>
        <v>183</v>
      </c>
      <c r="B199" s="205" t="s">
        <v>567</v>
      </c>
      <c r="C199" s="17">
        <f>C194+C186+C197</f>
        <v>1024557425</v>
      </c>
      <c r="D199" s="17">
        <f>D194+D186+D197</f>
        <v>-3842998</v>
      </c>
      <c r="E199" s="17">
        <f>E194+E186+E197</f>
        <v>1020714427</v>
      </c>
      <c r="F199" s="17">
        <f>F194+F186+F197</f>
        <v>11721693</v>
      </c>
      <c r="G199" s="17">
        <f>G194+G186+G197</f>
        <v>1008992734</v>
      </c>
      <c r="H199" s="17">
        <f>H194+H186</f>
        <v>-319573451.11357999</v>
      </c>
      <c r="I199" s="17">
        <f>I194+I186</f>
        <v>689419282.88642001</v>
      </c>
      <c r="J199" s="17"/>
      <c r="K199" s="18"/>
      <c r="L199" s="43"/>
    </row>
    <row r="200" spans="1:12" ht="14.1" customHeight="1">
      <c r="A200" s="247">
        <f t="shared" si="68"/>
        <v>184</v>
      </c>
      <c r="B200" s="88"/>
      <c r="C200" s="326"/>
      <c r="D200" s="326"/>
      <c r="E200" s="326"/>
      <c r="F200" s="326"/>
      <c r="G200" s="94"/>
      <c r="H200" s="326"/>
      <c r="I200" s="100"/>
      <c r="J200" s="100"/>
      <c r="K200" s="310"/>
      <c r="L200" s="43"/>
    </row>
    <row r="201" spans="1:12" ht="14.1" customHeight="1" thickBot="1">
      <c r="A201" s="247">
        <f t="shared" si="68"/>
        <v>185</v>
      </c>
      <c r="B201" s="6" t="s">
        <v>144</v>
      </c>
      <c r="C201" s="332">
        <f t="shared" ref="C201:I201" si="71">+C169-C199</f>
        <v>1862749992.0900002</v>
      </c>
      <c r="D201" s="332">
        <f t="shared" si="71"/>
        <v>-61174525</v>
      </c>
      <c r="E201" s="332">
        <f t="shared" si="71"/>
        <v>1801575467.0900002</v>
      </c>
      <c r="F201" s="313">
        <f t="shared" si="71"/>
        <v>18534164.369999997</v>
      </c>
      <c r="G201" s="332">
        <f t="shared" si="71"/>
        <v>1783041302.7200003</v>
      </c>
      <c r="H201" s="313">
        <f t="shared" si="71"/>
        <v>-456629493.35852003</v>
      </c>
      <c r="I201" s="313">
        <f t="shared" si="71"/>
        <v>1326411809.36148</v>
      </c>
      <c r="J201" s="313"/>
      <c r="K201" s="333"/>
      <c r="L201" s="43"/>
    </row>
    <row r="202" spans="1:12" ht="14.1" customHeight="1" thickTop="1">
      <c r="A202" s="247">
        <f t="shared" si="68"/>
        <v>186</v>
      </c>
      <c r="B202" s="30"/>
      <c r="C202" s="17"/>
      <c r="D202" s="17"/>
      <c r="E202" s="17"/>
      <c r="F202" s="17"/>
      <c r="G202" s="305"/>
      <c r="H202" s="17"/>
      <c r="I202" s="17"/>
      <c r="J202" s="17"/>
      <c r="K202" s="18"/>
      <c r="L202" s="43"/>
    </row>
    <row r="203" spans="1:12" ht="14.1" customHeight="1">
      <c r="A203" s="247">
        <f t="shared" si="68"/>
        <v>187</v>
      </c>
      <c r="B203" s="14" t="s">
        <v>145</v>
      </c>
      <c r="C203" s="11"/>
      <c r="D203" s="11"/>
      <c r="E203" s="11"/>
      <c r="F203" s="11"/>
      <c r="G203" s="11"/>
      <c r="H203" s="11"/>
      <c r="I203" s="11"/>
      <c r="J203" s="11"/>
      <c r="K203" s="16"/>
      <c r="L203" s="43"/>
    </row>
    <row r="204" spans="1:12" ht="14.1" customHeight="1">
      <c r="A204" s="247">
        <f t="shared" si="68"/>
        <v>188</v>
      </c>
      <c r="B204" s="27" t="s">
        <v>146</v>
      </c>
      <c r="C204" s="11">
        <v>21313</v>
      </c>
      <c r="D204" s="11">
        <f>C204*-1</f>
        <v>-21313</v>
      </c>
      <c r="E204" s="11">
        <f>C204+D204</f>
        <v>0</v>
      </c>
      <c r="F204" s="11"/>
      <c r="G204" s="11"/>
      <c r="H204" s="11"/>
      <c r="I204" s="11"/>
      <c r="J204" s="11"/>
      <c r="K204" s="16"/>
      <c r="L204" s="43"/>
    </row>
    <row r="205" spans="1:12" ht="14.1" customHeight="1">
      <c r="A205" s="247">
        <f t="shared" si="68"/>
        <v>189</v>
      </c>
      <c r="B205" s="92" t="s">
        <v>58</v>
      </c>
      <c r="C205" s="11">
        <v>0</v>
      </c>
      <c r="D205" s="11">
        <v>0</v>
      </c>
      <c r="E205" s="11">
        <f>C205+D205</f>
        <v>0</v>
      </c>
      <c r="F205" s="11"/>
      <c r="G205" s="11"/>
      <c r="H205" s="11"/>
      <c r="I205" s="11"/>
      <c r="J205" s="11"/>
      <c r="K205" s="16"/>
      <c r="L205" s="43">
        <v>0</v>
      </c>
    </row>
    <row r="206" spans="1:12" ht="14.1" customHeight="1">
      <c r="A206" s="247">
        <f t="shared" si="68"/>
        <v>190</v>
      </c>
      <c r="B206" s="14" t="s">
        <v>533</v>
      </c>
      <c r="C206" s="83">
        <f t="shared" ref="C206:I206" si="72">SUM(C204:C205)</f>
        <v>21313</v>
      </c>
      <c r="D206" s="83">
        <f t="shared" si="72"/>
        <v>-21313</v>
      </c>
      <c r="E206" s="83">
        <f t="shared" si="72"/>
        <v>0</v>
      </c>
      <c r="F206" s="83">
        <f t="shared" si="72"/>
        <v>0</v>
      </c>
      <c r="G206" s="83">
        <f t="shared" si="72"/>
        <v>0</v>
      </c>
      <c r="H206" s="83">
        <f t="shared" si="72"/>
        <v>0</v>
      </c>
      <c r="I206" s="83">
        <f t="shared" si="72"/>
        <v>0</v>
      </c>
      <c r="J206" s="83"/>
      <c r="K206" s="85"/>
      <c r="L206" s="43"/>
    </row>
    <row r="207" spans="1:12" ht="14.1" customHeight="1">
      <c r="A207" s="247">
        <f t="shared" si="68"/>
        <v>191</v>
      </c>
      <c r="B207" s="27"/>
      <c r="C207" s="48"/>
      <c r="D207" s="48"/>
      <c r="E207" s="48"/>
      <c r="F207" s="48"/>
      <c r="G207" s="48"/>
      <c r="H207" s="48"/>
      <c r="I207" s="48"/>
      <c r="J207" s="48"/>
      <c r="K207" s="16"/>
      <c r="L207" s="43"/>
    </row>
    <row r="208" spans="1:12" ht="14.1" customHeight="1">
      <c r="A208" s="247">
        <f t="shared" si="68"/>
        <v>192</v>
      </c>
      <c r="B208" s="27" t="s">
        <v>139</v>
      </c>
      <c r="C208" s="11">
        <v>32401871</v>
      </c>
      <c r="D208" s="11">
        <v>0</v>
      </c>
      <c r="E208" s="11">
        <f>C208+D208</f>
        <v>32401871</v>
      </c>
      <c r="F208" s="11">
        <f>E208-G208</f>
        <v>453626</v>
      </c>
      <c r="G208" s="11">
        <f>ROUND(E208*'Allocation Factors'!$G$10,0)</f>
        <v>31948245</v>
      </c>
      <c r="H208" s="11">
        <f>'Sch 5'!C198</f>
        <v>-1584601</v>
      </c>
      <c r="I208" s="11">
        <f>G208+H208</f>
        <v>30363644</v>
      </c>
      <c r="J208" s="11"/>
      <c r="K208" s="16" t="s">
        <v>346</v>
      </c>
      <c r="L208" s="43"/>
    </row>
    <row r="209" spans="1:12" ht="14.1" customHeight="1">
      <c r="A209" s="247">
        <f t="shared" si="68"/>
        <v>193</v>
      </c>
      <c r="B209" s="92" t="s">
        <v>147</v>
      </c>
      <c r="C209" s="11">
        <f>'Sch 8'!E42+'Sch 8'!G42</f>
        <v>3115859.51</v>
      </c>
      <c r="D209" s="11">
        <v>0</v>
      </c>
      <c r="E209" s="11">
        <f>C209+D209</f>
        <v>3115859.51</v>
      </c>
      <c r="F209" s="11">
        <f>E209-G209</f>
        <v>43622.509999999776</v>
      </c>
      <c r="G209" s="11">
        <f>ROUND(E209*'Allocation Factors'!$G$10,0)</f>
        <v>3072237</v>
      </c>
      <c r="H209" s="11">
        <f>'Sch 5'!C199</f>
        <v>0</v>
      </c>
      <c r="I209" s="11">
        <f>G209+H209</f>
        <v>3072237</v>
      </c>
      <c r="J209" s="11"/>
      <c r="K209" s="16" t="s">
        <v>346</v>
      </c>
      <c r="L209" s="43">
        <v>0</v>
      </c>
    </row>
    <row r="210" spans="1:12" ht="14.1" customHeight="1">
      <c r="A210" s="247">
        <f t="shared" si="68"/>
        <v>194</v>
      </c>
      <c r="B210" s="205" t="s">
        <v>534</v>
      </c>
      <c r="C210" s="83">
        <f t="shared" ref="C210:I210" si="73">SUM(C208:C209)</f>
        <v>35517730.509999998</v>
      </c>
      <c r="D210" s="83">
        <f t="shared" si="73"/>
        <v>0</v>
      </c>
      <c r="E210" s="83">
        <f t="shared" si="73"/>
        <v>35517730.509999998</v>
      </c>
      <c r="F210" s="83">
        <f t="shared" si="73"/>
        <v>497248.50999999978</v>
      </c>
      <c r="G210" s="83">
        <f t="shared" si="73"/>
        <v>35020482</v>
      </c>
      <c r="H210" s="83">
        <f t="shared" si="73"/>
        <v>-1584601</v>
      </c>
      <c r="I210" s="83">
        <f t="shared" si="73"/>
        <v>33435881</v>
      </c>
      <c r="J210" s="83"/>
      <c r="K210" s="334"/>
      <c r="L210" s="43"/>
    </row>
    <row r="211" spans="1:12" ht="14.1" customHeight="1">
      <c r="A211" s="247">
        <f t="shared" si="68"/>
        <v>195</v>
      </c>
      <c r="B211" s="30"/>
      <c r="C211" s="48"/>
      <c r="D211" s="48"/>
      <c r="E211" s="48"/>
      <c r="F211" s="17"/>
      <c r="G211" s="48"/>
      <c r="H211" s="48"/>
      <c r="I211" s="48"/>
      <c r="J211" s="48"/>
      <c r="K211" s="16"/>
      <c r="L211" s="43"/>
    </row>
    <row r="212" spans="1:12" ht="14.1" customHeight="1">
      <c r="A212" s="247">
        <f t="shared" si="68"/>
        <v>196</v>
      </c>
      <c r="B212" s="27" t="s">
        <v>148</v>
      </c>
      <c r="C212" s="11">
        <v>37731445</v>
      </c>
      <c r="D212" s="11">
        <v>0</v>
      </c>
      <c r="E212" s="11">
        <f>C212+D212</f>
        <v>37731445</v>
      </c>
      <c r="F212" s="11">
        <f>E212-G212</f>
        <v>528240</v>
      </c>
      <c r="G212" s="11">
        <f>ROUND(E212*'Allocation Factors'!$G$16,0)</f>
        <v>37203205</v>
      </c>
      <c r="H212" s="11">
        <f>'Sch 5'!C202</f>
        <v>0</v>
      </c>
      <c r="I212" s="11">
        <f>G212+H212</f>
        <v>37203205</v>
      </c>
      <c r="J212" s="11"/>
      <c r="K212" s="16" t="s">
        <v>351</v>
      </c>
      <c r="L212" s="43"/>
    </row>
    <row r="213" spans="1:12" ht="14.1" customHeight="1">
      <c r="A213" s="247">
        <f t="shared" si="68"/>
        <v>197</v>
      </c>
      <c r="B213" s="88" t="s">
        <v>58</v>
      </c>
      <c r="C213" s="11">
        <f>'Sch 8'!I42+'Sch 8'!K42</f>
        <v>1973710.22</v>
      </c>
      <c r="D213" s="11">
        <v>0</v>
      </c>
      <c r="E213" s="11">
        <f>C213+D213</f>
        <v>1973710.22</v>
      </c>
      <c r="F213" s="11">
        <f>E213-G213</f>
        <v>27632.219999999972</v>
      </c>
      <c r="G213" s="11">
        <f>ROUND(E213*'Allocation Factors'!$G$16,0)</f>
        <v>1946078</v>
      </c>
      <c r="H213" s="11">
        <f>'Sch 5'!C203</f>
        <v>0</v>
      </c>
      <c r="I213" s="11">
        <f>G213+H213</f>
        <v>1946078</v>
      </c>
      <c r="J213" s="11"/>
      <c r="K213" s="16"/>
      <c r="L213" s="43">
        <v>0</v>
      </c>
    </row>
    <row r="214" spans="1:12" ht="14.1" customHeight="1">
      <c r="A214" s="247">
        <f t="shared" si="68"/>
        <v>198</v>
      </c>
      <c r="B214" s="14" t="s">
        <v>529</v>
      </c>
      <c r="C214" s="83">
        <f t="shared" ref="C214:I214" si="74">SUM(C212:C213)</f>
        <v>39705155.219999999</v>
      </c>
      <c r="D214" s="83">
        <f t="shared" si="74"/>
        <v>0</v>
      </c>
      <c r="E214" s="83">
        <f t="shared" si="74"/>
        <v>39705155.219999999</v>
      </c>
      <c r="F214" s="83">
        <f t="shared" si="74"/>
        <v>555872.22</v>
      </c>
      <c r="G214" s="83">
        <f t="shared" si="74"/>
        <v>39149283</v>
      </c>
      <c r="H214" s="83">
        <f t="shared" si="74"/>
        <v>0</v>
      </c>
      <c r="I214" s="83">
        <f t="shared" si="74"/>
        <v>39149283</v>
      </c>
      <c r="J214" s="83"/>
      <c r="K214" s="334"/>
      <c r="L214" s="43"/>
    </row>
    <row r="215" spans="1:12" ht="14.1" customHeight="1">
      <c r="A215" s="247">
        <f t="shared" si="68"/>
        <v>199</v>
      </c>
      <c r="B215" s="27"/>
      <c r="C215" s="48"/>
      <c r="D215" s="48"/>
      <c r="E215" s="48"/>
      <c r="F215" s="17"/>
      <c r="G215" s="48"/>
      <c r="H215" s="48"/>
      <c r="I215" s="48"/>
      <c r="J215" s="48"/>
      <c r="K215" s="16"/>
      <c r="L215" s="43"/>
    </row>
    <row r="216" spans="1:12" s="23" customFormat="1" ht="14.1" customHeight="1">
      <c r="A216" s="247">
        <f t="shared" si="68"/>
        <v>200</v>
      </c>
      <c r="B216" s="27" t="s">
        <v>141</v>
      </c>
      <c r="C216" s="11">
        <v>8762775</v>
      </c>
      <c r="D216" s="11">
        <v>0</v>
      </c>
      <c r="E216" s="11">
        <f>C216+D216</f>
        <v>8762775</v>
      </c>
      <c r="F216" s="11">
        <f>E216-G216</f>
        <v>8763</v>
      </c>
      <c r="G216" s="11">
        <f>ROUND(E216*'Allocation Factors'!$G$18,0)</f>
        <v>8754012</v>
      </c>
      <c r="H216" s="11">
        <f>'Sch 5'!C206</f>
        <v>0</v>
      </c>
      <c r="I216" s="11">
        <f>G216+H216</f>
        <v>8754012</v>
      </c>
      <c r="J216" s="11"/>
      <c r="K216" s="30" t="s">
        <v>353</v>
      </c>
      <c r="L216" s="43"/>
    </row>
    <row r="217" spans="1:12" s="23" customFormat="1" ht="14.1" customHeight="1">
      <c r="A217" s="247">
        <f t="shared" si="68"/>
        <v>201</v>
      </c>
      <c r="B217" s="92" t="s">
        <v>58</v>
      </c>
      <c r="C217" s="11">
        <f>'Sch 8'!M42+'Sch 8'!O42</f>
        <v>454909.80999999994</v>
      </c>
      <c r="D217" s="11">
        <v>0</v>
      </c>
      <c r="E217" s="11">
        <f>C217+D217</f>
        <v>454909.80999999994</v>
      </c>
      <c r="F217" s="11">
        <f>E217-G217</f>
        <v>454.80999999993946</v>
      </c>
      <c r="G217" s="11">
        <f>ROUND(E217*'Allocation Factors'!$G$18,0)</f>
        <v>454455</v>
      </c>
      <c r="H217" s="11">
        <f>'Sch 5'!C207</f>
        <v>0</v>
      </c>
      <c r="I217" s="11">
        <f>G217+H217</f>
        <v>454455</v>
      </c>
      <c r="J217" s="11"/>
      <c r="K217" s="30"/>
      <c r="L217" s="43">
        <v>0</v>
      </c>
    </row>
    <row r="218" spans="1:12" s="23" customFormat="1" ht="14.1" customHeight="1">
      <c r="A218" s="247">
        <f t="shared" si="68"/>
        <v>202</v>
      </c>
      <c r="B218" s="14" t="s">
        <v>530</v>
      </c>
      <c r="C218" s="83">
        <f t="shared" ref="C218:I218" si="75">SUM(C216:C217)</f>
        <v>9217684.8100000005</v>
      </c>
      <c r="D218" s="83">
        <f t="shared" si="75"/>
        <v>0</v>
      </c>
      <c r="E218" s="83">
        <f t="shared" si="75"/>
        <v>9217684.8100000005</v>
      </c>
      <c r="F218" s="83">
        <f t="shared" si="75"/>
        <v>9217.8099999999395</v>
      </c>
      <c r="G218" s="83">
        <f t="shared" si="75"/>
        <v>9208467</v>
      </c>
      <c r="H218" s="83">
        <f t="shared" si="75"/>
        <v>0</v>
      </c>
      <c r="I218" s="83">
        <f t="shared" si="75"/>
        <v>9208467</v>
      </c>
      <c r="J218" s="83"/>
      <c r="K218" s="334"/>
      <c r="L218" s="43"/>
    </row>
    <row r="219" spans="1:12" s="23" customFormat="1" ht="14.1" customHeight="1">
      <c r="A219" s="247">
        <f t="shared" si="68"/>
        <v>203</v>
      </c>
      <c r="B219" s="27"/>
      <c r="C219" s="48"/>
      <c r="D219" s="48"/>
      <c r="E219" s="48"/>
      <c r="F219" s="17"/>
      <c r="G219" s="48"/>
      <c r="H219" s="48"/>
      <c r="I219" s="17"/>
      <c r="J219" s="17"/>
      <c r="K219" s="30"/>
      <c r="L219" s="43"/>
    </row>
    <row r="220" spans="1:12" s="23" customFormat="1" ht="14.1" customHeight="1">
      <c r="A220" s="247">
        <f t="shared" si="68"/>
        <v>204</v>
      </c>
      <c r="B220" s="27" t="s">
        <v>142</v>
      </c>
      <c r="C220" s="11">
        <v>1293315</v>
      </c>
      <c r="D220" s="11">
        <v>0</v>
      </c>
      <c r="E220" s="11">
        <f>C220+D220</f>
        <v>1293315</v>
      </c>
      <c r="F220" s="11">
        <f>E220-G220</f>
        <v>14226</v>
      </c>
      <c r="G220" s="11">
        <f>ROUND(E220*'Allocation Factors'!$G$22,0)</f>
        <v>1279089</v>
      </c>
      <c r="H220" s="11">
        <f>'Sch 5'!C210</f>
        <v>0</v>
      </c>
      <c r="I220" s="11">
        <f>G220+H220</f>
        <v>1279089</v>
      </c>
      <c r="J220" s="11"/>
      <c r="K220" s="16" t="s">
        <v>381</v>
      </c>
      <c r="L220" s="43"/>
    </row>
    <row r="221" spans="1:12" s="23" customFormat="1" ht="14.1" customHeight="1">
      <c r="A221" s="247">
        <f t="shared" si="68"/>
        <v>205</v>
      </c>
      <c r="B221" s="92" t="s">
        <v>58</v>
      </c>
      <c r="C221" s="11">
        <f>'Sch 8'!Q42+'Sch 8'!S42</f>
        <v>33080.81</v>
      </c>
      <c r="D221" s="11">
        <v>0</v>
      </c>
      <c r="E221" s="11">
        <f>C221+D221</f>
        <v>33080.81</v>
      </c>
      <c r="F221" s="11">
        <f>E221-G221</f>
        <v>363.80999999999767</v>
      </c>
      <c r="G221" s="11">
        <f>ROUND(E221*'Allocation Factors'!$G$22,0)</f>
        <v>32717</v>
      </c>
      <c r="H221" s="11">
        <f>'Sch 5'!C211</f>
        <v>0</v>
      </c>
      <c r="I221" s="11">
        <f>G221+H221</f>
        <v>32717</v>
      </c>
      <c r="J221" s="11"/>
      <c r="K221" s="30"/>
      <c r="L221" s="43">
        <v>0</v>
      </c>
    </row>
    <row r="222" spans="1:12" s="23" customFormat="1" ht="14.1" customHeight="1">
      <c r="A222" s="247">
        <f t="shared" si="68"/>
        <v>206</v>
      </c>
      <c r="B222" s="14" t="s">
        <v>531</v>
      </c>
      <c r="C222" s="83">
        <f t="shared" ref="C222:I222" si="76">SUM(C220:C221)</f>
        <v>1326395.81</v>
      </c>
      <c r="D222" s="83">
        <f t="shared" si="76"/>
        <v>0</v>
      </c>
      <c r="E222" s="83">
        <f t="shared" si="76"/>
        <v>1326395.81</v>
      </c>
      <c r="F222" s="83">
        <f t="shared" si="76"/>
        <v>14589.809999999998</v>
      </c>
      <c r="G222" s="83">
        <f t="shared" si="76"/>
        <v>1311806</v>
      </c>
      <c r="H222" s="83">
        <f t="shared" si="76"/>
        <v>0</v>
      </c>
      <c r="I222" s="83">
        <f t="shared" si="76"/>
        <v>1311806</v>
      </c>
      <c r="J222" s="83"/>
      <c r="K222" s="85"/>
      <c r="L222" s="43"/>
    </row>
    <row r="223" spans="1:12" s="23" customFormat="1" ht="14.1" customHeight="1">
      <c r="A223" s="247">
        <f t="shared" si="68"/>
        <v>207</v>
      </c>
      <c r="B223" s="92"/>
      <c r="C223" s="100"/>
      <c r="D223" s="100"/>
      <c r="E223" s="100"/>
      <c r="F223" s="326"/>
      <c r="G223" s="100"/>
      <c r="H223" s="100"/>
      <c r="I223" s="326"/>
      <c r="J223" s="326"/>
      <c r="K223" s="88"/>
      <c r="L223" s="43"/>
    </row>
    <row r="224" spans="1:12" s="23" customFormat="1" ht="14.1" customHeight="1">
      <c r="A224" s="247">
        <f t="shared" si="68"/>
        <v>208</v>
      </c>
      <c r="B224" s="205" t="s">
        <v>149</v>
      </c>
      <c r="C224" s="17">
        <f>C210+C214+C218+C222+C206</f>
        <v>85788279.349999994</v>
      </c>
      <c r="D224" s="17">
        <f t="shared" ref="D224:I224" si="77">D204+D210+D214+D218+D222+D206</f>
        <v>-42626</v>
      </c>
      <c r="E224" s="17">
        <f t="shared" si="77"/>
        <v>85766966.349999994</v>
      </c>
      <c r="F224" s="17">
        <f t="shared" si="77"/>
        <v>1076928.3499999996</v>
      </c>
      <c r="G224" s="17">
        <f t="shared" si="77"/>
        <v>84690038</v>
      </c>
      <c r="H224" s="17">
        <f t="shared" si="77"/>
        <v>-1584601</v>
      </c>
      <c r="I224" s="17">
        <f t="shared" si="77"/>
        <v>83105437</v>
      </c>
      <c r="J224" s="17"/>
      <c r="K224" s="330"/>
      <c r="L224" s="43"/>
    </row>
    <row r="225" spans="1:13" s="23" customFormat="1" ht="14.1" customHeight="1">
      <c r="A225" s="247">
        <f t="shared" si="68"/>
        <v>209</v>
      </c>
      <c r="B225" s="205"/>
      <c r="C225" s="17"/>
      <c r="D225" s="17"/>
      <c r="E225" s="17"/>
      <c r="F225" s="17"/>
      <c r="G225" s="17"/>
      <c r="H225" s="17"/>
      <c r="I225" s="17"/>
      <c r="J225" s="17"/>
      <c r="K225" s="330"/>
      <c r="L225" s="43"/>
    </row>
    <row r="226" spans="1:13" s="23" customFormat="1" ht="14.1" customHeight="1">
      <c r="A226" s="247">
        <f t="shared" si="68"/>
        <v>210</v>
      </c>
      <c r="B226" s="205" t="s">
        <v>992</v>
      </c>
      <c r="C226" s="17">
        <f>C205+C209+C213+C217+C221</f>
        <v>5577560.3499999987</v>
      </c>
      <c r="D226" s="17">
        <f t="shared" ref="D226:I226" si="78">D205+D209+D213+D217+D221</f>
        <v>0</v>
      </c>
      <c r="E226" s="17">
        <f t="shared" si="78"/>
        <v>5577560.3499999987</v>
      </c>
      <c r="F226" s="17">
        <f t="shared" si="78"/>
        <v>72073.349999999686</v>
      </c>
      <c r="G226" s="17">
        <f t="shared" si="78"/>
        <v>5505487</v>
      </c>
      <c r="H226" s="17">
        <f t="shared" si="78"/>
        <v>0</v>
      </c>
      <c r="I226" s="17">
        <f t="shared" si="78"/>
        <v>5505487</v>
      </c>
      <c r="J226" s="17"/>
      <c r="K226" s="330"/>
      <c r="L226" s="43"/>
    </row>
    <row r="227" spans="1:13" s="23" customFormat="1" ht="14.1" customHeight="1">
      <c r="A227" s="247">
        <f t="shared" si="68"/>
        <v>211</v>
      </c>
      <c r="B227" s="205" t="s">
        <v>991</v>
      </c>
      <c r="C227" s="17">
        <f>C204+C208+C212+C216+C220</f>
        <v>80210719</v>
      </c>
      <c r="D227" s="17">
        <f t="shared" ref="D227:I227" si="79">D204+D208+D212+D216+D220</f>
        <v>-21313</v>
      </c>
      <c r="E227" s="17">
        <f t="shared" si="79"/>
        <v>80189406</v>
      </c>
      <c r="F227" s="17">
        <f t="shared" si="79"/>
        <v>1004855</v>
      </c>
      <c r="G227" s="17">
        <f t="shared" si="79"/>
        <v>79184551</v>
      </c>
      <c r="H227" s="17">
        <f t="shared" si="79"/>
        <v>-1584601</v>
      </c>
      <c r="I227" s="17">
        <f t="shared" si="79"/>
        <v>77599950</v>
      </c>
      <c r="J227" s="17"/>
      <c r="K227" s="330"/>
      <c r="L227" s="43"/>
    </row>
    <row r="228" spans="1:13" s="23" customFormat="1" ht="14.1" customHeight="1">
      <c r="A228" s="247">
        <f t="shared" si="68"/>
        <v>212</v>
      </c>
      <c r="B228" s="30"/>
      <c r="C228" s="17"/>
      <c r="D228" s="17"/>
      <c r="E228" s="17"/>
      <c r="F228" s="17"/>
      <c r="G228" s="305"/>
      <c r="H228" s="17"/>
      <c r="I228" s="24"/>
      <c r="J228" s="24"/>
      <c r="K228" s="30"/>
      <c r="L228" s="43"/>
    </row>
    <row r="229" spans="1:13" ht="14.1" customHeight="1">
      <c r="A229" s="247">
        <f t="shared" si="68"/>
        <v>213</v>
      </c>
      <c r="B229" s="14" t="s">
        <v>155</v>
      </c>
      <c r="C229" s="11"/>
      <c r="D229" s="11"/>
      <c r="E229" s="11"/>
      <c r="F229" s="11"/>
      <c r="G229" s="11"/>
      <c r="H229" s="11"/>
      <c r="I229" s="11"/>
      <c r="J229" s="11"/>
      <c r="K229" s="16"/>
      <c r="L229" s="43"/>
    </row>
    <row r="230" spans="1:13" ht="14.1" customHeight="1">
      <c r="A230" s="247">
        <f t="shared" si="68"/>
        <v>214</v>
      </c>
      <c r="B230" s="27" t="s">
        <v>139</v>
      </c>
      <c r="C230" s="11">
        <v>6778355</v>
      </c>
      <c r="D230" s="11">
        <f>L230*-1</f>
        <v>-6778355</v>
      </c>
      <c r="E230" s="11">
        <f>C230+D230</f>
        <v>0</v>
      </c>
      <c r="F230" s="11">
        <f>E230-G230</f>
        <v>0</v>
      </c>
      <c r="G230" s="17">
        <f>ROUND(E230*'Allocation Factors'!$G$10,0)</f>
        <v>0</v>
      </c>
      <c r="H230" s="11">
        <f>'Sch 5'!C217</f>
        <v>0</v>
      </c>
      <c r="I230" s="11">
        <f>G230+H230</f>
        <v>0</v>
      </c>
      <c r="J230" s="11"/>
      <c r="K230" s="16" t="s">
        <v>346</v>
      </c>
      <c r="L230" s="43">
        <v>6778355</v>
      </c>
      <c r="M230" s="203" t="s">
        <v>429</v>
      </c>
    </row>
    <row r="231" spans="1:13" ht="14.1" customHeight="1">
      <c r="A231" s="247">
        <f t="shared" si="68"/>
        <v>215</v>
      </c>
      <c r="B231" s="27" t="s">
        <v>148</v>
      </c>
      <c r="C231" s="11">
        <v>0</v>
      </c>
      <c r="D231" s="11">
        <v>0</v>
      </c>
      <c r="E231" s="11">
        <f>C231+D231</f>
        <v>0</v>
      </c>
      <c r="F231" s="11">
        <f>E231-G231</f>
        <v>0</v>
      </c>
      <c r="G231" s="17">
        <f>ROUND(E231*'Allocation Factors'!$G$12,0)</f>
        <v>0</v>
      </c>
      <c r="H231" s="11">
        <f>'Sch 5'!C218</f>
        <v>0</v>
      </c>
      <c r="I231" s="11">
        <f>G231+H231</f>
        <v>0</v>
      </c>
      <c r="J231" s="11"/>
      <c r="K231" s="16" t="s">
        <v>348</v>
      </c>
      <c r="L231" s="43"/>
    </row>
    <row r="232" spans="1:13" ht="14.1" customHeight="1">
      <c r="A232" s="247">
        <f t="shared" si="68"/>
        <v>216</v>
      </c>
      <c r="B232" s="27" t="s">
        <v>141</v>
      </c>
      <c r="C232" s="11">
        <v>627604</v>
      </c>
      <c r="D232" s="11">
        <v>0</v>
      </c>
      <c r="E232" s="11">
        <f>C232+D232</f>
        <v>627604</v>
      </c>
      <c r="F232" s="11">
        <f>E232-G232</f>
        <v>628</v>
      </c>
      <c r="G232" s="17">
        <f>ROUND(E232*'Allocation Factors'!$G$18,0)</f>
        <v>626976</v>
      </c>
      <c r="H232" s="11">
        <f>'Sch 5'!C219</f>
        <v>0</v>
      </c>
      <c r="I232" s="11">
        <f>G232+H232</f>
        <v>626976</v>
      </c>
      <c r="J232" s="11"/>
      <c r="K232" s="30" t="s">
        <v>353</v>
      </c>
      <c r="L232" s="43"/>
    </row>
    <row r="233" spans="1:13" ht="14.1" customHeight="1">
      <c r="A233" s="247">
        <f t="shared" si="68"/>
        <v>217</v>
      </c>
      <c r="B233" s="92" t="s">
        <v>142</v>
      </c>
      <c r="C233" s="11">
        <v>0</v>
      </c>
      <c r="D233" s="11">
        <v>0</v>
      </c>
      <c r="E233" s="11">
        <f>C233+D233</f>
        <v>0</v>
      </c>
      <c r="F233" s="11">
        <f>E233-G233</f>
        <v>0</v>
      </c>
      <c r="G233" s="11">
        <f>ROUND(E233*'Allocation Factors'!$G$22,0)</f>
        <v>0</v>
      </c>
      <c r="H233" s="11">
        <f>'Sch 5'!C220</f>
        <v>0</v>
      </c>
      <c r="I233" s="11">
        <f>G233+H233</f>
        <v>0</v>
      </c>
      <c r="J233" s="11"/>
      <c r="K233" s="16" t="s">
        <v>381</v>
      </c>
      <c r="L233" s="43"/>
    </row>
    <row r="234" spans="1:13" ht="14.1" customHeight="1">
      <c r="A234" s="247">
        <f t="shared" si="68"/>
        <v>218</v>
      </c>
      <c r="B234" s="205" t="s">
        <v>536</v>
      </c>
      <c r="C234" s="189">
        <f t="shared" ref="C234:H234" si="80">SUM(C230:C233)</f>
        <v>7405959</v>
      </c>
      <c r="D234" s="189">
        <f t="shared" si="80"/>
        <v>-6778355</v>
      </c>
      <c r="E234" s="189">
        <f t="shared" si="80"/>
        <v>627604</v>
      </c>
      <c r="F234" s="189">
        <f t="shared" si="80"/>
        <v>628</v>
      </c>
      <c r="G234" s="189">
        <f t="shared" si="80"/>
        <v>626976</v>
      </c>
      <c r="H234" s="189">
        <f t="shared" si="80"/>
        <v>0</v>
      </c>
      <c r="I234" s="189">
        <f>I230+I231+I232+I233</f>
        <v>626976</v>
      </c>
      <c r="J234" s="189"/>
      <c r="K234" s="322"/>
      <c r="L234" s="43"/>
    </row>
    <row r="235" spans="1:13" ht="14.1" customHeight="1">
      <c r="A235" s="247">
        <f t="shared" si="68"/>
        <v>219</v>
      </c>
      <c r="B235" s="30"/>
      <c r="C235" s="17"/>
      <c r="D235" s="17"/>
      <c r="E235" s="17"/>
      <c r="F235" s="17"/>
      <c r="G235" s="305"/>
      <c r="H235" s="17"/>
      <c r="I235" s="17"/>
      <c r="J235" s="17"/>
      <c r="K235" s="18"/>
      <c r="L235" s="43"/>
    </row>
    <row r="236" spans="1:13" s="23" customFormat="1" ht="14.1" customHeight="1">
      <c r="A236" s="247">
        <f t="shared" si="68"/>
        <v>220</v>
      </c>
      <c r="B236" s="14" t="s">
        <v>384</v>
      </c>
      <c r="C236" s="11"/>
      <c r="D236" s="11"/>
      <c r="E236" s="11"/>
      <c r="F236" s="11"/>
      <c r="G236" s="11"/>
      <c r="H236" s="11"/>
      <c r="I236" s="24"/>
      <c r="J236" s="24"/>
      <c r="K236" s="30"/>
      <c r="L236" s="43"/>
    </row>
    <row r="237" spans="1:13" ht="14.1" customHeight="1">
      <c r="A237" s="247">
        <f t="shared" si="68"/>
        <v>221</v>
      </c>
      <c r="B237" s="27" t="s">
        <v>156</v>
      </c>
      <c r="C237" s="11">
        <f>35827679+13191961+16048+64280</f>
        <v>49099968</v>
      </c>
      <c r="D237" s="11">
        <v>0</v>
      </c>
      <c r="E237" s="11">
        <f>C237+D237</f>
        <v>49099968</v>
      </c>
      <c r="F237" s="11">
        <f>E237-G237</f>
        <v>687400</v>
      </c>
      <c r="G237" s="11">
        <f>ROUND(E237*'Allocation Factors'!$G$14,0)</f>
        <v>48412568</v>
      </c>
      <c r="H237" s="11">
        <f>'Sch 5'!C224</f>
        <v>-18045194</v>
      </c>
      <c r="I237" s="11">
        <f t="shared" ref="I237:I246" si="81">G237+H237</f>
        <v>30367374</v>
      </c>
      <c r="J237" s="11"/>
      <c r="K237" s="16" t="s">
        <v>372</v>
      </c>
      <c r="L237" s="43"/>
    </row>
    <row r="238" spans="1:13" ht="14.1" customHeight="1">
      <c r="A238" s="247">
        <f t="shared" si="68"/>
        <v>222</v>
      </c>
      <c r="B238" s="27" t="s">
        <v>158</v>
      </c>
      <c r="C238" s="11">
        <v>16069468</v>
      </c>
      <c r="D238" s="11">
        <v>0</v>
      </c>
      <c r="E238" s="11">
        <f t="shared" ref="E238:E246" si="82">C238+D238</f>
        <v>16069468</v>
      </c>
      <c r="F238" s="11">
        <f t="shared" ref="F238:F246" si="83">E238-G238</f>
        <v>224973</v>
      </c>
      <c r="G238" s="11">
        <f>ROUND(C238*'Allocation Factors'!$G$10,0)</f>
        <v>15844495</v>
      </c>
      <c r="H238" s="11">
        <f>'Sch 5'!C225</f>
        <v>-6268345</v>
      </c>
      <c r="I238" s="11">
        <f t="shared" si="81"/>
        <v>9576150</v>
      </c>
      <c r="J238" s="11"/>
      <c r="K238" s="16" t="s">
        <v>346</v>
      </c>
      <c r="L238" s="43"/>
    </row>
    <row r="239" spans="1:13" ht="14.1" customHeight="1">
      <c r="A239" s="247">
        <f t="shared" si="68"/>
        <v>223</v>
      </c>
      <c r="B239" s="27" t="s">
        <v>158</v>
      </c>
      <c r="C239" s="11">
        <f>1571884+503764+1036552</f>
        <v>3112200</v>
      </c>
      <c r="D239" s="11">
        <v>0</v>
      </c>
      <c r="E239" s="11">
        <f>C239+D239</f>
        <v>3112200</v>
      </c>
      <c r="F239" s="11">
        <f t="shared" si="83"/>
        <v>43571</v>
      </c>
      <c r="G239" s="11">
        <f>ROUND(E239*'Allocation Factors'!$G$14,0)</f>
        <v>3068629</v>
      </c>
      <c r="H239" s="11">
        <f>'Sch 5'!C226</f>
        <v>0</v>
      </c>
      <c r="I239" s="11">
        <f t="shared" si="81"/>
        <v>3068629</v>
      </c>
      <c r="J239" s="11"/>
      <c r="K239" s="16" t="s">
        <v>349</v>
      </c>
      <c r="L239" s="43"/>
    </row>
    <row r="240" spans="1:13" ht="14.1" customHeight="1">
      <c r="A240" s="247">
        <f t="shared" si="68"/>
        <v>224</v>
      </c>
      <c r="B240" s="27" t="s">
        <v>159</v>
      </c>
      <c r="C240" s="11">
        <v>890273.29</v>
      </c>
      <c r="D240" s="11">
        <v>0</v>
      </c>
      <c r="E240" s="11">
        <f t="shared" si="82"/>
        <v>890273.29</v>
      </c>
      <c r="F240" s="11">
        <f t="shared" si="83"/>
        <v>12464.290000000037</v>
      </c>
      <c r="G240" s="11">
        <f>ROUND(E240*'Allocation Factors'!$G$16,0)</f>
        <v>877809</v>
      </c>
      <c r="H240" s="11">
        <f>'Sch 5'!C227</f>
        <v>0</v>
      </c>
      <c r="I240" s="11">
        <f t="shared" si="81"/>
        <v>877809</v>
      </c>
      <c r="J240" s="11"/>
      <c r="K240" s="16" t="s">
        <v>351</v>
      </c>
      <c r="L240" s="43"/>
    </row>
    <row r="241" spans="1:12" ht="14.1" customHeight="1">
      <c r="A241" s="247">
        <f t="shared" si="68"/>
        <v>225</v>
      </c>
      <c r="B241" s="92" t="s">
        <v>160</v>
      </c>
      <c r="C241" s="100">
        <v>2157892.4</v>
      </c>
      <c r="D241" s="100">
        <v>0</v>
      </c>
      <c r="E241" s="100">
        <f t="shared" si="82"/>
        <v>2157892.4</v>
      </c>
      <c r="F241" s="100">
        <f t="shared" si="83"/>
        <v>2157.3999999999069</v>
      </c>
      <c r="G241" s="100">
        <f>ROUND(E241*'Allocation Factors'!$G$18,0)</f>
        <v>2155735</v>
      </c>
      <c r="H241" s="100">
        <f>'Sch 5'!C228</f>
        <v>0</v>
      </c>
      <c r="I241" s="100">
        <f t="shared" si="81"/>
        <v>2155735</v>
      </c>
      <c r="J241" s="100"/>
      <c r="K241" s="310" t="s">
        <v>353</v>
      </c>
      <c r="L241" s="43"/>
    </row>
    <row r="242" spans="1:12" ht="14.1" customHeight="1">
      <c r="A242" s="247">
        <f t="shared" si="68"/>
        <v>226</v>
      </c>
      <c r="B242" s="14" t="s">
        <v>568</v>
      </c>
      <c r="C242" s="11">
        <f t="shared" ref="C242:I242" si="84">SUM(C237:C241)</f>
        <v>71329801.690000013</v>
      </c>
      <c r="D242" s="11">
        <f t="shared" si="84"/>
        <v>0</v>
      </c>
      <c r="E242" s="11">
        <f t="shared" si="84"/>
        <v>71329801.690000013</v>
      </c>
      <c r="F242" s="11">
        <f t="shared" si="84"/>
        <v>970565.69</v>
      </c>
      <c r="G242" s="11">
        <f t="shared" si="84"/>
        <v>70359236</v>
      </c>
      <c r="H242" s="11">
        <f t="shared" si="84"/>
        <v>-24313539</v>
      </c>
      <c r="I242" s="11">
        <f t="shared" si="84"/>
        <v>46045697</v>
      </c>
      <c r="J242" s="11"/>
      <c r="K242" s="16"/>
      <c r="L242" s="43"/>
    </row>
    <row r="243" spans="1:12" ht="14.1" customHeight="1">
      <c r="A243" s="247">
        <f t="shared" si="68"/>
        <v>227</v>
      </c>
      <c r="B243" s="27"/>
      <c r="C243" s="11"/>
      <c r="D243" s="11"/>
      <c r="E243" s="11"/>
      <c r="F243" s="11"/>
      <c r="G243" s="11"/>
      <c r="H243" s="11"/>
      <c r="I243" s="11"/>
      <c r="J243" s="11"/>
      <c r="K243" s="16"/>
      <c r="L243" s="43"/>
    </row>
    <row r="244" spans="1:12" ht="14.1" customHeight="1">
      <c r="A244" s="247">
        <f t="shared" si="68"/>
        <v>228</v>
      </c>
      <c r="B244" s="14" t="s">
        <v>383</v>
      </c>
      <c r="C244" s="11"/>
      <c r="D244" s="11"/>
      <c r="E244" s="11"/>
      <c r="F244" s="11"/>
      <c r="G244" s="11"/>
      <c r="H244" s="11"/>
      <c r="I244" s="11"/>
      <c r="J244" s="11"/>
      <c r="K244" s="16"/>
      <c r="L244" s="43"/>
    </row>
    <row r="245" spans="1:12" ht="14.1" customHeight="1">
      <c r="A245" s="247">
        <f t="shared" ref="A245:A309" si="85">+A244+1</f>
        <v>229</v>
      </c>
      <c r="B245" s="27" t="s">
        <v>161</v>
      </c>
      <c r="C245" s="11">
        <v>0</v>
      </c>
      <c r="D245" s="11">
        <v>0</v>
      </c>
      <c r="E245" s="11">
        <f t="shared" si="82"/>
        <v>0</v>
      </c>
      <c r="F245" s="11">
        <f t="shared" si="83"/>
        <v>0</v>
      </c>
      <c r="G245" s="11">
        <f>ROUND(E245*'Allocation Factors'!$G$24,0)</f>
        <v>0</v>
      </c>
      <c r="H245" s="11">
        <f>'Sch 5'!C232</f>
        <v>0</v>
      </c>
      <c r="I245" s="11">
        <f t="shared" si="81"/>
        <v>0</v>
      </c>
      <c r="J245" s="11"/>
      <c r="K245" s="16" t="s">
        <v>359</v>
      </c>
      <c r="L245" s="43"/>
    </row>
    <row r="246" spans="1:12" ht="14.1" customHeight="1">
      <c r="A246" s="247">
        <f t="shared" si="85"/>
        <v>230</v>
      </c>
      <c r="B246" s="92" t="s">
        <v>162</v>
      </c>
      <c r="C246" s="11">
        <v>2504389</v>
      </c>
      <c r="D246" s="11">
        <v>0</v>
      </c>
      <c r="E246" s="11">
        <f t="shared" si="82"/>
        <v>2504389</v>
      </c>
      <c r="F246" s="11">
        <f t="shared" si="83"/>
        <v>27548</v>
      </c>
      <c r="G246" s="11">
        <f>ROUND(E246*'Allocation Factors'!$G$24,0)</f>
        <v>2476841</v>
      </c>
      <c r="H246" s="11">
        <f>'Sch 5'!C233</f>
        <v>0</v>
      </c>
      <c r="I246" s="11">
        <f t="shared" si="81"/>
        <v>2476841</v>
      </c>
      <c r="J246" s="11"/>
      <c r="K246" s="16" t="s">
        <v>359</v>
      </c>
      <c r="L246" s="43"/>
    </row>
    <row r="247" spans="1:12" ht="14.1" customHeight="1">
      <c r="A247" s="247">
        <f t="shared" si="85"/>
        <v>231</v>
      </c>
      <c r="B247" s="14" t="s">
        <v>569</v>
      </c>
      <c r="C247" s="189">
        <f>SUM(C245:C246)</f>
        <v>2504389</v>
      </c>
      <c r="D247" s="189">
        <f t="shared" ref="D247:I247" si="86">SUM(D245:D246)</f>
        <v>0</v>
      </c>
      <c r="E247" s="189">
        <f t="shared" si="86"/>
        <v>2504389</v>
      </c>
      <c r="F247" s="189">
        <f t="shared" si="86"/>
        <v>27548</v>
      </c>
      <c r="G247" s="189">
        <f t="shared" si="86"/>
        <v>2476841</v>
      </c>
      <c r="H247" s="189">
        <f t="shared" si="86"/>
        <v>0</v>
      </c>
      <c r="I247" s="189">
        <f t="shared" si="86"/>
        <v>2476841</v>
      </c>
      <c r="J247" s="189"/>
      <c r="K247" s="322"/>
      <c r="L247" s="43"/>
    </row>
    <row r="248" spans="1:12" ht="14.1" customHeight="1">
      <c r="A248" s="247">
        <f t="shared" si="85"/>
        <v>232</v>
      </c>
      <c r="B248" s="30"/>
      <c r="C248" s="17"/>
      <c r="D248" s="17"/>
      <c r="E248" s="17"/>
      <c r="F248" s="17"/>
      <c r="G248" s="305"/>
      <c r="H248" s="17"/>
      <c r="I248" s="48"/>
      <c r="J248" s="48"/>
      <c r="K248" s="16"/>
      <c r="L248" s="43"/>
    </row>
    <row r="249" spans="1:12" ht="14.1" customHeight="1">
      <c r="A249" s="247">
        <f t="shared" si="85"/>
        <v>233</v>
      </c>
      <c r="B249" s="203" t="s">
        <v>374</v>
      </c>
      <c r="C249" s="48">
        <v>-14572129.369999999</v>
      </c>
      <c r="D249" s="48">
        <v>0</v>
      </c>
      <c r="E249" s="48">
        <f>C249+D249</f>
        <v>-14572129.369999999</v>
      </c>
      <c r="F249" s="17">
        <f>E249-G249</f>
        <v>0</v>
      </c>
      <c r="G249" s="17">
        <f>E249</f>
        <v>-14572129.369999999</v>
      </c>
      <c r="H249" s="48">
        <f>'Sch 5'!C236</f>
        <v>0</v>
      </c>
      <c r="I249" s="48">
        <f>G249+H249</f>
        <v>-14572129.369999999</v>
      </c>
      <c r="J249" s="48"/>
      <c r="K249" s="18" t="s">
        <v>57</v>
      </c>
      <c r="L249" s="43"/>
    </row>
    <row r="250" spans="1:12" ht="14.1" customHeight="1">
      <c r="A250" s="247">
        <f t="shared" si="85"/>
        <v>234</v>
      </c>
      <c r="B250" s="203" t="s">
        <v>163</v>
      </c>
      <c r="C250" s="11">
        <v>0</v>
      </c>
      <c r="D250" s="11">
        <v>0</v>
      </c>
      <c r="E250" s="11">
        <f>C250+D250</f>
        <v>0</v>
      </c>
      <c r="F250" s="17">
        <v>0</v>
      </c>
      <c r="G250" s="17">
        <v>0</v>
      </c>
      <c r="H250" s="11">
        <f>'Sch 5'!C237</f>
        <v>0</v>
      </c>
      <c r="I250" s="11">
        <f>G250+H250</f>
        <v>0</v>
      </c>
      <c r="J250" s="11"/>
      <c r="K250" s="18" t="s">
        <v>57</v>
      </c>
      <c r="L250" s="43"/>
    </row>
    <row r="251" spans="1:12" s="3" customFormat="1" ht="14.1" customHeight="1">
      <c r="A251" s="247">
        <f t="shared" si="85"/>
        <v>235</v>
      </c>
      <c r="B251" s="19" t="s">
        <v>539</v>
      </c>
      <c r="C251" s="20">
        <f>+C249+C250</f>
        <v>-14572129.369999999</v>
      </c>
      <c r="D251" s="20">
        <f>+D249+D250</f>
        <v>0</v>
      </c>
      <c r="E251" s="20">
        <f>+E249+E250</f>
        <v>-14572129.369999999</v>
      </c>
      <c r="F251" s="20">
        <f>+F249+F250</f>
        <v>0</v>
      </c>
      <c r="G251" s="20">
        <f>+G249+G250</f>
        <v>-14572129.369999999</v>
      </c>
      <c r="H251" s="20">
        <f>SUM(H249:H250)</f>
        <v>0</v>
      </c>
      <c r="I251" s="21">
        <f>G251+H251</f>
        <v>-14572129.369999999</v>
      </c>
      <c r="J251" s="21"/>
      <c r="K251" s="22" t="s">
        <v>57</v>
      </c>
      <c r="L251" s="43"/>
    </row>
    <row r="252" spans="1:12" ht="14.1" customHeight="1">
      <c r="A252" s="247">
        <f t="shared" si="85"/>
        <v>236</v>
      </c>
      <c r="B252" s="30"/>
      <c r="C252" s="17"/>
      <c r="D252" s="17"/>
      <c r="E252" s="17"/>
      <c r="F252" s="17"/>
      <c r="G252" s="17"/>
      <c r="H252" s="17"/>
      <c r="I252" s="11"/>
      <c r="J252" s="11"/>
      <c r="K252" s="16"/>
      <c r="L252" s="43"/>
    </row>
    <row r="253" spans="1:12" ht="14.1" customHeight="1">
      <c r="A253" s="247">
        <f t="shared" si="85"/>
        <v>237</v>
      </c>
      <c r="B253" s="14" t="s">
        <v>164</v>
      </c>
      <c r="C253" s="11"/>
      <c r="D253" s="11"/>
      <c r="E253" s="11"/>
      <c r="F253" s="11"/>
      <c r="G253" s="11"/>
      <c r="H253" s="11"/>
      <c r="I253" s="11"/>
      <c r="J253" s="11"/>
      <c r="K253" s="16"/>
      <c r="L253" s="43"/>
    </row>
    <row r="254" spans="1:12" s="23" customFormat="1" ht="14.1" customHeight="1">
      <c r="A254" s="247">
        <f t="shared" si="85"/>
        <v>238</v>
      </c>
      <c r="B254" s="27" t="s">
        <v>165</v>
      </c>
      <c r="C254" s="11">
        <v>-399250637.23000002</v>
      </c>
      <c r="D254" s="11">
        <v>0</v>
      </c>
      <c r="E254" s="11">
        <f t="shared" ref="E254:E259" si="87">C254+D254</f>
        <v>-399250637.23000002</v>
      </c>
      <c r="F254" s="11">
        <f t="shared" ref="F254:F259" si="88">E254-G254</f>
        <v>-4391757.2300000191</v>
      </c>
      <c r="G254" s="335">
        <f>ROUND(E254*'Allocation Factors'!$G$24,0)</f>
        <v>-394858880</v>
      </c>
      <c r="H254" s="11">
        <f>'Sch 5'!C241</f>
        <v>81691374</v>
      </c>
      <c r="I254" s="11">
        <f t="shared" ref="I254:I259" si="89">G254+H254</f>
        <v>-313167506</v>
      </c>
      <c r="J254" s="11"/>
      <c r="K254" s="30" t="s">
        <v>359</v>
      </c>
      <c r="L254" s="43"/>
    </row>
    <row r="255" spans="1:12" s="23" customFormat="1" ht="14.1" customHeight="1">
      <c r="A255" s="247">
        <f t="shared" si="85"/>
        <v>239</v>
      </c>
      <c r="B255" s="27" t="s">
        <v>166</v>
      </c>
      <c r="C255" s="11">
        <v>0</v>
      </c>
      <c r="D255" s="11">
        <v>0</v>
      </c>
      <c r="E255" s="11">
        <f t="shared" si="87"/>
        <v>0</v>
      </c>
      <c r="F255" s="11">
        <f t="shared" si="88"/>
        <v>0</v>
      </c>
      <c r="G255" s="11">
        <v>0</v>
      </c>
      <c r="H255" s="11">
        <f>'Sch 5'!C242</f>
        <v>0</v>
      </c>
      <c r="I255" s="11">
        <f t="shared" si="89"/>
        <v>0</v>
      </c>
      <c r="J255" s="11"/>
      <c r="K255" s="30" t="s">
        <v>57</v>
      </c>
      <c r="L255" s="43"/>
    </row>
    <row r="256" spans="1:12" s="23" customFormat="1" ht="14.1" customHeight="1">
      <c r="A256" s="247">
        <f t="shared" si="85"/>
        <v>240</v>
      </c>
      <c r="B256" s="27" t="s">
        <v>167</v>
      </c>
      <c r="C256" s="11">
        <v>-129532.84</v>
      </c>
      <c r="D256" s="11">
        <v>0</v>
      </c>
      <c r="E256" s="11">
        <f t="shared" si="87"/>
        <v>-129532.84</v>
      </c>
      <c r="F256" s="11">
        <f t="shared" si="88"/>
        <v>-129532.84</v>
      </c>
      <c r="G256" s="11">
        <v>0</v>
      </c>
      <c r="H256" s="11">
        <f>'Sch 5'!C243</f>
        <v>0</v>
      </c>
      <c r="I256" s="11">
        <f t="shared" si="89"/>
        <v>0</v>
      </c>
      <c r="J256" s="11"/>
      <c r="K256" s="30" t="s">
        <v>57</v>
      </c>
      <c r="L256" s="43"/>
    </row>
    <row r="257" spans="1:13" s="23" customFormat="1" ht="14.1" customHeight="1">
      <c r="A257" s="247">
        <f t="shared" si="85"/>
        <v>241</v>
      </c>
      <c r="B257" s="27" t="s">
        <v>386</v>
      </c>
      <c r="C257" s="11">
        <v>-117511.22</v>
      </c>
      <c r="D257" s="11">
        <v>0</v>
      </c>
      <c r="E257" s="11">
        <f t="shared" si="87"/>
        <v>-117511.22</v>
      </c>
      <c r="F257" s="11">
        <f t="shared" si="88"/>
        <v>-0.22000000000116415</v>
      </c>
      <c r="G257" s="11">
        <f>ROUND(E257*'Allocation Factors'!$G$34,0)</f>
        <v>-117511</v>
      </c>
      <c r="H257" s="11">
        <f>'Sch 5'!C244</f>
        <v>0</v>
      </c>
      <c r="I257" s="11">
        <f t="shared" si="89"/>
        <v>-117511</v>
      </c>
      <c r="J257" s="11"/>
      <c r="K257" s="30" t="s">
        <v>388</v>
      </c>
      <c r="L257" s="43"/>
    </row>
    <row r="258" spans="1:13" ht="14.1" customHeight="1">
      <c r="A258" s="247">
        <f t="shared" si="85"/>
        <v>242</v>
      </c>
      <c r="B258" s="27" t="s">
        <v>168</v>
      </c>
      <c r="C258" s="11">
        <v>-25260449.890000001</v>
      </c>
      <c r="D258" s="11">
        <v>0</v>
      </c>
      <c r="E258" s="11">
        <f t="shared" si="87"/>
        <v>-25260449.890000001</v>
      </c>
      <c r="F258" s="11">
        <f t="shared" si="88"/>
        <v>0.10999999940395355</v>
      </c>
      <c r="G258" s="11">
        <f>ROUND(E258*'Allocation Factors'!$G$34,0)</f>
        <v>-25260450</v>
      </c>
      <c r="H258" s="11">
        <f>'Sch 5'!C245</f>
        <v>0</v>
      </c>
      <c r="I258" s="11">
        <f t="shared" si="89"/>
        <v>-25260450</v>
      </c>
      <c r="J258" s="11"/>
      <c r="K258" s="30" t="s">
        <v>388</v>
      </c>
      <c r="L258" s="43"/>
    </row>
    <row r="259" spans="1:13" ht="14.1" customHeight="1">
      <c r="A259" s="247">
        <f t="shared" si="85"/>
        <v>243</v>
      </c>
      <c r="B259" s="92" t="s">
        <v>169</v>
      </c>
      <c r="C259" s="100">
        <v>0</v>
      </c>
      <c r="D259" s="100">
        <v>0</v>
      </c>
      <c r="E259" s="100">
        <f t="shared" si="87"/>
        <v>0</v>
      </c>
      <c r="F259" s="100">
        <f t="shared" si="88"/>
        <v>0</v>
      </c>
      <c r="G259" s="100">
        <v>0</v>
      </c>
      <c r="H259" s="100">
        <f>'Sch 5'!C246</f>
        <v>0</v>
      </c>
      <c r="I259" s="100">
        <f t="shared" si="89"/>
        <v>0</v>
      </c>
      <c r="J259" s="100"/>
      <c r="K259" s="88" t="s">
        <v>57</v>
      </c>
      <c r="L259" s="43"/>
    </row>
    <row r="260" spans="1:13" ht="14.1" customHeight="1">
      <c r="A260" s="247">
        <f t="shared" si="85"/>
        <v>244</v>
      </c>
      <c r="B260" s="205" t="s">
        <v>170</v>
      </c>
      <c r="C260" s="17">
        <f t="shared" ref="C260:I260" si="90">SUM(C254:C259)</f>
        <v>-424758131.18000001</v>
      </c>
      <c r="D260" s="17">
        <f t="shared" si="90"/>
        <v>0</v>
      </c>
      <c r="E260" s="17">
        <f t="shared" si="90"/>
        <v>-424758131.18000001</v>
      </c>
      <c r="F260" s="17">
        <f t="shared" si="90"/>
        <v>-4521290.1800000193</v>
      </c>
      <c r="G260" s="17">
        <f t="shared" si="90"/>
        <v>-420236841</v>
      </c>
      <c r="H260" s="17">
        <f t="shared" si="90"/>
        <v>81691374</v>
      </c>
      <c r="I260" s="17">
        <f t="shared" si="90"/>
        <v>-338545467</v>
      </c>
      <c r="J260" s="17"/>
      <c r="K260" s="330"/>
      <c r="L260" s="43"/>
    </row>
    <row r="261" spans="1:13" ht="14.1" customHeight="1">
      <c r="A261" s="247">
        <f t="shared" si="85"/>
        <v>245</v>
      </c>
      <c r="B261" s="88"/>
      <c r="C261" s="17"/>
      <c r="D261" s="17"/>
      <c r="E261" s="17"/>
      <c r="F261" s="17"/>
      <c r="G261" s="17"/>
      <c r="H261" s="17"/>
      <c r="I261" s="17"/>
      <c r="J261" s="17"/>
      <c r="K261" s="330"/>
      <c r="L261" s="43"/>
    </row>
    <row r="262" spans="1:13" s="3" customFormat="1" ht="14.1" customHeight="1" thickBot="1">
      <c r="A262" s="247">
        <f t="shared" si="85"/>
        <v>246</v>
      </c>
      <c r="B262" s="90" t="s">
        <v>538</v>
      </c>
      <c r="C262" s="207">
        <f t="shared" ref="C262:I262" si="91">C201+C224+C234+C242+C247+C251+C260</f>
        <v>1590448160.5800002</v>
      </c>
      <c r="D262" s="207">
        <f t="shared" si="91"/>
        <v>-67995506</v>
      </c>
      <c r="E262" s="207">
        <f t="shared" si="91"/>
        <v>1522473967.5800002</v>
      </c>
      <c r="F262" s="207">
        <f t="shared" si="91"/>
        <v>16088544.229999982</v>
      </c>
      <c r="G262" s="207">
        <f t="shared" si="91"/>
        <v>1506385423.3500004</v>
      </c>
      <c r="H262" s="207">
        <f t="shared" si="91"/>
        <v>-400836259.35852003</v>
      </c>
      <c r="I262" s="207">
        <f t="shared" si="91"/>
        <v>1105549163.9914801</v>
      </c>
      <c r="J262" s="207"/>
      <c r="K262" s="91"/>
      <c r="L262" s="43"/>
    </row>
    <row r="263" spans="1:13" ht="13.5" customHeight="1" thickTop="1">
      <c r="A263" s="247">
        <f t="shared" si="85"/>
        <v>247</v>
      </c>
      <c r="B263" s="158"/>
      <c r="C263" s="27"/>
      <c r="D263" s="27"/>
      <c r="E263" s="27"/>
      <c r="F263" s="48"/>
      <c r="G263" s="48"/>
      <c r="H263" s="48"/>
      <c r="I263" s="48"/>
      <c r="J263" s="48"/>
      <c r="K263" s="16"/>
      <c r="L263" s="43"/>
    </row>
    <row r="264" spans="1:13" ht="13.5" customHeight="1">
      <c r="A264" s="247">
        <f t="shared" si="85"/>
        <v>248</v>
      </c>
      <c r="B264" s="27"/>
      <c r="C264" s="11"/>
      <c r="D264" s="11"/>
      <c r="E264" s="11"/>
      <c r="F264" s="11"/>
      <c r="G264" s="11"/>
      <c r="H264" s="11"/>
      <c r="I264" s="11"/>
      <c r="J264" s="11"/>
      <c r="K264" s="16"/>
      <c r="L264" s="43"/>
    </row>
    <row r="265" spans="1:13" ht="14.1" customHeight="1">
      <c r="A265" s="247">
        <f t="shared" si="85"/>
        <v>249</v>
      </c>
      <c r="B265" s="304" t="s">
        <v>323</v>
      </c>
      <c r="C265" s="11">
        <v>567450376.09000003</v>
      </c>
      <c r="D265" s="11">
        <f>L271</f>
        <v>-2486805</v>
      </c>
      <c r="E265" s="11">
        <f>C265+D265</f>
        <v>564963571.09000003</v>
      </c>
      <c r="F265" s="24">
        <v>0</v>
      </c>
      <c r="G265" s="17">
        <f>E265-F265</f>
        <v>564963571.09000003</v>
      </c>
      <c r="H265" s="11">
        <f>'Sch 5'!C252</f>
        <v>-4370496</v>
      </c>
      <c r="I265" s="11">
        <f>G265+H265</f>
        <v>560593075.09000003</v>
      </c>
      <c r="J265" s="11"/>
      <c r="K265" s="16" t="s">
        <v>57</v>
      </c>
      <c r="L265" s="43">
        <v>22188019.93</v>
      </c>
      <c r="M265" s="203" t="s">
        <v>377</v>
      </c>
    </row>
    <row r="266" spans="1:13" ht="14.1" customHeight="1">
      <c r="A266" s="247">
        <f t="shared" si="85"/>
        <v>250</v>
      </c>
      <c r="B266" s="304" t="s">
        <v>375</v>
      </c>
      <c r="C266" s="11">
        <v>6682927</v>
      </c>
      <c r="D266" s="11">
        <v>0</v>
      </c>
      <c r="E266" s="11">
        <f>C266+D266</f>
        <v>6682927</v>
      </c>
      <c r="F266" s="24">
        <f>E266</f>
        <v>6682927</v>
      </c>
      <c r="G266" s="17">
        <f>E266-F266</f>
        <v>0</v>
      </c>
      <c r="H266" s="11">
        <f>'Sch 5'!C253</f>
        <v>0</v>
      </c>
      <c r="I266" s="11">
        <f>G266+H266</f>
        <v>0</v>
      </c>
      <c r="J266" s="11"/>
      <c r="K266" s="16" t="s">
        <v>57</v>
      </c>
      <c r="L266" s="43">
        <v>70135</v>
      </c>
      <c r="M266" s="203" t="s">
        <v>377</v>
      </c>
    </row>
    <row r="267" spans="1:13" ht="14.1" customHeight="1">
      <c r="A267" s="247">
        <f t="shared" si="85"/>
        <v>251</v>
      </c>
      <c r="B267" s="304" t="s">
        <v>18</v>
      </c>
      <c r="C267" s="11">
        <v>71157.539999999994</v>
      </c>
      <c r="D267" s="11">
        <f>C267*-1</f>
        <v>-71157.539999999994</v>
      </c>
      <c r="E267" s="11">
        <f>C267+D267</f>
        <v>0</v>
      </c>
      <c r="F267" s="24"/>
      <c r="G267" s="24"/>
      <c r="H267" s="11"/>
      <c r="I267" s="11"/>
      <c r="J267" s="11"/>
      <c r="K267" s="16"/>
      <c r="L267" s="43"/>
    </row>
    <row r="268" spans="1:13" ht="14.1" customHeight="1">
      <c r="A268" s="247">
        <f t="shared" si="85"/>
        <v>252</v>
      </c>
      <c r="B268" s="304"/>
      <c r="C268" s="11"/>
      <c r="D268" s="11"/>
      <c r="E268" s="11"/>
      <c r="F268" s="24"/>
      <c r="G268" s="24"/>
      <c r="I268" s="11"/>
      <c r="J268" s="11"/>
      <c r="K268" s="16"/>
      <c r="L268" s="43"/>
    </row>
    <row r="269" spans="1:13" ht="14.1" customHeight="1">
      <c r="A269" s="247">
        <f t="shared" si="85"/>
        <v>253</v>
      </c>
      <c r="B269" s="3" t="s">
        <v>172</v>
      </c>
      <c r="C269" s="11"/>
      <c r="D269" s="11"/>
      <c r="E269" s="11"/>
      <c r="F269" s="24"/>
      <c r="G269" s="24"/>
      <c r="I269" s="11"/>
      <c r="J269" s="11"/>
      <c r="K269" s="16"/>
      <c r="L269" s="43"/>
    </row>
    <row r="270" spans="1:13" ht="14.1" customHeight="1">
      <c r="A270" s="247">
        <f t="shared" si="85"/>
        <v>254</v>
      </c>
      <c r="B270" s="203" t="s">
        <v>173</v>
      </c>
      <c r="C270" s="11">
        <v>0</v>
      </c>
      <c r="D270" s="11">
        <v>0</v>
      </c>
      <c r="E270" s="11">
        <f>C270+D270</f>
        <v>0</v>
      </c>
      <c r="F270" s="24">
        <f>E270-G270</f>
        <v>0</v>
      </c>
      <c r="G270" s="24">
        <v>0</v>
      </c>
      <c r="H270" s="11">
        <f>'Sch 5'!C257</f>
        <v>0</v>
      </c>
      <c r="I270" s="11">
        <f>G270+H270</f>
        <v>0</v>
      </c>
      <c r="J270" s="11"/>
      <c r="K270" s="16"/>
      <c r="L270" s="43">
        <f>C266+C271</f>
        <v>227294784.68000001</v>
      </c>
      <c r="M270" s="203" t="s">
        <v>389</v>
      </c>
    </row>
    <row r="271" spans="1:13" ht="14.1" customHeight="1">
      <c r="A271" s="247">
        <f t="shared" si="85"/>
        <v>255</v>
      </c>
      <c r="B271" s="203" t="s">
        <v>174</v>
      </c>
      <c r="C271" s="11">
        <f>227294784.68-C266</f>
        <v>220611857.68000001</v>
      </c>
      <c r="D271" s="11">
        <f>C271*-1</f>
        <v>-220611857.68000001</v>
      </c>
      <c r="E271" s="11">
        <f>C271+D271</f>
        <v>0</v>
      </c>
      <c r="F271" s="24">
        <f>E271</f>
        <v>0</v>
      </c>
      <c r="G271" s="17">
        <v>0</v>
      </c>
      <c r="H271" s="11">
        <f>'Sch 5'!C258</f>
        <v>0</v>
      </c>
      <c r="I271" s="11">
        <f>G271+H271</f>
        <v>0</v>
      </c>
      <c r="J271" s="11"/>
      <c r="K271" s="16" t="s">
        <v>57</v>
      </c>
      <c r="L271" s="43">
        <v>-2486805</v>
      </c>
      <c r="M271" s="203" t="s">
        <v>376</v>
      </c>
    </row>
    <row r="272" spans="1:13" ht="14.1" customHeight="1">
      <c r="A272" s="247">
        <f t="shared" si="85"/>
        <v>256</v>
      </c>
      <c r="B272" s="92" t="s">
        <v>175</v>
      </c>
      <c r="C272" s="11">
        <v>0</v>
      </c>
      <c r="D272" s="11">
        <v>0</v>
      </c>
      <c r="E272" s="11">
        <f>C272+D272</f>
        <v>0</v>
      </c>
      <c r="F272" s="17">
        <v>0</v>
      </c>
      <c r="G272" s="24">
        <v>0</v>
      </c>
      <c r="H272" s="11">
        <f>'Sch 5'!C259</f>
        <v>0</v>
      </c>
      <c r="I272" s="11">
        <f>G272+H272</f>
        <v>0</v>
      </c>
      <c r="J272" s="11"/>
      <c r="K272" s="16"/>
      <c r="L272" s="43"/>
    </row>
    <row r="273" spans="1:14" ht="14.1" customHeight="1">
      <c r="A273" s="247">
        <f t="shared" si="85"/>
        <v>257</v>
      </c>
      <c r="B273" s="25" t="s">
        <v>540</v>
      </c>
      <c r="C273" s="189">
        <f>+C270+C271</f>
        <v>220611857.68000001</v>
      </c>
      <c r="D273" s="189">
        <f>+D270+D271</f>
        <v>-220611857.68000001</v>
      </c>
      <c r="E273" s="189">
        <f>+E270+E271</f>
        <v>0</v>
      </c>
      <c r="F273" s="189">
        <f>+F270+F271+F272</f>
        <v>0</v>
      </c>
      <c r="G273" s="189">
        <f>+G270+G271</f>
        <v>0</v>
      </c>
      <c r="H273" s="189">
        <f>+H270+H271</f>
        <v>0</v>
      </c>
      <c r="I273" s="83">
        <f>G273+H273</f>
        <v>0</v>
      </c>
      <c r="J273" s="83"/>
      <c r="K273" s="322"/>
      <c r="L273" s="43"/>
    </row>
    <row r="274" spans="1:14" ht="14.1" customHeight="1">
      <c r="A274" s="247">
        <f t="shared" si="85"/>
        <v>258</v>
      </c>
      <c r="B274" s="304"/>
      <c r="C274" s="17"/>
      <c r="D274" s="17"/>
      <c r="E274" s="17"/>
      <c r="F274" s="17"/>
      <c r="G274" s="17"/>
      <c r="H274" s="17"/>
      <c r="I274" s="48"/>
      <c r="J274" s="48"/>
      <c r="K274" s="16"/>
      <c r="L274" s="43"/>
    </row>
    <row r="275" spans="1:14" ht="14.1" customHeight="1">
      <c r="A275" s="247">
        <f t="shared" si="85"/>
        <v>259</v>
      </c>
      <c r="B275" s="14" t="s">
        <v>176</v>
      </c>
      <c r="C275" s="48"/>
      <c r="D275" s="48"/>
      <c r="E275" s="48"/>
      <c r="F275" s="17"/>
      <c r="G275" s="84"/>
      <c r="H275" s="48"/>
      <c r="I275" s="48"/>
      <c r="J275" s="48"/>
      <c r="K275" s="16"/>
      <c r="L275" s="43"/>
    </row>
    <row r="276" spans="1:14" ht="14.1" customHeight="1">
      <c r="A276" s="247">
        <f t="shared" si="85"/>
        <v>260</v>
      </c>
      <c r="B276" s="27" t="s">
        <v>177</v>
      </c>
      <c r="C276" s="11">
        <v>3643763.57</v>
      </c>
      <c r="D276" s="11">
        <v>0</v>
      </c>
      <c r="E276" s="11">
        <f>C276+D276</f>
        <v>3643763.57</v>
      </c>
      <c r="F276" s="17">
        <f>ROUND(E276-G276,0)</f>
        <v>0</v>
      </c>
      <c r="G276" s="17">
        <f>ROUND(E276*'Allocation Factors'!$G$34,0)</f>
        <v>3643764</v>
      </c>
      <c r="H276" s="11">
        <f>'Sch 5'!C263</f>
        <v>0</v>
      </c>
      <c r="I276" s="11">
        <f>G276+H276</f>
        <v>3643764</v>
      </c>
      <c r="J276" s="11"/>
      <c r="K276" s="16" t="s">
        <v>367</v>
      </c>
      <c r="L276" s="43"/>
    </row>
    <row r="277" spans="1:14" ht="14.1" customHeight="1">
      <c r="A277" s="247">
        <f t="shared" si="85"/>
        <v>261</v>
      </c>
      <c r="B277" s="27" t="s">
        <v>178</v>
      </c>
      <c r="C277" s="11">
        <v>385608.84</v>
      </c>
      <c r="D277" s="11">
        <v>0</v>
      </c>
      <c r="E277" s="11">
        <f>C277+D277</f>
        <v>385608.84</v>
      </c>
      <c r="F277" s="17">
        <f>ROUND(E277-G277,0)</f>
        <v>0</v>
      </c>
      <c r="G277" s="17">
        <f>ROUND(E277*'Allocation Factors'!$G$34,0)</f>
        <v>385609</v>
      </c>
      <c r="H277" s="11">
        <f>'Sch 5'!C264</f>
        <v>251903</v>
      </c>
      <c r="I277" s="11">
        <f>G277+H277</f>
        <v>637512</v>
      </c>
      <c r="J277" s="11"/>
      <c r="K277" s="16" t="s">
        <v>367</v>
      </c>
      <c r="L277" s="43"/>
    </row>
    <row r="278" spans="1:14" ht="14.1" customHeight="1">
      <c r="A278" s="247">
        <f t="shared" si="85"/>
        <v>262</v>
      </c>
      <c r="B278" s="14" t="s">
        <v>179</v>
      </c>
      <c r="C278" s="11"/>
      <c r="D278" s="11"/>
      <c r="E278" s="11"/>
      <c r="F278" s="11"/>
      <c r="G278" s="12"/>
      <c r="H278" s="11"/>
      <c r="I278" s="11"/>
      <c r="J278" s="11"/>
      <c r="K278" s="16"/>
      <c r="L278" s="43"/>
    </row>
    <row r="279" spans="1:14" s="26" customFormat="1" ht="14.1" customHeight="1">
      <c r="A279" s="247">
        <f t="shared" si="85"/>
        <v>263</v>
      </c>
      <c r="B279" s="27" t="s">
        <v>180</v>
      </c>
      <c r="C279" s="11">
        <v>0</v>
      </c>
      <c r="D279" s="11">
        <v>0</v>
      </c>
      <c r="E279" s="11">
        <v>0</v>
      </c>
      <c r="F279" s="11">
        <f>E279-G279</f>
        <v>0</v>
      </c>
      <c r="G279" s="11">
        <f>ROUND(E279*'Allocation Factors'!$G$10,0)</f>
        <v>0</v>
      </c>
      <c r="H279" s="11">
        <f>'Sch 5'!C266</f>
        <v>0</v>
      </c>
      <c r="I279" s="11">
        <f t="shared" ref="I279:I287" si="92">G279+H279</f>
        <v>0</v>
      </c>
      <c r="J279" s="11"/>
      <c r="K279" s="30" t="s">
        <v>346</v>
      </c>
      <c r="L279" s="43"/>
      <c r="M279" s="203"/>
      <c r="N279" s="203"/>
    </row>
    <row r="280" spans="1:14" ht="14.1" customHeight="1">
      <c r="A280" s="247">
        <f t="shared" si="85"/>
        <v>264</v>
      </c>
      <c r="B280" s="27" t="s">
        <v>181</v>
      </c>
      <c r="C280" s="11">
        <v>-516425.64</v>
      </c>
      <c r="D280" s="11">
        <v>0</v>
      </c>
      <c r="E280" s="11">
        <f>C280+D280</f>
        <v>-516425.64</v>
      </c>
      <c r="F280" s="11">
        <f t="shared" ref="F280:F287" si="93">E280-G280</f>
        <v>-7229.640000000014</v>
      </c>
      <c r="G280" s="17">
        <f>ROUND(E280*'Allocation Factors'!$G$16,0)</f>
        <v>-509196</v>
      </c>
      <c r="H280" s="11">
        <f>'Sch 5'!C267</f>
        <v>0</v>
      </c>
      <c r="I280" s="11">
        <f t="shared" si="92"/>
        <v>-509196</v>
      </c>
      <c r="J280" s="11"/>
      <c r="K280" s="16" t="s">
        <v>351</v>
      </c>
      <c r="L280" s="43"/>
    </row>
    <row r="281" spans="1:14" ht="14.1" customHeight="1">
      <c r="A281" s="247">
        <f t="shared" si="85"/>
        <v>265</v>
      </c>
      <c r="B281" s="27" t="s">
        <v>182</v>
      </c>
      <c r="C281" s="11">
        <v>777539.24</v>
      </c>
      <c r="D281" s="11">
        <v>0</v>
      </c>
      <c r="E281" s="11">
        <f>C281+D281</f>
        <v>777539.24</v>
      </c>
      <c r="F281" s="11">
        <f t="shared" si="93"/>
        <v>777.23999999999069</v>
      </c>
      <c r="G281" s="17">
        <f>ROUND(E281*'Allocation Factors'!$G$18,0)</f>
        <v>776762</v>
      </c>
      <c r="H281" s="11">
        <f>'Sch 5'!C268</f>
        <v>0</v>
      </c>
      <c r="I281" s="11">
        <f t="shared" si="92"/>
        <v>776762</v>
      </c>
      <c r="J281" s="11"/>
      <c r="K281" s="16" t="s">
        <v>353</v>
      </c>
      <c r="L281" s="43"/>
    </row>
    <row r="282" spans="1:14" ht="14.1" customHeight="1">
      <c r="A282" s="247">
        <f t="shared" si="85"/>
        <v>266</v>
      </c>
      <c r="B282" s="27" t="s">
        <v>183</v>
      </c>
      <c r="C282" s="11">
        <v>91077.9</v>
      </c>
      <c r="D282" s="11">
        <v>0</v>
      </c>
      <c r="E282" s="11">
        <f t="shared" ref="E282:E287" si="94">C282+D282</f>
        <v>91077.9</v>
      </c>
      <c r="F282" s="11">
        <f t="shared" si="93"/>
        <v>1274.8999999999942</v>
      </c>
      <c r="G282" s="17">
        <f>ROUND(E282*'Allocation Factors'!$G$10,0)</f>
        <v>89803</v>
      </c>
      <c r="H282" s="11">
        <f>'Sch 5'!C269</f>
        <v>0</v>
      </c>
      <c r="I282" s="11">
        <f t="shared" si="92"/>
        <v>89803</v>
      </c>
      <c r="J282" s="11"/>
      <c r="K282" s="16" t="s">
        <v>346</v>
      </c>
      <c r="L282" s="43"/>
    </row>
    <row r="283" spans="1:14" ht="14.1" customHeight="1">
      <c r="A283" s="247">
        <f t="shared" si="85"/>
        <v>267</v>
      </c>
      <c r="B283" s="27" t="s">
        <v>184</v>
      </c>
      <c r="C283" s="11">
        <v>15500</v>
      </c>
      <c r="D283" s="11">
        <v>0</v>
      </c>
      <c r="E283" s="11">
        <f t="shared" si="94"/>
        <v>15500</v>
      </c>
      <c r="F283" s="11">
        <f t="shared" si="93"/>
        <v>217</v>
      </c>
      <c r="G283" s="17">
        <f>ROUND(E283*'Allocation Factors'!$G$16,0)</f>
        <v>15283</v>
      </c>
      <c r="H283" s="11">
        <f>'Sch 5'!C270</f>
        <v>0</v>
      </c>
      <c r="I283" s="11">
        <f t="shared" si="92"/>
        <v>15283</v>
      </c>
      <c r="J283" s="11"/>
      <c r="K283" s="16" t="s">
        <v>351</v>
      </c>
      <c r="L283" s="43"/>
    </row>
    <row r="284" spans="1:14" ht="14.1" customHeight="1">
      <c r="A284" s="247">
        <f t="shared" si="85"/>
        <v>268</v>
      </c>
      <c r="B284" s="27" t="s">
        <v>185</v>
      </c>
      <c r="C284" s="336">
        <v>2750</v>
      </c>
      <c r="D284" s="11">
        <v>0</v>
      </c>
      <c r="E284" s="11">
        <f t="shared" si="94"/>
        <v>2750</v>
      </c>
      <c r="F284" s="11">
        <f t="shared" si="93"/>
        <v>3</v>
      </c>
      <c r="G284" s="17">
        <f>ROUND(E284*'Allocation Factors'!$G$18,0)</f>
        <v>2747</v>
      </c>
      <c r="H284" s="11">
        <f>'Sch 5'!C271</f>
        <v>0</v>
      </c>
      <c r="I284" s="11">
        <f t="shared" si="92"/>
        <v>2747</v>
      </c>
      <c r="J284" s="11"/>
      <c r="K284" s="16" t="s">
        <v>353</v>
      </c>
      <c r="L284" s="43"/>
    </row>
    <row r="285" spans="1:14" ht="14.1" customHeight="1">
      <c r="A285" s="247">
        <f t="shared" si="85"/>
        <v>269</v>
      </c>
      <c r="B285" s="27" t="s">
        <v>186</v>
      </c>
      <c r="C285" s="336">
        <v>4840671.6500000004</v>
      </c>
      <c r="D285" s="11">
        <v>0</v>
      </c>
      <c r="E285" s="11">
        <f t="shared" si="94"/>
        <v>4840671.6500000004</v>
      </c>
      <c r="F285" s="11">
        <f t="shared" si="93"/>
        <v>4840.6500000003725</v>
      </c>
      <c r="G285" s="17">
        <f>ROUND(E285*'Allocation Factors'!$G$18,0)</f>
        <v>4835831</v>
      </c>
      <c r="H285" s="11">
        <f>'Sch 5'!C272</f>
        <v>0</v>
      </c>
      <c r="I285" s="11">
        <f t="shared" si="92"/>
        <v>4835831</v>
      </c>
      <c r="J285" s="11"/>
      <c r="K285" s="16" t="s">
        <v>353</v>
      </c>
      <c r="L285" s="43"/>
    </row>
    <row r="286" spans="1:14" ht="14.1" customHeight="1">
      <c r="A286" s="247">
        <f t="shared" si="85"/>
        <v>270</v>
      </c>
      <c r="B286" s="27" t="s">
        <v>187</v>
      </c>
      <c r="C286" s="48">
        <v>94599.92</v>
      </c>
      <c r="D286" s="48">
        <v>0</v>
      </c>
      <c r="E286" s="11">
        <f t="shared" si="94"/>
        <v>94599.92</v>
      </c>
      <c r="F286" s="11">
        <f t="shared" si="93"/>
        <v>94.919999999998254</v>
      </c>
      <c r="G286" s="17">
        <f>ROUND(E286*'Allocation Factors'!$G$18,0)</f>
        <v>94505</v>
      </c>
      <c r="H286" s="11">
        <f>'Sch 5'!C273</f>
        <v>0</v>
      </c>
      <c r="I286" s="11">
        <f t="shared" si="92"/>
        <v>94505</v>
      </c>
      <c r="J286" s="11"/>
      <c r="K286" s="16" t="s">
        <v>353</v>
      </c>
      <c r="L286" s="43"/>
    </row>
    <row r="287" spans="1:14" ht="14.1" customHeight="1">
      <c r="A287" s="247">
        <f t="shared" si="85"/>
        <v>271</v>
      </c>
      <c r="B287" s="92" t="s">
        <v>188</v>
      </c>
      <c r="C287" s="48">
        <v>0</v>
      </c>
      <c r="D287" s="48">
        <v>0</v>
      </c>
      <c r="E287" s="48">
        <f t="shared" si="94"/>
        <v>0</v>
      </c>
      <c r="F287" s="11">
        <f t="shared" si="93"/>
        <v>0</v>
      </c>
      <c r="G287" s="17">
        <f>ROUND(E287*'Allocation Factors'!$G$16,0)</f>
        <v>0</v>
      </c>
      <c r="H287" s="11">
        <f>'Sch 5'!C274</f>
        <v>0</v>
      </c>
      <c r="I287" s="11">
        <f t="shared" si="92"/>
        <v>0</v>
      </c>
      <c r="J287" s="11"/>
      <c r="K287" s="203" t="s">
        <v>351</v>
      </c>
      <c r="L287" s="43"/>
    </row>
    <row r="288" spans="1:14" s="26" customFormat="1" ht="14.1" customHeight="1">
      <c r="A288" s="247">
        <f t="shared" si="85"/>
        <v>272</v>
      </c>
      <c r="B288" s="25" t="s">
        <v>541</v>
      </c>
      <c r="C288" s="189">
        <f t="shared" ref="C288:I288" si="95">SUM(C279:C287)</f>
        <v>5305713.07</v>
      </c>
      <c r="D288" s="189">
        <f t="shared" si="95"/>
        <v>0</v>
      </c>
      <c r="E288" s="189">
        <f t="shared" si="95"/>
        <v>5305713.07</v>
      </c>
      <c r="F288" s="189">
        <f t="shared" si="95"/>
        <v>-21.929999999658321</v>
      </c>
      <c r="G288" s="189">
        <f t="shared" si="95"/>
        <v>5305735</v>
      </c>
      <c r="H288" s="189">
        <f t="shared" si="95"/>
        <v>0</v>
      </c>
      <c r="I288" s="189">
        <f t="shared" si="95"/>
        <v>5305735</v>
      </c>
      <c r="J288" s="189"/>
      <c r="K288" s="322"/>
      <c r="L288" s="43"/>
    </row>
    <row r="289" spans="1:17" s="26" customFormat="1" ht="14.1" customHeight="1">
      <c r="A289" s="247">
        <f t="shared" si="85"/>
        <v>273</v>
      </c>
      <c r="B289" s="304"/>
      <c r="C289" s="17"/>
      <c r="D289" s="17"/>
      <c r="E289" s="17"/>
      <c r="F289" s="17"/>
      <c r="G289" s="305"/>
      <c r="H289" s="17"/>
      <c r="I289" s="17"/>
      <c r="J289" s="17"/>
      <c r="K289" s="30"/>
      <c r="L289" s="43"/>
    </row>
    <row r="290" spans="1:17" s="26" customFormat="1" ht="14.1" customHeight="1">
      <c r="A290" s="247">
        <f t="shared" si="85"/>
        <v>274</v>
      </c>
      <c r="B290" s="14" t="s">
        <v>189</v>
      </c>
      <c r="C290" s="11"/>
      <c r="D290" s="11"/>
      <c r="E290" s="11"/>
      <c r="F290" s="24"/>
      <c r="G290" s="11"/>
      <c r="H290" s="11"/>
      <c r="I290" s="24"/>
      <c r="J290" s="24"/>
      <c r="K290" s="30"/>
      <c r="L290" s="43"/>
    </row>
    <row r="291" spans="1:17" s="26" customFormat="1" ht="14.1" customHeight="1">
      <c r="A291" s="247">
        <f t="shared" si="85"/>
        <v>275</v>
      </c>
      <c r="B291" s="27" t="s">
        <v>190</v>
      </c>
      <c r="C291" s="11">
        <v>25065.15</v>
      </c>
      <c r="D291" s="11">
        <v>0</v>
      </c>
      <c r="E291" s="11">
        <f t="shared" ref="E291:E299" si="96">C291+D291</f>
        <v>25065.15</v>
      </c>
      <c r="F291" s="11">
        <f>E291-G291</f>
        <v>351.15000000000146</v>
      </c>
      <c r="G291" s="11">
        <f>ROUND(E291*'Allocation Factors'!$G$14,0)</f>
        <v>24714</v>
      </c>
      <c r="H291" s="11">
        <f>'Sch 5'!C278</f>
        <v>0</v>
      </c>
      <c r="I291" s="11">
        <f>G291+H291</f>
        <v>24714</v>
      </c>
      <c r="J291" s="11"/>
      <c r="K291" s="30" t="s">
        <v>349</v>
      </c>
      <c r="L291" s="43"/>
      <c r="M291" s="203"/>
      <c r="N291" s="203"/>
      <c r="O291" s="203"/>
      <c r="P291" s="203"/>
      <c r="Q291" s="203"/>
    </row>
    <row r="292" spans="1:17" ht="14.1" customHeight="1">
      <c r="A292" s="247">
        <f t="shared" si="85"/>
        <v>276</v>
      </c>
      <c r="B292" s="27" t="s">
        <v>959</v>
      </c>
      <c r="C292" s="11">
        <v>5225913.3600000003</v>
      </c>
      <c r="D292" s="11">
        <f t="shared" ref="D292:D297" si="97">C292*-1</f>
        <v>-5225913.3600000003</v>
      </c>
      <c r="E292" s="11">
        <f t="shared" si="96"/>
        <v>0</v>
      </c>
      <c r="F292" s="11">
        <f t="shared" ref="F292:F299" si="98">E292-G292</f>
        <v>0</v>
      </c>
      <c r="G292" s="11">
        <v>0</v>
      </c>
      <c r="H292" s="11">
        <f>'Sch 5'!C279</f>
        <v>0</v>
      </c>
      <c r="I292" s="11">
        <f>G292+H292</f>
        <v>0</v>
      </c>
      <c r="J292" s="11"/>
      <c r="K292" s="16"/>
      <c r="L292" s="43"/>
    </row>
    <row r="293" spans="1:17" ht="14.1" customHeight="1">
      <c r="A293" s="247">
        <f t="shared" si="85"/>
        <v>277</v>
      </c>
      <c r="B293" s="27" t="s">
        <v>956</v>
      </c>
      <c r="C293" s="11">
        <v>58487.22</v>
      </c>
      <c r="D293" s="11">
        <f t="shared" si="97"/>
        <v>-58487.22</v>
      </c>
      <c r="E293" s="11">
        <f t="shared" si="96"/>
        <v>0</v>
      </c>
      <c r="F293" s="11">
        <f t="shared" si="98"/>
        <v>0</v>
      </c>
      <c r="G293" s="17">
        <f>ROUND(E293*'Allocation Factors'!$G$16,0)</f>
        <v>0</v>
      </c>
      <c r="H293" s="11">
        <f>'Sch 5'!C280</f>
        <v>0</v>
      </c>
      <c r="I293" s="11">
        <f t="shared" ref="I293:I299" si="99">G293+H293</f>
        <v>0</v>
      </c>
      <c r="J293" s="11"/>
      <c r="K293" s="16"/>
      <c r="L293" s="43"/>
    </row>
    <row r="294" spans="1:17" ht="14.1" customHeight="1">
      <c r="A294" s="247">
        <f t="shared" si="85"/>
        <v>278</v>
      </c>
      <c r="B294" s="27" t="s">
        <v>952</v>
      </c>
      <c r="C294" s="11">
        <v>-37244517.840000004</v>
      </c>
      <c r="D294" s="11">
        <f t="shared" si="97"/>
        <v>37244517.840000004</v>
      </c>
      <c r="E294" s="11">
        <f t="shared" si="96"/>
        <v>0</v>
      </c>
      <c r="F294" s="11">
        <f t="shared" si="98"/>
        <v>0</v>
      </c>
      <c r="G294" s="11">
        <v>0</v>
      </c>
      <c r="H294" s="11">
        <f>'Sch 5'!C281</f>
        <v>0</v>
      </c>
      <c r="I294" s="11">
        <f t="shared" si="99"/>
        <v>0</v>
      </c>
      <c r="J294" s="11"/>
      <c r="K294" s="30"/>
      <c r="L294" s="43"/>
    </row>
    <row r="295" spans="1:17" ht="14.1" customHeight="1">
      <c r="A295" s="247">
        <f t="shared" si="85"/>
        <v>279</v>
      </c>
      <c r="B295" s="27" t="s">
        <v>953</v>
      </c>
      <c r="C295" s="11">
        <v>-614745.73</v>
      </c>
      <c r="D295" s="11">
        <f t="shared" si="97"/>
        <v>614745.73</v>
      </c>
      <c r="E295" s="11">
        <f t="shared" si="96"/>
        <v>0</v>
      </c>
      <c r="F295" s="11">
        <f t="shared" si="98"/>
        <v>0</v>
      </c>
      <c r="G295" s="11">
        <v>0</v>
      </c>
      <c r="H295" s="11">
        <f>'Sch 5'!C284</f>
        <v>0</v>
      </c>
      <c r="I295" s="11">
        <f t="shared" si="99"/>
        <v>0</v>
      </c>
      <c r="J295" s="11"/>
      <c r="K295" s="30"/>
      <c r="L295" s="43"/>
    </row>
    <row r="296" spans="1:17" ht="14.1" customHeight="1">
      <c r="A296" s="247">
        <f t="shared" si="85"/>
        <v>280</v>
      </c>
      <c r="B296" s="27" t="s">
        <v>957</v>
      </c>
      <c r="C296" s="11">
        <v>58300758.369999997</v>
      </c>
      <c r="D296" s="11">
        <f t="shared" si="97"/>
        <v>-58300758.369999997</v>
      </c>
      <c r="E296" s="11">
        <f t="shared" si="96"/>
        <v>0</v>
      </c>
      <c r="F296" s="11">
        <f t="shared" si="98"/>
        <v>0</v>
      </c>
      <c r="G296" s="11">
        <v>0</v>
      </c>
      <c r="H296" s="11">
        <f>'Sch 5'!C285</f>
        <v>0</v>
      </c>
      <c r="I296" s="11">
        <f t="shared" si="99"/>
        <v>0</v>
      </c>
      <c r="J296" s="11"/>
      <c r="K296" s="30"/>
      <c r="L296" s="43"/>
    </row>
    <row r="297" spans="1:17" ht="14.1" customHeight="1">
      <c r="A297" s="247">
        <f t="shared" si="85"/>
        <v>281</v>
      </c>
      <c r="B297" s="27" t="s">
        <v>954</v>
      </c>
      <c r="C297" s="11">
        <v>1399227.17</v>
      </c>
      <c r="D297" s="11">
        <f t="shared" si="97"/>
        <v>-1399227.17</v>
      </c>
      <c r="E297" s="11">
        <f t="shared" si="96"/>
        <v>0</v>
      </c>
      <c r="F297" s="11">
        <f t="shared" si="98"/>
        <v>0</v>
      </c>
      <c r="G297" s="11">
        <v>0</v>
      </c>
      <c r="H297" s="11">
        <f>'Sch 5'!C286</f>
        <v>0</v>
      </c>
      <c r="I297" s="11">
        <f t="shared" si="99"/>
        <v>0</v>
      </c>
      <c r="J297" s="11"/>
      <c r="K297" s="30"/>
      <c r="L297" s="43"/>
    </row>
    <row r="298" spans="1:17" ht="14.1" customHeight="1">
      <c r="A298" s="247">
        <f t="shared" si="85"/>
        <v>282</v>
      </c>
      <c r="B298" s="27" t="s">
        <v>955</v>
      </c>
      <c r="C298" s="11">
        <v>128184</v>
      </c>
      <c r="D298" s="11">
        <v>0</v>
      </c>
      <c r="E298" s="11">
        <f t="shared" si="96"/>
        <v>128184</v>
      </c>
      <c r="F298" s="11">
        <f t="shared" si="98"/>
        <v>1795</v>
      </c>
      <c r="G298" s="17">
        <f>ROUND(E298*'Allocation Factors'!$G$16,0)</f>
        <v>126389</v>
      </c>
      <c r="H298" s="11">
        <f>'Sch 5'!C287</f>
        <v>0</v>
      </c>
      <c r="I298" s="11">
        <f t="shared" si="99"/>
        <v>126389</v>
      </c>
      <c r="J298" s="11"/>
      <c r="K298" s="16" t="s">
        <v>351</v>
      </c>
      <c r="L298" s="43"/>
    </row>
    <row r="299" spans="1:17" ht="14.1" customHeight="1">
      <c r="A299" s="247">
        <f t="shared" si="85"/>
        <v>283</v>
      </c>
      <c r="B299" s="27" t="s">
        <v>958</v>
      </c>
      <c r="C299" s="11">
        <v>268740.17</v>
      </c>
      <c r="D299" s="11">
        <v>0</v>
      </c>
      <c r="E299" s="11">
        <f t="shared" si="96"/>
        <v>268740.17</v>
      </c>
      <c r="F299" s="11">
        <f t="shared" si="98"/>
        <v>269.1699999999837</v>
      </c>
      <c r="G299" s="17">
        <f>ROUND(E299*'Allocation Factors'!$G$18,0)</f>
        <v>268471</v>
      </c>
      <c r="H299" s="11">
        <f>'Sch 5'!C288</f>
        <v>0</v>
      </c>
      <c r="I299" s="11">
        <f t="shared" si="99"/>
        <v>268471</v>
      </c>
      <c r="J299" s="11"/>
      <c r="K299" s="16" t="s">
        <v>353</v>
      </c>
      <c r="L299" s="43"/>
    </row>
    <row r="300" spans="1:17" ht="14.1" customHeight="1">
      <c r="A300" s="247">
        <f t="shared" si="85"/>
        <v>284</v>
      </c>
      <c r="B300" s="25" t="s">
        <v>542</v>
      </c>
      <c r="C300" s="189">
        <f t="shared" ref="C300:I300" si="100">SUM(C291:C299)</f>
        <v>27547111.869999997</v>
      </c>
      <c r="D300" s="189">
        <f t="shared" si="100"/>
        <v>-27125122.54999999</v>
      </c>
      <c r="E300" s="189">
        <f t="shared" si="100"/>
        <v>421989.31999999995</v>
      </c>
      <c r="F300" s="189">
        <f t="shared" si="100"/>
        <v>2415.3199999999852</v>
      </c>
      <c r="G300" s="189">
        <f t="shared" si="100"/>
        <v>419574</v>
      </c>
      <c r="H300" s="189">
        <f t="shared" si="100"/>
        <v>0</v>
      </c>
      <c r="I300" s="189">
        <f t="shared" si="100"/>
        <v>419574</v>
      </c>
      <c r="J300" s="189"/>
      <c r="K300" s="322"/>
      <c r="L300" s="43"/>
    </row>
    <row r="301" spans="1:17" ht="14.1" customHeight="1">
      <c r="A301" s="247">
        <f t="shared" si="85"/>
        <v>285</v>
      </c>
      <c r="B301" s="93"/>
      <c r="C301" s="326"/>
      <c r="D301" s="326"/>
      <c r="E301" s="326"/>
      <c r="F301" s="326"/>
      <c r="G301" s="94"/>
      <c r="H301" s="326"/>
      <c r="I301" s="100"/>
      <c r="J301" s="100"/>
      <c r="K301" s="310"/>
      <c r="L301" s="43"/>
    </row>
    <row r="302" spans="1:17" ht="14.1" customHeight="1">
      <c r="A302" s="247">
        <f t="shared" si="85"/>
        <v>286</v>
      </c>
      <c r="B302" s="25" t="s">
        <v>543</v>
      </c>
      <c r="C302" s="17">
        <f t="shared" ref="C302:H302" si="101">SUM(C276:C277,C288,C300)</f>
        <v>36882197.349999994</v>
      </c>
      <c r="D302" s="17">
        <f t="shared" si="101"/>
        <v>-27125122.54999999</v>
      </c>
      <c r="E302" s="17">
        <f t="shared" si="101"/>
        <v>9757074.8000000007</v>
      </c>
      <c r="F302" s="17">
        <f t="shared" si="101"/>
        <v>2393.3900000003268</v>
      </c>
      <c r="G302" s="17">
        <f t="shared" si="101"/>
        <v>9754682</v>
      </c>
      <c r="H302" s="17">
        <f t="shared" si="101"/>
        <v>251903</v>
      </c>
      <c r="I302" s="17">
        <f>I300+I288+I277+I276</f>
        <v>10006585</v>
      </c>
      <c r="J302" s="17"/>
      <c r="K302" s="18"/>
      <c r="L302" s="43"/>
    </row>
    <row r="303" spans="1:17" ht="14.1" customHeight="1">
      <c r="A303" s="247">
        <f t="shared" si="85"/>
        <v>287</v>
      </c>
      <c r="B303" s="93"/>
      <c r="C303" s="326"/>
      <c r="D303" s="326"/>
      <c r="E303" s="326"/>
      <c r="F303" s="326"/>
      <c r="G303" s="94"/>
      <c r="H303" s="326"/>
      <c r="I303" s="326"/>
      <c r="J303" s="326"/>
      <c r="K303" s="327"/>
      <c r="L303" s="43"/>
    </row>
    <row r="304" spans="1:17" ht="14.1" customHeight="1">
      <c r="A304" s="247">
        <f t="shared" si="85"/>
        <v>288</v>
      </c>
      <c r="B304" s="25" t="s">
        <v>544</v>
      </c>
      <c r="C304" s="86">
        <f t="shared" ref="C304:I304" si="102">+C265+C266+C267+C273+C302</f>
        <v>831698515.65999997</v>
      </c>
      <c r="D304" s="86">
        <f t="shared" si="102"/>
        <v>-250294942.76999998</v>
      </c>
      <c r="E304" s="86">
        <f t="shared" si="102"/>
        <v>581403572.88999999</v>
      </c>
      <c r="F304" s="86">
        <f t="shared" si="102"/>
        <v>6685320.3900000006</v>
      </c>
      <c r="G304" s="86">
        <f t="shared" si="102"/>
        <v>574718253.09000003</v>
      </c>
      <c r="H304" s="86">
        <f t="shared" si="102"/>
        <v>-4118593</v>
      </c>
      <c r="I304" s="86">
        <f t="shared" si="102"/>
        <v>570599660.09000003</v>
      </c>
      <c r="J304" s="232">
        <f>ROUND(G304/E304,3)</f>
        <v>0.98899999999999999</v>
      </c>
      <c r="K304" s="87"/>
      <c r="L304" s="43"/>
    </row>
    <row r="305" spans="1:17" ht="14.1" customHeight="1">
      <c r="A305" s="247">
        <f t="shared" si="85"/>
        <v>289</v>
      </c>
      <c r="B305" s="27"/>
      <c r="C305" s="11"/>
      <c r="D305" s="11"/>
      <c r="E305" s="11"/>
      <c r="F305" s="11"/>
      <c r="G305" s="12"/>
      <c r="H305" s="11"/>
      <c r="I305" s="11"/>
      <c r="J305" s="11"/>
      <c r="K305" s="16"/>
      <c r="L305" s="43"/>
    </row>
    <row r="306" spans="1:17" ht="14.1" customHeight="1">
      <c r="A306" s="247">
        <f t="shared" si="85"/>
        <v>290</v>
      </c>
      <c r="B306" s="47" t="s">
        <v>191</v>
      </c>
      <c r="C306" s="11"/>
      <c r="D306" s="11"/>
      <c r="E306" s="11"/>
      <c r="F306" s="11"/>
      <c r="G306" s="11"/>
      <c r="H306" s="11"/>
      <c r="I306" s="11"/>
      <c r="J306" s="11"/>
      <c r="K306" s="16"/>
      <c r="L306" s="43"/>
    </row>
    <row r="307" spans="1:17" ht="14.1" customHeight="1">
      <c r="A307" s="247">
        <f t="shared" si="85"/>
        <v>291</v>
      </c>
      <c r="B307" s="14" t="s">
        <v>192</v>
      </c>
      <c r="C307" s="11"/>
      <c r="D307" s="11"/>
      <c r="E307" s="11"/>
      <c r="F307" s="11"/>
      <c r="G307" s="11"/>
      <c r="H307" s="11"/>
      <c r="I307" s="11"/>
      <c r="J307" s="11"/>
      <c r="K307" s="16"/>
      <c r="L307" s="43"/>
    </row>
    <row r="308" spans="1:17" ht="14.1" customHeight="1">
      <c r="A308" s="247">
        <f t="shared" si="85"/>
        <v>292</v>
      </c>
      <c r="B308" s="27" t="s">
        <v>193</v>
      </c>
      <c r="C308" s="11">
        <f>3295535.38+52712.24</f>
        <v>3348247.62</v>
      </c>
      <c r="D308" s="11">
        <f>'Sch 6'!G9</f>
        <v>529300</v>
      </c>
      <c r="E308" s="11">
        <f>C308+D308</f>
        <v>3877547.62</v>
      </c>
      <c r="F308" s="11">
        <f>E308-G308</f>
        <v>54285.620000000112</v>
      </c>
      <c r="G308" s="11">
        <f>ROUND(E308*'Allocation Factors'!$G$10,0)</f>
        <v>3823262</v>
      </c>
      <c r="H308" s="11">
        <f>'Sch 5'!C295</f>
        <v>-1586676</v>
      </c>
      <c r="I308" s="11">
        <f>G308+H308</f>
        <v>2236586</v>
      </c>
      <c r="J308" s="11"/>
      <c r="K308" s="16" t="s">
        <v>62</v>
      </c>
      <c r="L308" s="43"/>
    </row>
    <row r="309" spans="1:17" ht="14.1" customHeight="1">
      <c r="A309" s="247">
        <f t="shared" si="85"/>
        <v>293</v>
      </c>
      <c r="B309" s="27" t="s">
        <v>394</v>
      </c>
      <c r="C309" s="11">
        <f>1577061.53+226716449.5+5821070.44</f>
        <v>234114581.47</v>
      </c>
      <c r="D309" s="11">
        <v>0</v>
      </c>
      <c r="E309" s="11">
        <f t="shared" ref="E309:E319" si="103">C309+D309</f>
        <v>234114581.47</v>
      </c>
      <c r="F309" s="11">
        <f t="shared" ref="F309:F319" si="104">E309-G309</f>
        <v>3277604.4699999988</v>
      </c>
      <c r="G309" s="11">
        <f>ROUND(E309*'Allocation Factors'!$G$14,0)</f>
        <v>230836977</v>
      </c>
      <c r="H309" s="11">
        <f>'Sch 5'!C296</f>
        <v>-5117088</v>
      </c>
      <c r="I309" s="11">
        <f>G309+H309</f>
        <v>225719889</v>
      </c>
      <c r="J309" s="11"/>
      <c r="K309" s="16" t="s">
        <v>349</v>
      </c>
      <c r="L309" s="43"/>
    </row>
    <row r="310" spans="1:17" ht="14.1" customHeight="1">
      <c r="A310" s="247">
        <f t="shared" ref="A310:A373" si="105">+A309+1</f>
        <v>294</v>
      </c>
      <c r="B310" s="27" t="s">
        <v>395</v>
      </c>
      <c r="C310" s="11">
        <f>9044658.63-10816.99-77282.66+325319.38-563041.96+138374.67</f>
        <v>8857211.0700000022</v>
      </c>
      <c r="D310" s="11">
        <f>'Sch 6'!G10</f>
        <v>7175</v>
      </c>
      <c r="E310" s="11">
        <f t="shared" si="103"/>
        <v>8864386.0700000022</v>
      </c>
      <c r="F310" s="11">
        <f t="shared" si="104"/>
        <v>124101.07000000216</v>
      </c>
      <c r="G310" s="11">
        <f>ROUND(E310*'Allocation Factors'!$G$14,0)</f>
        <v>8740285</v>
      </c>
      <c r="H310" s="11">
        <f>'Sch 5'!C297</f>
        <v>0</v>
      </c>
      <c r="I310" s="11">
        <f>G310+H310</f>
        <v>8740285</v>
      </c>
      <c r="J310" s="11"/>
      <c r="K310" s="16" t="s">
        <v>349</v>
      </c>
      <c r="L310" s="43"/>
    </row>
    <row r="311" spans="1:17" s="26" customFormat="1" ht="14.1" customHeight="1">
      <c r="A311" s="247">
        <f t="shared" si="105"/>
        <v>295</v>
      </c>
      <c r="B311" s="27" t="s">
        <v>325</v>
      </c>
      <c r="C311" s="11">
        <v>-14572129.369999999</v>
      </c>
      <c r="D311" s="11">
        <f>'Sch 6'!G11</f>
        <v>0</v>
      </c>
      <c r="E311" s="11">
        <f t="shared" si="103"/>
        <v>-14572129.369999999</v>
      </c>
      <c r="F311" s="11">
        <f t="shared" si="104"/>
        <v>-0.36999999918043613</v>
      </c>
      <c r="G311" s="11">
        <f>ROUND(E311*'Allocation Factors'!$G$34,0)</f>
        <v>-14572129</v>
      </c>
      <c r="H311" s="11">
        <f>'Sch 5'!C298</f>
        <v>0</v>
      </c>
      <c r="I311" s="11">
        <f t="shared" ref="I311:I319" si="106">G311+H311</f>
        <v>-14572129</v>
      </c>
      <c r="J311" s="11"/>
      <c r="K311" s="16" t="s">
        <v>367</v>
      </c>
      <c r="L311" s="43"/>
      <c r="M311" s="203"/>
      <c r="N311" s="203"/>
    </row>
    <row r="312" spans="1:17" ht="14.1" customHeight="1">
      <c r="A312" s="247">
        <f t="shared" si="105"/>
        <v>296</v>
      </c>
      <c r="B312" s="27" t="s">
        <v>781</v>
      </c>
      <c r="C312" s="11">
        <f>2119388.81+4386187.74+266029.73+3011044.44+68695.97+13539.62</f>
        <v>9864886.3100000005</v>
      </c>
      <c r="D312" s="11">
        <f>'Sch 6'!G12</f>
        <v>1266455</v>
      </c>
      <c r="E312" s="11">
        <f t="shared" si="103"/>
        <v>11131341.310000001</v>
      </c>
      <c r="F312" s="11">
        <f>E312-G312</f>
        <v>155838.31000000052</v>
      </c>
      <c r="G312" s="11">
        <f>ROUND((('Sch 6'!E12*'Allocation Factors'!$G$10)+(('Sch 4'!E312-'Sch 6'!E12)*'Allocation Factors'!$G$14)),0)</f>
        <v>10975503</v>
      </c>
      <c r="H312" s="11">
        <f>'Sch 5'!C299</f>
        <v>-1852162</v>
      </c>
      <c r="I312" s="11">
        <f t="shared" si="106"/>
        <v>9123341</v>
      </c>
      <c r="J312" s="11"/>
      <c r="K312" s="16" t="s">
        <v>373</v>
      </c>
      <c r="L312" s="43"/>
    </row>
    <row r="313" spans="1:17" ht="14.1" customHeight="1">
      <c r="A313" s="247">
        <f t="shared" si="105"/>
        <v>297</v>
      </c>
      <c r="B313" s="27" t="s">
        <v>194</v>
      </c>
      <c r="C313" s="11">
        <v>0</v>
      </c>
      <c r="D313" s="11">
        <v>0</v>
      </c>
      <c r="E313" s="11">
        <f t="shared" si="103"/>
        <v>0</v>
      </c>
      <c r="F313" s="11">
        <f t="shared" si="104"/>
        <v>0</v>
      </c>
      <c r="G313" s="11">
        <f>ROUND(E313*'Allocation Factors'!$G$10,0)</f>
        <v>0</v>
      </c>
      <c r="H313" s="11">
        <f>'Sch 5'!C300</f>
        <v>0</v>
      </c>
      <c r="I313" s="11">
        <f t="shared" si="106"/>
        <v>0</v>
      </c>
      <c r="J313" s="11"/>
      <c r="K313" s="16"/>
      <c r="L313" s="43"/>
    </row>
    <row r="314" spans="1:17" ht="14.1" customHeight="1">
      <c r="A314" s="247">
        <f t="shared" si="105"/>
        <v>298</v>
      </c>
      <c r="B314" s="27" t="s">
        <v>195</v>
      </c>
      <c r="C314" s="11">
        <v>0</v>
      </c>
      <c r="D314" s="11">
        <v>0</v>
      </c>
      <c r="E314" s="11">
        <f t="shared" si="103"/>
        <v>0</v>
      </c>
      <c r="F314" s="11">
        <f t="shared" si="104"/>
        <v>0</v>
      </c>
      <c r="G314" s="11">
        <f>ROUND(E314*'Allocation Factors'!$G$10,0)</f>
        <v>0</v>
      </c>
      <c r="H314" s="11">
        <f>'Sch 5'!C301</f>
        <v>0</v>
      </c>
      <c r="I314" s="11">
        <f t="shared" si="106"/>
        <v>0</v>
      </c>
      <c r="J314" s="11"/>
      <c r="K314" s="337"/>
      <c r="L314" s="43"/>
    </row>
    <row r="315" spans="1:17" ht="14.1" customHeight="1">
      <c r="A315" s="247">
        <f t="shared" si="105"/>
        <v>299</v>
      </c>
      <c r="B315" s="27" t="s">
        <v>196</v>
      </c>
      <c r="C315" s="11">
        <v>465369.39</v>
      </c>
      <c r="D315" s="11">
        <f>'Sch 6'!G13</f>
        <v>378935</v>
      </c>
      <c r="E315" s="11">
        <f t="shared" si="103"/>
        <v>844304.39</v>
      </c>
      <c r="F315" s="11">
        <f t="shared" si="104"/>
        <v>11820.390000000014</v>
      </c>
      <c r="G315" s="11">
        <f>ROUND(((E315-'Sch 6'!E13)*'Allocation Factors'!$G$14)+('Sch 6'!E13*'Allocation Factors'!$G$10),0)</f>
        <v>832484</v>
      </c>
      <c r="H315" s="11">
        <f>'Sch 5'!C302</f>
        <v>-458851</v>
      </c>
      <c r="I315" s="11">
        <f t="shared" si="106"/>
        <v>373633</v>
      </c>
      <c r="J315" s="11"/>
      <c r="K315" s="16" t="s">
        <v>373</v>
      </c>
      <c r="L315" s="43"/>
    </row>
    <row r="316" spans="1:17" s="26" customFormat="1" ht="14.1" customHeight="1">
      <c r="A316" s="247">
        <f t="shared" si="105"/>
        <v>300</v>
      </c>
      <c r="B316" s="27" t="s">
        <v>197</v>
      </c>
      <c r="C316" s="11">
        <f>7119189.94+4.4+50208.23-74926.45-9.22</f>
        <v>7094466.9000000013</v>
      </c>
      <c r="D316" s="11">
        <f>'Sch 6'!G14</f>
        <v>2772251</v>
      </c>
      <c r="E316" s="11">
        <f t="shared" si="103"/>
        <v>9866717.9000000022</v>
      </c>
      <c r="F316" s="11">
        <f t="shared" si="104"/>
        <v>138133.90000000224</v>
      </c>
      <c r="G316" s="11">
        <f>ROUND(E316*'Allocation Factors'!$G$10,0)</f>
        <v>9728584</v>
      </c>
      <c r="H316" s="11">
        <f>'Sch 5'!C303</f>
        <v>-3689316</v>
      </c>
      <c r="I316" s="11">
        <f t="shared" si="106"/>
        <v>6039268</v>
      </c>
      <c r="J316" s="11"/>
      <c r="K316" s="30" t="s">
        <v>62</v>
      </c>
      <c r="L316" s="43"/>
    </row>
    <row r="317" spans="1:17" s="26" customFormat="1" ht="14.1" customHeight="1">
      <c r="A317" s="247">
        <f t="shared" si="105"/>
        <v>301</v>
      </c>
      <c r="B317" s="27" t="s">
        <v>198</v>
      </c>
      <c r="C317" s="11">
        <v>-20867.68</v>
      </c>
      <c r="D317" s="11">
        <v>0</v>
      </c>
      <c r="E317" s="11">
        <f t="shared" si="103"/>
        <v>-20867.68</v>
      </c>
      <c r="F317" s="11">
        <f t="shared" si="104"/>
        <v>-291.68000000000029</v>
      </c>
      <c r="G317" s="11">
        <f>ROUND(E317*'Allocation Factors'!$G$10,0)</f>
        <v>-20576</v>
      </c>
      <c r="H317" s="11">
        <f>'Sch 5'!C304</f>
        <v>0</v>
      </c>
      <c r="I317" s="11">
        <f t="shared" si="106"/>
        <v>-20576</v>
      </c>
      <c r="J317" s="11"/>
      <c r="K317" s="30" t="s">
        <v>62</v>
      </c>
      <c r="L317" s="43"/>
      <c r="M317" s="203"/>
      <c r="N317" s="203"/>
      <c r="O317" s="203"/>
      <c r="P317" s="203"/>
      <c r="Q317" s="203"/>
    </row>
    <row r="318" spans="1:17" ht="14.1" customHeight="1">
      <c r="A318" s="247">
        <f t="shared" si="105"/>
        <v>302</v>
      </c>
      <c r="B318" s="27" t="s">
        <v>199</v>
      </c>
      <c r="C318" s="11">
        <v>0</v>
      </c>
      <c r="D318" s="11">
        <f>'Sch 6'!G15</f>
        <v>0</v>
      </c>
      <c r="E318" s="11">
        <f t="shared" si="103"/>
        <v>0</v>
      </c>
      <c r="F318" s="11">
        <f t="shared" si="104"/>
        <v>0</v>
      </c>
      <c r="G318" s="11">
        <f>ROUND(E318*'Allocation Factors'!$G$10,0)</f>
        <v>0</v>
      </c>
      <c r="H318" s="11">
        <f>'Sch 5'!C305</f>
        <v>0</v>
      </c>
      <c r="I318" s="11">
        <f t="shared" si="106"/>
        <v>0</v>
      </c>
      <c r="J318" s="11"/>
      <c r="K318" s="16" t="s">
        <v>62</v>
      </c>
      <c r="L318" s="43"/>
    </row>
    <row r="319" spans="1:17" ht="14.1" customHeight="1">
      <c r="A319" s="247">
        <f t="shared" si="105"/>
        <v>303</v>
      </c>
      <c r="B319" s="92" t="s">
        <v>200</v>
      </c>
      <c r="C319" s="11">
        <f>8259092.79+33844.03+107402.17</f>
        <v>8400338.9900000002</v>
      </c>
      <c r="D319" s="11">
        <f>'Sch 6'!G16</f>
        <v>0</v>
      </c>
      <c r="E319" s="11">
        <f t="shared" si="103"/>
        <v>8400338.9900000002</v>
      </c>
      <c r="F319" s="11">
        <f t="shared" si="104"/>
        <v>117604.99000000022</v>
      </c>
      <c r="G319" s="11">
        <f>ROUND(E319*'Allocation Factors'!$G$14,0)</f>
        <v>8282734</v>
      </c>
      <c r="H319" s="11">
        <f>'Sch 5'!C306</f>
        <v>-6110574</v>
      </c>
      <c r="I319" s="11">
        <f t="shared" si="106"/>
        <v>2172160</v>
      </c>
      <c r="J319" s="11"/>
      <c r="K319" s="16" t="s">
        <v>157</v>
      </c>
      <c r="L319" s="43"/>
    </row>
    <row r="320" spans="1:17" ht="14.1" customHeight="1">
      <c r="A320" s="247">
        <f t="shared" si="105"/>
        <v>304</v>
      </c>
      <c r="B320" s="25" t="s">
        <v>545</v>
      </c>
      <c r="C320" s="189">
        <f t="shared" ref="C320:I320" si="107">SUM(C308:C319)</f>
        <v>257552104.69999999</v>
      </c>
      <c r="D320" s="189">
        <f t="shared" si="107"/>
        <v>4954116</v>
      </c>
      <c r="E320" s="189">
        <f t="shared" si="107"/>
        <v>262506220.69999999</v>
      </c>
      <c r="F320" s="189">
        <f t="shared" si="107"/>
        <v>3879096.7000000048</v>
      </c>
      <c r="G320" s="189">
        <f t="shared" si="107"/>
        <v>258627124</v>
      </c>
      <c r="H320" s="189">
        <f t="shared" si="107"/>
        <v>-18814667</v>
      </c>
      <c r="I320" s="189">
        <f t="shared" si="107"/>
        <v>239812457</v>
      </c>
      <c r="J320" s="189"/>
      <c r="K320" s="322"/>
      <c r="L320" s="43"/>
    </row>
    <row r="321" spans="1:12" ht="14.1" customHeight="1">
      <c r="A321" s="247">
        <f t="shared" si="105"/>
        <v>305</v>
      </c>
      <c r="B321" s="28"/>
      <c r="C321" s="17"/>
      <c r="D321" s="17"/>
      <c r="E321" s="17"/>
      <c r="F321" s="17"/>
      <c r="G321" s="305"/>
      <c r="H321" s="17"/>
      <c r="I321" s="48"/>
      <c r="J321" s="48"/>
      <c r="K321" s="16"/>
      <c r="L321" s="43"/>
    </row>
    <row r="322" spans="1:12" ht="14.1" customHeight="1">
      <c r="A322" s="247">
        <f t="shared" si="105"/>
        <v>306</v>
      </c>
      <c r="B322" s="27" t="s">
        <v>202</v>
      </c>
      <c r="C322" s="11">
        <v>3238998.29</v>
      </c>
      <c r="D322" s="11">
        <f>'Sch 6'!G22</f>
        <v>2233405</v>
      </c>
      <c r="E322" s="11">
        <f>C322+D322</f>
        <v>5472403.29</v>
      </c>
      <c r="F322" s="11">
        <f>E322-G322</f>
        <v>76613.290000000037</v>
      </c>
      <c r="G322" s="11">
        <f>ROUND(E322*'Allocation Factors'!$G$10,0)</f>
        <v>5395790</v>
      </c>
      <c r="H322" s="11">
        <f>'Sch 5'!C309</f>
        <v>-1916007</v>
      </c>
      <c r="I322" s="11">
        <f>G322+H322</f>
        <v>3479783</v>
      </c>
      <c r="J322" s="11"/>
      <c r="K322" s="16" t="s">
        <v>62</v>
      </c>
      <c r="L322" s="43"/>
    </row>
    <row r="323" spans="1:12" ht="14.1" customHeight="1">
      <c r="A323" s="247">
        <f t="shared" si="105"/>
        <v>307</v>
      </c>
      <c r="B323" s="27" t="s">
        <v>203</v>
      </c>
      <c r="C323" s="11">
        <v>1738412.82</v>
      </c>
      <c r="D323" s="11">
        <f>'Sch 6'!G23</f>
        <v>181449</v>
      </c>
      <c r="E323" s="11">
        <f>C323+D323</f>
        <v>1919861.82</v>
      </c>
      <c r="F323" s="11">
        <f>E323-G323</f>
        <v>26877.820000000065</v>
      </c>
      <c r="G323" s="11">
        <f>ROUND(E323*'Allocation Factors'!$G$10,0)</f>
        <v>1892984</v>
      </c>
      <c r="H323" s="11">
        <f>'Sch 5'!C310</f>
        <v>-1071890</v>
      </c>
      <c r="I323" s="11">
        <f>G323+H323</f>
        <v>821094</v>
      </c>
      <c r="J323" s="11"/>
      <c r="K323" s="16" t="s">
        <v>62</v>
      </c>
      <c r="L323" s="43"/>
    </row>
    <row r="324" spans="1:12" ht="13.5" customHeight="1">
      <c r="A324" s="247">
        <f t="shared" si="105"/>
        <v>308</v>
      </c>
      <c r="B324" s="27" t="s">
        <v>204</v>
      </c>
      <c r="C324" s="11">
        <v>14797981.800000001</v>
      </c>
      <c r="D324" s="11">
        <f>'Sch 6'!G24</f>
        <v>3504281</v>
      </c>
      <c r="E324" s="11">
        <f>C324+D324</f>
        <v>18302262.800000001</v>
      </c>
      <c r="F324" s="11">
        <f>E324-G324</f>
        <v>256231.80000000075</v>
      </c>
      <c r="G324" s="11">
        <f>ROUND((((E324*0.34)*'Allocation Factors'!$G$10)+((E324*0.66)*'Allocation Factors'!$G$14)),0)</f>
        <v>18046031</v>
      </c>
      <c r="H324" s="11">
        <f>'Sch 5'!C311</f>
        <v>-21434903</v>
      </c>
      <c r="I324" s="11">
        <f>G324+H324</f>
        <v>-3388872</v>
      </c>
      <c r="J324" s="11"/>
      <c r="K324" s="16" t="s">
        <v>373</v>
      </c>
      <c r="L324" s="43"/>
    </row>
    <row r="325" spans="1:12" ht="14.1" customHeight="1">
      <c r="A325" s="247">
        <f t="shared" si="105"/>
        <v>309</v>
      </c>
      <c r="B325" s="27" t="s">
        <v>205</v>
      </c>
      <c r="C325" s="11">
        <v>1139393.8400000001</v>
      </c>
      <c r="D325" s="11">
        <f>'Sch 6'!G25</f>
        <v>559176</v>
      </c>
      <c r="E325" s="11">
        <f>C325+D325</f>
        <v>1698569.84</v>
      </c>
      <c r="F325" s="11">
        <f>E325-G325</f>
        <v>23779.840000000084</v>
      </c>
      <c r="G325" s="11">
        <f>ROUND(E325*'Allocation Factors'!$G$10,0)</f>
        <v>1674790</v>
      </c>
      <c r="H325" s="11">
        <f>'Sch 5'!C312</f>
        <v>2192443</v>
      </c>
      <c r="I325" s="11">
        <f>G325+H325</f>
        <v>3867233</v>
      </c>
      <c r="J325" s="11"/>
      <c r="K325" s="16" t="s">
        <v>62</v>
      </c>
      <c r="L325" s="43"/>
    </row>
    <row r="326" spans="1:12" ht="14.1" customHeight="1">
      <c r="A326" s="247">
        <f t="shared" si="105"/>
        <v>310</v>
      </c>
      <c r="B326" s="92" t="s">
        <v>206</v>
      </c>
      <c r="C326" s="11">
        <v>1240452.21</v>
      </c>
      <c r="D326" s="11">
        <f>'Sch 6'!G26</f>
        <v>269313</v>
      </c>
      <c r="E326" s="11">
        <f>C326+D326</f>
        <v>1509765.21</v>
      </c>
      <c r="F326" s="11">
        <f>E326-G326</f>
        <v>21137.209999999963</v>
      </c>
      <c r="G326" s="11">
        <f>ROUND(E326*'Allocation Factors'!$G$10,0)</f>
        <v>1488628</v>
      </c>
      <c r="H326" s="11">
        <f>'Sch 5'!C313</f>
        <v>9719486</v>
      </c>
      <c r="I326" s="11">
        <f>G326+H326</f>
        <v>11208114</v>
      </c>
      <c r="J326" s="11"/>
      <c r="K326" s="16" t="s">
        <v>62</v>
      </c>
      <c r="L326" s="43"/>
    </row>
    <row r="327" spans="1:12" ht="14.1" customHeight="1">
      <c r="A327" s="247">
        <f t="shared" si="105"/>
        <v>311</v>
      </c>
      <c r="B327" s="25" t="s">
        <v>546</v>
      </c>
      <c r="C327" s="189">
        <f t="shared" ref="C327:I327" si="108">SUM(C322:C326)</f>
        <v>22155238.960000001</v>
      </c>
      <c r="D327" s="189">
        <f t="shared" si="108"/>
        <v>6747624</v>
      </c>
      <c r="E327" s="189">
        <f t="shared" si="108"/>
        <v>28902862.960000001</v>
      </c>
      <c r="F327" s="189">
        <f t="shared" si="108"/>
        <v>404639.96000000089</v>
      </c>
      <c r="G327" s="189">
        <f t="shared" si="108"/>
        <v>28498223</v>
      </c>
      <c r="H327" s="189">
        <f t="shared" si="108"/>
        <v>-12510871</v>
      </c>
      <c r="I327" s="189">
        <f t="shared" si="108"/>
        <v>15987352</v>
      </c>
      <c r="J327" s="189"/>
      <c r="K327" s="322"/>
      <c r="L327" s="43"/>
    </row>
    <row r="328" spans="1:12" ht="14.1" customHeight="1">
      <c r="A328" s="247">
        <f t="shared" si="105"/>
        <v>312</v>
      </c>
      <c r="B328" s="93"/>
      <c r="C328" s="326"/>
      <c r="D328" s="326"/>
      <c r="E328" s="326"/>
      <c r="F328" s="326"/>
      <c r="G328" s="94"/>
      <c r="H328" s="326"/>
      <c r="I328" s="100"/>
      <c r="J328" s="100"/>
      <c r="K328" s="310"/>
      <c r="L328" s="43"/>
    </row>
    <row r="329" spans="1:12" ht="14.1" customHeight="1">
      <c r="A329" s="247">
        <f t="shared" si="105"/>
        <v>313</v>
      </c>
      <c r="B329" s="25" t="s">
        <v>207</v>
      </c>
      <c r="C329" s="17">
        <f t="shared" ref="C329:I329" si="109">+C327+C320</f>
        <v>279707343.65999997</v>
      </c>
      <c r="D329" s="17">
        <f t="shared" si="109"/>
        <v>11701740</v>
      </c>
      <c r="E329" s="17">
        <f t="shared" si="109"/>
        <v>291409083.65999997</v>
      </c>
      <c r="F329" s="17">
        <f t="shared" si="109"/>
        <v>4283736.6600000057</v>
      </c>
      <c r="G329" s="17">
        <f t="shared" si="109"/>
        <v>287125347</v>
      </c>
      <c r="H329" s="17">
        <f t="shared" si="109"/>
        <v>-31325538</v>
      </c>
      <c r="I329" s="17">
        <f t="shared" si="109"/>
        <v>255799809</v>
      </c>
      <c r="J329" s="17"/>
      <c r="K329" s="18"/>
      <c r="L329" s="43"/>
    </row>
    <row r="330" spans="1:12" ht="14.1" customHeight="1">
      <c r="A330" s="247">
        <f t="shared" si="105"/>
        <v>314</v>
      </c>
      <c r="B330" s="304"/>
      <c r="C330" s="17"/>
      <c r="D330" s="17"/>
      <c r="E330" s="17"/>
      <c r="F330" s="17"/>
      <c r="G330" s="13"/>
      <c r="H330" s="17"/>
      <c r="I330" s="48"/>
      <c r="J330" s="48"/>
      <c r="K330" s="16"/>
      <c r="L330" s="43"/>
    </row>
    <row r="331" spans="1:12" ht="14.1" customHeight="1">
      <c r="A331" s="247">
        <f t="shared" si="105"/>
        <v>315</v>
      </c>
      <c r="B331" s="14" t="s">
        <v>208</v>
      </c>
      <c r="C331" s="48"/>
      <c r="D331" s="48"/>
      <c r="E331" s="48"/>
      <c r="F331" s="48"/>
      <c r="G331" s="48"/>
      <c r="H331" s="48"/>
      <c r="I331" s="48"/>
      <c r="J331" s="48"/>
      <c r="K331" s="16"/>
      <c r="L331" s="43"/>
    </row>
    <row r="332" spans="1:12" ht="14.1" customHeight="1">
      <c r="A332" s="247">
        <f t="shared" si="105"/>
        <v>316</v>
      </c>
      <c r="B332" s="27" t="s">
        <v>209</v>
      </c>
      <c r="C332" s="11">
        <f>'Sch 7'!D12</f>
        <v>59709768</v>
      </c>
      <c r="D332" s="11">
        <f>'Sch 7'!D26*-1</f>
        <v>-526856.79</v>
      </c>
      <c r="E332" s="11">
        <f>C332+D332</f>
        <v>59182911.210000001</v>
      </c>
      <c r="F332" s="11">
        <f>E332-G332</f>
        <v>828561.21000000089</v>
      </c>
      <c r="G332" s="11">
        <f>ROUND(E332*'Allocation Factors'!$G$10,0)</f>
        <v>58354350</v>
      </c>
      <c r="H332" s="11">
        <f>'Sch 5'!C319</f>
        <v>-24839277</v>
      </c>
      <c r="I332" s="11">
        <f>G332+H332</f>
        <v>33515073</v>
      </c>
      <c r="J332" s="11"/>
      <c r="K332" s="16" t="s">
        <v>62</v>
      </c>
      <c r="L332" s="43"/>
    </row>
    <row r="333" spans="1:12" ht="14.1" customHeight="1">
      <c r="A333" s="247">
        <f t="shared" si="105"/>
        <v>317</v>
      </c>
      <c r="B333" s="27" t="s">
        <v>210</v>
      </c>
      <c r="C333" s="11">
        <f>'Sch 7'!B12</f>
        <v>145022760</v>
      </c>
      <c r="D333" s="11">
        <f>'Sch 7'!B26*-1</f>
        <v>-222571805.53</v>
      </c>
      <c r="E333" s="11">
        <f>C333+D333</f>
        <v>-77549045.530000001</v>
      </c>
      <c r="F333" s="11">
        <f>E333-G333</f>
        <v>-1085686.5300000012</v>
      </c>
      <c r="G333" s="11">
        <f>ROUND(E333*'Allocation Factors'!$G$14,0)</f>
        <v>-76463359</v>
      </c>
      <c r="H333" s="11">
        <f>'Sch 5'!C320</f>
        <v>75081281</v>
      </c>
      <c r="I333" s="11">
        <f>G333+H333</f>
        <v>-1382078</v>
      </c>
      <c r="J333" s="11"/>
      <c r="K333" s="16" t="s">
        <v>157</v>
      </c>
      <c r="L333" s="43"/>
    </row>
    <row r="334" spans="1:12" ht="14.1" customHeight="1">
      <c r="A334" s="247">
        <f t="shared" si="105"/>
        <v>318</v>
      </c>
      <c r="B334" s="27" t="s">
        <v>211</v>
      </c>
      <c r="C334" s="11">
        <v>419192.44</v>
      </c>
      <c r="D334" s="11">
        <v>0</v>
      </c>
      <c r="E334" s="11">
        <f>C334+D334</f>
        <v>419192.44</v>
      </c>
      <c r="F334" s="11">
        <f>E334-G334</f>
        <v>5868.4400000000023</v>
      </c>
      <c r="G334" s="11">
        <f>ROUND(E334*'Allocation Factors'!$G$10,0)</f>
        <v>413324</v>
      </c>
      <c r="H334" s="11">
        <f>'Sch 5'!C321</f>
        <v>-135727</v>
      </c>
      <c r="I334" s="11">
        <f>G334+H334</f>
        <v>277597</v>
      </c>
      <c r="J334" s="11"/>
      <c r="K334" s="16" t="s">
        <v>62</v>
      </c>
      <c r="L334" s="43"/>
    </row>
    <row r="335" spans="1:12" ht="14.1" customHeight="1">
      <c r="A335" s="247">
        <f t="shared" si="105"/>
        <v>319</v>
      </c>
      <c r="B335" s="92" t="s">
        <v>212</v>
      </c>
      <c r="C335" s="48">
        <f>1621391.25+26385.42+70</f>
        <v>1647846.67</v>
      </c>
      <c r="D335" s="48">
        <v>0</v>
      </c>
      <c r="E335" s="11">
        <f>C335+D335</f>
        <v>1647846.67</v>
      </c>
      <c r="F335" s="11">
        <f>E335-G335</f>
        <v>23069.669999999925</v>
      </c>
      <c r="G335" s="11">
        <f>ROUND(E335*'Allocation Factors'!$G$10,0)</f>
        <v>1624777</v>
      </c>
      <c r="H335" s="11">
        <f>'Sch 5'!C322</f>
        <v>-4313525</v>
      </c>
      <c r="I335" s="11">
        <f>G335+H335</f>
        <v>-2688748</v>
      </c>
      <c r="J335" s="11"/>
      <c r="K335" s="16" t="s">
        <v>62</v>
      </c>
      <c r="L335" s="43"/>
    </row>
    <row r="336" spans="1:12" s="26" customFormat="1" ht="14.1" customHeight="1">
      <c r="A336" s="247">
        <f t="shared" si="105"/>
        <v>320</v>
      </c>
      <c r="B336" s="25" t="s">
        <v>547</v>
      </c>
      <c r="C336" s="189">
        <f t="shared" ref="C336:I336" si="110">SUM(C332:C335)</f>
        <v>206799567.10999998</v>
      </c>
      <c r="D336" s="189">
        <f t="shared" si="110"/>
        <v>-223098662.31999999</v>
      </c>
      <c r="E336" s="189">
        <f t="shared" si="110"/>
        <v>-16299095.209999999</v>
      </c>
      <c r="F336" s="189">
        <f t="shared" si="110"/>
        <v>-228187.21000000037</v>
      </c>
      <c r="G336" s="189">
        <f t="shared" si="110"/>
        <v>-16070908</v>
      </c>
      <c r="H336" s="189">
        <f t="shared" si="110"/>
        <v>45792752</v>
      </c>
      <c r="I336" s="189">
        <f t="shared" si="110"/>
        <v>29721844</v>
      </c>
      <c r="J336" s="189"/>
      <c r="K336" s="322"/>
      <c r="L336" s="43"/>
    </row>
    <row r="337" spans="1:13" s="26" customFormat="1" ht="14.1" customHeight="1">
      <c r="A337" s="247">
        <f t="shared" si="105"/>
        <v>321</v>
      </c>
      <c r="B337" s="93"/>
      <c r="C337" s="326"/>
      <c r="D337" s="326"/>
      <c r="E337" s="326"/>
      <c r="F337" s="326"/>
      <c r="G337" s="94"/>
      <c r="H337" s="326"/>
      <c r="I337" s="100"/>
      <c r="J337" s="100"/>
      <c r="K337" s="88"/>
      <c r="L337" s="43"/>
    </row>
    <row r="338" spans="1:13" ht="14.1" customHeight="1">
      <c r="A338" s="247">
        <f t="shared" si="105"/>
        <v>322</v>
      </c>
      <c r="B338" s="25" t="s">
        <v>548</v>
      </c>
      <c r="C338" s="17">
        <f>C336+C329</f>
        <v>486506910.76999998</v>
      </c>
      <c r="D338" s="17">
        <f t="shared" ref="D338:I338" si="111">D336+D329</f>
        <v>-211396922.31999999</v>
      </c>
      <c r="E338" s="17">
        <f t="shared" si="111"/>
        <v>275109988.44999999</v>
      </c>
      <c r="F338" s="17">
        <f t="shared" si="111"/>
        <v>4055549.4500000053</v>
      </c>
      <c r="G338" s="17">
        <f t="shared" si="111"/>
        <v>271054439</v>
      </c>
      <c r="H338" s="17">
        <f t="shared" si="111"/>
        <v>14467214</v>
      </c>
      <c r="I338" s="17">
        <f t="shared" si="111"/>
        <v>285521653</v>
      </c>
      <c r="J338" s="17"/>
      <c r="K338" s="330"/>
      <c r="L338" s="43"/>
    </row>
    <row r="339" spans="1:13" ht="14.1" customHeight="1">
      <c r="A339" s="247">
        <f t="shared" si="105"/>
        <v>323</v>
      </c>
      <c r="B339" s="304"/>
      <c r="C339" s="13"/>
      <c r="D339" s="13"/>
      <c r="E339" s="13"/>
      <c r="F339" s="17"/>
      <c r="G339" s="13"/>
      <c r="H339" s="17"/>
      <c r="I339" s="11"/>
      <c r="J339" s="11"/>
      <c r="K339" s="16"/>
      <c r="L339" s="43"/>
    </row>
    <row r="340" spans="1:13" ht="14.1" customHeight="1">
      <c r="A340" s="247">
        <f t="shared" si="105"/>
        <v>324</v>
      </c>
      <c r="B340" s="14" t="s">
        <v>215</v>
      </c>
      <c r="C340" s="11"/>
      <c r="D340" s="11"/>
      <c r="E340" s="11"/>
      <c r="F340" s="11"/>
      <c r="G340" s="11"/>
      <c r="H340" s="11"/>
      <c r="I340" s="11"/>
      <c r="J340" s="11"/>
      <c r="K340" s="16"/>
      <c r="L340" s="43"/>
    </row>
    <row r="341" spans="1:13" ht="14.1" customHeight="1">
      <c r="A341" s="247">
        <f t="shared" si="105"/>
        <v>325</v>
      </c>
      <c r="B341" s="27" t="s">
        <v>216</v>
      </c>
      <c r="C341" s="11">
        <v>1140236.77</v>
      </c>
      <c r="D341" s="11">
        <v>0</v>
      </c>
      <c r="E341" s="11">
        <f>C341+D341</f>
        <v>1140236.77</v>
      </c>
      <c r="F341" s="11">
        <f>E341-G341</f>
        <v>15963.770000000019</v>
      </c>
      <c r="G341" s="11">
        <f>ROUND(E341*'Allocation Factors'!$G$16,0)</f>
        <v>1124273</v>
      </c>
      <c r="H341" s="11">
        <f>'Sch 5'!C328</f>
        <v>0</v>
      </c>
      <c r="I341" s="11">
        <f t="shared" ref="I341:I346" si="112">G341+H341</f>
        <v>1124273</v>
      </c>
      <c r="J341" s="11"/>
      <c r="K341" s="16" t="s">
        <v>351</v>
      </c>
      <c r="L341" s="43"/>
    </row>
    <row r="342" spans="1:13" ht="14.1" customHeight="1">
      <c r="A342" s="247">
        <f t="shared" si="105"/>
        <v>326</v>
      </c>
      <c r="B342" s="27" t="s">
        <v>983</v>
      </c>
      <c r="C342" s="11">
        <f>8544.46+868554.31+108953.75</f>
        <v>986052.52</v>
      </c>
      <c r="D342" s="11">
        <v>0</v>
      </c>
      <c r="E342" s="11">
        <f t="shared" ref="E342:E352" si="113">C342+D342</f>
        <v>986052.52</v>
      </c>
      <c r="F342" s="11">
        <f t="shared" ref="F342:F352" si="114">E342-G342</f>
        <v>13804.520000000019</v>
      </c>
      <c r="G342" s="11">
        <f>ROUND(E342*'Allocation Factors'!$G$16,0)</f>
        <v>972248</v>
      </c>
      <c r="H342" s="11">
        <f>'Sch 5'!C329</f>
        <v>0</v>
      </c>
      <c r="I342" s="11">
        <f t="shared" si="112"/>
        <v>972248</v>
      </c>
      <c r="J342" s="11"/>
      <c r="K342" s="16" t="s">
        <v>351</v>
      </c>
      <c r="L342" s="43"/>
    </row>
    <row r="343" spans="1:13" ht="14.1" customHeight="1">
      <c r="A343" s="247">
        <f t="shared" si="105"/>
        <v>327</v>
      </c>
      <c r="B343" s="27" t="s">
        <v>982</v>
      </c>
      <c r="C343" s="11">
        <f>113053.46+149196.42+472517.4+626172.12+2364.71+2417.32</f>
        <v>1365721.43</v>
      </c>
      <c r="D343" s="11">
        <v>0</v>
      </c>
      <c r="E343" s="11">
        <f>C343+D343</f>
        <v>1365721.43</v>
      </c>
      <c r="F343" s="11">
        <f>E343-G343</f>
        <v>19120.429999999935</v>
      </c>
      <c r="G343" s="11">
        <f>ROUND(E343*'Allocation Factors'!$G$16,0)</f>
        <v>1346601</v>
      </c>
      <c r="H343" s="11">
        <f>'Sch 5'!C330</f>
        <v>0</v>
      </c>
      <c r="I343" s="11">
        <f t="shared" si="112"/>
        <v>1346601</v>
      </c>
      <c r="J343" s="11"/>
      <c r="K343" s="16" t="s">
        <v>351</v>
      </c>
      <c r="L343" s="43"/>
    </row>
    <row r="344" spans="1:13" ht="14.1" customHeight="1">
      <c r="A344" s="247">
        <f t="shared" si="105"/>
        <v>328</v>
      </c>
      <c r="B344" s="27" t="s">
        <v>217</v>
      </c>
      <c r="C344" s="11">
        <v>410818.32</v>
      </c>
      <c r="D344" s="11">
        <v>0</v>
      </c>
      <c r="E344" s="11">
        <f t="shared" si="113"/>
        <v>410818.32</v>
      </c>
      <c r="F344" s="11">
        <f t="shared" si="114"/>
        <v>5751.320000000007</v>
      </c>
      <c r="G344" s="11">
        <f>ROUND(E344*'Allocation Factors'!$G$16,0)</f>
        <v>405067</v>
      </c>
      <c r="H344" s="11">
        <f>'Sch 5'!C330</f>
        <v>0</v>
      </c>
      <c r="I344" s="11">
        <f t="shared" si="112"/>
        <v>405067</v>
      </c>
      <c r="J344" s="11"/>
      <c r="K344" s="16" t="s">
        <v>351</v>
      </c>
      <c r="L344" s="43"/>
    </row>
    <row r="345" spans="1:13" s="26" customFormat="1" ht="14.1" customHeight="1">
      <c r="A345" s="247">
        <f t="shared" si="105"/>
        <v>329</v>
      </c>
      <c r="B345" s="27" t="s">
        <v>218</v>
      </c>
      <c r="C345" s="11">
        <v>169803.57</v>
      </c>
      <c r="D345" s="11">
        <v>0</v>
      </c>
      <c r="E345" s="11">
        <f t="shared" si="113"/>
        <v>169803.57</v>
      </c>
      <c r="F345" s="11">
        <f t="shared" si="114"/>
        <v>2377.570000000007</v>
      </c>
      <c r="G345" s="11">
        <f>ROUND(E345*'Allocation Factors'!$G$16,0)</f>
        <v>167426</v>
      </c>
      <c r="H345" s="11">
        <f>'Sch 5'!C331</f>
        <v>0</v>
      </c>
      <c r="I345" s="11">
        <f t="shared" si="112"/>
        <v>167426</v>
      </c>
      <c r="J345" s="11"/>
      <c r="K345" s="16" t="s">
        <v>351</v>
      </c>
      <c r="L345" s="43"/>
      <c r="M345" s="203"/>
    </row>
    <row r="346" spans="1:13" s="26" customFormat="1" ht="14.1" customHeight="1">
      <c r="A346" s="247">
        <f t="shared" si="105"/>
        <v>330</v>
      </c>
      <c r="B346" s="27" t="s">
        <v>219</v>
      </c>
      <c r="C346" s="11">
        <v>0</v>
      </c>
      <c r="D346" s="11">
        <v>0</v>
      </c>
      <c r="E346" s="11">
        <f t="shared" si="113"/>
        <v>0</v>
      </c>
      <c r="F346" s="11">
        <f t="shared" si="114"/>
        <v>0</v>
      </c>
      <c r="G346" s="11">
        <f>ROUND(E346*'Allocation Factors'!$G$16,0)</f>
        <v>0</v>
      </c>
      <c r="H346" s="11">
        <f>'Sch 5'!C332</f>
        <v>0</v>
      </c>
      <c r="I346" s="11">
        <f t="shared" si="112"/>
        <v>0</v>
      </c>
      <c r="J346" s="11"/>
      <c r="K346" s="16" t="s">
        <v>351</v>
      </c>
      <c r="L346" s="43"/>
      <c r="M346" s="203"/>
    </row>
    <row r="347" spans="1:13" s="26" customFormat="1" ht="14.1" customHeight="1">
      <c r="A347" s="247">
        <f t="shared" si="105"/>
        <v>331</v>
      </c>
      <c r="B347" s="27" t="s">
        <v>961</v>
      </c>
      <c r="C347" s="11">
        <f>3976612.18+5140478.31+355174.36</f>
        <v>9472264.8499999996</v>
      </c>
      <c r="D347" s="11">
        <f>D294</f>
        <v>37244517.840000004</v>
      </c>
      <c r="E347" s="11">
        <f>C347+D347</f>
        <v>46716782.690000005</v>
      </c>
      <c r="F347" s="11">
        <f>E347-G347</f>
        <v>-0.30999999493360519</v>
      </c>
      <c r="G347" s="11">
        <f>ROUND((E347-L347)*'Allocation Factors'!$G$34,0)</f>
        <v>46716783</v>
      </c>
      <c r="H347" s="11">
        <f>'Sch 5'!C333</f>
        <v>0</v>
      </c>
      <c r="I347" s="11">
        <f>G347+H347</f>
        <v>46716783</v>
      </c>
      <c r="J347" s="11"/>
      <c r="K347" s="30" t="s">
        <v>367</v>
      </c>
      <c r="L347" s="43"/>
      <c r="M347" s="203"/>
    </row>
    <row r="348" spans="1:13" s="26" customFormat="1" ht="14.1" customHeight="1">
      <c r="A348" s="247">
        <f t="shared" si="105"/>
        <v>332</v>
      </c>
      <c r="B348" s="27" t="s">
        <v>962</v>
      </c>
      <c r="C348" s="11">
        <f>41136.65</f>
        <v>41136.65</v>
      </c>
      <c r="D348" s="11">
        <f>D295</f>
        <v>614745.73</v>
      </c>
      <c r="E348" s="11">
        <f>C348+D348</f>
        <v>655882.38</v>
      </c>
      <c r="F348" s="11">
        <f>E348-G348</f>
        <v>0.38000000000465661</v>
      </c>
      <c r="G348" s="11">
        <f>ROUND((E348-L348)*'Allocation Factors'!$G$34,0)</f>
        <v>655882</v>
      </c>
      <c r="H348" s="11">
        <f>'Sch 5'!C334</f>
        <v>0</v>
      </c>
      <c r="I348" s="11">
        <f>G348+H348</f>
        <v>655882</v>
      </c>
      <c r="J348" s="11"/>
      <c r="K348" s="30" t="s">
        <v>367</v>
      </c>
      <c r="L348" s="43"/>
      <c r="M348" s="203"/>
    </row>
    <row r="349" spans="1:13" s="26" customFormat="1" ht="14.1" customHeight="1">
      <c r="A349" s="247">
        <f t="shared" si="105"/>
        <v>333</v>
      </c>
      <c r="B349" s="27" t="s">
        <v>960</v>
      </c>
      <c r="C349" s="11">
        <v>181852.2</v>
      </c>
      <c r="D349" s="11">
        <f>D296+D293</f>
        <v>-58359245.589999996</v>
      </c>
      <c r="E349" s="11">
        <f t="shared" si="113"/>
        <v>-58177393.389999993</v>
      </c>
      <c r="F349" s="11">
        <f t="shared" si="114"/>
        <v>-814483.38999999315</v>
      </c>
      <c r="G349" s="11">
        <f>ROUND(E349*'Allocation Factors'!$G$16,0)</f>
        <v>-57362910</v>
      </c>
      <c r="H349" s="11">
        <f>'Sch 5'!C335</f>
        <v>0</v>
      </c>
      <c r="I349" s="11">
        <f>G349+H349</f>
        <v>-57362910</v>
      </c>
      <c r="J349" s="11"/>
      <c r="K349" s="30" t="s">
        <v>351</v>
      </c>
      <c r="L349" s="43"/>
      <c r="M349" s="43"/>
    </row>
    <row r="350" spans="1:13" s="26" customFormat="1" ht="14.1" customHeight="1">
      <c r="A350" s="247">
        <f t="shared" si="105"/>
        <v>334</v>
      </c>
      <c r="B350" s="27" t="s">
        <v>963</v>
      </c>
      <c r="C350" s="11">
        <f>828987.7</f>
        <v>828987.7</v>
      </c>
      <c r="D350" s="11">
        <f>C350*-1</f>
        <v>-828987.7</v>
      </c>
      <c r="E350" s="11">
        <f t="shared" si="113"/>
        <v>0</v>
      </c>
      <c r="F350" s="11"/>
      <c r="G350" s="11"/>
      <c r="H350" s="11">
        <f>'Sch 5'!C336</f>
        <v>0</v>
      </c>
      <c r="I350" s="11"/>
      <c r="J350" s="11"/>
      <c r="K350" s="30"/>
      <c r="L350" s="43"/>
      <c r="M350" s="43"/>
    </row>
    <row r="351" spans="1:13" s="26" customFormat="1" ht="14.1" customHeight="1">
      <c r="A351" s="247">
        <f t="shared" si="105"/>
        <v>335</v>
      </c>
      <c r="B351" s="27" t="s">
        <v>220</v>
      </c>
      <c r="C351" s="11">
        <v>1365759.79</v>
      </c>
      <c r="D351" s="11">
        <f>'Sch 6'!G57</f>
        <v>211823</v>
      </c>
      <c r="E351" s="11">
        <f t="shared" si="113"/>
        <v>1577582.79</v>
      </c>
      <c r="F351" s="11">
        <f t="shared" si="114"/>
        <v>22085.790000000037</v>
      </c>
      <c r="G351" s="11">
        <f>ROUND(E351*'Allocation Factors'!$G$16,0)</f>
        <v>1555497</v>
      </c>
      <c r="H351" s="11">
        <f>'Sch 5'!C337</f>
        <v>0</v>
      </c>
      <c r="I351" s="11">
        <f>G351+H351</f>
        <v>1555497</v>
      </c>
      <c r="J351" s="11"/>
      <c r="K351" s="16" t="s">
        <v>351</v>
      </c>
      <c r="L351" s="43"/>
    </row>
    <row r="352" spans="1:13" ht="14.1" customHeight="1">
      <c r="A352" s="247">
        <f t="shared" si="105"/>
        <v>336</v>
      </c>
      <c r="B352" s="92" t="s">
        <v>221</v>
      </c>
      <c r="C352" s="48">
        <v>4980</v>
      </c>
      <c r="D352" s="48">
        <v>0</v>
      </c>
      <c r="E352" s="11">
        <f t="shared" si="113"/>
        <v>4980</v>
      </c>
      <c r="F352" s="11">
        <f t="shared" si="114"/>
        <v>70</v>
      </c>
      <c r="G352" s="11">
        <f>ROUND(E352*'Allocation Factors'!$G$16,0)</f>
        <v>4910</v>
      </c>
      <c r="H352" s="11">
        <f>'Sch 5'!C338</f>
        <v>0</v>
      </c>
      <c r="I352" s="11">
        <f>G352+H352</f>
        <v>4910</v>
      </c>
      <c r="J352" s="11"/>
      <c r="K352" s="16" t="s">
        <v>351</v>
      </c>
      <c r="L352" s="43"/>
    </row>
    <row r="353" spans="1:19" ht="14.1" customHeight="1">
      <c r="A353" s="247">
        <f t="shared" si="105"/>
        <v>337</v>
      </c>
      <c r="B353" s="25" t="s">
        <v>549</v>
      </c>
      <c r="C353" s="189">
        <f t="shared" ref="C353:I353" si="115">SUM(C341:C352)</f>
        <v>15967613.799999997</v>
      </c>
      <c r="D353" s="189">
        <f t="shared" si="115"/>
        <v>-21117146.719999995</v>
      </c>
      <c r="E353" s="189">
        <f t="shared" si="115"/>
        <v>-5149532.919999986</v>
      </c>
      <c r="F353" s="189">
        <f t="shared" si="115"/>
        <v>-735309.91999998805</v>
      </c>
      <c r="G353" s="189">
        <f t="shared" si="115"/>
        <v>-4414223</v>
      </c>
      <c r="H353" s="189">
        <f t="shared" si="115"/>
        <v>0</v>
      </c>
      <c r="I353" s="189">
        <f t="shared" si="115"/>
        <v>-4414223</v>
      </c>
      <c r="J353" s="189"/>
      <c r="K353" s="322"/>
      <c r="L353" s="43"/>
    </row>
    <row r="354" spans="1:19" ht="14.1" customHeight="1">
      <c r="A354" s="247">
        <f t="shared" si="105"/>
        <v>338</v>
      </c>
      <c r="B354" s="304"/>
      <c r="C354" s="17"/>
      <c r="D354" s="17"/>
      <c r="E354" s="17"/>
      <c r="F354" s="17"/>
      <c r="G354" s="17"/>
      <c r="H354" s="17"/>
      <c r="I354" s="48"/>
      <c r="J354" s="48"/>
      <c r="K354" s="16"/>
      <c r="L354" s="43"/>
    </row>
    <row r="355" spans="1:19" ht="14.1" customHeight="1">
      <c r="A355" s="247">
        <f t="shared" si="105"/>
        <v>339</v>
      </c>
      <c r="B355" s="25" t="s">
        <v>223</v>
      </c>
      <c r="C355" s="17"/>
      <c r="D355" s="17"/>
      <c r="E355" s="17"/>
      <c r="F355" s="17"/>
      <c r="G355" s="17"/>
      <c r="H355" s="17"/>
      <c r="I355" s="11"/>
      <c r="J355" s="11"/>
      <c r="K355" s="16"/>
      <c r="L355" s="43"/>
    </row>
    <row r="356" spans="1:19" ht="14.1" customHeight="1">
      <c r="A356" s="247">
        <f t="shared" si="105"/>
        <v>340</v>
      </c>
      <c r="B356" s="27" t="s">
        <v>224</v>
      </c>
      <c r="C356" s="11">
        <v>87217.2</v>
      </c>
      <c r="D356" s="11">
        <v>0</v>
      </c>
      <c r="E356" s="11">
        <f>C356+D356</f>
        <v>87217.2</v>
      </c>
      <c r="F356" s="11">
        <f>E356-G356</f>
        <v>1221.1999999999971</v>
      </c>
      <c r="G356" s="11">
        <f>ROUND(E356*'Allocation Factors'!$G$16,0)</f>
        <v>85996</v>
      </c>
      <c r="H356" s="11">
        <f>'Sch 5'!C342</f>
        <v>0</v>
      </c>
      <c r="I356" s="11">
        <f t="shared" ref="I356:I362" si="116">G356+H356</f>
        <v>85996</v>
      </c>
      <c r="J356" s="11"/>
      <c r="K356" s="16" t="s">
        <v>351</v>
      </c>
      <c r="L356" s="43"/>
    </row>
    <row r="357" spans="1:19" ht="14.1" customHeight="1">
      <c r="A357" s="247">
        <f t="shared" si="105"/>
        <v>341</v>
      </c>
      <c r="B357" s="27" t="s">
        <v>225</v>
      </c>
      <c r="C357" s="11">
        <f>5900.98+18596.87+262812.26+21595.49</f>
        <v>308905.59999999998</v>
      </c>
      <c r="D357" s="11">
        <v>0</v>
      </c>
      <c r="E357" s="11">
        <f t="shared" ref="E357:E362" si="117">C357+D357</f>
        <v>308905.59999999998</v>
      </c>
      <c r="F357" s="11">
        <f t="shared" ref="F357:F362" si="118">E357-G357</f>
        <v>4324.5999999999767</v>
      </c>
      <c r="G357" s="11">
        <f>ROUND(E357*'Allocation Factors'!$G$16,0)</f>
        <v>304581</v>
      </c>
      <c r="H357" s="11">
        <f>'Sch 5'!C343</f>
        <v>0</v>
      </c>
      <c r="I357" s="11">
        <f t="shared" si="116"/>
        <v>304581</v>
      </c>
      <c r="J357" s="11"/>
      <c r="K357" s="16" t="s">
        <v>351</v>
      </c>
      <c r="L357" s="43"/>
    </row>
    <row r="358" spans="1:19" ht="14.1" customHeight="1">
      <c r="A358" s="247">
        <f t="shared" si="105"/>
        <v>342</v>
      </c>
      <c r="B358" s="27" t="s">
        <v>226</v>
      </c>
      <c r="C358" s="11">
        <v>837964.62</v>
      </c>
      <c r="D358" s="11">
        <v>0</v>
      </c>
      <c r="E358" s="11">
        <f t="shared" si="117"/>
        <v>837964.62</v>
      </c>
      <c r="F358" s="11">
        <f t="shared" si="118"/>
        <v>11731.619999999995</v>
      </c>
      <c r="G358" s="11">
        <f>ROUND(E358*'Allocation Factors'!$G$16,0)</f>
        <v>826233</v>
      </c>
      <c r="H358" s="11">
        <f>'Sch 5'!C344</f>
        <v>0</v>
      </c>
      <c r="I358" s="11">
        <f t="shared" si="116"/>
        <v>826233</v>
      </c>
      <c r="J358" s="11"/>
      <c r="K358" s="16" t="s">
        <v>351</v>
      </c>
      <c r="L358" s="43"/>
    </row>
    <row r="359" spans="1:19" ht="14.1" customHeight="1">
      <c r="A359" s="247">
        <f t="shared" si="105"/>
        <v>343</v>
      </c>
      <c r="B359" s="27" t="s">
        <v>227</v>
      </c>
      <c r="C359" s="11">
        <v>2794799.76</v>
      </c>
      <c r="D359" s="11">
        <v>0</v>
      </c>
      <c r="E359" s="11">
        <f t="shared" si="117"/>
        <v>2794799.76</v>
      </c>
      <c r="F359" s="11">
        <f t="shared" si="118"/>
        <v>39126.759999999776</v>
      </c>
      <c r="G359" s="11">
        <f>ROUND(E359*'Allocation Factors'!$G$16,0)</f>
        <v>2755673</v>
      </c>
      <c r="H359" s="11">
        <f>'Sch 5'!C345</f>
        <v>0</v>
      </c>
      <c r="I359" s="11">
        <f t="shared" si="116"/>
        <v>2755673</v>
      </c>
      <c r="J359" s="11"/>
      <c r="K359" s="16" t="s">
        <v>351</v>
      </c>
      <c r="L359" s="43"/>
    </row>
    <row r="360" spans="1:19" ht="14.1" customHeight="1">
      <c r="A360" s="247">
        <f t="shared" si="105"/>
        <v>344</v>
      </c>
      <c r="B360" s="27" t="s">
        <v>228</v>
      </c>
      <c r="C360" s="11">
        <v>208.16</v>
      </c>
      <c r="D360" s="11">
        <v>0</v>
      </c>
      <c r="E360" s="11">
        <f t="shared" si="117"/>
        <v>208.16</v>
      </c>
      <c r="F360" s="11">
        <f t="shared" si="118"/>
        <v>3.1599999999999966</v>
      </c>
      <c r="G360" s="11">
        <f>ROUND(E360*'Allocation Factors'!$G$16,0)</f>
        <v>205</v>
      </c>
      <c r="H360" s="11">
        <f>'Sch 5'!C346</f>
        <v>0</v>
      </c>
      <c r="I360" s="11">
        <f t="shared" si="116"/>
        <v>205</v>
      </c>
      <c r="J360" s="11"/>
      <c r="K360" s="16" t="s">
        <v>351</v>
      </c>
      <c r="L360" s="43"/>
    </row>
    <row r="361" spans="1:19" ht="14.1" customHeight="1">
      <c r="A361" s="247">
        <f t="shared" si="105"/>
        <v>345</v>
      </c>
      <c r="B361" s="27" t="s">
        <v>229</v>
      </c>
      <c r="C361" s="48">
        <v>210802.28</v>
      </c>
      <c r="D361" s="48">
        <f>'Sch 6'!G58</f>
        <v>664777</v>
      </c>
      <c r="E361" s="11">
        <f t="shared" si="117"/>
        <v>875579.28</v>
      </c>
      <c r="F361" s="11">
        <f t="shared" si="118"/>
        <v>12258.280000000028</v>
      </c>
      <c r="G361" s="11">
        <f>ROUND(E361*'Allocation Factors'!$G$16,0)</f>
        <v>863321</v>
      </c>
      <c r="H361" s="11">
        <f>'Sch 5'!C347</f>
        <v>0</v>
      </c>
      <c r="I361" s="11">
        <f t="shared" si="116"/>
        <v>863321</v>
      </c>
      <c r="J361" s="11"/>
      <c r="K361" s="16" t="s">
        <v>351</v>
      </c>
      <c r="L361" s="43"/>
    </row>
    <row r="362" spans="1:19" ht="14.1" customHeight="1">
      <c r="A362" s="247">
        <f t="shared" si="105"/>
        <v>346</v>
      </c>
      <c r="B362" s="92" t="s">
        <v>230</v>
      </c>
      <c r="C362" s="48">
        <f>510751.29+688222.77+0.01</f>
        <v>1198974.07</v>
      </c>
      <c r="D362" s="48">
        <v>0</v>
      </c>
      <c r="E362" s="11">
        <f t="shared" si="117"/>
        <v>1198974.07</v>
      </c>
      <c r="F362" s="11">
        <f t="shared" si="118"/>
        <v>16786.070000000065</v>
      </c>
      <c r="G362" s="11">
        <f>ROUND(E362*'Allocation Factors'!$G$16,0)</f>
        <v>1182188</v>
      </c>
      <c r="H362" s="100">
        <f>'Sch 5'!C348</f>
        <v>0</v>
      </c>
      <c r="I362" s="11">
        <f t="shared" si="116"/>
        <v>1182188</v>
      </c>
      <c r="J362" s="11"/>
      <c r="K362" s="16" t="s">
        <v>351</v>
      </c>
      <c r="L362" s="43"/>
    </row>
    <row r="363" spans="1:19" ht="14.1" customHeight="1">
      <c r="A363" s="247">
        <f t="shared" si="105"/>
        <v>347</v>
      </c>
      <c r="B363" s="25" t="s">
        <v>550</v>
      </c>
      <c r="C363" s="338">
        <f t="shared" ref="C363:I363" si="119">SUM(C356:C362)</f>
        <v>5438871.6900000004</v>
      </c>
      <c r="D363" s="338">
        <f t="shared" si="119"/>
        <v>664777</v>
      </c>
      <c r="E363" s="338">
        <f t="shared" si="119"/>
        <v>6103648.6900000004</v>
      </c>
      <c r="F363" s="338">
        <f t="shared" si="119"/>
        <v>85451.689999999842</v>
      </c>
      <c r="G363" s="338">
        <f t="shared" si="119"/>
        <v>6018197</v>
      </c>
      <c r="H363" s="11">
        <f t="shared" si="119"/>
        <v>0</v>
      </c>
      <c r="I363" s="339">
        <f t="shared" si="119"/>
        <v>6018197</v>
      </c>
      <c r="J363" s="339"/>
      <c r="K363" s="322"/>
      <c r="L363" s="43"/>
    </row>
    <row r="364" spans="1:19" ht="14.1" customHeight="1">
      <c r="A364" s="247">
        <f t="shared" si="105"/>
        <v>348</v>
      </c>
      <c r="B364" s="93"/>
      <c r="C364" s="326"/>
      <c r="D364" s="326"/>
      <c r="E364" s="326"/>
      <c r="F364" s="326"/>
      <c r="G364" s="326"/>
      <c r="H364" s="326"/>
      <c r="I364" s="100"/>
      <c r="J364" s="100"/>
      <c r="K364" s="310"/>
      <c r="L364" s="43"/>
    </row>
    <row r="365" spans="1:19" ht="14.1" customHeight="1">
      <c r="A365" s="247">
        <f t="shared" si="105"/>
        <v>349</v>
      </c>
      <c r="B365" s="25" t="s">
        <v>551</v>
      </c>
      <c r="C365" s="340">
        <f t="shared" ref="C365:I365" si="120">C353+C363</f>
        <v>21406485.489999998</v>
      </c>
      <c r="D365" s="340">
        <f t="shared" si="120"/>
        <v>-20452369.719999995</v>
      </c>
      <c r="E365" s="340">
        <f t="shared" si="120"/>
        <v>954115.77000001445</v>
      </c>
      <c r="F365" s="340">
        <f t="shared" si="120"/>
        <v>-649858.22999998822</v>
      </c>
      <c r="G365" s="340">
        <f t="shared" si="120"/>
        <v>1603974</v>
      </c>
      <c r="H365" s="11">
        <f t="shared" si="120"/>
        <v>0</v>
      </c>
      <c r="I365" s="340">
        <f t="shared" si="120"/>
        <v>1603974</v>
      </c>
      <c r="J365" s="13"/>
      <c r="K365" s="18"/>
      <c r="L365" s="43"/>
    </row>
    <row r="366" spans="1:19" ht="14.1" customHeight="1">
      <c r="A366" s="247">
        <f t="shared" si="105"/>
        <v>350</v>
      </c>
      <c r="B366" s="304"/>
      <c r="C366" s="17"/>
      <c r="D366" s="17"/>
      <c r="E366" s="17"/>
      <c r="F366" s="17"/>
      <c r="G366" s="13"/>
      <c r="H366" s="17"/>
      <c r="I366" s="48"/>
      <c r="J366" s="48"/>
      <c r="K366" s="16"/>
      <c r="L366" s="43"/>
      <c r="R366" s="26"/>
      <c r="S366" s="26"/>
    </row>
    <row r="367" spans="1:19" ht="14.1" customHeight="1">
      <c r="A367" s="247">
        <f t="shared" si="105"/>
        <v>351</v>
      </c>
      <c r="B367" s="14" t="s">
        <v>233</v>
      </c>
      <c r="C367" s="48"/>
      <c r="D367" s="48"/>
      <c r="E367" s="48"/>
      <c r="F367" s="48"/>
      <c r="G367" s="48"/>
      <c r="H367" s="11"/>
      <c r="I367" s="11"/>
      <c r="J367" s="11"/>
      <c r="K367" s="16"/>
      <c r="L367" s="43"/>
      <c r="R367" s="26"/>
      <c r="S367" s="26"/>
    </row>
    <row r="368" spans="1:19" ht="14.1" customHeight="1">
      <c r="A368" s="247">
        <f t="shared" si="105"/>
        <v>352</v>
      </c>
      <c r="B368" s="27" t="s">
        <v>234</v>
      </c>
      <c r="C368" s="11">
        <v>675741.19</v>
      </c>
      <c r="D368" s="11">
        <v>0</v>
      </c>
      <c r="E368" s="11">
        <f>C368+D368</f>
        <v>675741.19</v>
      </c>
      <c r="F368" s="48">
        <f>E368-G368</f>
        <v>676.18999999994412</v>
      </c>
      <c r="G368" s="48">
        <f>ROUND(E368*'Allocation Factors'!$G$18,0)</f>
        <v>675065</v>
      </c>
      <c r="H368" s="11">
        <f>'Sch 5'!C354</f>
        <v>0</v>
      </c>
      <c r="I368" s="11">
        <f t="shared" ref="I368:I377" si="121">G368+H368</f>
        <v>675065</v>
      </c>
      <c r="J368" s="11"/>
      <c r="K368" s="377" t="s">
        <v>353</v>
      </c>
      <c r="L368" s="43"/>
      <c r="R368" s="26"/>
      <c r="S368" s="26"/>
    </row>
    <row r="369" spans="1:19" ht="14.1" customHeight="1">
      <c r="A369" s="247">
        <f t="shared" si="105"/>
        <v>353</v>
      </c>
      <c r="B369" s="27" t="s">
        <v>235</v>
      </c>
      <c r="C369" s="11">
        <v>3750.21</v>
      </c>
      <c r="D369" s="11">
        <v>0</v>
      </c>
      <c r="E369" s="11">
        <f t="shared" ref="E369:E377" si="122">C369+D369</f>
        <v>3750.21</v>
      </c>
      <c r="F369" s="48">
        <f t="shared" ref="F369:F377" si="123">E369-G369</f>
        <v>4.2100000000000364</v>
      </c>
      <c r="G369" s="48">
        <f>ROUND(E369*'Allocation Factors'!$G$18,0)</f>
        <v>3746</v>
      </c>
      <c r="H369" s="11">
        <f>'Sch 5'!C355</f>
        <v>0</v>
      </c>
      <c r="I369" s="11">
        <f t="shared" si="121"/>
        <v>3746</v>
      </c>
      <c r="J369" s="11"/>
      <c r="K369" s="377" t="s">
        <v>353</v>
      </c>
      <c r="L369" s="43"/>
      <c r="R369" s="26"/>
      <c r="S369" s="26"/>
    </row>
    <row r="370" spans="1:19" ht="14.1" customHeight="1">
      <c r="A370" s="247">
        <f t="shared" si="105"/>
        <v>354</v>
      </c>
      <c r="B370" s="27" t="s">
        <v>236</v>
      </c>
      <c r="C370" s="11">
        <v>200768.7</v>
      </c>
      <c r="D370" s="11">
        <v>0</v>
      </c>
      <c r="E370" s="11">
        <f t="shared" si="122"/>
        <v>200768.7</v>
      </c>
      <c r="F370" s="48">
        <f t="shared" si="123"/>
        <v>200.70000000001164</v>
      </c>
      <c r="G370" s="48">
        <f>ROUND(E370*'Allocation Factors'!$G$18,0)</f>
        <v>200568</v>
      </c>
      <c r="H370" s="11">
        <f>'Sch 5'!C356</f>
        <v>0</v>
      </c>
      <c r="I370" s="11">
        <f t="shared" si="121"/>
        <v>200568</v>
      </c>
      <c r="J370" s="11"/>
      <c r="K370" s="377" t="s">
        <v>353</v>
      </c>
      <c r="L370" s="43"/>
      <c r="R370" s="26"/>
      <c r="S370" s="26"/>
    </row>
    <row r="371" spans="1:19" ht="14.1" customHeight="1">
      <c r="A371" s="247">
        <f t="shared" si="105"/>
        <v>355</v>
      </c>
      <c r="B371" s="27" t="s">
        <v>237</v>
      </c>
      <c r="C371" s="11">
        <v>964615.33</v>
      </c>
      <c r="D371" s="11">
        <v>0</v>
      </c>
      <c r="E371" s="11">
        <f t="shared" si="122"/>
        <v>964615.33</v>
      </c>
      <c r="F371" s="48">
        <f t="shared" si="123"/>
        <v>964.32999999995809</v>
      </c>
      <c r="G371" s="48">
        <f>ROUND(E371*'Allocation Factors'!$G$18,0)</f>
        <v>963651</v>
      </c>
      <c r="H371" s="11">
        <f>'Sch 5'!C357</f>
        <v>0</v>
      </c>
      <c r="I371" s="11">
        <f t="shared" si="121"/>
        <v>963651</v>
      </c>
      <c r="J371" s="11"/>
      <c r="K371" s="377" t="s">
        <v>353</v>
      </c>
      <c r="L371" s="43"/>
      <c r="R371" s="26"/>
      <c r="S371" s="26"/>
    </row>
    <row r="372" spans="1:19" ht="14.1" customHeight="1">
      <c r="A372" s="247">
        <f t="shared" si="105"/>
        <v>356</v>
      </c>
      <c r="B372" s="27" t="s">
        <v>238</v>
      </c>
      <c r="C372" s="11">
        <f>108208.08+0.02</f>
        <v>108208.1</v>
      </c>
      <c r="D372" s="11">
        <v>0</v>
      </c>
      <c r="E372" s="11">
        <f t="shared" si="122"/>
        <v>108208.1</v>
      </c>
      <c r="F372" s="48">
        <f t="shared" si="123"/>
        <v>108.10000000000582</v>
      </c>
      <c r="G372" s="48">
        <f>ROUND(E372*'Allocation Factors'!$G$18,0)</f>
        <v>108100</v>
      </c>
      <c r="H372" s="11">
        <f>'Sch 5'!C358</f>
        <v>0</v>
      </c>
      <c r="I372" s="11">
        <f t="shared" si="121"/>
        <v>108100</v>
      </c>
      <c r="J372" s="11"/>
      <c r="K372" s="377" t="s">
        <v>353</v>
      </c>
      <c r="L372" s="43"/>
      <c r="R372" s="26"/>
      <c r="S372" s="26"/>
    </row>
    <row r="373" spans="1:19" ht="14.1" customHeight="1">
      <c r="A373" s="247">
        <f t="shared" si="105"/>
        <v>357</v>
      </c>
      <c r="B373" s="27" t="s">
        <v>239</v>
      </c>
      <c r="C373" s="11">
        <v>144178.5</v>
      </c>
      <c r="D373" s="11">
        <v>0</v>
      </c>
      <c r="E373" s="11">
        <f t="shared" si="122"/>
        <v>144178.5</v>
      </c>
      <c r="F373" s="48">
        <f t="shared" si="123"/>
        <v>144.5</v>
      </c>
      <c r="G373" s="48">
        <f>ROUND(E373*'Allocation Factors'!$G$18,0)</f>
        <v>144034</v>
      </c>
      <c r="H373" s="11">
        <f>'Sch 5'!C359</f>
        <v>0</v>
      </c>
      <c r="I373" s="11">
        <f t="shared" si="121"/>
        <v>144034</v>
      </c>
      <c r="J373" s="11"/>
      <c r="K373" s="377" t="s">
        <v>353</v>
      </c>
      <c r="L373" s="43"/>
      <c r="R373" s="26"/>
      <c r="S373" s="26"/>
    </row>
    <row r="374" spans="1:19" ht="14.1" customHeight="1">
      <c r="A374" s="247">
        <f t="shared" ref="A374:A437" si="124">+A373+1</f>
        <v>358</v>
      </c>
      <c r="B374" s="27" t="s">
        <v>240</v>
      </c>
      <c r="C374" s="11">
        <v>854475.02</v>
      </c>
      <c r="D374" s="11">
        <v>0</v>
      </c>
      <c r="E374" s="11">
        <f t="shared" si="122"/>
        <v>854475.02</v>
      </c>
      <c r="F374" s="48">
        <f t="shared" si="123"/>
        <v>854.02000000001863</v>
      </c>
      <c r="G374" s="48">
        <f>ROUND(E374*'Allocation Factors'!$G$18,0)</f>
        <v>853621</v>
      </c>
      <c r="H374" s="11">
        <f>'Sch 5'!C360</f>
        <v>0</v>
      </c>
      <c r="I374" s="11">
        <f t="shared" si="121"/>
        <v>853621</v>
      </c>
      <c r="J374" s="11"/>
      <c r="K374" s="377" t="s">
        <v>353</v>
      </c>
      <c r="L374" s="43"/>
      <c r="R374" s="26"/>
      <c r="S374" s="26"/>
    </row>
    <row r="375" spans="1:19" ht="14.1" customHeight="1">
      <c r="A375" s="247">
        <f t="shared" si="124"/>
        <v>359</v>
      </c>
      <c r="B375" s="27" t="s">
        <v>241</v>
      </c>
      <c r="C375" s="11">
        <v>189412.56</v>
      </c>
      <c r="D375" s="11">
        <v>0</v>
      </c>
      <c r="E375" s="11">
        <f t="shared" si="122"/>
        <v>189412.56</v>
      </c>
      <c r="F375" s="48">
        <f t="shared" si="123"/>
        <v>189.55999999999767</v>
      </c>
      <c r="G375" s="48">
        <f>ROUND(E375*'Allocation Factors'!$G$18,0)</f>
        <v>189223</v>
      </c>
      <c r="H375" s="11">
        <f>'Sch 5'!C361</f>
        <v>0</v>
      </c>
      <c r="I375" s="11">
        <f t="shared" si="121"/>
        <v>189223</v>
      </c>
      <c r="J375" s="11"/>
      <c r="K375" s="377" t="s">
        <v>353</v>
      </c>
      <c r="L375" s="43"/>
      <c r="R375" s="26"/>
      <c r="S375" s="26"/>
    </row>
    <row r="376" spans="1:19" s="26" customFormat="1" ht="14.1" customHeight="1">
      <c r="A376" s="247">
        <f t="shared" si="124"/>
        <v>360</v>
      </c>
      <c r="B376" s="27" t="s">
        <v>242</v>
      </c>
      <c r="C376" s="11">
        <v>3882777.68</v>
      </c>
      <c r="D376" s="11">
        <f>'Sch 6'!G45</f>
        <v>2223769</v>
      </c>
      <c r="E376" s="11">
        <f t="shared" si="122"/>
        <v>6106546.6799999997</v>
      </c>
      <c r="F376" s="48">
        <f t="shared" si="123"/>
        <v>6106.679999999702</v>
      </c>
      <c r="G376" s="48">
        <f>ROUND(E376*'Allocation Factors'!$G$18,0)</f>
        <v>6100440</v>
      </c>
      <c r="H376" s="11">
        <f>'Sch 5'!C362</f>
        <v>0</v>
      </c>
      <c r="I376" s="11">
        <f t="shared" si="121"/>
        <v>6100440</v>
      </c>
      <c r="J376" s="11"/>
      <c r="K376" s="377" t="s">
        <v>353</v>
      </c>
      <c r="L376" s="43"/>
      <c r="M376" s="203"/>
      <c r="N376" s="203"/>
      <c r="O376" s="203"/>
      <c r="P376" s="203"/>
      <c r="Q376" s="203"/>
    </row>
    <row r="377" spans="1:19" s="26" customFormat="1" ht="14.1" customHeight="1">
      <c r="A377" s="247">
        <f t="shared" si="124"/>
        <v>361</v>
      </c>
      <c r="B377" s="92" t="s">
        <v>243</v>
      </c>
      <c r="C377" s="48">
        <f>1620220.05+68003.82</f>
        <v>1688223.87</v>
      </c>
      <c r="D377" s="48">
        <v>0</v>
      </c>
      <c r="E377" s="11">
        <f t="shared" si="122"/>
        <v>1688223.87</v>
      </c>
      <c r="F377" s="48">
        <f t="shared" si="123"/>
        <v>1687.8700000001118</v>
      </c>
      <c r="G377" s="48">
        <f>ROUND(E377*'Allocation Factors'!$G$18,0)</f>
        <v>1686536</v>
      </c>
      <c r="H377" s="11">
        <f>'Sch 5'!C363</f>
        <v>72974</v>
      </c>
      <c r="I377" s="11">
        <f t="shared" si="121"/>
        <v>1759510</v>
      </c>
      <c r="J377" s="11"/>
      <c r="K377" s="377" t="s">
        <v>353</v>
      </c>
      <c r="L377" s="43"/>
      <c r="M377" s="203"/>
      <c r="N377" s="203"/>
      <c r="O377" s="203"/>
      <c r="P377" s="203"/>
      <c r="Q377" s="203"/>
    </row>
    <row r="378" spans="1:19" ht="14.1" customHeight="1">
      <c r="A378" s="247">
        <f t="shared" si="124"/>
        <v>362</v>
      </c>
      <c r="B378" s="25" t="s">
        <v>552</v>
      </c>
      <c r="C378" s="189">
        <f t="shared" ref="C378:I378" si="125">SUM(C368:C377)</f>
        <v>8712151.1600000001</v>
      </c>
      <c r="D378" s="189">
        <f t="shared" si="125"/>
        <v>2223769</v>
      </c>
      <c r="E378" s="189">
        <f t="shared" si="125"/>
        <v>10935920.16</v>
      </c>
      <c r="F378" s="189">
        <f t="shared" si="125"/>
        <v>10936.159999999749</v>
      </c>
      <c r="G378" s="189">
        <f t="shared" si="125"/>
        <v>10924984</v>
      </c>
      <c r="H378" s="189">
        <f t="shared" si="125"/>
        <v>72974</v>
      </c>
      <c r="I378" s="83">
        <f t="shared" si="125"/>
        <v>10997958</v>
      </c>
      <c r="J378" s="83"/>
      <c r="K378" s="334"/>
      <c r="L378" s="43"/>
    </row>
    <row r="379" spans="1:19" ht="14.1" customHeight="1">
      <c r="A379" s="247">
        <f t="shared" si="124"/>
        <v>363</v>
      </c>
      <c r="B379" s="341"/>
      <c r="C379" s="17"/>
      <c r="D379" s="17"/>
      <c r="E379" s="17"/>
      <c r="F379" s="17"/>
      <c r="G379" s="305"/>
      <c r="H379" s="17"/>
      <c r="I379" s="48"/>
      <c r="J379" s="48"/>
      <c r="K379" s="16"/>
      <c r="L379" s="43"/>
    </row>
    <row r="380" spans="1:19" ht="14.1" customHeight="1">
      <c r="A380" s="247">
        <f t="shared" si="124"/>
        <v>364</v>
      </c>
      <c r="B380" s="27" t="s">
        <v>244</v>
      </c>
      <c r="C380" s="11">
        <v>2254.8000000000002</v>
      </c>
      <c r="D380" s="11">
        <v>0</v>
      </c>
      <c r="E380" s="11">
        <f>C380+D380</f>
        <v>2254.8000000000002</v>
      </c>
      <c r="F380" s="48">
        <f>E380-G380</f>
        <v>1.8000000000001819</v>
      </c>
      <c r="G380" s="48">
        <f>ROUND(E380*'Allocation Factors'!$G$18,0)</f>
        <v>2253</v>
      </c>
      <c r="H380" s="11">
        <f>'Sch 5'!C366</f>
        <v>0</v>
      </c>
      <c r="I380" s="11">
        <f t="shared" ref="I380:I390" si="126">G380+H380</f>
        <v>2253</v>
      </c>
      <c r="J380" s="11"/>
      <c r="K380" s="377" t="s">
        <v>353</v>
      </c>
      <c r="L380" s="43"/>
    </row>
    <row r="381" spans="1:19" ht="14.1" customHeight="1">
      <c r="A381" s="247">
        <f t="shared" si="124"/>
        <v>365</v>
      </c>
      <c r="B381" s="27" t="s">
        <v>245</v>
      </c>
      <c r="C381" s="11">
        <v>27880.16</v>
      </c>
      <c r="D381" s="11">
        <v>0</v>
      </c>
      <c r="E381" s="11">
        <f t="shared" ref="E381:E390" si="127">C381+D381</f>
        <v>27880.16</v>
      </c>
      <c r="F381" s="48">
        <f t="shared" ref="F381:F390" si="128">E381-G381</f>
        <v>28.159999999999854</v>
      </c>
      <c r="G381" s="48">
        <f>ROUND(E381*'Allocation Factors'!$G$18,0)</f>
        <v>27852</v>
      </c>
      <c r="H381" s="11">
        <f>'Sch 5'!C367</f>
        <v>0</v>
      </c>
      <c r="I381" s="11">
        <f t="shared" si="126"/>
        <v>27852</v>
      </c>
      <c r="J381" s="11"/>
      <c r="K381" s="377" t="s">
        <v>353</v>
      </c>
      <c r="L381" s="43"/>
    </row>
    <row r="382" spans="1:19" ht="13.15" customHeight="1">
      <c r="A382" s="247">
        <f t="shared" si="124"/>
        <v>366</v>
      </c>
      <c r="B382" s="27" t="s">
        <v>246</v>
      </c>
      <c r="C382" s="11">
        <v>744501.14</v>
      </c>
      <c r="D382" s="11">
        <v>0</v>
      </c>
      <c r="E382" s="11">
        <f t="shared" si="127"/>
        <v>744501.14</v>
      </c>
      <c r="F382" s="48">
        <f t="shared" si="128"/>
        <v>744.14000000001397</v>
      </c>
      <c r="G382" s="48">
        <f>ROUND(E382*'Allocation Factors'!$G$18,0)</f>
        <v>743757</v>
      </c>
      <c r="H382" s="11">
        <f>'Sch 5'!C368</f>
        <v>0</v>
      </c>
      <c r="I382" s="11">
        <f t="shared" si="126"/>
        <v>743757</v>
      </c>
      <c r="J382" s="11"/>
      <c r="K382" s="377" t="s">
        <v>353</v>
      </c>
      <c r="L382" s="43"/>
    </row>
    <row r="383" spans="1:19" ht="14.1" customHeight="1">
      <c r="A383" s="247">
        <f t="shared" si="124"/>
        <v>367</v>
      </c>
      <c r="B383" s="27" t="s">
        <v>247</v>
      </c>
      <c r="C383" s="11">
        <v>28773807.170000002</v>
      </c>
      <c r="D383" s="11">
        <f>'Sch 6'!G46</f>
        <v>3522170</v>
      </c>
      <c r="E383" s="11">
        <f t="shared" si="127"/>
        <v>32295977.170000002</v>
      </c>
      <c r="F383" s="48">
        <f t="shared" si="128"/>
        <v>32296.170000001788</v>
      </c>
      <c r="G383" s="48">
        <f>ROUND(E383*'Allocation Factors'!$G$18,0)</f>
        <v>32263681</v>
      </c>
      <c r="H383" s="11">
        <f>'Sch 5'!C369</f>
        <v>0</v>
      </c>
      <c r="I383" s="11">
        <f t="shared" si="126"/>
        <v>32263681</v>
      </c>
      <c r="J383" s="11"/>
      <c r="K383" s="377" t="s">
        <v>353</v>
      </c>
      <c r="L383" s="43"/>
    </row>
    <row r="384" spans="1:19" ht="12.75" customHeight="1">
      <c r="A384" s="247">
        <f t="shared" si="124"/>
        <v>368</v>
      </c>
      <c r="B384" s="27" t="s">
        <v>327</v>
      </c>
      <c r="C384" s="11">
        <v>4698444</v>
      </c>
      <c r="D384" s="11">
        <v>0</v>
      </c>
      <c r="E384" s="11">
        <f t="shared" si="127"/>
        <v>4698444</v>
      </c>
      <c r="F384" s="48">
        <f t="shared" si="128"/>
        <v>4698</v>
      </c>
      <c r="G384" s="48">
        <f>ROUND(E384*'Allocation Factors'!$G$18,0)</f>
        <v>4693746</v>
      </c>
      <c r="H384" s="11">
        <f>'Sch 5'!C370</f>
        <v>-2885238</v>
      </c>
      <c r="I384" s="11">
        <f t="shared" si="126"/>
        <v>1808508</v>
      </c>
      <c r="J384" s="11"/>
      <c r="K384" s="377" t="s">
        <v>353</v>
      </c>
      <c r="L384" s="43"/>
    </row>
    <row r="385" spans="1:16" ht="14.1" customHeight="1">
      <c r="A385" s="247">
        <f t="shared" si="124"/>
        <v>369</v>
      </c>
      <c r="B385" s="27" t="s">
        <v>248</v>
      </c>
      <c r="C385" s="11">
        <f>361078.7+1292.17</f>
        <v>362370.87</v>
      </c>
      <c r="D385" s="11">
        <v>0</v>
      </c>
      <c r="E385" s="11">
        <f t="shared" si="127"/>
        <v>362370.87</v>
      </c>
      <c r="F385" s="48">
        <f t="shared" si="128"/>
        <v>362.86999999999534</v>
      </c>
      <c r="G385" s="48">
        <f>ROUND(E385*'Allocation Factors'!$G$18,0)</f>
        <v>362008</v>
      </c>
      <c r="H385" s="11">
        <f>'Sch 5'!C371</f>
        <v>10655900</v>
      </c>
      <c r="I385" s="11">
        <f t="shared" si="126"/>
        <v>11017908</v>
      </c>
      <c r="J385" s="11"/>
      <c r="K385" s="377" t="s">
        <v>353</v>
      </c>
      <c r="L385" s="43"/>
    </row>
    <row r="386" spans="1:16" ht="14.1" customHeight="1">
      <c r="A386" s="247">
        <f t="shared" si="124"/>
        <v>370</v>
      </c>
      <c r="B386" s="27" t="s">
        <v>249</v>
      </c>
      <c r="C386" s="11">
        <v>79563.679999999993</v>
      </c>
      <c r="D386" s="11">
        <v>0</v>
      </c>
      <c r="E386" s="11">
        <f t="shared" si="127"/>
        <v>79563.679999999993</v>
      </c>
      <c r="F386" s="48">
        <f t="shared" si="128"/>
        <v>79.679999999993015</v>
      </c>
      <c r="G386" s="48">
        <f>ROUND(E386*'Allocation Factors'!$G$18,0)</f>
        <v>79484</v>
      </c>
      <c r="H386" s="11">
        <f>'Sch 5'!C372</f>
        <v>0</v>
      </c>
      <c r="I386" s="11">
        <f t="shared" si="126"/>
        <v>79484</v>
      </c>
      <c r="J386" s="11"/>
      <c r="K386" s="377" t="s">
        <v>353</v>
      </c>
      <c r="L386" s="43"/>
    </row>
    <row r="387" spans="1:16" ht="14.1" customHeight="1">
      <c r="A387" s="247">
        <f t="shared" si="124"/>
        <v>371</v>
      </c>
      <c r="B387" s="27" t="s">
        <v>250</v>
      </c>
      <c r="C387" s="11">
        <v>67160.42</v>
      </c>
      <c r="D387" s="11">
        <v>0</v>
      </c>
      <c r="E387" s="11">
        <f t="shared" si="127"/>
        <v>67160.42</v>
      </c>
      <c r="F387" s="48">
        <f t="shared" si="128"/>
        <v>67.419999999998254</v>
      </c>
      <c r="G387" s="48">
        <f>ROUND(E387*'Allocation Factors'!$G$18,0)</f>
        <v>67093</v>
      </c>
      <c r="H387" s="11">
        <f>'Sch 5'!C373</f>
        <v>0</v>
      </c>
      <c r="I387" s="11">
        <f t="shared" si="126"/>
        <v>67093</v>
      </c>
      <c r="J387" s="11"/>
      <c r="K387" s="377" t="s">
        <v>353</v>
      </c>
      <c r="L387" s="43"/>
    </row>
    <row r="388" spans="1:16" s="26" customFormat="1" ht="14.1" customHeight="1">
      <c r="A388" s="247">
        <f t="shared" si="124"/>
        <v>372</v>
      </c>
      <c r="B388" s="27" t="s">
        <v>251</v>
      </c>
      <c r="C388" s="11">
        <v>52820.89</v>
      </c>
      <c r="D388" s="11">
        <v>0</v>
      </c>
      <c r="E388" s="11">
        <f t="shared" si="127"/>
        <v>52820.89</v>
      </c>
      <c r="F388" s="48">
        <f t="shared" si="128"/>
        <v>52.889999999999418</v>
      </c>
      <c r="G388" s="48">
        <f>ROUND(E388*'Allocation Factors'!$G$18,0)</f>
        <v>52768</v>
      </c>
      <c r="H388" s="11">
        <f>'Sch 5'!C374</f>
        <v>0</v>
      </c>
      <c r="I388" s="11">
        <f t="shared" si="126"/>
        <v>52768</v>
      </c>
      <c r="J388" s="11"/>
      <c r="K388" s="377" t="s">
        <v>353</v>
      </c>
      <c r="L388" s="43"/>
      <c r="M388" s="203"/>
      <c r="N388" s="203"/>
      <c r="O388" s="203"/>
      <c r="P388" s="203"/>
    </row>
    <row r="389" spans="1:16" ht="14.1" customHeight="1">
      <c r="A389" s="247">
        <f t="shared" si="124"/>
        <v>373</v>
      </c>
      <c r="B389" s="27" t="s">
        <v>252</v>
      </c>
      <c r="C389" s="11">
        <v>79421.91</v>
      </c>
      <c r="D389" s="11">
        <v>0</v>
      </c>
      <c r="E389" s="11">
        <f t="shared" si="127"/>
        <v>79421.91</v>
      </c>
      <c r="F389" s="48">
        <f t="shared" si="128"/>
        <v>79.910000000003492</v>
      </c>
      <c r="G389" s="48">
        <f>ROUND(E389*'Allocation Factors'!$G$18,0)</f>
        <v>79342</v>
      </c>
      <c r="H389" s="11">
        <f>'Sch 5'!C375</f>
        <v>0</v>
      </c>
      <c r="I389" s="11">
        <f t="shared" si="126"/>
        <v>79342</v>
      </c>
      <c r="J389" s="11"/>
      <c r="K389" s="377" t="s">
        <v>353</v>
      </c>
      <c r="L389" s="43"/>
    </row>
    <row r="390" spans="1:16" ht="14.1" customHeight="1">
      <c r="A390" s="247">
        <f t="shared" si="124"/>
        <v>374</v>
      </c>
      <c r="B390" s="92" t="s">
        <v>253</v>
      </c>
      <c r="C390" s="48">
        <v>189845.79</v>
      </c>
      <c r="D390" s="48">
        <v>0</v>
      </c>
      <c r="E390" s="11">
        <f t="shared" si="127"/>
        <v>189845.79</v>
      </c>
      <c r="F390" s="48">
        <f t="shared" si="128"/>
        <v>189.79000000000815</v>
      </c>
      <c r="G390" s="48">
        <f>ROUND(E390*'Allocation Factors'!$G$18,0)</f>
        <v>189656</v>
      </c>
      <c r="H390" s="11">
        <f>'Sch 5'!C376</f>
        <v>0</v>
      </c>
      <c r="I390" s="11">
        <f t="shared" si="126"/>
        <v>189656</v>
      </c>
      <c r="J390" s="11"/>
      <c r="K390" s="377" t="s">
        <v>353</v>
      </c>
      <c r="L390" s="43"/>
    </row>
    <row r="391" spans="1:16" ht="14.1" customHeight="1">
      <c r="A391" s="247">
        <f t="shared" si="124"/>
        <v>375</v>
      </c>
      <c r="B391" s="25" t="s">
        <v>553</v>
      </c>
      <c r="C391" s="83">
        <f t="shared" ref="C391:I391" si="129">SUM(C380:C390)</f>
        <v>35078070.829999998</v>
      </c>
      <c r="D391" s="83">
        <f t="shared" si="129"/>
        <v>3522170</v>
      </c>
      <c r="E391" s="83">
        <f t="shared" si="129"/>
        <v>38600240.829999998</v>
      </c>
      <c r="F391" s="189">
        <f t="shared" si="129"/>
        <v>38600.830000001799</v>
      </c>
      <c r="G391" s="189">
        <f t="shared" si="129"/>
        <v>38561640</v>
      </c>
      <c r="H391" s="189">
        <f t="shared" si="129"/>
        <v>7770662</v>
      </c>
      <c r="I391" s="189">
        <f t="shared" si="129"/>
        <v>46332302</v>
      </c>
      <c r="J391" s="189"/>
      <c r="K391" s="322"/>
      <c r="L391" s="43"/>
    </row>
    <row r="392" spans="1:16" ht="14.1" customHeight="1">
      <c r="A392" s="247">
        <f t="shared" si="124"/>
        <v>376</v>
      </c>
      <c r="B392" s="342"/>
      <c r="C392" s="100"/>
      <c r="D392" s="100"/>
      <c r="E392" s="100"/>
      <c r="F392" s="326"/>
      <c r="G392" s="94"/>
      <c r="H392" s="326"/>
      <c r="I392" s="100"/>
      <c r="J392" s="100"/>
      <c r="K392" s="310"/>
      <c r="L392" s="43"/>
    </row>
    <row r="393" spans="1:16" ht="14.1" customHeight="1">
      <c r="A393" s="247">
        <f t="shared" si="124"/>
        <v>377</v>
      </c>
      <c r="B393" s="25" t="s">
        <v>254</v>
      </c>
      <c r="C393" s="17">
        <f t="shared" ref="C393:I393" si="130">C378+C391</f>
        <v>43790221.989999995</v>
      </c>
      <c r="D393" s="17">
        <f t="shared" si="130"/>
        <v>5745939</v>
      </c>
      <c r="E393" s="17">
        <f t="shared" si="130"/>
        <v>49536160.989999995</v>
      </c>
      <c r="F393" s="17">
        <f t="shared" si="130"/>
        <v>49536.990000001548</v>
      </c>
      <c r="G393" s="17">
        <f t="shared" si="130"/>
        <v>49486624</v>
      </c>
      <c r="H393" s="17">
        <f t="shared" si="130"/>
        <v>7843636</v>
      </c>
      <c r="I393" s="17">
        <f t="shared" si="130"/>
        <v>57330260</v>
      </c>
      <c r="J393" s="17"/>
      <c r="K393" s="18"/>
      <c r="L393" s="43"/>
    </row>
    <row r="394" spans="1:16" ht="14.1" customHeight="1">
      <c r="A394" s="247">
        <f t="shared" si="124"/>
        <v>378</v>
      </c>
      <c r="B394" s="304"/>
      <c r="C394" s="17">
        <f t="shared" ref="C394:I394" si="131">C327+C363+C391+C435+C436-C362</f>
        <v>63086306.640000008</v>
      </c>
      <c r="D394" s="17">
        <f t="shared" si="131"/>
        <v>9321471.7700000014</v>
      </c>
      <c r="E394" s="17">
        <f t="shared" si="131"/>
        <v>72407778.409999996</v>
      </c>
      <c r="F394" s="17">
        <f t="shared" si="131"/>
        <v>511906.41000000248</v>
      </c>
      <c r="G394" s="17">
        <f t="shared" si="131"/>
        <v>71895872</v>
      </c>
      <c r="H394" s="17">
        <f t="shared" si="131"/>
        <v>-4883584</v>
      </c>
      <c r="I394" s="17">
        <f t="shared" si="131"/>
        <v>67012288</v>
      </c>
      <c r="J394" s="17"/>
      <c r="K394" s="18"/>
      <c r="L394" s="43"/>
    </row>
    <row r="395" spans="1:16" ht="14.1" customHeight="1">
      <c r="A395" s="247">
        <f t="shared" si="124"/>
        <v>379</v>
      </c>
      <c r="B395" s="14" t="s">
        <v>255</v>
      </c>
      <c r="C395" s="48"/>
      <c r="D395" s="48"/>
      <c r="E395" s="48"/>
      <c r="F395" s="48"/>
      <c r="G395" s="48"/>
      <c r="H395" s="48"/>
      <c r="I395" s="11"/>
      <c r="J395" s="11"/>
      <c r="K395" s="16"/>
      <c r="L395" s="43"/>
    </row>
    <row r="396" spans="1:16" ht="14.1" customHeight="1">
      <c r="A396" s="247">
        <f t="shared" si="124"/>
        <v>380</v>
      </c>
      <c r="B396" s="27" t="s">
        <v>256</v>
      </c>
      <c r="C396" s="11">
        <v>287016.83</v>
      </c>
      <c r="D396" s="11">
        <v>0</v>
      </c>
      <c r="E396" s="11">
        <f t="shared" ref="E396:E401" si="132">C396+D396</f>
        <v>287016.83</v>
      </c>
      <c r="F396" s="48">
        <f t="shared" ref="F396:F401" si="133">E396-G396</f>
        <v>3.8300000000162981</v>
      </c>
      <c r="G396" s="11">
        <f>ROUND(E396*'Allocation Factors'!$G$36,0)</f>
        <v>287013</v>
      </c>
      <c r="H396" s="11">
        <f>'Sch 5'!C382</f>
        <v>0</v>
      </c>
      <c r="I396" s="11">
        <f t="shared" ref="I396:I401" si="134">G396+H396</f>
        <v>287013</v>
      </c>
      <c r="J396" s="11"/>
      <c r="K396" s="16" t="s">
        <v>945</v>
      </c>
      <c r="L396" s="43"/>
    </row>
    <row r="397" spans="1:16" ht="14.1" customHeight="1">
      <c r="A397" s="247">
        <f t="shared" si="124"/>
        <v>381</v>
      </c>
      <c r="B397" s="27" t="s">
        <v>257</v>
      </c>
      <c r="C397" s="11">
        <f>7665.4+324.72+430282.36+54224.94+58335.29</f>
        <v>550832.71</v>
      </c>
      <c r="D397" s="11">
        <v>0</v>
      </c>
      <c r="E397" s="11">
        <f t="shared" si="132"/>
        <v>550832.71</v>
      </c>
      <c r="F397" s="48">
        <f t="shared" si="133"/>
        <v>6.7099999999627471</v>
      </c>
      <c r="G397" s="11">
        <f>ROUND(E397*'Allocation Factors'!$G$36,0)</f>
        <v>550826</v>
      </c>
      <c r="H397" s="11">
        <f>'Sch 5'!C383</f>
        <v>0</v>
      </c>
      <c r="I397" s="11">
        <f t="shared" si="134"/>
        <v>550826</v>
      </c>
      <c r="J397" s="11"/>
      <c r="K397" s="16" t="s">
        <v>945</v>
      </c>
      <c r="L397" s="158"/>
      <c r="M397" s="378"/>
    </row>
    <row r="398" spans="1:16" ht="14.1" customHeight="1">
      <c r="A398" s="247">
        <f t="shared" si="124"/>
        <v>382</v>
      </c>
      <c r="B398" s="27" t="s">
        <v>258</v>
      </c>
      <c r="C398" s="11">
        <f>335251.74+2403091.66+38816.73+810459.98+134288.8+66162.56+752718.85+583351.66+165509.14</f>
        <v>5289651.12</v>
      </c>
      <c r="D398" s="11">
        <f>'Sch 6'!G47</f>
        <v>928824</v>
      </c>
      <c r="E398" s="11">
        <f t="shared" si="132"/>
        <v>6218475.1200000001</v>
      </c>
      <c r="F398" s="48">
        <f t="shared" si="133"/>
        <v>73.120000000111759</v>
      </c>
      <c r="G398" s="11">
        <f>ROUND(E398*'Allocation Factors'!$G$36,0)</f>
        <v>6218402</v>
      </c>
      <c r="H398" s="11">
        <f>'Sch 5'!C384</f>
        <v>0</v>
      </c>
      <c r="I398" s="11">
        <f t="shared" si="134"/>
        <v>6218402</v>
      </c>
      <c r="J398" s="11"/>
      <c r="K398" s="16" t="s">
        <v>945</v>
      </c>
      <c r="L398" s="158"/>
      <c r="M398" s="378"/>
    </row>
    <row r="399" spans="1:16" ht="14.1" customHeight="1">
      <c r="A399" s="247">
        <f t="shared" si="124"/>
        <v>383</v>
      </c>
      <c r="B399" s="27" t="s">
        <v>259</v>
      </c>
      <c r="C399" s="11">
        <v>0</v>
      </c>
      <c r="D399" s="11">
        <v>0</v>
      </c>
      <c r="E399" s="11">
        <f t="shared" si="132"/>
        <v>0</v>
      </c>
      <c r="F399" s="48">
        <f t="shared" si="133"/>
        <v>0</v>
      </c>
      <c r="G399" s="11">
        <f>ROUND(E399*'Allocation Factors'!$G$36,0)</f>
        <v>0</v>
      </c>
      <c r="H399" s="11">
        <f>'Sch 5'!C385</f>
        <v>0</v>
      </c>
      <c r="I399" s="11">
        <f t="shared" si="134"/>
        <v>0</v>
      </c>
      <c r="J399" s="11"/>
      <c r="K399" s="16" t="s">
        <v>945</v>
      </c>
      <c r="L399" s="343"/>
      <c r="M399" s="378"/>
    </row>
    <row r="400" spans="1:16" s="26" customFormat="1" ht="14.1" customHeight="1">
      <c r="A400" s="247">
        <f t="shared" si="124"/>
        <v>384</v>
      </c>
      <c r="B400" s="27" t="s">
        <v>260</v>
      </c>
      <c r="C400" s="11">
        <v>-42603.66</v>
      </c>
      <c r="D400" s="11">
        <v>0</v>
      </c>
      <c r="E400" s="11">
        <f t="shared" si="132"/>
        <v>-42603.66</v>
      </c>
      <c r="F400" s="48">
        <f t="shared" si="133"/>
        <v>-0.66000000000349246</v>
      </c>
      <c r="G400" s="11">
        <f>ROUND(E400*'Allocation Factors'!$G$36,0)</f>
        <v>-42603</v>
      </c>
      <c r="H400" s="11">
        <f>'Sch 5'!C386</f>
        <v>0</v>
      </c>
      <c r="I400" s="11">
        <f t="shared" si="134"/>
        <v>-42603</v>
      </c>
      <c r="J400" s="11"/>
      <c r="K400" s="16" t="s">
        <v>945</v>
      </c>
      <c r="L400" s="159"/>
      <c r="M400" s="379"/>
      <c r="N400" s="203"/>
      <c r="O400" s="203"/>
      <c r="P400" s="203"/>
    </row>
    <row r="401" spans="1:13" ht="14.1" customHeight="1">
      <c r="A401" s="247">
        <f t="shared" si="124"/>
        <v>385</v>
      </c>
      <c r="B401" s="92" t="s">
        <v>261</v>
      </c>
      <c r="C401" s="48">
        <v>25173.54</v>
      </c>
      <c r="D401" s="48">
        <v>0</v>
      </c>
      <c r="E401" s="11">
        <f t="shared" si="132"/>
        <v>25173.54</v>
      </c>
      <c r="F401" s="48">
        <f t="shared" si="133"/>
        <v>0.54000000000087311</v>
      </c>
      <c r="G401" s="11">
        <f>ROUND(E401*'Allocation Factors'!$G$36,0)</f>
        <v>25173</v>
      </c>
      <c r="H401" s="11"/>
      <c r="I401" s="11">
        <f t="shared" si="134"/>
        <v>25173</v>
      </c>
      <c r="J401" s="11"/>
      <c r="K401" s="16" t="s">
        <v>945</v>
      </c>
      <c r="L401" s="158"/>
      <c r="M401" s="380"/>
    </row>
    <row r="402" spans="1:13" ht="14.1" customHeight="1">
      <c r="A402" s="247">
        <f t="shared" si="124"/>
        <v>386</v>
      </c>
      <c r="B402" s="25" t="s">
        <v>554</v>
      </c>
      <c r="C402" s="189">
        <f t="shared" ref="C402:I402" si="135">SUM(C396:C401)</f>
        <v>6110070.54</v>
      </c>
      <c r="D402" s="189">
        <f t="shared" si="135"/>
        <v>928824</v>
      </c>
      <c r="E402" s="189">
        <f t="shared" si="135"/>
        <v>7038894.54</v>
      </c>
      <c r="F402" s="189">
        <f t="shared" si="135"/>
        <v>83.540000000088185</v>
      </c>
      <c r="G402" s="189">
        <f t="shared" si="135"/>
        <v>7038811</v>
      </c>
      <c r="H402" s="189">
        <f t="shared" si="135"/>
        <v>0</v>
      </c>
      <c r="I402" s="189">
        <f t="shared" si="135"/>
        <v>7038811</v>
      </c>
      <c r="J402" s="189"/>
      <c r="K402" s="322"/>
      <c r="L402" s="43"/>
    </row>
    <row r="403" spans="1:13" ht="14.1" customHeight="1">
      <c r="A403" s="247">
        <f t="shared" si="124"/>
        <v>387</v>
      </c>
      <c r="B403" s="304"/>
      <c r="C403" s="17"/>
      <c r="D403" s="17"/>
      <c r="E403" s="17"/>
      <c r="F403" s="17"/>
      <c r="G403" s="305"/>
      <c r="H403" s="17"/>
      <c r="I403" s="48"/>
      <c r="J403" s="48"/>
      <c r="K403" s="16"/>
      <c r="L403" s="43"/>
    </row>
    <row r="404" spans="1:13" ht="14.1" customHeight="1">
      <c r="A404" s="247">
        <f t="shared" si="124"/>
        <v>388</v>
      </c>
      <c r="B404" s="14" t="s">
        <v>262</v>
      </c>
      <c r="C404" s="48"/>
      <c r="D404" s="48"/>
      <c r="E404" s="48"/>
      <c r="F404" s="48"/>
      <c r="G404" s="48"/>
      <c r="H404" s="48"/>
      <c r="I404" s="11"/>
      <c r="J404" s="11"/>
      <c r="K404" s="16"/>
      <c r="L404" s="43"/>
    </row>
    <row r="405" spans="1:13" ht="14.1" customHeight="1">
      <c r="A405" s="247">
        <f t="shared" si="124"/>
        <v>389</v>
      </c>
      <c r="B405" s="27" t="s">
        <v>263</v>
      </c>
      <c r="C405" s="11">
        <f>157258.71-1.56</f>
        <v>157257.15</v>
      </c>
      <c r="D405" s="11">
        <v>0</v>
      </c>
      <c r="E405" s="11">
        <f>C405+D405</f>
        <v>157257.15</v>
      </c>
      <c r="F405" s="48">
        <f>E405-G405</f>
        <v>2.1499999999941792</v>
      </c>
      <c r="G405" s="11">
        <f>ROUND(E405*'Allocation Factors'!$G$36,0)</f>
        <v>157255</v>
      </c>
      <c r="H405" s="11">
        <f>'Sch 5'!C391</f>
        <v>0</v>
      </c>
      <c r="I405" s="11">
        <f>G405+H405</f>
        <v>157255</v>
      </c>
      <c r="J405" s="11"/>
      <c r="K405" s="16" t="s">
        <v>945</v>
      </c>
      <c r="L405" s="43"/>
    </row>
    <row r="406" spans="1:13" ht="13.5" customHeight="1">
      <c r="A406" s="247">
        <f t="shared" si="124"/>
        <v>390</v>
      </c>
      <c r="B406" s="27" t="s">
        <v>264</v>
      </c>
      <c r="C406" s="11">
        <f>491678.62+937.49+4188794.7</f>
        <v>4681410.8100000005</v>
      </c>
      <c r="D406" s="11">
        <f>'Sch 6'!G48-L406</f>
        <v>-2747918</v>
      </c>
      <c r="E406" s="11">
        <f>C406+D406</f>
        <v>1933492.8100000005</v>
      </c>
      <c r="F406" s="48">
        <f>E406-G406</f>
        <v>22.810000000521541</v>
      </c>
      <c r="G406" s="11">
        <f>ROUND(E406*'Allocation Factors'!$G$36,0)</f>
        <v>1933470</v>
      </c>
      <c r="H406" s="11">
        <f>'Sch 5'!C392</f>
        <v>0</v>
      </c>
      <c r="I406" s="11">
        <f>G406+H406</f>
        <v>1933470</v>
      </c>
      <c r="J406" s="11"/>
      <c r="K406" s="16" t="s">
        <v>945</v>
      </c>
      <c r="L406" s="11">
        <v>3203153</v>
      </c>
      <c r="M406" s="203" t="s">
        <v>946</v>
      </c>
    </row>
    <row r="407" spans="1:13" ht="14.1" customHeight="1">
      <c r="A407" s="247">
        <f t="shared" si="124"/>
        <v>391</v>
      </c>
      <c r="B407" s="27" t="s">
        <v>265</v>
      </c>
      <c r="C407" s="11">
        <v>137018.09</v>
      </c>
      <c r="D407" s="11">
        <v>0</v>
      </c>
      <c r="E407" s="11">
        <f>C407+D407</f>
        <v>137018.09</v>
      </c>
      <c r="F407" s="48">
        <f>E407-G407</f>
        <v>2.0899999999965075</v>
      </c>
      <c r="G407" s="11">
        <f>ROUND(E407*'Allocation Factors'!$G$36,0)</f>
        <v>137016</v>
      </c>
      <c r="H407" s="11">
        <f>'Sch 5'!C393</f>
        <v>0</v>
      </c>
      <c r="I407" s="11">
        <f>G407+H407</f>
        <v>137016</v>
      </c>
      <c r="J407" s="11"/>
      <c r="K407" s="16" t="s">
        <v>945</v>
      </c>
      <c r="L407" s="43"/>
    </row>
    <row r="408" spans="1:13" ht="14.1" customHeight="1">
      <c r="A408" s="247">
        <f t="shared" si="124"/>
        <v>392</v>
      </c>
      <c r="B408" s="92" t="s">
        <v>266</v>
      </c>
      <c r="C408" s="48">
        <v>49526.8</v>
      </c>
      <c r="D408" s="48">
        <v>0</v>
      </c>
      <c r="E408" s="11">
        <f>C408+D408</f>
        <v>49526.8</v>
      </c>
      <c r="F408" s="48">
        <f>E408-G408</f>
        <v>0.80000000000291038</v>
      </c>
      <c r="G408" s="11">
        <f>ROUND(E408*'Allocation Factors'!$G$36,0)</f>
        <v>49526</v>
      </c>
      <c r="H408" s="11">
        <f>'Sch 5'!C394</f>
        <v>0</v>
      </c>
      <c r="I408" s="11">
        <f>G408+H408</f>
        <v>49526</v>
      </c>
      <c r="J408" s="11"/>
      <c r="K408" s="16" t="s">
        <v>945</v>
      </c>
      <c r="L408" s="43"/>
    </row>
    <row r="409" spans="1:13" ht="14.1" customHeight="1">
      <c r="A409" s="247">
        <f t="shared" si="124"/>
        <v>393</v>
      </c>
      <c r="B409" s="25" t="s">
        <v>555</v>
      </c>
      <c r="C409" s="189">
        <f>SUM(C405:C408)</f>
        <v>5025212.8500000006</v>
      </c>
      <c r="D409" s="189">
        <f>SUM(D405:D408)</f>
        <v>-2747918</v>
      </c>
      <c r="E409" s="189">
        <f>SUM(E405:E408)</f>
        <v>2277294.85</v>
      </c>
      <c r="F409" s="189">
        <f>SUM(F404:F408)</f>
        <v>27.850000000515138</v>
      </c>
      <c r="G409" s="189">
        <f>SUM(G404:G408)</f>
        <v>2277267</v>
      </c>
      <c r="H409" s="189">
        <f>SUM(H404:H408)</f>
        <v>0</v>
      </c>
      <c r="I409" s="189">
        <f>SUM(I405:I408)</f>
        <v>2277267</v>
      </c>
      <c r="J409" s="189"/>
      <c r="K409" s="322"/>
      <c r="L409" s="43"/>
    </row>
    <row r="410" spans="1:13" ht="14.1" customHeight="1">
      <c r="A410" s="247">
        <f t="shared" si="124"/>
        <v>394</v>
      </c>
      <c r="B410" s="304"/>
      <c r="C410" s="17"/>
      <c r="D410" s="17"/>
      <c r="E410" s="17"/>
      <c r="F410" s="17"/>
      <c r="G410" s="305"/>
      <c r="H410" s="17"/>
      <c r="I410" s="48"/>
      <c r="J410" s="48"/>
      <c r="K410" s="16"/>
      <c r="L410" s="43"/>
    </row>
    <row r="411" spans="1:13" ht="14.1" customHeight="1">
      <c r="A411" s="247">
        <f t="shared" si="124"/>
        <v>395</v>
      </c>
      <c r="B411" s="14" t="s">
        <v>267</v>
      </c>
      <c r="C411" s="48"/>
      <c r="D411" s="48"/>
      <c r="E411" s="48"/>
      <c r="F411" s="48"/>
      <c r="G411" s="48"/>
      <c r="H411" s="48"/>
      <c r="I411" s="11"/>
      <c r="J411" s="11"/>
      <c r="K411" s="16"/>
      <c r="L411" s="43"/>
    </row>
    <row r="412" spans="1:13" ht="14.1" customHeight="1">
      <c r="A412" s="247">
        <f t="shared" si="124"/>
        <v>396</v>
      </c>
      <c r="B412" s="27" t="s">
        <v>268</v>
      </c>
      <c r="C412" s="11">
        <v>0</v>
      </c>
      <c r="D412" s="11">
        <v>0</v>
      </c>
      <c r="E412" s="11">
        <f>C412+D412</f>
        <v>0</v>
      </c>
      <c r="F412" s="48">
        <f>C412-G412</f>
        <v>0</v>
      </c>
      <c r="G412" s="48">
        <f>E412*'Allocation Factors'!$G$34</f>
        <v>0</v>
      </c>
      <c r="H412" s="11">
        <f>'Sch 5'!C398</f>
        <v>0</v>
      </c>
      <c r="I412" s="11">
        <f>G412+H412</f>
        <v>0</v>
      </c>
      <c r="J412" s="11"/>
      <c r="K412" s="16" t="s">
        <v>945</v>
      </c>
      <c r="L412" s="43"/>
    </row>
    <row r="413" spans="1:13" ht="14.1" customHeight="1">
      <c r="A413" s="247">
        <f t="shared" si="124"/>
        <v>397</v>
      </c>
      <c r="B413" s="27" t="s">
        <v>269</v>
      </c>
      <c r="C413" s="11">
        <f>34948.54+28.21</f>
        <v>34976.75</v>
      </c>
      <c r="D413" s="11">
        <f>'Sch 6'!G49</f>
        <v>0</v>
      </c>
      <c r="E413" s="11">
        <f>C413+D413</f>
        <v>34976.75</v>
      </c>
      <c r="F413" s="48">
        <f>C413-G413</f>
        <v>0</v>
      </c>
      <c r="G413" s="48">
        <f>E413*'Allocation Factors'!$G$34</f>
        <v>34976.75</v>
      </c>
      <c r="H413" s="11">
        <f>'Sch 5'!C399</f>
        <v>0</v>
      </c>
      <c r="I413" s="11">
        <f>G413+H413</f>
        <v>34976.75</v>
      </c>
      <c r="J413" s="11"/>
      <c r="K413" s="16" t="s">
        <v>945</v>
      </c>
      <c r="L413" s="43"/>
    </row>
    <row r="414" spans="1:13" ht="14.1" customHeight="1">
      <c r="A414" s="247">
        <f t="shared" si="124"/>
        <v>398</v>
      </c>
      <c r="B414" s="27" t="s">
        <v>270</v>
      </c>
      <c r="C414" s="11">
        <v>0</v>
      </c>
      <c r="D414" s="11">
        <v>0</v>
      </c>
      <c r="E414" s="11">
        <f>C414+D414</f>
        <v>0</v>
      </c>
      <c r="F414" s="48">
        <f>C414-G414</f>
        <v>0</v>
      </c>
      <c r="G414" s="48">
        <f>E414*'Allocation Factors'!$G$34</f>
        <v>0</v>
      </c>
      <c r="H414" s="11">
        <f>'Sch 5'!C400</f>
        <v>0</v>
      </c>
      <c r="I414" s="11">
        <f>G414+H414</f>
        <v>0</v>
      </c>
      <c r="J414" s="11"/>
      <c r="K414" s="16" t="s">
        <v>945</v>
      </c>
      <c r="L414" s="43"/>
    </row>
    <row r="415" spans="1:13" ht="14.1" customHeight="1">
      <c r="A415" s="247">
        <f t="shared" si="124"/>
        <v>399</v>
      </c>
      <c r="B415" s="92" t="s">
        <v>271</v>
      </c>
      <c r="C415" s="48">
        <v>0</v>
      </c>
      <c r="D415" s="48">
        <v>0</v>
      </c>
      <c r="E415" s="11">
        <f>C415+D415</f>
        <v>0</v>
      </c>
      <c r="F415" s="48">
        <f>C415-G415</f>
        <v>0</v>
      </c>
      <c r="G415" s="48">
        <f>E415*'Allocation Factors'!$G$34</f>
        <v>0</v>
      </c>
      <c r="H415" s="11">
        <f>'Sch 5'!C401</f>
        <v>0</v>
      </c>
      <c r="I415" s="11">
        <f>G415+H415</f>
        <v>0</v>
      </c>
      <c r="J415" s="11"/>
      <c r="K415" s="16" t="s">
        <v>945</v>
      </c>
      <c r="L415" s="43"/>
    </row>
    <row r="416" spans="1:13" ht="14.1" customHeight="1">
      <c r="A416" s="247">
        <f t="shared" si="124"/>
        <v>400</v>
      </c>
      <c r="B416" s="25" t="s">
        <v>556</v>
      </c>
      <c r="C416" s="189">
        <f t="shared" ref="C416:H416" si="136">SUM(C411:C415)</f>
        <v>34976.75</v>
      </c>
      <c r="D416" s="189">
        <f t="shared" si="136"/>
        <v>0</v>
      </c>
      <c r="E416" s="189">
        <f t="shared" si="136"/>
        <v>34976.75</v>
      </c>
      <c r="F416" s="189">
        <f t="shared" si="136"/>
        <v>0</v>
      </c>
      <c r="G416" s="189">
        <f t="shared" si="136"/>
        <v>34976.75</v>
      </c>
      <c r="H416" s="189">
        <f t="shared" si="136"/>
        <v>0</v>
      </c>
      <c r="I416" s="189">
        <f>SUM(I412:I415)</f>
        <v>34976.75</v>
      </c>
      <c r="J416" s="189"/>
      <c r="K416" s="322"/>
      <c r="L416" s="43"/>
    </row>
    <row r="417" spans="1:13" ht="14.1" customHeight="1">
      <c r="A417" s="247">
        <f t="shared" si="124"/>
        <v>401</v>
      </c>
      <c r="B417" s="304"/>
      <c r="C417" s="17"/>
      <c r="D417" s="17"/>
      <c r="E417" s="17"/>
      <c r="F417" s="17"/>
      <c r="G417" s="17"/>
      <c r="H417" s="17"/>
      <c r="I417" s="48"/>
      <c r="J417" s="48"/>
      <c r="K417" s="16"/>
      <c r="L417" s="43"/>
    </row>
    <row r="418" spans="1:13" ht="14.1" customHeight="1">
      <c r="A418" s="247">
        <f t="shared" si="124"/>
        <v>402</v>
      </c>
      <c r="B418" s="14" t="s">
        <v>272</v>
      </c>
      <c r="C418" s="48"/>
      <c r="D418" s="48"/>
      <c r="E418" s="48"/>
      <c r="F418" s="48"/>
      <c r="G418" s="48"/>
      <c r="H418" s="48"/>
      <c r="I418" s="11"/>
      <c r="J418" s="11"/>
      <c r="K418" s="16"/>
      <c r="L418" s="43"/>
    </row>
    <row r="419" spans="1:13" ht="14.1" customHeight="1">
      <c r="A419" s="247">
        <f t="shared" si="124"/>
        <v>403</v>
      </c>
      <c r="B419" s="27" t="s">
        <v>273</v>
      </c>
      <c r="C419" s="11">
        <v>9314932.5700000003</v>
      </c>
      <c r="D419" s="11">
        <f>C419*-1</f>
        <v>-9314932.5700000003</v>
      </c>
      <c r="E419" s="11">
        <f>C419+D419</f>
        <v>0</v>
      </c>
      <c r="F419" s="48">
        <f>E419-G419</f>
        <v>0</v>
      </c>
      <c r="G419" s="48">
        <v>0</v>
      </c>
      <c r="H419" s="11">
        <f>'Sch 5'!C405</f>
        <v>-2021864</v>
      </c>
      <c r="I419" s="11">
        <f t="shared" ref="I419:I432" si="137">G419+H419</f>
        <v>-2021864</v>
      </c>
      <c r="J419" s="11"/>
      <c r="K419" s="16"/>
      <c r="L419" s="43"/>
    </row>
    <row r="420" spans="1:13" ht="14.1" customHeight="1">
      <c r="A420" s="247">
        <f t="shared" si="124"/>
        <v>404</v>
      </c>
      <c r="B420" s="27" t="s">
        <v>274</v>
      </c>
      <c r="C420" s="11">
        <f>614973.75+13.01</f>
        <v>614986.76</v>
      </c>
      <c r="D420" s="11">
        <f t="shared" ref="D420:D427" si="138">C420*-1</f>
        <v>-614986.76</v>
      </c>
      <c r="E420" s="11">
        <f t="shared" ref="E420:E432" si="139">C420+D420</f>
        <v>0</v>
      </c>
      <c r="F420" s="48">
        <f t="shared" ref="F420:F432" si="140">E420-G420</f>
        <v>0</v>
      </c>
      <c r="G420" s="48">
        <v>0</v>
      </c>
      <c r="H420" s="11">
        <f>'Sch 5'!C406</f>
        <v>-128553</v>
      </c>
      <c r="I420" s="11">
        <f t="shared" si="137"/>
        <v>-128553</v>
      </c>
      <c r="J420" s="11"/>
      <c r="K420" s="16"/>
      <c r="L420" s="43"/>
    </row>
    <row r="421" spans="1:13" ht="14.1" customHeight="1">
      <c r="A421" s="247">
        <f t="shared" si="124"/>
        <v>405</v>
      </c>
      <c r="B421" s="27" t="s">
        <v>275</v>
      </c>
      <c r="C421" s="11">
        <f>-638893.78-475249-6673.48</f>
        <v>-1120816.26</v>
      </c>
      <c r="D421" s="11">
        <f t="shared" si="138"/>
        <v>1120816.26</v>
      </c>
      <c r="E421" s="11">
        <f t="shared" si="139"/>
        <v>0</v>
      </c>
      <c r="F421" s="48">
        <f t="shared" si="140"/>
        <v>0</v>
      </c>
      <c r="G421" s="48">
        <v>0</v>
      </c>
      <c r="H421" s="11">
        <f>'Sch 5'!C407</f>
        <v>0</v>
      </c>
      <c r="I421" s="11">
        <f t="shared" si="137"/>
        <v>0</v>
      </c>
      <c r="J421" s="11"/>
      <c r="K421" s="16"/>
      <c r="L421" s="43"/>
    </row>
    <row r="422" spans="1:13" s="26" customFormat="1" ht="14.1" customHeight="1">
      <c r="A422" s="247">
        <f t="shared" si="124"/>
        <v>406</v>
      </c>
      <c r="B422" s="27" t="s">
        <v>276</v>
      </c>
      <c r="C422" s="11">
        <f>1588693.07-0.03+299317.09</f>
        <v>1888010.1300000001</v>
      </c>
      <c r="D422" s="11">
        <f t="shared" si="138"/>
        <v>-1888010.1300000001</v>
      </c>
      <c r="E422" s="11">
        <f t="shared" si="139"/>
        <v>0</v>
      </c>
      <c r="F422" s="48">
        <f t="shared" si="140"/>
        <v>0</v>
      </c>
      <c r="G422" s="48">
        <v>0</v>
      </c>
      <c r="H422" s="11">
        <f>'Sch 5'!C408</f>
        <v>-703612</v>
      </c>
      <c r="I422" s="11">
        <f t="shared" si="137"/>
        <v>-703612</v>
      </c>
      <c r="J422" s="11"/>
      <c r="K422" s="30"/>
      <c r="L422" s="43"/>
      <c r="M422" s="203"/>
    </row>
    <row r="423" spans="1:13" s="26" customFormat="1" ht="14.1" customHeight="1">
      <c r="A423" s="247">
        <f t="shared" si="124"/>
        <v>407</v>
      </c>
      <c r="B423" s="27" t="s">
        <v>277</v>
      </c>
      <c r="C423" s="11">
        <v>513893.97</v>
      </c>
      <c r="D423" s="11">
        <f t="shared" si="138"/>
        <v>-513893.97</v>
      </c>
      <c r="E423" s="11">
        <f t="shared" si="139"/>
        <v>0</v>
      </c>
      <c r="F423" s="48">
        <f t="shared" si="140"/>
        <v>0</v>
      </c>
      <c r="G423" s="48">
        <v>0</v>
      </c>
      <c r="H423" s="11">
        <f>'Sch 5'!C409</f>
        <v>-101381</v>
      </c>
      <c r="I423" s="11">
        <f t="shared" si="137"/>
        <v>-101381</v>
      </c>
      <c r="J423" s="11"/>
      <c r="K423" s="30"/>
      <c r="L423" s="43"/>
    </row>
    <row r="424" spans="1:13" s="26" customFormat="1" ht="14.1" customHeight="1">
      <c r="A424" s="247">
        <f t="shared" si="124"/>
        <v>408</v>
      </c>
      <c r="B424" s="27" t="s">
        <v>278</v>
      </c>
      <c r="C424" s="11">
        <f>1187048.08+3685.89+11073.05+4464.22-84940.15+88147.9-237480.79</f>
        <v>971998.2</v>
      </c>
      <c r="D424" s="11">
        <f t="shared" si="138"/>
        <v>-971998.2</v>
      </c>
      <c r="E424" s="11">
        <f t="shared" si="139"/>
        <v>0</v>
      </c>
      <c r="F424" s="48">
        <f t="shared" si="140"/>
        <v>0</v>
      </c>
      <c r="G424" s="48">
        <v>0</v>
      </c>
      <c r="H424" s="11">
        <f>'Sch 5'!C410</f>
        <v>-273762</v>
      </c>
      <c r="I424" s="11">
        <f t="shared" si="137"/>
        <v>-273762</v>
      </c>
      <c r="J424" s="11"/>
      <c r="K424" s="30"/>
      <c r="L424" s="43"/>
    </row>
    <row r="425" spans="1:13" s="26" customFormat="1" ht="14.1" customHeight="1">
      <c r="A425" s="247">
        <f t="shared" si="124"/>
        <v>409</v>
      </c>
      <c r="B425" s="27" t="s">
        <v>279</v>
      </c>
      <c r="C425" s="11">
        <f>14499.88+22311.11+34456.02+4817152.54+138899.78+4766153.98+1.51+14515.62+198317.45+2502.58+8276.86+1438.37+10000-3119725.87+1993864.18+20151.47+1153.02+433979.36-1632135.59-1861864.11-695871.21+487625.73-1560497.36+33384.49+216620.16</f>
        <v>4345209.9699999979</v>
      </c>
      <c r="D425" s="11">
        <f t="shared" si="138"/>
        <v>-4345209.9699999979</v>
      </c>
      <c r="E425" s="11">
        <f t="shared" si="139"/>
        <v>0</v>
      </c>
      <c r="F425" s="48">
        <f t="shared" si="140"/>
        <v>0</v>
      </c>
      <c r="G425" s="48">
        <v>0</v>
      </c>
      <c r="H425" s="11">
        <f>'Sch 5'!C411</f>
        <v>-1994836</v>
      </c>
      <c r="I425" s="11">
        <f t="shared" si="137"/>
        <v>-1994836</v>
      </c>
      <c r="J425" s="11"/>
      <c r="K425" s="30"/>
      <c r="L425" s="43"/>
    </row>
    <row r="426" spans="1:13" ht="14.1" customHeight="1">
      <c r="A426" s="247">
        <f t="shared" si="124"/>
        <v>410</v>
      </c>
      <c r="B426" s="203" t="s">
        <v>280</v>
      </c>
      <c r="C426" s="11">
        <v>585123.07999999996</v>
      </c>
      <c r="D426" s="11">
        <f t="shared" si="138"/>
        <v>-585123.07999999996</v>
      </c>
      <c r="E426" s="11">
        <f t="shared" si="139"/>
        <v>0</v>
      </c>
      <c r="F426" s="48">
        <f t="shared" si="140"/>
        <v>0</v>
      </c>
      <c r="G426" s="48">
        <v>0</v>
      </c>
      <c r="H426" s="11">
        <f>'Sch 5'!C412</f>
        <v>-218170</v>
      </c>
      <c r="I426" s="11">
        <f t="shared" si="137"/>
        <v>-218170</v>
      </c>
      <c r="J426" s="11"/>
      <c r="K426" s="30"/>
      <c r="L426" s="43"/>
    </row>
    <row r="427" spans="1:13" ht="13.5" customHeight="1">
      <c r="A427" s="247">
        <f t="shared" si="124"/>
        <v>411</v>
      </c>
      <c r="B427" s="27" t="s">
        <v>281</v>
      </c>
      <c r="C427" s="11">
        <v>141384.24</v>
      </c>
      <c r="D427" s="11">
        <f t="shared" si="138"/>
        <v>-141384.24</v>
      </c>
      <c r="E427" s="11">
        <f t="shared" si="139"/>
        <v>0</v>
      </c>
      <c r="F427" s="48">
        <f t="shared" si="140"/>
        <v>0</v>
      </c>
      <c r="G427" s="48">
        <v>0</v>
      </c>
      <c r="H427" s="11">
        <f>'Sch 5'!C413</f>
        <v>0</v>
      </c>
      <c r="I427" s="11">
        <f t="shared" si="137"/>
        <v>0</v>
      </c>
      <c r="J427" s="11"/>
      <c r="K427" s="30"/>
      <c r="L427" s="43"/>
    </row>
    <row r="428" spans="1:13" ht="14.1" customHeight="1">
      <c r="A428" s="247">
        <f t="shared" si="124"/>
        <v>412</v>
      </c>
      <c r="B428" s="27" t="s">
        <v>282</v>
      </c>
      <c r="C428" s="11">
        <f>86198.46+0.02</f>
        <v>86198.48000000001</v>
      </c>
      <c r="D428" s="11">
        <v>0</v>
      </c>
      <c r="E428" s="11">
        <f t="shared" si="139"/>
        <v>86198.48000000001</v>
      </c>
      <c r="F428" s="48">
        <f t="shared" si="140"/>
        <v>0.48000000001047738</v>
      </c>
      <c r="G428" s="11">
        <f>ROUND(E428*'Allocation Factors'!$G$34,0)</f>
        <v>86198</v>
      </c>
      <c r="H428" s="11">
        <f>'Sch 5'!C414</f>
        <v>65278</v>
      </c>
      <c r="I428" s="11">
        <f t="shared" si="137"/>
        <v>151476</v>
      </c>
      <c r="J428" s="11"/>
      <c r="K428" s="16" t="s">
        <v>367</v>
      </c>
      <c r="L428" s="43"/>
    </row>
    <row r="429" spans="1:13" ht="14.1" customHeight="1">
      <c r="A429" s="247">
        <f t="shared" si="124"/>
        <v>413</v>
      </c>
      <c r="B429" s="27" t="s">
        <v>328</v>
      </c>
      <c r="C429" s="11">
        <f>182260</f>
        <v>182260</v>
      </c>
      <c r="D429" s="11">
        <v>0</v>
      </c>
      <c r="E429" s="11">
        <f t="shared" si="139"/>
        <v>182260</v>
      </c>
      <c r="F429" s="48">
        <f t="shared" si="140"/>
        <v>0</v>
      </c>
      <c r="G429" s="11">
        <f>ROUND(E429*'Allocation Factors'!$G$34,0)</f>
        <v>182260</v>
      </c>
      <c r="H429" s="11">
        <f>'Sch 5'!C415</f>
        <v>202556</v>
      </c>
      <c r="I429" s="11">
        <f t="shared" si="137"/>
        <v>384816</v>
      </c>
      <c r="J429" s="11"/>
      <c r="K429" s="16" t="s">
        <v>367</v>
      </c>
      <c r="L429" s="43"/>
    </row>
    <row r="430" spans="1:13" ht="14.1" customHeight="1">
      <c r="A430" s="247">
        <f t="shared" si="124"/>
        <v>414</v>
      </c>
      <c r="B430" s="27" t="s">
        <v>283</v>
      </c>
      <c r="C430" s="11">
        <f>5596.87+11163.15+4457.28+2599.98+2856.99+38038.65+22145.91</f>
        <v>86858.83</v>
      </c>
      <c r="D430" s="11">
        <f>C430*-1</f>
        <v>-86858.83</v>
      </c>
      <c r="E430" s="11">
        <f t="shared" si="139"/>
        <v>0</v>
      </c>
      <c r="F430" s="48">
        <f t="shared" si="140"/>
        <v>0</v>
      </c>
      <c r="G430" s="48">
        <v>0</v>
      </c>
      <c r="H430" s="11">
        <f>'Sch 5'!C416</f>
        <v>-38849</v>
      </c>
      <c r="I430" s="11">
        <f t="shared" si="137"/>
        <v>-38849</v>
      </c>
      <c r="J430" s="11"/>
      <c r="K430" s="30"/>
      <c r="L430" s="43"/>
    </row>
    <row r="431" spans="1:13" ht="14.1" customHeight="1">
      <c r="A431" s="247">
        <f t="shared" si="124"/>
        <v>415</v>
      </c>
      <c r="B431" s="27" t="s">
        <v>284</v>
      </c>
      <c r="C431" s="11">
        <f>205136.14+26636.92+4678.99+12237.63+6.56+30.87+94938.4+70849.56</f>
        <v>414515.07</v>
      </c>
      <c r="D431" s="11">
        <f>C431*-1</f>
        <v>-414515.07</v>
      </c>
      <c r="E431" s="11">
        <f t="shared" si="139"/>
        <v>0</v>
      </c>
      <c r="F431" s="48">
        <f t="shared" si="140"/>
        <v>0</v>
      </c>
      <c r="G431" s="48">
        <v>0</v>
      </c>
      <c r="H431" s="11">
        <f>'Sch 5'!C417</f>
        <v>-23957</v>
      </c>
      <c r="I431" s="11">
        <f t="shared" si="137"/>
        <v>-23957</v>
      </c>
      <c r="J431" s="11"/>
      <c r="K431" s="30"/>
      <c r="L431" s="43"/>
    </row>
    <row r="432" spans="1:13" ht="14.1" customHeight="1">
      <c r="A432" s="247">
        <f t="shared" si="124"/>
        <v>416</v>
      </c>
      <c r="B432" s="92" t="s">
        <v>285</v>
      </c>
      <c r="C432" s="48">
        <f>105711.41+233428.63</f>
        <v>339140.04000000004</v>
      </c>
      <c r="D432" s="11">
        <f>C432*-1</f>
        <v>-339140.04000000004</v>
      </c>
      <c r="E432" s="11">
        <f t="shared" si="139"/>
        <v>0</v>
      </c>
      <c r="F432" s="48">
        <f t="shared" si="140"/>
        <v>0</v>
      </c>
      <c r="G432" s="48">
        <v>0</v>
      </c>
      <c r="H432" s="11">
        <f>'Sch 5'!C418</f>
        <v>-41928</v>
      </c>
      <c r="I432" s="11">
        <f t="shared" si="137"/>
        <v>-41928</v>
      </c>
      <c r="J432" s="11"/>
      <c r="K432" s="16"/>
      <c r="L432" s="43"/>
    </row>
    <row r="433" spans="1:16" ht="14.1" customHeight="1">
      <c r="A433" s="247">
        <f t="shared" si="124"/>
        <v>417</v>
      </c>
      <c r="B433" s="25" t="s">
        <v>557</v>
      </c>
      <c r="C433" s="189">
        <f t="shared" ref="C433:I433" si="141">SUM(C419:C432)</f>
        <v>18363695.079999994</v>
      </c>
      <c r="D433" s="189">
        <f t="shared" si="141"/>
        <v>-18095236.599999994</v>
      </c>
      <c r="E433" s="189">
        <f t="shared" si="141"/>
        <v>268458.48</v>
      </c>
      <c r="F433" s="189">
        <f t="shared" si="141"/>
        <v>0.48000000001047738</v>
      </c>
      <c r="G433" s="189">
        <f t="shared" si="141"/>
        <v>268458</v>
      </c>
      <c r="H433" s="189">
        <f t="shared" si="141"/>
        <v>-5279078</v>
      </c>
      <c r="I433" s="344">
        <f t="shared" si="141"/>
        <v>-5010620</v>
      </c>
      <c r="J433" s="344"/>
      <c r="K433" s="345"/>
      <c r="L433" s="43"/>
    </row>
    <row r="434" spans="1:16" ht="14.1" customHeight="1">
      <c r="A434" s="247">
        <f t="shared" si="124"/>
        <v>418</v>
      </c>
      <c r="B434" s="27"/>
      <c r="C434" s="17"/>
      <c r="D434" s="17"/>
      <c r="E434" s="17"/>
      <c r="F434" s="17"/>
      <c r="G434" s="17"/>
      <c r="H434" s="17"/>
      <c r="I434" s="48"/>
      <c r="J434" s="48"/>
      <c r="K434" s="16"/>
      <c r="L434" s="43"/>
    </row>
    <row r="435" spans="1:16" ht="14.1" customHeight="1">
      <c r="A435" s="247">
        <f t="shared" si="124"/>
        <v>419</v>
      </c>
      <c r="B435" s="304" t="s">
        <v>286</v>
      </c>
      <c r="C435" s="48">
        <f>1613099.23-C436</f>
        <v>1142570.7</v>
      </c>
      <c r="D435" s="48">
        <f>C435*-1</f>
        <v>-1142570.7</v>
      </c>
      <c r="E435" s="48">
        <f>C435+D435</f>
        <v>0</v>
      </c>
      <c r="F435" s="17">
        <f>E435-G435</f>
        <v>0</v>
      </c>
      <c r="G435" s="17">
        <v>0</v>
      </c>
      <c r="H435" s="11">
        <f>'Sch 5'!C421</f>
        <v>-31201</v>
      </c>
      <c r="I435" s="11">
        <f>G435+H435</f>
        <v>-31201</v>
      </c>
      <c r="J435" s="11"/>
      <c r="K435" s="16"/>
      <c r="L435" s="43"/>
    </row>
    <row r="436" spans="1:16" ht="14.1" customHeight="1">
      <c r="A436" s="247">
        <f t="shared" si="124"/>
        <v>420</v>
      </c>
      <c r="B436" s="93" t="s">
        <v>287</v>
      </c>
      <c r="C436" s="48">
        <v>470528.53</v>
      </c>
      <c r="D436" s="48">
        <f>C436*-1</f>
        <v>-470528.53</v>
      </c>
      <c r="E436" s="48">
        <f>C436+D436</f>
        <v>0</v>
      </c>
      <c r="F436" s="17">
        <f>E436-G436</f>
        <v>0</v>
      </c>
      <c r="G436" s="17">
        <v>0</v>
      </c>
      <c r="H436" s="11">
        <f>'Sch 5'!C422</f>
        <v>-112174</v>
      </c>
      <c r="I436" s="11">
        <f>G436+H436</f>
        <v>-112174</v>
      </c>
      <c r="J436" s="11"/>
      <c r="K436" s="16"/>
      <c r="L436" s="43"/>
    </row>
    <row r="437" spans="1:16" ht="14.1" customHeight="1">
      <c r="A437" s="247">
        <f t="shared" si="124"/>
        <v>421</v>
      </c>
      <c r="B437" s="25" t="s">
        <v>288</v>
      </c>
      <c r="C437" s="189">
        <f>C433+SUM(C435:C436)</f>
        <v>19976794.309999995</v>
      </c>
      <c r="D437" s="189">
        <f>D433+SUM(D435:D436)</f>
        <v>-19708335.829999994</v>
      </c>
      <c r="E437" s="189">
        <f>E433+SUM(E435:E436)</f>
        <v>268458.48</v>
      </c>
      <c r="F437" s="189">
        <f>F433+SUM(F435:F436)</f>
        <v>0.48000000001047738</v>
      </c>
      <c r="G437" s="189">
        <f>G433+SUM(G435:G436)</f>
        <v>268458</v>
      </c>
      <c r="H437" s="189">
        <f>H433+H435+H436</f>
        <v>-5422453</v>
      </c>
      <c r="I437" s="344">
        <f>I433+I435+I436</f>
        <v>-5153995</v>
      </c>
      <c r="J437" s="344"/>
      <c r="K437" s="345"/>
      <c r="L437" s="43"/>
    </row>
    <row r="438" spans="1:16" ht="14.1" customHeight="1">
      <c r="A438" s="247">
        <f t="shared" ref="A438:A503" si="142">+A437+1</f>
        <v>422</v>
      </c>
      <c r="B438" s="93"/>
      <c r="C438" s="326"/>
      <c r="D438" s="326"/>
      <c r="E438" s="326"/>
      <c r="F438" s="326"/>
      <c r="G438" s="94"/>
      <c r="H438" s="326"/>
      <c r="I438" s="100"/>
      <c r="J438" s="100"/>
      <c r="K438" s="310"/>
      <c r="L438" s="43"/>
    </row>
    <row r="439" spans="1:16" s="26" customFormat="1" ht="14.1" customHeight="1">
      <c r="A439" s="247">
        <f t="shared" si="142"/>
        <v>423</v>
      </c>
      <c r="B439" s="25" t="s">
        <v>558</v>
      </c>
      <c r="C439" s="346">
        <f t="shared" ref="C439:I439" si="143">C437+C416+C409+C402+C393+C365+C338</f>
        <v>582850672.69999993</v>
      </c>
      <c r="D439" s="346">
        <f t="shared" si="143"/>
        <v>-247630782.86999997</v>
      </c>
      <c r="E439" s="346">
        <f t="shared" si="143"/>
        <v>335219889.82999998</v>
      </c>
      <c r="F439" s="346">
        <f t="shared" si="143"/>
        <v>3455340.0800000192</v>
      </c>
      <c r="G439" s="346">
        <f t="shared" si="143"/>
        <v>331764549.75</v>
      </c>
      <c r="H439" s="346">
        <f t="shared" si="143"/>
        <v>16888397</v>
      </c>
      <c r="I439" s="346">
        <f t="shared" si="143"/>
        <v>348652946.75</v>
      </c>
      <c r="J439" s="229">
        <f>ROUND(G439/E439,3)</f>
        <v>0.99</v>
      </c>
      <c r="K439" s="347"/>
      <c r="L439" s="43"/>
      <c r="M439" s="203"/>
      <c r="N439" s="203"/>
      <c r="O439" s="203"/>
      <c r="P439" s="203"/>
    </row>
    <row r="440" spans="1:16" s="26" customFormat="1" ht="14.1" customHeight="1">
      <c r="A440" s="247">
        <f t="shared" si="142"/>
        <v>424</v>
      </c>
      <c r="B440" s="304"/>
      <c r="C440" s="340"/>
      <c r="D440" s="340"/>
      <c r="E440" s="340"/>
      <c r="F440" s="340"/>
      <c r="G440" s="348"/>
      <c r="H440" s="340"/>
      <c r="I440" s="349"/>
      <c r="J440" s="349"/>
      <c r="K440" s="347"/>
      <c r="L440" s="43"/>
      <c r="M440" s="203"/>
      <c r="N440" s="203"/>
      <c r="O440" s="203"/>
      <c r="P440" s="203"/>
    </row>
    <row r="441" spans="1:16" s="26" customFormat="1" ht="14.1" customHeight="1">
      <c r="A441" s="247">
        <f t="shared" si="142"/>
        <v>425</v>
      </c>
      <c r="B441" s="205" t="s">
        <v>990</v>
      </c>
      <c r="C441" s="340">
        <f t="shared" ref="C441:I441" si="144">(C439-(C309+C332+C333))-(C343+C347+C348+C349+C362)</f>
        <v>131743614.0299999</v>
      </c>
      <c r="D441" s="340">
        <f t="shared" si="144"/>
        <v>-4032138.5299999863</v>
      </c>
      <c r="E441" s="340">
        <f t="shared" si="144"/>
        <v>127711475.49999997</v>
      </c>
      <c r="F441" s="340">
        <f t="shared" si="144"/>
        <v>1213437.7500000088</v>
      </c>
      <c r="G441" s="340">
        <f t="shared" si="144"/>
        <v>126498037.75</v>
      </c>
      <c r="H441" s="340">
        <f t="shared" si="144"/>
        <v>-28236519</v>
      </c>
      <c r="I441" s="340">
        <f t="shared" si="144"/>
        <v>98261518.75</v>
      </c>
      <c r="J441" s="229">
        <f>ROUND(G441/E441,3)</f>
        <v>0.99</v>
      </c>
      <c r="L441" s="43"/>
      <c r="M441" s="203"/>
      <c r="N441" s="203"/>
      <c r="O441" s="203"/>
      <c r="P441" s="203"/>
    </row>
    <row r="442" spans="1:16" s="26" customFormat="1" ht="14.1" customHeight="1">
      <c r="A442" s="247">
        <f t="shared" si="142"/>
        <v>426</v>
      </c>
      <c r="B442" s="304"/>
      <c r="C442" s="340"/>
      <c r="D442" s="340"/>
      <c r="E442" s="340"/>
      <c r="F442" s="340"/>
      <c r="G442" s="348"/>
      <c r="H442" s="340"/>
      <c r="I442" s="349"/>
      <c r="J442" s="349"/>
      <c r="K442" s="347"/>
      <c r="L442" s="43"/>
      <c r="M442" s="203"/>
      <c r="N442" s="203"/>
      <c r="O442" s="203"/>
      <c r="P442" s="203"/>
    </row>
    <row r="443" spans="1:16" s="26" customFormat="1" ht="14.1" customHeight="1">
      <c r="A443" s="247">
        <f t="shared" si="142"/>
        <v>427</v>
      </c>
      <c r="B443" s="25" t="s">
        <v>385</v>
      </c>
      <c r="C443" s="340"/>
      <c r="D443" s="340"/>
      <c r="E443" s="340"/>
      <c r="F443" s="340"/>
      <c r="G443" s="348"/>
      <c r="H443" s="340"/>
      <c r="I443" s="350"/>
      <c r="J443" s="350"/>
      <c r="K443" s="347"/>
      <c r="L443" s="43"/>
      <c r="M443" s="203"/>
      <c r="N443" s="203"/>
      <c r="O443" s="203"/>
      <c r="P443" s="203"/>
    </row>
    <row r="444" spans="1:16" s="26" customFormat="1" ht="14.1" customHeight="1">
      <c r="A444" s="247">
        <f t="shared" si="142"/>
        <v>428</v>
      </c>
      <c r="B444" s="27" t="s">
        <v>417</v>
      </c>
      <c r="C444" s="340">
        <f>C329+C336</f>
        <v>486506910.76999998</v>
      </c>
      <c r="D444" s="340">
        <f>D329+D336</f>
        <v>-211396922.31999999</v>
      </c>
      <c r="E444" s="340">
        <f>E329+E336</f>
        <v>275109988.44999999</v>
      </c>
      <c r="F444" s="340">
        <f>F329+F336</f>
        <v>4055549.4500000053</v>
      </c>
      <c r="G444" s="340">
        <f>G329+G336</f>
        <v>271054439</v>
      </c>
      <c r="H444" s="340">
        <f>'Sch 5'!C428</f>
        <v>14467214</v>
      </c>
      <c r="I444" s="350">
        <f>G444+H444</f>
        <v>285521653</v>
      </c>
      <c r="J444" s="350"/>
      <c r="K444" s="347"/>
      <c r="L444" s="43"/>
      <c r="M444" s="203"/>
      <c r="N444" s="203"/>
      <c r="O444" s="203"/>
      <c r="P444" s="203"/>
    </row>
    <row r="445" spans="1:16" s="26" customFormat="1" ht="14.1" customHeight="1">
      <c r="A445" s="247">
        <f t="shared" si="142"/>
        <v>429</v>
      </c>
      <c r="B445" s="27" t="s">
        <v>416</v>
      </c>
      <c r="C445" s="340">
        <f>C353+C363</f>
        <v>21406485.489999998</v>
      </c>
      <c r="D445" s="340">
        <f>D353+D363</f>
        <v>-20452369.719999995</v>
      </c>
      <c r="E445" s="340">
        <f>E353+E363</f>
        <v>954115.77000001445</v>
      </c>
      <c r="F445" s="340">
        <f>F353+F363</f>
        <v>-649858.22999998822</v>
      </c>
      <c r="G445" s="340">
        <f>G353+G363</f>
        <v>1603974</v>
      </c>
      <c r="H445" s="11">
        <f>'Sch 5'!C429</f>
        <v>0</v>
      </c>
      <c r="I445" s="350">
        <f>G445+H445</f>
        <v>1603974</v>
      </c>
      <c r="J445" s="350"/>
      <c r="K445" s="347"/>
      <c r="L445" s="43"/>
      <c r="M445" s="203"/>
      <c r="N445" s="203"/>
      <c r="O445" s="203"/>
      <c r="P445" s="203"/>
    </row>
    <row r="446" spans="1:16" s="26" customFormat="1" ht="14.1" customHeight="1">
      <c r="A446" s="247">
        <f t="shared" si="142"/>
        <v>430</v>
      </c>
      <c r="B446" s="27" t="s">
        <v>254</v>
      </c>
      <c r="C446" s="340">
        <f>C393</f>
        <v>43790221.989999995</v>
      </c>
      <c r="D446" s="340">
        <f>D393</f>
        <v>5745939</v>
      </c>
      <c r="E446" s="340">
        <f>E393</f>
        <v>49536160.989999995</v>
      </c>
      <c r="F446" s="340">
        <f>F393</f>
        <v>49536.990000001548</v>
      </c>
      <c r="G446" s="340">
        <f>G393</f>
        <v>49486624</v>
      </c>
      <c r="H446" s="340">
        <f>'Sch 5'!C430</f>
        <v>7841214</v>
      </c>
      <c r="I446" s="350">
        <f>G446+H446</f>
        <v>57327838</v>
      </c>
      <c r="J446" s="350"/>
      <c r="K446" s="347"/>
      <c r="L446" s="43"/>
      <c r="M446" s="203"/>
      <c r="N446" s="203"/>
      <c r="O446" s="203"/>
      <c r="P446" s="203"/>
    </row>
    <row r="447" spans="1:16" s="26" customFormat="1" ht="14.1" customHeight="1">
      <c r="A447" s="247">
        <f t="shared" si="142"/>
        <v>431</v>
      </c>
      <c r="B447" s="27" t="s">
        <v>392</v>
      </c>
      <c r="C447" s="340">
        <f>C402+C409+C416</f>
        <v>11170260.140000001</v>
      </c>
      <c r="D447" s="340">
        <f>D402+D409+D416</f>
        <v>-1819094</v>
      </c>
      <c r="E447" s="340">
        <f>E402+E409+E416</f>
        <v>9351166.1400000006</v>
      </c>
      <c r="F447" s="340">
        <f>F402+F409+F416</f>
        <v>111.39000000060332</v>
      </c>
      <c r="G447" s="340">
        <f>G402+G409+G416</f>
        <v>9351054.75</v>
      </c>
      <c r="H447" s="340">
        <f>'Sch 5'!C431</f>
        <v>0</v>
      </c>
      <c r="I447" s="350">
        <f>G447+H447</f>
        <v>9351054.75</v>
      </c>
      <c r="J447" s="350"/>
      <c r="K447" s="347"/>
      <c r="L447" s="43"/>
      <c r="M447" s="203"/>
      <c r="N447" s="203"/>
      <c r="O447" s="203"/>
      <c r="P447" s="203"/>
    </row>
    <row r="448" spans="1:16" s="26" customFormat="1" ht="14.1" customHeight="1">
      <c r="A448" s="247">
        <f t="shared" si="142"/>
        <v>432</v>
      </c>
      <c r="B448" s="92" t="s">
        <v>418</v>
      </c>
      <c r="C448" s="351">
        <f>C437</f>
        <v>19976794.309999995</v>
      </c>
      <c r="D448" s="351">
        <f>D437</f>
        <v>-19708335.829999994</v>
      </c>
      <c r="E448" s="351">
        <f>E437</f>
        <v>268458.48</v>
      </c>
      <c r="F448" s="351">
        <f>F437</f>
        <v>0.48000000001047738</v>
      </c>
      <c r="G448" s="351">
        <f>G437</f>
        <v>268458</v>
      </c>
      <c r="H448" s="340">
        <f>'Sch 5'!C432</f>
        <v>-5507317</v>
      </c>
      <c r="I448" s="350">
        <f>G448+H448</f>
        <v>-5238859</v>
      </c>
      <c r="J448" s="352"/>
      <c r="K448" s="353"/>
      <c r="L448" s="43"/>
      <c r="M448" s="203"/>
      <c r="N448" s="203"/>
      <c r="O448" s="203"/>
      <c r="P448" s="203"/>
    </row>
    <row r="449" spans="1:16" s="26" customFormat="1" ht="14.1" customHeight="1">
      <c r="A449" s="247">
        <f t="shared" si="142"/>
        <v>433</v>
      </c>
      <c r="B449" s="98" t="s">
        <v>559</v>
      </c>
      <c r="C449" s="354">
        <f t="shared" ref="C449:I449" si="145">SUM(C444:C448)</f>
        <v>582850672.69999993</v>
      </c>
      <c r="D449" s="355">
        <f t="shared" si="145"/>
        <v>-247630782.86999997</v>
      </c>
      <c r="E449" s="354">
        <f t="shared" si="145"/>
        <v>335219889.83000004</v>
      </c>
      <c r="F449" s="355">
        <f t="shared" si="145"/>
        <v>3455340.0800000192</v>
      </c>
      <c r="G449" s="354">
        <f t="shared" si="145"/>
        <v>331764549.75</v>
      </c>
      <c r="H449" s="354">
        <f t="shared" si="145"/>
        <v>16801111</v>
      </c>
      <c r="I449" s="354">
        <f t="shared" si="145"/>
        <v>348565660.75</v>
      </c>
      <c r="J449" s="356"/>
      <c r="K449" s="357"/>
      <c r="L449" s="43"/>
      <c r="M449" s="203"/>
      <c r="N449" s="203"/>
      <c r="O449" s="203"/>
      <c r="P449" s="203"/>
    </row>
    <row r="450" spans="1:16" s="26" customFormat="1" ht="14.1" customHeight="1" thickBot="1">
      <c r="A450" s="247">
        <f t="shared" si="142"/>
        <v>434</v>
      </c>
      <c r="B450" s="95" t="s">
        <v>560</v>
      </c>
      <c r="C450" s="358">
        <f t="shared" ref="C450:I450" si="146">C449*0.125</f>
        <v>72856334.087499991</v>
      </c>
      <c r="D450" s="311">
        <f t="shared" si="146"/>
        <v>-30953847.858749997</v>
      </c>
      <c r="E450" s="358">
        <f t="shared" si="146"/>
        <v>41902486.228750005</v>
      </c>
      <c r="F450" s="311">
        <f t="shared" si="146"/>
        <v>431917.5100000024</v>
      </c>
      <c r="G450" s="358">
        <f t="shared" si="146"/>
        <v>41470568.71875</v>
      </c>
      <c r="H450" s="358">
        <f t="shared" si="146"/>
        <v>2100138.875</v>
      </c>
      <c r="I450" s="358">
        <f t="shared" si="146"/>
        <v>43570707.59375</v>
      </c>
      <c r="J450" s="359"/>
      <c r="K450" s="360"/>
      <c r="L450" s="43"/>
      <c r="M450" s="203"/>
      <c r="N450" s="203"/>
      <c r="O450" s="203"/>
      <c r="P450" s="203"/>
    </row>
    <row r="451" spans="1:16" s="26" customFormat="1" ht="14.1" customHeight="1" thickTop="1">
      <c r="A451" s="247">
        <f t="shared" si="142"/>
        <v>435</v>
      </c>
      <c r="B451" s="304"/>
      <c r="C451" s="340"/>
      <c r="D451" s="340"/>
      <c r="E451" s="340"/>
      <c r="F451" s="340"/>
      <c r="G451" s="348"/>
      <c r="H451" s="340"/>
      <c r="I451" s="350"/>
      <c r="J451" s="350"/>
      <c r="K451" s="347"/>
      <c r="L451" s="43"/>
      <c r="M451" s="203"/>
      <c r="N451" s="203"/>
      <c r="O451" s="203"/>
      <c r="P451" s="203"/>
    </row>
    <row r="452" spans="1:16" ht="14.1" customHeight="1">
      <c r="A452" s="247">
        <f t="shared" si="142"/>
        <v>436</v>
      </c>
      <c r="B452" s="14" t="s">
        <v>289</v>
      </c>
      <c r="C452" s="48"/>
      <c r="D452" s="48"/>
      <c r="E452" s="48"/>
      <c r="F452" s="48"/>
      <c r="G452" s="48"/>
      <c r="H452" s="48"/>
      <c r="I452" s="11"/>
      <c r="J452" s="11"/>
      <c r="K452" s="16"/>
      <c r="L452" s="43"/>
    </row>
    <row r="453" spans="1:16" ht="14.1" customHeight="1">
      <c r="A453" s="247">
        <f t="shared" si="142"/>
        <v>437</v>
      </c>
      <c r="B453" s="27" t="s">
        <v>139</v>
      </c>
      <c r="C453" s="11">
        <v>46726092.579999998</v>
      </c>
      <c r="D453" s="11">
        <v>0</v>
      </c>
      <c r="E453" s="11">
        <f>C453+D453</f>
        <v>46726092.579999998</v>
      </c>
      <c r="F453" s="48">
        <f>E453-G453</f>
        <v>654165.57999999821</v>
      </c>
      <c r="G453" s="48">
        <f>ROUND(E453*'Allocation Factors'!$G$10,0)</f>
        <v>46071927</v>
      </c>
      <c r="H453" s="11">
        <f>'Sch 5'!C437</f>
        <v>-13195526.846999999</v>
      </c>
      <c r="I453" s="11">
        <f>G453+H453</f>
        <v>32876400.153000001</v>
      </c>
      <c r="J453" s="11"/>
      <c r="K453" s="16" t="s">
        <v>346</v>
      </c>
      <c r="L453" s="43"/>
    </row>
    <row r="454" spans="1:16" ht="14.1" customHeight="1">
      <c r="A454" s="247">
        <f t="shared" si="142"/>
        <v>438</v>
      </c>
      <c r="B454" s="27" t="s">
        <v>291</v>
      </c>
      <c r="C454" s="11">
        <v>8790480.5999999996</v>
      </c>
      <c r="D454" s="11">
        <v>0</v>
      </c>
      <c r="E454" s="11">
        <f>C454+D454</f>
        <v>8790480.5999999996</v>
      </c>
      <c r="F454" s="48">
        <f>C454-G454</f>
        <v>123066.59999999963</v>
      </c>
      <c r="G454" s="48">
        <f>ROUND(E454*'Allocation Factors'!$G$16,0)</f>
        <v>8667414</v>
      </c>
      <c r="H454" s="11">
        <f>'Sch 5'!C438</f>
        <v>4807979.9840000002</v>
      </c>
      <c r="I454" s="11">
        <f>G454+H454</f>
        <v>13475393.984000001</v>
      </c>
      <c r="J454" s="11"/>
      <c r="K454" s="16" t="s">
        <v>351</v>
      </c>
      <c r="L454" s="43"/>
    </row>
    <row r="455" spans="1:16" ht="14.1" customHeight="1">
      <c r="A455" s="247">
        <f t="shared" si="142"/>
        <v>439</v>
      </c>
      <c r="B455" s="27" t="s">
        <v>292</v>
      </c>
      <c r="C455" s="11">
        <v>28151.52</v>
      </c>
      <c r="D455" s="11">
        <v>0</v>
      </c>
      <c r="E455" s="11">
        <f>C455+D455</f>
        <v>28151.52</v>
      </c>
      <c r="F455" s="48">
        <f>C455-G455</f>
        <v>394.52000000000044</v>
      </c>
      <c r="G455" s="48">
        <f>ROUND(E455*'Allocation Factors'!$G$10,0)</f>
        <v>27757</v>
      </c>
      <c r="H455" s="11">
        <f>'Sch 5'!C439</f>
        <v>-14811.263999999999</v>
      </c>
      <c r="I455" s="11">
        <f>G455+H455</f>
        <v>12945.736000000001</v>
      </c>
      <c r="J455" s="11"/>
      <c r="K455" s="16" t="s">
        <v>346</v>
      </c>
      <c r="L455" s="43"/>
    </row>
    <row r="456" spans="1:16" ht="14.1" customHeight="1">
      <c r="A456" s="247">
        <f t="shared" si="142"/>
        <v>440</v>
      </c>
      <c r="B456" s="27" t="s">
        <v>141</v>
      </c>
      <c r="C456" s="48">
        <v>24619546.420000002</v>
      </c>
      <c r="D456" s="48">
        <v>0</v>
      </c>
      <c r="E456" s="48">
        <f>C456+D456</f>
        <v>24619546.420000002</v>
      </c>
      <c r="F456" s="48">
        <f>C456-G456</f>
        <v>24619.420000001788</v>
      </c>
      <c r="G456" s="48">
        <f>ROUND(E456*'Allocation Factors'!$G$18,0)</f>
        <v>24594927</v>
      </c>
      <c r="H456" s="48">
        <f>'Sch 5'!C440</f>
        <v>7225674.5489999996</v>
      </c>
      <c r="I456" s="48">
        <f>G456+H456</f>
        <v>31820601.548999999</v>
      </c>
      <c r="J456" s="48"/>
      <c r="K456" s="16" t="s">
        <v>353</v>
      </c>
      <c r="L456" s="43"/>
    </row>
    <row r="457" spans="1:16" s="26" customFormat="1" ht="14.1" customHeight="1">
      <c r="A457" s="247">
        <f t="shared" si="142"/>
        <v>441</v>
      </c>
      <c r="B457" s="92" t="s">
        <v>142</v>
      </c>
      <c r="C457" s="100">
        <v>870270.2</v>
      </c>
      <c r="D457" s="100">
        <v>0</v>
      </c>
      <c r="E457" s="100">
        <f>C457+D457</f>
        <v>870270.2</v>
      </c>
      <c r="F457" s="326">
        <f>C457-G457</f>
        <v>9573.1999999999534</v>
      </c>
      <c r="G457" s="326">
        <f>ROUND(E457*'Allocation Factors'!$G$22,0)</f>
        <v>860697</v>
      </c>
      <c r="H457" s="100">
        <f>'Sch 5'!C441</f>
        <v>737606.09</v>
      </c>
      <c r="I457" s="100">
        <f>G457+H457</f>
        <v>1598303.0899999999</v>
      </c>
      <c r="J457" s="100"/>
      <c r="K457" s="310" t="s">
        <v>357</v>
      </c>
      <c r="L457" s="43"/>
      <c r="M457" s="203"/>
      <c r="N457" s="203"/>
      <c r="O457" s="203"/>
      <c r="P457" s="203"/>
    </row>
    <row r="458" spans="1:16" ht="14.1" customHeight="1">
      <c r="A458" s="247">
        <f t="shared" si="142"/>
        <v>442</v>
      </c>
      <c r="B458" s="25" t="s">
        <v>561</v>
      </c>
      <c r="C458" s="17">
        <f>SUM(C453:C457)</f>
        <v>81034541.320000008</v>
      </c>
      <c r="D458" s="17">
        <f t="shared" ref="D458:I458" si="147">SUM(D453:D457)</f>
        <v>0</v>
      </c>
      <c r="E458" s="17">
        <f t="shared" si="147"/>
        <v>81034541.320000008</v>
      </c>
      <c r="F458" s="17">
        <f t="shared" si="147"/>
        <v>811819.3199999996</v>
      </c>
      <c r="G458" s="17">
        <f t="shared" si="147"/>
        <v>80222722</v>
      </c>
      <c r="H458" s="17">
        <f t="shared" si="147"/>
        <v>-439077.48799999885</v>
      </c>
      <c r="I458" s="17">
        <f t="shared" si="147"/>
        <v>79783644.512000009</v>
      </c>
      <c r="J458" s="17"/>
      <c r="K458" s="18"/>
      <c r="L458" s="43"/>
    </row>
    <row r="459" spans="1:16" ht="14.1" customHeight="1">
      <c r="A459" s="247">
        <f t="shared" si="142"/>
        <v>443</v>
      </c>
      <c r="C459" s="48"/>
      <c r="D459" s="48"/>
      <c r="E459" s="48"/>
      <c r="F459" s="48"/>
      <c r="G459" s="48"/>
      <c r="H459" s="48"/>
      <c r="I459" s="48"/>
      <c r="J459" s="48"/>
      <c r="K459" s="16"/>
      <c r="L459" s="43"/>
    </row>
    <row r="460" spans="1:16" ht="14.1" customHeight="1">
      <c r="A460" s="247">
        <f t="shared" si="142"/>
        <v>444</v>
      </c>
      <c r="B460" s="14" t="s">
        <v>293</v>
      </c>
      <c r="C460" s="48"/>
      <c r="D460" s="48"/>
      <c r="E460" s="48"/>
      <c r="F460" s="48"/>
      <c r="G460" s="48"/>
      <c r="H460" s="48"/>
      <c r="I460" s="11"/>
      <c r="J460" s="11"/>
      <c r="K460" s="16"/>
      <c r="L460" s="43"/>
    </row>
    <row r="461" spans="1:16" ht="14.1" customHeight="1">
      <c r="A461" s="247">
        <f t="shared" si="142"/>
        <v>445</v>
      </c>
      <c r="B461" s="27" t="s">
        <v>294</v>
      </c>
      <c r="C461" s="11">
        <v>3058609.62</v>
      </c>
      <c r="D461" s="11">
        <v>0</v>
      </c>
      <c r="E461" s="11">
        <f>C461+D461</f>
        <v>3058609.62</v>
      </c>
      <c r="F461" s="48">
        <f>C461-G461</f>
        <v>33644.620000000112</v>
      </c>
      <c r="G461" s="17">
        <f>ROUND(E461*'Allocation Factors'!$G$22,0)</f>
        <v>3024965</v>
      </c>
      <c r="H461" s="11">
        <f>'Sch 5'!C445</f>
        <v>209475</v>
      </c>
      <c r="I461" s="11">
        <f>G461+H461</f>
        <v>3234440</v>
      </c>
      <c r="J461" s="11"/>
      <c r="K461" s="16" t="s">
        <v>357</v>
      </c>
      <c r="L461" s="43"/>
    </row>
    <row r="462" spans="1:16" ht="14.1" customHeight="1">
      <c r="A462" s="247">
        <f t="shared" si="142"/>
        <v>446</v>
      </c>
      <c r="B462" s="27" t="s">
        <v>152</v>
      </c>
      <c r="C462" s="48">
        <f>389101.75+365154.42</f>
        <v>754256.16999999993</v>
      </c>
      <c r="D462" s="48">
        <v>0</v>
      </c>
      <c r="E462" s="48">
        <f>C462+D462</f>
        <v>754256.16999999993</v>
      </c>
      <c r="F462" s="48">
        <f>C462-G462</f>
        <v>10559.169999999925</v>
      </c>
      <c r="G462" s="48">
        <f>ROUND(E462*'Allocation Factors'!$G$10,0)</f>
        <v>743697</v>
      </c>
      <c r="H462" s="11">
        <f>'Sch 5'!C446</f>
        <v>0</v>
      </c>
      <c r="I462" s="11">
        <f>G462+H462</f>
        <v>743697</v>
      </c>
      <c r="J462" s="11"/>
      <c r="K462" s="16" t="s">
        <v>346</v>
      </c>
      <c r="L462" s="43"/>
    </row>
    <row r="463" spans="1:16" ht="14.1" customHeight="1">
      <c r="A463" s="247">
        <f t="shared" si="142"/>
        <v>447</v>
      </c>
      <c r="B463" s="27" t="s">
        <v>140</v>
      </c>
      <c r="C463" s="48">
        <v>38616</v>
      </c>
      <c r="D463" s="48">
        <v>0</v>
      </c>
      <c r="E463" s="48">
        <f>C463+D463</f>
        <v>38616</v>
      </c>
      <c r="F463" s="48">
        <f>C463-G463</f>
        <v>541</v>
      </c>
      <c r="G463" s="48">
        <f>ROUND(E463*'Allocation Factors'!$G$16,0)</f>
        <v>38075</v>
      </c>
      <c r="H463" s="11">
        <f>'Sch 5'!C447</f>
        <v>0</v>
      </c>
      <c r="I463" s="11">
        <f>G463+H463</f>
        <v>38075</v>
      </c>
      <c r="J463" s="11"/>
      <c r="K463" s="16" t="s">
        <v>351</v>
      </c>
      <c r="L463" s="43"/>
    </row>
    <row r="464" spans="1:16" ht="14.1" customHeight="1">
      <c r="A464" s="247">
        <f t="shared" si="142"/>
        <v>448</v>
      </c>
      <c r="B464" s="27" t="s">
        <v>153</v>
      </c>
      <c r="C464" s="48">
        <v>0</v>
      </c>
      <c r="D464" s="48">
        <v>0</v>
      </c>
      <c r="E464" s="48">
        <f>C464+D464</f>
        <v>0</v>
      </c>
      <c r="F464" s="48">
        <f>C464-G464</f>
        <v>0</v>
      </c>
      <c r="G464" s="48">
        <f>ROUND(E464*'Allocation Factors'!$G$18,0)</f>
        <v>0</v>
      </c>
      <c r="H464" s="11">
        <f>'Sch 5'!C448</f>
        <v>0</v>
      </c>
      <c r="I464" s="11">
        <f>G464+H464</f>
        <v>0</v>
      </c>
      <c r="J464" s="11"/>
      <c r="K464" s="16" t="s">
        <v>353</v>
      </c>
      <c r="L464" s="43"/>
    </row>
    <row r="465" spans="1:13" ht="14.1" customHeight="1">
      <c r="A465" s="247">
        <f t="shared" si="142"/>
        <v>449</v>
      </c>
      <c r="B465" s="92" t="s">
        <v>154</v>
      </c>
      <c r="C465" s="100">
        <v>87765.72</v>
      </c>
      <c r="D465" s="100">
        <v>0</v>
      </c>
      <c r="E465" s="100">
        <f>C465+D465</f>
        <v>87765.72</v>
      </c>
      <c r="F465" s="100">
        <f>C465-G465</f>
        <v>965.72000000000116</v>
      </c>
      <c r="G465" s="326">
        <f>ROUND(E465*'Allocation Factors'!$G$22,0)</f>
        <v>86800</v>
      </c>
      <c r="H465" s="100">
        <f>'Sch 5'!C449</f>
        <v>0</v>
      </c>
      <c r="I465" s="100">
        <f>G465+H465</f>
        <v>86800</v>
      </c>
      <c r="J465" s="100"/>
      <c r="K465" s="310" t="s">
        <v>357</v>
      </c>
      <c r="L465" s="43"/>
    </row>
    <row r="466" spans="1:13" ht="14.1" customHeight="1">
      <c r="A466" s="247">
        <f t="shared" si="142"/>
        <v>450</v>
      </c>
      <c r="B466" s="25" t="s">
        <v>562</v>
      </c>
      <c r="C466" s="17">
        <f>SUM(C461:C465)</f>
        <v>3939247.5100000002</v>
      </c>
      <c r="D466" s="17">
        <f t="shared" ref="D466:I466" si="148">SUM(D461:D465)</f>
        <v>0</v>
      </c>
      <c r="E466" s="17">
        <f t="shared" si="148"/>
        <v>3939247.5100000002</v>
      </c>
      <c r="F466" s="17">
        <f t="shared" si="148"/>
        <v>45710.510000000038</v>
      </c>
      <c r="G466" s="17">
        <f t="shared" si="148"/>
        <v>3893537</v>
      </c>
      <c r="H466" s="17">
        <f t="shared" si="148"/>
        <v>209475</v>
      </c>
      <c r="I466" s="17">
        <f t="shared" si="148"/>
        <v>4103012</v>
      </c>
      <c r="J466" s="17"/>
      <c r="K466" s="18"/>
      <c r="L466" s="43"/>
    </row>
    <row r="467" spans="1:13" ht="14.1" customHeight="1" thickBot="1">
      <c r="A467" s="247">
        <f t="shared" si="142"/>
        <v>451</v>
      </c>
      <c r="B467" s="341"/>
      <c r="C467" s="17"/>
      <c r="D467" s="17"/>
      <c r="E467" s="17"/>
      <c r="F467" s="17"/>
      <c r="G467" s="305"/>
      <c r="H467" s="17"/>
      <c r="I467" s="48"/>
      <c r="J467" s="48"/>
      <c r="K467" s="16"/>
      <c r="L467" s="43"/>
    </row>
    <row r="468" spans="1:13" ht="14.1" customHeight="1" thickBot="1">
      <c r="A468" s="247">
        <f t="shared" si="142"/>
        <v>452</v>
      </c>
      <c r="B468" s="25" t="s">
        <v>295</v>
      </c>
      <c r="C468" s="17"/>
      <c r="D468" s="17"/>
      <c r="E468" s="437" t="s">
        <v>1050</v>
      </c>
      <c r="F468" s="438">
        <f>E469-G469</f>
        <v>4046.7199999999721</v>
      </c>
      <c r="G468" s="17"/>
      <c r="H468" s="17"/>
      <c r="I468" s="11"/>
      <c r="J468" s="11"/>
      <c r="K468" s="16"/>
      <c r="L468" s="43"/>
    </row>
    <row r="469" spans="1:13" ht="14.1" customHeight="1">
      <c r="A469" s="247">
        <f t="shared" si="142"/>
        <v>453</v>
      </c>
      <c r="B469" s="93" t="s">
        <v>329</v>
      </c>
      <c r="C469" s="48">
        <v>289086.71999999997</v>
      </c>
      <c r="D469" s="48">
        <v>0</v>
      </c>
      <c r="E469" s="48">
        <f>C469+D469</f>
        <v>289086.71999999997</v>
      </c>
      <c r="F469" s="435">
        <v>-103839.33</v>
      </c>
      <c r="G469" s="48">
        <f>ROUND(E469*'Allocation Factors'!$G$16,0)</f>
        <v>285040</v>
      </c>
      <c r="H469" s="11">
        <f>'Sch 5'!C453</f>
        <v>-149718</v>
      </c>
      <c r="I469" s="11">
        <f>G469+H469</f>
        <v>135322</v>
      </c>
      <c r="J469" s="11"/>
      <c r="K469" s="16" t="s">
        <v>351</v>
      </c>
      <c r="L469" s="43"/>
    </row>
    <row r="470" spans="1:13" ht="14.1" customHeight="1">
      <c r="A470" s="247">
        <f t="shared" si="142"/>
        <v>454</v>
      </c>
      <c r="B470" s="25" t="s">
        <v>563</v>
      </c>
      <c r="C470" s="83">
        <f t="shared" ref="C470:I470" si="149">SUM(C469:C469)</f>
        <v>289086.71999999997</v>
      </c>
      <c r="D470" s="83">
        <f t="shared" si="149"/>
        <v>0</v>
      </c>
      <c r="E470" s="83">
        <f t="shared" si="149"/>
        <v>289086.71999999997</v>
      </c>
      <c r="F470" s="83">
        <f t="shared" si="149"/>
        <v>-103839.33</v>
      </c>
      <c r="G470" s="83">
        <f t="shared" si="149"/>
        <v>285040</v>
      </c>
      <c r="H470" s="83">
        <f t="shared" si="149"/>
        <v>-149718</v>
      </c>
      <c r="I470" s="83">
        <f t="shared" si="149"/>
        <v>135322</v>
      </c>
      <c r="J470" s="83"/>
      <c r="K470" s="321"/>
      <c r="L470" s="43"/>
    </row>
    <row r="471" spans="1:13" ht="14.1" customHeight="1">
      <c r="A471" s="247">
        <f t="shared" si="142"/>
        <v>455</v>
      </c>
      <c r="B471" s="93"/>
      <c r="C471" s="100"/>
      <c r="D471" s="100"/>
      <c r="E471" s="100"/>
      <c r="F471" s="100"/>
      <c r="G471" s="94"/>
      <c r="H471" s="326"/>
      <c r="I471" s="100"/>
      <c r="J471" s="100"/>
      <c r="K471" s="310"/>
      <c r="L471" s="43"/>
    </row>
    <row r="472" spans="1:13" ht="14.1" customHeight="1" thickBot="1">
      <c r="A472" s="247">
        <f t="shared" si="142"/>
        <v>456</v>
      </c>
      <c r="B472" s="95" t="s">
        <v>564</v>
      </c>
      <c r="C472" s="313">
        <f t="shared" ref="C472:I472" si="150">C458+C466+C470</f>
        <v>85262875.550000012</v>
      </c>
      <c r="D472" s="313">
        <f t="shared" si="150"/>
        <v>0</v>
      </c>
      <c r="E472" s="313">
        <f t="shared" si="150"/>
        <v>85262875.550000012</v>
      </c>
      <c r="F472" s="313">
        <f t="shared" si="150"/>
        <v>753690.49999999965</v>
      </c>
      <c r="G472" s="313">
        <f t="shared" si="150"/>
        <v>84401299</v>
      </c>
      <c r="H472" s="313">
        <f t="shared" si="150"/>
        <v>-379320.48799999885</v>
      </c>
      <c r="I472" s="313">
        <f t="shared" si="150"/>
        <v>84021978.512000009</v>
      </c>
      <c r="J472" s="313"/>
      <c r="K472" s="333"/>
      <c r="L472" s="43"/>
    </row>
    <row r="473" spans="1:13" ht="14.1" customHeight="1" thickTop="1">
      <c r="A473" s="247">
        <f t="shared" si="142"/>
        <v>457</v>
      </c>
      <c r="B473" s="304"/>
      <c r="C473" s="17"/>
      <c r="D473" s="17"/>
      <c r="E473" s="17"/>
      <c r="F473" s="17"/>
      <c r="G473" s="17"/>
      <c r="H473" s="17"/>
      <c r="I473" s="24"/>
      <c r="J473" s="24"/>
      <c r="K473" s="18"/>
      <c r="L473" s="43"/>
    </row>
    <row r="474" spans="1:13" ht="14.1" customHeight="1">
      <c r="A474" s="247">
        <f t="shared" si="142"/>
        <v>458</v>
      </c>
      <c r="B474" s="25" t="s">
        <v>296</v>
      </c>
      <c r="C474" s="48"/>
      <c r="D474" s="48"/>
      <c r="E474" s="48"/>
      <c r="F474" s="17"/>
      <c r="G474" s="84"/>
      <c r="H474" s="48"/>
      <c r="I474" s="11"/>
      <c r="J474" s="11"/>
      <c r="K474" s="16"/>
      <c r="L474" s="43"/>
    </row>
    <row r="475" spans="1:13" ht="14.1" customHeight="1">
      <c r="A475" s="247">
        <f t="shared" si="142"/>
        <v>459</v>
      </c>
      <c r="B475" s="14" t="s">
        <v>297</v>
      </c>
      <c r="C475" s="48"/>
      <c r="D475" s="48"/>
      <c r="E475" s="48"/>
      <c r="F475" s="17"/>
      <c r="G475" s="48"/>
      <c r="H475" s="48"/>
      <c r="I475" s="11"/>
      <c r="J475" s="11"/>
      <c r="K475" s="16"/>
      <c r="L475" s="43"/>
    </row>
    <row r="476" spans="1:13" ht="14.1" customHeight="1">
      <c r="A476" s="247">
        <f t="shared" si="142"/>
        <v>460</v>
      </c>
      <c r="B476" s="27" t="s">
        <v>298</v>
      </c>
      <c r="C476" s="48">
        <f>3620727.12-1248622.91</f>
        <v>2372104.21</v>
      </c>
      <c r="D476" s="48">
        <v>0</v>
      </c>
      <c r="E476" s="48">
        <f>C476+D476</f>
        <v>2372104.21</v>
      </c>
      <c r="F476" s="48">
        <f>C476-G476</f>
        <v>23721.209999999963</v>
      </c>
      <c r="G476" s="48">
        <f>ROUND(E476*'Allocation Factors'!$G$30,0)</f>
        <v>2348383</v>
      </c>
      <c r="H476" s="11">
        <f>'Sch 5'!C460</f>
        <v>-568648</v>
      </c>
      <c r="I476" s="11">
        <f>G476+H476</f>
        <v>1779735</v>
      </c>
      <c r="J476" s="11"/>
      <c r="K476" s="16" t="s">
        <v>379</v>
      </c>
      <c r="L476" s="43"/>
    </row>
    <row r="477" spans="1:13" ht="14.1" customHeight="1">
      <c r="A477" s="247">
        <f t="shared" si="142"/>
        <v>461</v>
      </c>
      <c r="B477" s="27" t="s">
        <v>299</v>
      </c>
      <c r="C477" s="48">
        <f>48654.05-8973.93</f>
        <v>39680.120000000003</v>
      </c>
      <c r="D477" s="48">
        <v>0</v>
      </c>
      <c r="E477" s="48">
        <f>C477+D477</f>
        <v>39680.120000000003</v>
      </c>
      <c r="F477" s="48">
        <f>C477-G477</f>
        <v>397.12000000000262</v>
      </c>
      <c r="G477" s="48">
        <f>ROUND(E477*'Allocation Factors'!$G$30,0)</f>
        <v>39283</v>
      </c>
      <c r="H477" s="11">
        <f>'Sch 5'!C461</f>
        <v>-7161</v>
      </c>
      <c r="I477" s="11">
        <f>G477+H477</f>
        <v>32122</v>
      </c>
      <c r="J477" s="11"/>
      <c r="K477" s="16" t="s">
        <v>379</v>
      </c>
      <c r="L477" s="43"/>
    </row>
    <row r="478" spans="1:13" ht="14.1" customHeight="1">
      <c r="A478" s="247">
        <f t="shared" si="142"/>
        <v>462</v>
      </c>
      <c r="B478" s="92" t="s">
        <v>300</v>
      </c>
      <c r="C478" s="48">
        <f>74666.53-23079.42</f>
        <v>51587.11</v>
      </c>
      <c r="D478" s="48">
        <v>0</v>
      </c>
      <c r="E478" s="48">
        <f>C478+D478</f>
        <v>51587.11</v>
      </c>
      <c r="F478" s="48">
        <f>C478-G478</f>
        <v>516.11000000000058</v>
      </c>
      <c r="G478" s="48">
        <f>ROUND(((E478-L478)*'Allocation Factors'!$G$30)+L478,0)</f>
        <v>51071</v>
      </c>
      <c r="H478" s="11">
        <f>'Sch 5'!C462</f>
        <v>-7310</v>
      </c>
      <c r="I478" s="11">
        <f>G478+H478</f>
        <v>43761</v>
      </c>
      <c r="J478" s="11"/>
      <c r="K478" s="16" t="s">
        <v>430</v>
      </c>
      <c r="L478" s="43">
        <v>0</v>
      </c>
      <c r="M478" s="203" t="s">
        <v>431</v>
      </c>
    </row>
    <row r="479" spans="1:13" ht="14.1" customHeight="1">
      <c r="A479" s="247">
        <f t="shared" si="142"/>
        <v>463</v>
      </c>
      <c r="B479" s="25" t="s">
        <v>565</v>
      </c>
      <c r="C479" s="189">
        <f>SUM(C476:C478)</f>
        <v>2463371.44</v>
      </c>
      <c r="D479" s="189">
        <f>SUM(D476:D478)</f>
        <v>0</v>
      </c>
      <c r="E479" s="189">
        <f>SUM(E476:E478)</f>
        <v>2463371.44</v>
      </c>
      <c r="F479" s="189">
        <f>SUM(F474:F478)</f>
        <v>24634.439999999966</v>
      </c>
      <c r="G479" s="189">
        <f>SUM(G475:G478)</f>
        <v>2438737</v>
      </c>
      <c r="H479" s="189">
        <f>SUM(H475:H478)</f>
        <v>-583119</v>
      </c>
      <c r="I479" s="189">
        <f>SUM(I476:I478)</f>
        <v>1855618</v>
      </c>
      <c r="J479" s="189"/>
      <c r="K479" s="322"/>
      <c r="L479" s="43"/>
    </row>
    <row r="480" spans="1:13" ht="14.1" customHeight="1">
      <c r="A480" s="247">
        <f t="shared" si="142"/>
        <v>464</v>
      </c>
      <c r="B480" s="304"/>
      <c r="C480" s="17"/>
      <c r="D480" s="17"/>
      <c r="E480" s="17"/>
      <c r="F480" s="17"/>
      <c r="G480" s="17"/>
      <c r="H480" s="17"/>
      <c r="I480" s="48"/>
      <c r="J480" s="48"/>
      <c r="K480" s="16"/>
      <c r="L480" s="43"/>
    </row>
    <row r="481" spans="1:13" ht="14.1" customHeight="1">
      <c r="A481" s="247">
        <f t="shared" si="142"/>
        <v>465</v>
      </c>
      <c r="B481" s="27" t="s">
        <v>301</v>
      </c>
      <c r="C481" s="48">
        <f>3975.21+13879.36-3536.21+4071214.26+8323166.32</f>
        <v>12408698.939999999</v>
      </c>
      <c r="D481" s="48">
        <f>L481*-1</f>
        <v>-47110</v>
      </c>
      <c r="E481" s="48">
        <f>C481+D481</f>
        <v>12361588.939999999</v>
      </c>
      <c r="F481" s="48">
        <f>E481-G481</f>
        <v>135977.93999999948</v>
      </c>
      <c r="G481" s="48">
        <f>ROUND(E481*'Allocation Factors'!$G$24,0)</f>
        <v>12225611</v>
      </c>
      <c r="H481" s="11">
        <f>'Sch 5'!C465</f>
        <v>1082108</v>
      </c>
      <c r="I481" s="11">
        <f t="shared" ref="I481:I490" si="151">G481+H481</f>
        <v>13307719</v>
      </c>
      <c r="J481" s="11"/>
      <c r="K481" s="16" t="s">
        <v>359</v>
      </c>
      <c r="L481" s="43">
        <v>47110</v>
      </c>
      <c r="M481" s="203" t="s">
        <v>429</v>
      </c>
    </row>
    <row r="482" spans="1:13" ht="14.1" customHeight="1">
      <c r="A482" s="247">
        <f t="shared" si="142"/>
        <v>466</v>
      </c>
      <c r="B482" s="27" t="s">
        <v>330</v>
      </c>
      <c r="C482" s="48">
        <v>445</v>
      </c>
      <c r="D482" s="48">
        <v>0</v>
      </c>
      <c r="E482" s="48">
        <f t="shared" ref="E482:E490" si="152">C482+D482</f>
        <v>445</v>
      </c>
      <c r="F482" s="48">
        <f t="shared" ref="F482:F490" si="153">E482-G482</f>
        <v>5</v>
      </c>
      <c r="G482" s="48">
        <f>ROUND(E482*'Allocation Factors'!$G$24,0)</f>
        <v>440</v>
      </c>
      <c r="H482" s="11">
        <f>'Sch 5'!C466</f>
        <v>0</v>
      </c>
      <c r="I482" s="11">
        <f t="shared" si="151"/>
        <v>440</v>
      </c>
      <c r="J482" s="11"/>
      <c r="K482" s="16" t="s">
        <v>359</v>
      </c>
      <c r="L482" s="43"/>
    </row>
    <row r="483" spans="1:13" ht="14.1" customHeight="1">
      <c r="A483" s="247">
        <f t="shared" si="142"/>
        <v>467</v>
      </c>
      <c r="B483" s="27" t="s">
        <v>331</v>
      </c>
      <c r="C483" s="48">
        <f>709683.16+267388.32</f>
        <v>977071.48</v>
      </c>
      <c r="D483" s="48">
        <v>0</v>
      </c>
      <c r="E483" s="48">
        <f t="shared" si="152"/>
        <v>977071.48</v>
      </c>
      <c r="F483" s="48">
        <f t="shared" si="153"/>
        <v>0.47999999998137355</v>
      </c>
      <c r="G483" s="48">
        <f>ROUND(E483*'Allocation Factors'!$G$34,0)</f>
        <v>977071</v>
      </c>
      <c r="H483" s="11">
        <f>'Sch 5'!C467</f>
        <v>92475</v>
      </c>
      <c r="I483" s="11">
        <f t="shared" si="151"/>
        <v>1069546</v>
      </c>
      <c r="J483" s="11"/>
      <c r="K483" s="16" t="s">
        <v>367</v>
      </c>
      <c r="L483" s="43"/>
    </row>
    <row r="484" spans="1:13" ht="14.1" customHeight="1">
      <c r="A484" s="247">
        <f t="shared" si="142"/>
        <v>468</v>
      </c>
      <c r="B484" s="27" t="s">
        <v>303</v>
      </c>
      <c r="C484" s="48">
        <f>-336570+218038.95+3671.39+12549.79</f>
        <v>-102309.87</v>
      </c>
      <c r="D484" s="48">
        <v>0</v>
      </c>
      <c r="E484" s="48">
        <f t="shared" si="152"/>
        <v>-102309.87</v>
      </c>
      <c r="F484" s="48">
        <f t="shared" si="153"/>
        <v>-715.86999999999534</v>
      </c>
      <c r="G484" s="48">
        <f>ROUND(E484*'Allocation Factors'!$G$20,0)</f>
        <v>-101594</v>
      </c>
      <c r="H484" s="11">
        <f>'Sch 5'!C468</f>
        <v>116430</v>
      </c>
      <c r="I484" s="11">
        <f t="shared" si="151"/>
        <v>14836</v>
      </c>
      <c r="J484" s="11"/>
      <c r="K484" s="16" t="s">
        <v>355</v>
      </c>
      <c r="L484" s="43"/>
    </row>
    <row r="485" spans="1:13" ht="14.1" customHeight="1">
      <c r="A485" s="247">
        <f t="shared" si="142"/>
        <v>469</v>
      </c>
      <c r="B485" s="27" t="s">
        <v>304</v>
      </c>
      <c r="C485" s="48">
        <v>240</v>
      </c>
      <c r="D485" s="48">
        <v>0</v>
      </c>
      <c r="E485" s="48">
        <f t="shared" si="152"/>
        <v>240</v>
      </c>
      <c r="F485" s="48">
        <f t="shared" si="153"/>
        <v>0</v>
      </c>
      <c r="G485" s="48">
        <f>E485</f>
        <v>240</v>
      </c>
      <c r="H485" s="11">
        <f>'Sch 5'!C469</f>
        <v>0</v>
      </c>
      <c r="I485" s="11">
        <f>G485+H485</f>
        <v>240</v>
      </c>
      <c r="J485" s="11"/>
      <c r="K485" s="16" t="s">
        <v>367</v>
      </c>
      <c r="L485" s="43"/>
    </row>
    <row r="486" spans="1:13" ht="14.1" customHeight="1">
      <c r="A486" s="247">
        <f t="shared" si="142"/>
        <v>470</v>
      </c>
      <c r="B486" s="27" t="s">
        <v>887</v>
      </c>
      <c r="C486" s="48">
        <v>2979427.77</v>
      </c>
      <c r="D486" s="48">
        <v>0</v>
      </c>
      <c r="E486" s="48">
        <f t="shared" si="152"/>
        <v>2979427.77</v>
      </c>
      <c r="F486" s="48">
        <f t="shared" si="153"/>
        <v>20855.770000000019</v>
      </c>
      <c r="G486" s="48">
        <f>ROUND(E486*'Allocation Factors'!$G$20,0)</f>
        <v>2958572</v>
      </c>
      <c r="H486" s="11">
        <f>'Sch 5'!C470</f>
        <v>0</v>
      </c>
      <c r="I486" s="11">
        <f>G486+H486</f>
        <v>2958572</v>
      </c>
      <c r="J486" s="11"/>
      <c r="K486" s="16" t="s">
        <v>355</v>
      </c>
      <c r="L486" s="43"/>
    </row>
    <row r="487" spans="1:13" ht="13.5" customHeight="1">
      <c r="A487" s="247">
        <f t="shared" si="142"/>
        <v>471</v>
      </c>
      <c r="B487" s="27" t="s">
        <v>332</v>
      </c>
      <c r="C487" s="48">
        <f>-5544+38930</f>
        <v>33386</v>
      </c>
      <c r="D487" s="48">
        <v>0</v>
      </c>
      <c r="E487" s="48">
        <f t="shared" si="152"/>
        <v>33386</v>
      </c>
      <c r="F487" s="48">
        <f t="shared" si="153"/>
        <v>0</v>
      </c>
      <c r="G487" s="48">
        <f>ROUND(E487*'Allocation Factors'!$G$34,0)</f>
        <v>33386</v>
      </c>
      <c r="H487" s="11">
        <f>'Sch 5'!C471</f>
        <v>0</v>
      </c>
      <c r="I487" s="11">
        <f t="shared" si="151"/>
        <v>33386</v>
      </c>
      <c r="J487" s="11"/>
      <c r="K487" s="16" t="s">
        <v>367</v>
      </c>
      <c r="L487" s="43"/>
    </row>
    <row r="488" spans="1:13" ht="13.5" customHeight="1">
      <c r="A488" s="247">
        <f t="shared" si="142"/>
        <v>472</v>
      </c>
      <c r="B488" s="27" t="s">
        <v>305</v>
      </c>
      <c r="C488" s="48">
        <f>-9120</f>
        <v>-9120</v>
      </c>
      <c r="D488" s="48">
        <v>0</v>
      </c>
      <c r="E488" s="48">
        <f t="shared" si="152"/>
        <v>-9120</v>
      </c>
      <c r="F488" s="48">
        <f t="shared" si="153"/>
        <v>0</v>
      </c>
      <c r="G488" s="48">
        <f>ROUND(E488*'Allocation Factors'!$G$34,0)</f>
        <v>-9120</v>
      </c>
      <c r="H488" s="11">
        <f>'Sch 5'!C472</f>
        <v>9020</v>
      </c>
      <c r="I488" s="11">
        <f t="shared" si="151"/>
        <v>-100</v>
      </c>
      <c r="J488" s="11"/>
      <c r="K488" s="16" t="s">
        <v>367</v>
      </c>
      <c r="L488" s="43"/>
    </row>
    <row r="489" spans="1:13" ht="14.1" customHeight="1">
      <c r="A489" s="247">
        <f t="shared" si="142"/>
        <v>473</v>
      </c>
      <c r="B489" s="27" t="s">
        <v>306</v>
      </c>
      <c r="C489" s="48">
        <f>3744.46</f>
        <v>3744.46</v>
      </c>
      <c r="D489" s="48">
        <v>0</v>
      </c>
      <c r="E489" s="48">
        <f t="shared" si="152"/>
        <v>3744.46</v>
      </c>
      <c r="F489" s="48">
        <f t="shared" si="153"/>
        <v>37.460000000000036</v>
      </c>
      <c r="G489" s="48">
        <f>ROUND(E489*'Allocation Factors'!$G$30,0)</f>
        <v>3707</v>
      </c>
      <c r="H489" s="11">
        <f>'Sch 5'!C473</f>
        <v>0</v>
      </c>
      <c r="I489" s="11">
        <f t="shared" si="151"/>
        <v>3707</v>
      </c>
      <c r="J489" s="11"/>
      <c r="K489" s="16" t="s">
        <v>379</v>
      </c>
      <c r="L489" s="43"/>
    </row>
    <row r="490" spans="1:13" ht="14.1" customHeight="1">
      <c r="A490" s="247">
        <f t="shared" si="142"/>
        <v>474</v>
      </c>
      <c r="B490" s="92" t="s">
        <v>307</v>
      </c>
      <c r="C490" s="48">
        <f>12.36+11.76-441.33+7257.64+16620.5+5276.51+19125</f>
        <v>47862.44</v>
      </c>
      <c r="D490" s="48">
        <v>0</v>
      </c>
      <c r="E490" s="48">
        <f t="shared" si="152"/>
        <v>47862.44</v>
      </c>
      <c r="F490" s="48">
        <f t="shared" si="153"/>
        <v>526.44000000000233</v>
      </c>
      <c r="G490" s="48">
        <f>ROUND(E490*'Allocation Factors'!$G$22,0)</f>
        <v>47336</v>
      </c>
      <c r="H490" s="11">
        <f>'Sch 5'!C474</f>
        <v>0</v>
      </c>
      <c r="I490" s="11">
        <f t="shared" si="151"/>
        <v>47336</v>
      </c>
      <c r="J490" s="11"/>
      <c r="K490" s="16" t="s">
        <v>357</v>
      </c>
      <c r="L490" s="43"/>
    </row>
    <row r="491" spans="1:13" ht="14.1" customHeight="1">
      <c r="A491" s="247">
        <f t="shared" si="142"/>
        <v>475</v>
      </c>
      <c r="B491" s="25" t="s">
        <v>566</v>
      </c>
      <c r="C491" s="189">
        <f t="shared" ref="C491:I491" si="154">SUM(C479:C490)</f>
        <v>18802817.660000004</v>
      </c>
      <c r="D491" s="189">
        <f t="shared" si="154"/>
        <v>-47110</v>
      </c>
      <c r="E491" s="189">
        <f t="shared" si="154"/>
        <v>18755707.660000004</v>
      </c>
      <c r="F491" s="189">
        <f t="shared" si="154"/>
        <v>181321.65999999945</v>
      </c>
      <c r="G491" s="189">
        <f t="shared" si="154"/>
        <v>18574386</v>
      </c>
      <c r="H491" s="189">
        <f t="shared" si="154"/>
        <v>716914</v>
      </c>
      <c r="I491" s="189">
        <f t="shared" si="154"/>
        <v>19291300</v>
      </c>
      <c r="J491" s="189"/>
      <c r="K491" s="322"/>
      <c r="L491" s="43"/>
    </row>
    <row r="492" spans="1:13" ht="14.1" customHeight="1">
      <c r="A492" s="247">
        <f t="shared" si="142"/>
        <v>476</v>
      </c>
      <c r="B492" s="25"/>
      <c r="C492" s="17"/>
      <c r="D492" s="17"/>
      <c r="E492" s="17"/>
      <c r="F492" s="17"/>
      <c r="G492" s="305"/>
      <c r="H492" s="17"/>
      <c r="I492" s="17"/>
      <c r="J492" s="17"/>
      <c r="K492" s="18"/>
      <c r="L492" s="43"/>
    </row>
    <row r="493" spans="1:13" ht="14.1" customHeight="1">
      <c r="A493" s="247">
        <f t="shared" si="142"/>
        <v>477</v>
      </c>
      <c r="B493" s="27" t="s">
        <v>948</v>
      </c>
      <c r="C493" s="48">
        <f>('Sch 8'!E42+'Sch 8'!G42)*-1</f>
        <v>-3115859.51</v>
      </c>
      <c r="D493" s="48">
        <v>0</v>
      </c>
      <c r="E493" s="48">
        <f>C493+D493</f>
        <v>-3115859.51</v>
      </c>
      <c r="F493" s="48">
        <f>E493-G493</f>
        <v>-43622.509999999776</v>
      </c>
      <c r="G493" s="48">
        <f>ROUND(E493*'Allocation Factors'!$G$10,0)</f>
        <v>-3072237</v>
      </c>
      <c r="H493" s="11">
        <f>'Sch 5'!C477</f>
        <v>-250424</v>
      </c>
      <c r="I493" s="11">
        <f>G493+H493</f>
        <v>-3322661</v>
      </c>
      <c r="J493" s="11"/>
      <c r="K493" s="16" t="s">
        <v>346</v>
      </c>
      <c r="L493" s="43"/>
    </row>
    <row r="494" spans="1:13" ht="14.1" customHeight="1">
      <c r="A494" s="247">
        <f t="shared" si="142"/>
        <v>478</v>
      </c>
      <c r="B494" s="27" t="s">
        <v>949</v>
      </c>
      <c r="C494" s="48">
        <f>('Sch 8'!I42+'Sch 8'!K42)*-1</f>
        <v>-1973710.22</v>
      </c>
      <c r="D494" s="48">
        <v>0</v>
      </c>
      <c r="E494" s="48">
        <f>C494+D494</f>
        <v>-1973710.22</v>
      </c>
      <c r="F494" s="48">
        <f>E494-G494</f>
        <v>-27632.219999999972</v>
      </c>
      <c r="G494" s="48">
        <f>ROUND(E494*'Allocation Factors'!$G$16,0)</f>
        <v>-1946078</v>
      </c>
      <c r="H494" s="11">
        <f>'Sch 5'!C478</f>
        <v>0</v>
      </c>
      <c r="I494" s="11"/>
      <c r="J494" s="11"/>
      <c r="K494" s="16" t="s">
        <v>351</v>
      </c>
      <c r="L494" s="43"/>
    </row>
    <row r="495" spans="1:13" ht="14.1" customHeight="1">
      <c r="A495" s="247">
        <f t="shared" si="142"/>
        <v>479</v>
      </c>
      <c r="B495" s="27" t="s">
        <v>950</v>
      </c>
      <c r="C495" s="48">
        <f>('Sch 8'!M42+'Sch 8'!O42)*-1</f>
        <v>-454909.80999999994</v>
      </c>
      <c r="D495" s="48">
        <v>0</v>
      </c>
      <c r="E495" s="48">
        <f>C495+D495</f>
        <v>-454909.80999999994</v>
      </c>
      <c r="F495" s="48">
        <f>E495-G495</f>
        <v>-454.80999999993946</v>
      </c>
      <c r="G495" s="48">
        <f>ROUND(E495*'Allocation Factors'!$G$18,0)</f>
        <v>-454455</v>
      </c>
      <c r="H495" s="11">
        <f>'Sch 5'!C479</f>
        <v>0</v>
      </c>
      <c r="I495" s="11"/>
      <c r="J495" s="11"/>
      <c r="K495" s="16" t="s">
        <v>353</v>
      </c>
      <c r="L495" s="43"/>
    </row>
    <row r="496" spans="1:13" ht="14.1" customHeight="1">
      <c r="A496" s="247">
        <f t="shared" si="142"/>
        <v>480</v>
      </c>
      <c r="B496" s="27" t="s">
        <v>951</v>
      </c>
      <c r="C496" s="48">
        <f>('Sch 8'!Q42+'Sch 8'!S42)*-1</f>
        <v>-33080.81</v>
      </c>
      <c r="D496" s="48">
        <v>0</v>
      </c>
      <c r="E496" s="48">
        <f>C496+D496</f>
        <v>-33080.81</v>
      </c>
      <c r="F496" s="48">
        <f>E496-G496</f>
        <v>-363.80999999999767</v>
      </c>
      <c r="G496" s="48">
        <f>ROUND(E496*'Allocation Factors'!$G$22,0)</f>
        <v>-32717</v>
      </c>
      <c r="H496" s="11">
        <f>'Sch 5'!C480</f>
        <v>0</v>
      </c>
      <c r="I496" s="11"/>
      <c r="J496" s="11"/>
      <c r="K496" s="16" t="s">
        <v>357</v>
      </c>
      <c r="L496" s="43"/>
    </row>
    <row r="497" spans="1:13" ht="14.1" customHeight="1">
      <c r="A497" s="247">
        <f t="shared" si="142"/>
        <v>481</v>
      </c>
      <c r="B497" s="27" t="s">
        <v>308</v>
      </c>
      <c r="C497" s="48">
        <v>32734.720000000001</v>
      </c>
      <c r="D497" s="48">
        <v>0</v>
      </c>
      <c r="E497" s="48">
        <f>C497+D497</f>
        <v>32734.720000000001</v>
      </c>
      <c r="F497" s="48">
        <f>C497-G497</f>
        <v>-0.27999999999883585</v>
      </c>
      <c r="G497" s="204">
        <f>ROUND(E497*'Allocation Factors'!$G$34,0)</f>
        <v>32735</v>
      </c>
      <c r="H497" s="11">
        <f>'Sch 5'!C481</f>
        <v>-2422</v>
      </c>
      <c r="I497" s="11">
        <f>G497+H497</f>
        <v>30313</v>
      </c>
      <c r="J497" s="11"/>
      <c r="K497" s="16" t="s">
        <v>367</v>
      </c>
      <c r="L497" s="43"/>
    </row>
    <row r="498" spans="1:13" ht="14.1" customHeight="1">
      <c r="A498" s="247">
        <f t="shared" si="142"/>
        <v>482</v>
      </c>
      <c r="B498" s="27"/>
      <c r="C498" s="48"/>
      <c r="D498" s="48"/>
      <c r="E498" s="48"/>
      <c r="F498" s="48"/>
      <c r="G498" s="15"/>
      <c r="H498" s="11"/>
      <c r="I498" s="11"/>
      <c r="J498" s="11"/>
      <c r="K498" s="16"/>
      <c r="L498" s="43"/>
    </row>
    <row r="499" spans="1:13" ht="14.1" customHeight="1">
      <c r="A499" s="247">
        <f t="shared" si="142"/>
        <v>483</v>
      </c>
      <c r="B499" s="3" t="s">
        <v>309</v>
      </c>
      <c r="C499" s="48"/>
      <c r="D499" s="48"/>
      <c r="E499" s="48"/>
      <c r="F499" s="29"/>
      <c r="G499" s="12"/>
      <c r="H499" s="48"/>
      <c r="I499" s="11"/>
      <c r="J499" s="11"/>
      <c r="K499" s="16"/>
      <c r="L499" s="43"/>
    </row>
    <row r="500" spans="1:13" ht="13.5" customHeight="1">
      <c r="A500" s="247">
        <f t="shared" si="142"/>
        <v>484</v>
      </c>
      <c r="B500" s="27" t="s">
        <v>310</v>
      </c>
      <c r="C500" s="48">
        <v>-3900</v>
      </c>
      <c r="D500" s="48">
        <v>0</v>
      </c>
      <c r="E500" s="48">
        <f>C500+D500</f>
        <v>-3900</v>
      </c>
      <c r="F500" s="48">
        <f t="shared" ref="F500:F507" si="155">E500-G500</f>
        <v>-43</v>
      </c>
      <c r="G500" s="48">
        <f>ROUND(E500*'Allocation Factors'!G24,0)</f>
        <v>-3857</v>
      </c>
      <c r="H500" s="11">
        <f>'Sch 5'!C484</f>
        <v>0</v>
      </c>
      <c r="I500" s="11">
        <f t="shared" ref="I500:I507" si="156">G500+H500</f>
        <v>-3857</v>
      </c>
      <c r="J500" s="11"/>
      <c r="K500" s="16" t="s">
        <v>359</v>
      </c>
      <c r="L500" s="43"/>
    </row>
    <row r="501" spans="1:13" ht="13.5" customHeight="1">
      <c r="A501" s="247">
        <f t="shared" si="142"/>
        <v>485</v>
      </c>
      <c r="B501" s="27" t="s">
        <v>311</v>
      </c>
      <c r="C501" s="48">
        <v>0</v>
      </c>
      <c r="D501" s="48">
        <v>0</v>
      </c>
      <c r="E501" s="48">
        <f t="shared" ref="E501:E506" si="157">C501+D501</f>
        <v>0</v>
      </c>
      <c r="F501" s="48">
        <f t="shared" si="155"/>
        <v>0</v>
      </c>
      <c r="G501" s="48">
        <v>0</v>
      </c>
      <c r="H501" s="11">
        <f>'Sch 5'!C485</f>
        <v>0</v>
      </c>
      <c r="I501" s="11">
        <f t="shared" si="156"/>
        <v>0</v>
      </c>
      <c r="J501" s="11"/>
      <c r="K501" s="16" t="s">
        <v>57</v>
      </c>
      <c r="L501" s="43"/>
    </row>
    <row r="502" spans="1:13" ht="13.5" customHeight="1">
      <c r="A502" s="247">
        <f t="shared" si="142"/>
        <v>486</v>
      </c>
      <c r="B502" s="27" t="s">
        <v>888</v>
      </c>
      <c r="C502" s="48">
        <v>-47296.67</v>
      </c>
      <c r="D502" s="48">
        <f>C502*-1</f>
        <v>47296.67</v>
      </c>
      <c r="E502" s="48">
        <f t="shared" si="157"/>
        <v>0</v>
      </c>
      <c r="F502" s="48">
        <f t="shared" si="155"/>
        <v>0</v>
      </c>
      <c r="G502" s="48">
        <f>ROUND(E502*'Allocation Factors'!G14,0)</f>
        <v>0</v>
      </c>
      <c r="H502" s="11">
        <f>'Sch 5'!C486</f>
        <v>0</v>
      </c>
      <c r="I502" s="11">
        <f t="shared" si="156"/>
        <v>0</v>
      </c>
      <c r="J502" s="11"/>
      <c r="K502" s="16"/>
      <c r="L502" s="43"/>
      <c r="M502" s="203" t="s">
        <v>964</v>
      </c>
    </row>
    <row r="503" spans="1:13" ht="14.1" customHeight="1">
      <c r="A503" s="247">
        <f t="shared" si="142"/>
        <v>487</v>
      </c>
      <c r="B503" s="27" t="s">
        <v>947</v>
      </c>
      <c r="C503" s="48">
        <v>728945.58</v>
      </c>
      <c r="D503" s="48">
        <v>0</v>
      </c>
      <c r="E503" s="48">
        <f t="shared" si="157"/>
        <v>728945.58</v>
      </c>
      <c r="F503" s="48">
        <f t="shared" si="155"/>
        <v>10205.579999999958</v>
      </c>
      <c r="G503" s="48">
        <f>ROUND(E503*'Allocation Factors'!$G$10,0)</f>
        <v>718740</v>
      </c>
      <c r="H503" s="11">
        <f>'Sch 5'!C487</f>
        <v>363539</v>
      </c>
      <c r="I503" s="11">
        <f t="shared" si="156"/>
        <v>1082279</v>
      </c>
      <c r="J503" s="11"/>
      <c r="K503" s="16" t="s">
        <v>346</v>
      </c>
      <c r="L503" s="43"/>
    </row>
    <row r="504" spans="1:13" ht="13.5" customHeight="1">
      <c r="A504" s="247">
        <f t="shared" ref="A504:A516" si="158">+A503+1</f>
        <v>488</v>
      </c>
      <c r="B504" s="27" t="s">
        <v>313</v>
      </c>
      <c r="C504" s="48">
        <f>900348.35+1679664.94</f>
        <v>2580013.29</v>
      </c>
      <c r="D504" s="48">
        <f>C504*-1</f>
        <v>-2580013.29</v>
      </c>
      <c r="E504" s="48">
        <f t="shared" si="157"/>
        <v>0</v>
      </c>
      <c r="F504" s="48">
        <f t="shared" si="155"/>
        <v>0</v>
      </c>
      <c r="G504" s="48">
        <f>ROUND(E504*'Allocation Factors'!G34,0)</f>
        <v>0</v>
      </c>
      <c r="H504" s="11">
        <f>'Sch 5'!C488</f>
        <v>0</v>
      </c>
      <c r="I504" s="11">
        <f t="shared" si="156"/>
        <v>0</v>
      </c>
      <c r="J504" s="11"/>
      <c r="K504" s="16" t="s">
        <v>367</v>
      </c>
      <c r="L504" s="43"/>
    </row>
    <row r="505" spans="1:13" ht="13.5" customHeight="1">
      <c r="A505" s="247">
        <f t="shared" si="158"/>
        <v>489</v>
      </c>
      <c r="B505" s="27" t="s">
        <v>969</v>
      </c>
      <c r="C505" s="48">
        <v>-53789</v>
      </c>
      <c r="D505" s="48">
        <v>0</v>
      </c>
      <c r="E505" s="48">
        <f t="shared" si="157"/>
        <v>-53789</v>
      </c>
      <c r="F505" s="48">
        <f t="shared" si="155"/>
        <v>-538</v>
      </c>
      <c r="G505" s="48">
        <f>ROUND(E505*'Allocation Factors'!$G$26,0)</f>
        <v>-53251</v>
      </c>
      <c r="H505" s="11">
        <f>'Sch 5'!C489</f>
        <v>0</v>
      </c>
      <c r="I505" s="11">
        <f t="shared" si="156"/>
        <v>-53251</v>
      </c>
      <c r="J505" s="11"/>
      <c r="K505" s="16" t="s">
        <v>360</v>
      </c>
      <c r="L505" s="43"/>
    </row>
    <row r="506" spans="1:13" ht="13.5" customHeight="1">
      <c r="A506" s="247">
        <f t="shared" si="158"/>
        <v>490</v>
      </c>
      <c r="B506" s="27" t="s">
        <v>970</v>
      </c>
      <c r="C506" s="48">
        <v>28510</v>
      </c>
      <c r="D506" s="48">
        <v>0</v>
      </c>
      <c r="E506" s="48">
        <f t="shared" si="157"/>
        <v>28510</v>
      </c>
      <c r="F506" s="48">
        <f t="shared" si="155"/>
        <v>285</v>
      </c>
      <c r="G506" s="48">
        <f>ROUND(E506*'Allocation Factors'!$G$26,0)</f>
        <v>28225</v>
      </c>
      <c r="H506" s="11">
        <f>'Sch 5'!C490</f>
        <v>0</v>
      </c>
      <c r="I506" s="11">
        <f t="shared" si="156"/>
        <v>28225</v>
      </c>
      <c r="J506" s="11"/>
      <c r="K506" s="16" t="s">
        <v>360</v>
      </c>
      <c r="L506" s="43"/>
    </row>
    <row r="507" spans="1:13" ht="14.1" customHeight="1">
      <c r="A507" s="247">
        <f t="shared" si="158"/>
        <v>491</v>
      </c>
      <c r="B507" s="92" t="s">
        <v>966</v>
      </c>
      <c r="C507" s="100">
        <v>787579</v>
      </c>
      <c r="D507" s="48">
        <v>-383873.06</v>
      </c>
      <c r="E507" s="48">
        <f>C507+D507</f>
        <v>403705.94</v>
      </c>
      <c r="F507" s="48">
        <f t="shared" si="155"/>
        <v>4036.9400000000023</v>
      </c>
      <c r="G507" s="48">
        <f>ROUND(E507*'Allocation Factors'!$G$26,0)</f>
        <v>399669</v>
      </c>
      <c r="H507" s="11">
        <f>'Sch 5'!C491</f>
        <v>0</v>
      </c>
      <c r="I507" s="11">
        <f t="shared" si="156"/>
        <v>399669</v>
      </c>
      <c r="J507" s="11"/>
      <c r="K507" s="16" t="s">
        <v>360</v>
      </c>
      <c r="L507" s="43"/>
    </row>
    <row r="508" spans="1:13" ht="14.1" customHeight="1">
      <c r="A508" s="247">
        <f t="shared" si="158"/>
        <v>492</v>
      </c>
      <c r="B508" s="14" t="s">
        <v>315</v>
      </c>
      <c r="C508" s="83">
        <f t="shared" ref="C508:I508" si="159">SUM(C500:C507)</f>
        <v>4020062.2</v>
      </c>
      <c r="D508" s="83">
        <f t="shared" si="159"/>
        <v>-2916589.68</v>
      </c>
      <c r="E508" s="83">
        <f t="shared" si="159"/>
        <v>1103472.52</v>
      </c>
      <c r="F508" s="83">
        <f t="shared" si="159"/>
        <v>13946.51999999996</v>
      </c>
      <c r="G508" s="83">
        <f t="shared" si="159"/>
        <v>1089526</v>
      </c>
      <c r="H508" s="83">
        <f t="shared" si="159"/>
        <v>363539</v>
      </c>
      <c r="I508" s="83">
        <f t="shared" si="159"/>
        <v>1453065</v>
      </c>
      <c r="J508" s="83"/>
      <c r="K508" s="334"/>
      <c r="L508" s="43"/>
    </row>
    <row r="509" spans="1:13" ht="14.1" customHeight="1">
      <c r="A509" s="247">
        <f t="shared" si="158"/>
        <v>493</v>
      </c>
      <c r="B509" s="27"/>
      <c r="C509" s="48"/>
      <c r="D509" s="48"/>
      <c r="E509" s="48"/>
      <c r="F509" s="17"/>
      <c r="G509" s="48"/>
      <c r="H509" s="48"/>
      <c r="I509" s="48"/>
      <c r="J509" s="48"/>
      <c r="K509" s="16"/>
      <c r="L509" s="43"/>
    </row>
    <row r="510" spans="1:13" ht="14.1" customHeight="1">
      <c r="A510" s="247">
        <f t="shared" si="158"/>
        <v>494</v>
      </c>
      <c r="B510" s="27"/>
      <c r="C510" s="48"/>
      <c r="D510" s="48"/>
      <c r="E510" s="48"/>
      <c r="F510" s="48"/>
      <c r="G510" s="48"/>
      <c r="H510" s="48"/>
      <c r="I510" s="48"/>
      <c r="J510" s="48"/>
      <c r="K510" s="16"/>
      <c r="L510" s="43"/>
    </row>
    <row r="511" spans="1:13" ht="13.9" customHeight="1">
      <c r="A511" s="247">
        <f t="shared" si="158"/>
        <v>495</v>
      </c>
      <c r="B511" s="14" t="s">
        <v>316</v>
      </c>
      <c r="C511" s="48"/>
      <c r="D511" s="48"/>
      <c r="E511" s="48"/>
      <c r="F511" s="48"/>
      <c r="G511" s="48"/>
      <c r="H511" s="48"/>
      <c r="I511" s="11"/>
      <c r="J511" s="11"/>
      <c r="K511" s="16"/>
      <c r="L511" s="43"/>
    </row>
    <row r="512" spans="1:13" ht="13.9" customHeight="1">
      <c r="A512" s="247">
        <f t="shared" si="158"/>
        <v>496</v>
      </c>
      <c r="B512" s="304" t="s">
        <v>333</v>
      </c>
      <c r="C512" s="48">
        <v>5503882</v>
      </c>
      <c r="D512" s="48">
        <v>-28415</v>
      </c>
      <c r="E512" s="48">
        <f>C512+D512</f>
        <v>5475467</v>
      </c>
      <c r="F512" s="48">
        <f>E512-G512</f>
        <v>88938</v>
      </c>
      <c r="G512" s="381">
        <v>5386529</v>
      </c>
      <c r="H512" s="11">
        <f>'Sch 5'!C496</f>
        <v>-1095822</v>
      </c>
      <c r="I512" s="11">
        <f>G512+H512</f>
        <v>4290707</v>
      </c>
      <c r="J512" s="11"/>
      <c r="K512" s="16" t="s">
        <v>57</v>
      </c>
      <c r="L512" s="43"/>
    </row>
    <row r="513" spans="1:12" ht="14.1" customHeight="1">
      <c r="A513" s="247">
        <f t="shared" si="158"/>
        <v>497</v>
      </c>
      <c r="B513" s="304" t="s">
        <v>317</v>
      </c>
      <c r="C513" s="48">
        <v>33220944</v>
      </c>
      <c r="D513" s="48">
        <v>-163478</v>
      </c>
      <c r="E513" s="48">
        <f>C513+D513</f>
        <v>33057466</v>
      </c>
      <c r="F513" s="48">
        <f>E513-G513</f>
        <v>528792</v>
      </c>
      <c r="G513" s="381">
        <v>32528674</v>
      </c>
      <c r="H513" s="11">
        <f>'Sch 5'!C497</f>
        <v>-5209435</v>
      </c>
      <c r="I513" s="11">
        <f>G513+H513</f>
        <v>27319239</v>
      </c>
      <c r="J513" s="11"/>
      <c r="K513" s="16" t="s">
        <v>57</v>
      </c>
      <c r="L513" s="43"/>
    </row>
    <row r="514" spans="1:12" ht="14.1" customHeight="1">
      <c r="A514" s="247">
        <f t="shared" si="158"/>
        <v>498</v>
      </c>
      <c r="B514" s="304" t="s">
        <v>318</v>
      </c>
      <c r="C514" s="48">
        <v>833174</v>
      </c>
      <c r="D514" s="48">
        <v>0</v>
      </c>
      <c r="E514" s="48">
        <f>C514+D514</f>
        <v>833174</v>
      </c>
      <c r="F514" s="48">
        <f>E514-G514</f>
        <v>60054</v>
      </c>
      <c r="G514" s="382">
        <v>773120</v>
      </c>
      <c r="H514" s="11">
        <f>'Sch 5'!C498</f>
        <v>-683026</v>
      </c>
      <c r="I514" s="11">
        <f>G514+H514</f>
        <v>90094</v>
      </c>
      <c r="J514" s="11"/>
      <c r="K514" s="16" t="s">
        <v>57</v>
      </c>
      <c r="L514" s="43"/>
    </row>
    <row r="515" spans="1:12" ht="14.1" customHeight="1">
      <c r="A515" s="247">
        <f t="shared" si="158"/>
        <v>499</v>
      </c>
      <c r="B515" s="304" t="s">
        <v>319</v>
      </c>
      <c r="C515" s="48">
        <v>-129533</v>
      </c>
      <c r="D515" s="48">
        <v>0</v>
      </c>
      <c r="E515" s="48">
        <f>C515+D515</f>
        <v>-129533</v>
      </c>
      <c r="F515" s="48">
        <f>E515-G515</f>
        <v>-1424</v>
      </c>
      <c r="G515" s="382">
        <v>-128109</v>
      </c>
      <c r="H515" s="11">
        <f>'Sch 5'!C499</f>
        <v>0</v>
      </c>
      <c r="I515" s="11">
        <f>G515+H515</f>
        <v>-128109</v>
      </c>
      <c r="J515" s="11"/>
      <c r="K515" s="16" t="s">
        <v>57</v>
      </c>
      <c r="L515" s="43"/>
    </row>
    <row r="516" spans="1:12" ht="14.1" customHeight="1">
      <c r="A516" s="247">
        <f t="shared" si="158"/>
        <v>500</v>
      </c>
      <c r="B516" s="93" t="s">
        <v>334</v>
      </c>
      <c r="C516" s="48">
        <v>0</v>
      </c>
      <c r="D516" s="48">
        <v>0</v>
      </c>
      <c r="E516" s="48">
        <f>C516+D516</f>
        <v>0</v>
      </c>
      <c r="F516" s="48">
        <f>E516-G516</f>
        <v>0</v>
      </c>
      <c r="G516" s="383">
        <v>0</v>
      </c>
      <c r="H516" s="11">
        <f>'Sch 5'!C500</f>
        <v>0</v>
      </c>
      <c r="I516" s="11">
        <f>G516+H516</f>
        <v>0</v>
      </c>
      <c r="J516" s="11"/>
      <c r="K516" s="16" t="s">
        <v>57</v>
      </c>
      <c r="L516" s="43"/>
    </row>
    <row r="517" spans="1:12" ht="14.1" customHeight="1">
      <c r="A517" s="247">
        <f>+A516+1</f>
        <v>501</v>
      </c>
      <c r="B517" s="14" t="s">
        <v>320</v>
      </c>
      <c r="C517" s="83">
        <f t="shared" ref="C517:I517" si="160">SUM(C511:C516)</f>
        <v>39428467</v>
      </c>
      <c r="D517" s="83">
        <f t="shared" si="160"/>
        <v>-191893</v>
      </c>
      <c r="E517" s="83">
        <f t="shared" si="160"/>
        <v>39236574</v>
      </c>
      <c r="F517" s="83">
        <f t="shared" si="160"/>
        <v>676360</v>
      </c>
      <c r="G517" s="83">
        <f t="shared" si="160"/>
        <v>38560214</v>
      </c>
      <c r="H517" s="83">
        <f t="shared" si="160"/>
        <v>-6988283</v>
      </c>
      <c r="I517" s="83">
        <f t="shared" si="160"/>
        <v>31571931</v>
      </c>
      <c r="J517" s="83"/>
      <c r="K517" s="334"/>
      <c r="L517" s="43"/>
    </row>
    <row r="518" spans="1:12" ht="14.1" customHeight="1">
      <c r="B518" s="27"/>
      <c r="C518" s="303"/>
      <c r="D518" s="303"/>
      <c r="E518" s="303"/>
      <c r="F518" s="303"/>
      <c r="G518" s="303"/>
      <c r="H518" s="303"/>
      <c r="I518" s="48"/>
      <c r="J518" s="48"/>
      <c r="K518" s="16"/>
      <c r="L518" s="43"/>
    </row>
    <row r="519" spans="1:12" s="27" customFormat="1" ht="14.1" customHeight="1">
      <c r="A519" s="186"/>
      <c r="B519" s="14"/>
      <c r="C519" s="303"/>
      <c r="D519" s="303"/>
      <c r="E519" s="303"/>
      <c r="F519" s="361"/>
      <c r="G519" s="362"/>
      <c r="H519" s="362"/>
      <c r="I519" s="48"/>
      <c r="J519" s="48"/>
      <c r="K519" s="16"/>
      <c r="L519" s="158"/>
    </row>
    <row r="520" spans="1:12" s="27" customFormat="1" ht="14.1" customHeight="1">
      <c r="A520" s="186"/>
      <c r="C520" s="363" t="s">
        <v>965</v>
      </c>
      <c r="D520" s="303"/>
      <c r="E520" s="303"/>
      <c r="F520" s="361"/>
      <c r="G520" s="362"/>
      <c r="H520" s="362"/>
      <c r="I520" s="48"/>
      <c r="J520" s="48"/>
      <c r="K520" s="16"/>
      <c r="L520" s="158"/>
    </row>
    <row r="521" spans="1:12" s="27" customFormat="1" ht="14.1" customHeight="1">
      <c r="A521" s="186"/>
      <c r="C521" s="48"/>
      <c r="D521" s="48"/>
      <c r="E521" s="48"/>
      <c r="F521" s="362"/>
      <c r="G521" s="362"/>
      <c r="H521" s="362"/>
      <c r="I521" s="48"/>
      <c r="J521" s="48"/>
      <c r="K521" s="16"/>
      <c r="L521" s="158"/>
    </row>
    <row r="522" spans="1:12" s="27" customFormat="1" ht="14.1" customHeight="1">
      <c r="A522" s="186"/>
      <c r="C522" s="48"/>
      <c r="D522" s="48"/>
      <c r="E522" s="48"/>
      <c r="F522" s="362"/>
      <c r="G522" s="362"/>
      <c r="H522" s="362"/>
      <c r="I522" s="48"/>
      <c r="J522" s="48"/>
      <c r="K522" s="16"/>
      <c r="L522" s="158"/>
    </row>
    <row r="523" spans="1:12" s="27" customFormat="1" ht="14.1" customHeight="1">
      <c r="A523" s="186"/>
      <c r="C523" s="48"/>
      <c r="D523" s="48"/>
      <c r="E523" s="48"/>
      <c r="F523" s="362"/>
      <c r="G523" s="362"/>
      <c r="H523" s="362"/>
      <c r="I523" s="48"/>
      <c r="J523" s="48"/>
      <c r="K523" s="16"/>
      <c r="L523" s="158"/>
    </row>
    <row r="524" spans="1:12" s="27" customFormat="1" ht="14.1" customHeight="1">
      <c r="A524" s="186"/>
      <c r="B524" s="14"/>
      <c r="D524" s="303"/>
      <c r="E524" s="303"/>
      <c r="F524" s="303"/>
      <c r="G524" s="303"/>
      <c r="H524" s="362"/>
      <c r="I524" s="48"/>
      <c r="J524" s="48"/>
      <c r="K524" s="16"/>
      <c r="L524" s="158"/>
    </row>
    <row r="525" spans="1:12" s="27" customFormat="1" ht="14.1" customHeight="1">
      <c r="A525" s="186"/>
      <c r="C525" s="362"/>
      <c r="D525" s="362"/>
      <c r="E525" s="362"/>
      <c r="F525" s="361"/>
      <c r="G525" s="362"/>
      <c r="H525" s="362"/>
      <c r="I525" s="48"/>
      <c r="J525" s="48"/>
      <c r="K525" s="16"/>
      <c r="L525" s="158"/>
    </row>
    <row r="526" spans="1:12" s="27" customFormat="1" ht="14.1" customHeight="1">
      <c r="A526" s="186"/>
      <c r="C526" s="48"/>
      <c r="D526" s="48"/>
      <c r="E526" s="48"/>
      <c r="F526" s="362"/>
      <c r="G526" s="362"/>
      <c r="H526" s="362"/>
      <c r="I526" s="48"/>
      <c r="J526" s="48"/>
      <c r="K526" s="16"/>
      <c r="L526" s="158"/>
    </row>
    <row r="527" spans="1:12" s="27" customFormat="1" ht="14.1" customHeight="1">
      <c r="A527" s="186"/>
      <c r="C527" s="48"/>
      <c r="D527" s="48"/>
      <c r="E527" s="48"/>
      <c r="F527" s="362"/>
      <c r="G527" s="362"/>
      <c r="H527" s="362"/>
      <c r="I527" s="48"/>
      <c r="J527" s="48"/>
      <c r="K527" s="16"/>
      <c r="L527" s="158"/>
    </row>
    <row r="528" spans="1:12" s="27" customFormat="1" ht="14.1" customHeight="1">
      <c r="A528" s="186"/>
      <c r="C528" s="48"/>
      <c r="D528" s="48"/>
      <c r="E528" s="48"/>
      <c r="F528" s="362"/>
      <c r="G528" s="362"/>
      <c r="H528" s="362"/>
      <c r="I528" s="48"/>
      <c r="J528" s="48"/>
      <c r="K528" s="16"/>
      <c r="L528" s="158"/>
    </row>
    <row r="529" spans="1:13" s="27" customFormat="1" ht="14.1" customHeight="1">
      <c r="A529" s="186"/>
      <c r="C529" s="48"/>
      <c r="D529" s="48"/>
      <c r="E529" s="48"/>
      <c r="F529" s="362"/>
      <c r="G529" s="362"/>
      <c r="H529" s="362"/>
      <c r="I529" s="48"/>
      <c r="J529" s="48"/>
      <c r="K529" s="16"/>
      <c r="L529" s="364"/>
      <c r="M529" s="186"/>
    </row>
    <row r="530" spans="1:13" s="27" customFormat="1" ht="14.1" customHeight="1">
      <c r="A530" s="186"/>
      <c r="C530" s="48"/>
      <c r="D530" s="48"/>
      <c r="E530" s="48"/>
      <c r="F530" s="362"/>
      <c r="G530" s="362"/>
      <c r="H530" s="362"/>
      <c r="I530" s="48"/>
      <c r="J530" s="48"/>
      <c r="K530" s="16"/>
      <c r="L530" s="158"/>
    </row>
    <row r="531" spans="1:13" s="27" customFormat="1" ht="14.1" customHeight="1">
      <c r="A531" s="186"/>
      <c r="B531" s="14"/>
      <c r="C531" s="362"/>
      <c r="D531" s="362"/>
      <c r="E531" s="362"/>
      <c r="F531" s="362"/>
      <c r="G531" s="362"/>
      <c r="H531" s="362"/>
      <c r="I531" s="48"/>
      <c r="J531" s="48"/>
      <c r="K531" s="365"/>
      <c r="L531" s="158"/>
    </row>
    <row r="532" spans="1:13" s="27" customFormat="1" ht="14.1" customHeight="1">
      <c r="A532" s="186"/>
      <c r="C532" s="48"/>
      <c r="D532" s="48"/>
      <c r="E532" s="48"/>
      <c r="F532" s="362"/>
      <c r="G532" s="362"/>
      <c r="H532" s="362"/>
      <c r="I532" s="48"/>
      <c r="J532" s="48"/>
      <c r="K532" s="16"/>
      <c r="L532" s="366"/>
    </row>
    <row r="533" spans="1:13" s="27" customFormat="1" ht="14.1" customHeight="1">
      <c r="A533" s="186"/>
      <c r="B533" s="14"/>
      <c r="C533" s="362"/>
      <c r="D533" s="362"/>
      <c r="E533" s="362"/>
      <c r="F533" s="362"/>
      <c r="G533" s="362"/>
      <c r="H533" s="362"/>
      <c r="I533" s="48"/>
      <c r="J533" s="48"/>
      <c r="K533" s="16"/>
      <c r="L533" s="362"/>
    </row>
    <row r="534" spans="1:13" s="27" customFormat="1" ht="14.1" customHeight="1">
      <c r="A534" s="186"/>
      <c r="G534" s="367"/>
      <c r="H534" s="367"/>
      <c r="I534" s="48"/>
      <c r="J534" s="48"/>
      <c r="K534" s="16"/>
      <c r="L534" s="366"/>
    </row>
    <row r="535" spans="1:13" s="27" customFormat="1" ht="14.1" customHeight="1">
      <c r="A535" s="186"/>
      <c r="B535" s="14"/>
      <c r="C535" s="187"/>
      <c r="D535" s="187"/>
      <c r="E535" s="187"/>
      <c r="F535" s="188"/>
      <c r="G535" s="188"/>
      <c r="H535" s="368"/>
      <c r="I535" s="48"/>
      <c r="J535" s="48"/>
      <c r="K535" s="16"/>
      <c r="L535" s="366"/>
    </row>
    <row r="536" spans="1:13" ht="14.1" customHeight="1">
      <c r="B536" s="27"/>
      <c r="F536" s="369"/>
      <c r="G536" s="369"/>
      <c r="H536" s="367"/>
      <c r="I536" s="11"/>
      <c r="J536" s="11"/>
      <c r="K536" s="16"/>
      <c r="L536" s="15"/>
    </row>
    <row r="537" spans="1:13" ht="14.1" customHeight="1">
      <c r="B537" s="370"/>
      <c r="C537" s="43"/>
      <c r="D537" s="43"/>
      <c r="E537" s="43"/>
      <c r="F537" s="371"/>
      <c r="G537" s="372"/>
      <c r="H537" s="367"/>
      <c r="I537" s="11"/>
      <c r="J537" s="11"/>
      <c r="K537" s="16"/>
      <c r="L537" s="15"/>
    </row>
    <row r="538" spans="1:13" ht="14.1" customHeight="1">
      <c r="B538" s="27"/>
      <c r="G538" s="373"/>
      <c r="H538" s="373"/>
      <c r="I538" s="11"/>
      <c r="J538" s="11"/>
      <c r="K538" s="365"/>
      <c r="L538" s="15"/>
    </row>
    <row r="539" spans="1:13" ht="14.1" customHeight="1">
      <c r="B539" s="27"/>
      <c r="G539" s="372"/>
      <c r="H539" s="372"/>
      <c r="I539" s="11"/>
      <c r="J539" s="11"/>
      <c r="K539" s="365"/>
      <c r="L539" s="15"/>
    </row>
    <row r="540" spans="1:13" ht="14.1" customHeight="1">
      <c r="B540" s="27"/>
      <c r="G540" s="372"/>
      <c r="H540" s="372"/>
      <c r="I540" s="11"/>
      <c r="J540" s="11"/>
      <c r="K540" s="365"/>
      <c r="L540" s="15"/>
    </row>
    <row r="541" spans="1:13" ht="14.1" customHeight="1">
      <c r="B541" s="27"/>
      <c r="G541" s="374"/>
      <c r="H541" s="374"/>
      <c r="I541" s="11"/>
      <c r="J541" s="11"/>
      <c r="K541" s="365"/>
      <c r="L541" s="15"/>
    </row>
    <row r="542" spans="1:13" ht="14.1" customHeight="1">
      <c r="B542" s="27"/>
      <c r="G542" s="372"/>
      <c r="H542" s="372"/>
      <c r="I542" s="11"/>
      <c r="J542" s="11"/>
      <c r="K542" s="365"/>
      <c r="L542" s="15"/>
    </row>
    <row r="543" spans="1:13" ht="14.1" customHeight="1">
      <c r="B543" s="27"/>
      <c r="G543" s="372"/>
      <c r="H543" s="372"/>
      <c r="I543" s="11"/>
      <c r="J543" s="11"/>
      <c r="K543" s="365"/>
      <c r="L543" s="15"/>
    </row>
    <row r="544" spans="1:13" ht="14.1" customHeight="1">
      <c r="B544" s="27"/>
      <c r="G544" s="372"/>
      <c r="H544" s="372"/>
      <c r="I544" s="11"/>
      <c r="J544" s="11"/>
      <c r="K544" s="365"/>
      <c r="L544" s="15"/>
    </row>
    <row r="545" spans="2:12" ht="14.1" customHeight="1">
      <c r="B545" s="27"/>
      <c r="G545" s="372"/>
      <c r="H545" s="372"/>
      <c r="I545" s="11"/>
      <c r="J545" s="11"/>
      <c r="K545" s="365"/>
      <c r="L545" s="15"/>
    </row>
    <row r="546" spans="2:12" ht="14.1" customHeight="1">
      <c r="B546" s="27"/>
      <c r="G546" s="372"/>
      <c r="H546" s="372"/>
      <c r="I546" s="11"/>
      <c r="J546" s="11"/>
      <c r="K546" s="365"/>
      <c r="L546" s="15"/>
    </row>
    <row r="547" spans="2:12" ht="14.1" customHeight="1">
      <c r="B547" s="27"/>
      <c r="G547" s="372"/>
      <c r="H547" s="372"/>
      <c r="I547" s="11"/>
      <c r="J547" s="11"/>
      <c r="K547" s="365"/>
      <c r="L547" s="15"/>
    </row>
    <row r="548" spans="2:12" ht="14.1" customHeight="1">
      <c r="B548" s="27"/>
      <c r="G548" s="372"/>
      <c r="H548" s="372"/>
      <c r="I548" s="11"/>
      <c r="J548" s="11"/>
      <c r="K548" s="365"/>
      <c r="L548" s="15"/>
    </row>
    <row r="549" spans="2:12" ht="14.1" customHeight="1">
      <c r="B549" s="27"/>
      <c r="G549" s="372"/>
      <c r="H549" s="372"/>
      <c r="I549" s="11"/>
      <c r="J549" s="11"/>
      <c r="K549" s="365"/>
      <c r="L549" s="15"/>
    </row>
    <row r="550" spans="2:12" ht="14.1" customHeight="1">
      <c r="B550" s="27"/>
      <c r="G550" s="372"/>
      <c r="H550" s="372"/>
      <c r="I550" s="11"/>
      <c r="J550" s="11"/>
      <c r="K550" s="365"/>
      <c r="L550" s="15"/>
    </row>
    <row r="551" spans="2:12" ht="14.1" customHeight="1">
      <c r="B551" s="27"/>
      <c r="G551" s="372"/>
      <c r="H551" s="372"/>
      <c r="I551" s="11"/>
      <c r="J551" s="11"/>
      <c r="K551" s="365"/>
      <c r="L551" s="15"/>
    </row>
    <row r="552" spans="2:12" ht="14.1" customHeight="1">
      <c r="B552" s="27"/>
      <c r="G552" s="372"/>
      <c r="H552" s="372"/>
      <c r="I552" s="11"/>
      <c r="J552" s="11"/>
      <c r="K552" s="365"/>
      <c r="L552" s="15"/>
    </row>
    <row r="553" spans="2:12" ht="14.1" customHeight="1">
      <c r="B553" s="27"/>
      <c r="G553" s="372"/>
      <c r="H553" s="372"/>
      <c r="I553" s="11"/>
      <c r="J553" s="11"/>
      <c r="K553" s="365"/>
      <c r="L553" s="15"/>
    </row>
    <row r="554" spans="2:12" ht="14.1" customHeight="1">
      <c r="B554" s="27"/>
      <c r="G554" s="372"/>
      <c r="H554" s="372"/>
      <c r="I554" s="11"/>
      <c r="J554" s="11"/>
      <c r="K554" s="365"/>
      <c r="L554" s="15"/>
    </row>
    <row r="555" spans="2:12" ht="14.1" customHeight="1">
      <c r="B555" s="27"/>
      <c r="G555" s="372"/>
      <c r="H555" s="372"/>
      <c r="I555" s="11"/>
      <c r="J555" s="11"/>
      <c r="K555" s="365"/>
      <c r="L555" s="15"/>
    </row>
    <row r="556" spans="2:12" ht="14.1" customHeight="1">
      <c r="B556" s="27"/>
      <c r="G556" s="372"/>
      <c r="H556" s="372"/>
      <c r="I556" s="11"/>
      <c r="J556" s="11"/>
      <c r="K556" s="365"/>
      <c r="L556" s="15"/>
    </row>
    <row r="557" spans="2:12" ht="14.1" customHeight="1">
      <c r="B557" s="27"/>
      <c r="G557" s="372"/>
      <c r="H557" s="372"/>
      <c r="I557" s="11"/>
      <c r="J557" s="11"/>
      <c r="K557" s="365"/>
      <c r="L557" s="15"/>
    </row>
    <row r="558" spans="2:12" ht="14.1" customHeight="1">
      <c r="B558" s="27"/>
      <c r="G558" s="372"/>
      <c r="H558" s="372"/>
      <c r="I558" s="11"/>
      <c r="J558" s="11"/>
      <c r="K558" s="365"/>
      <c r="L558" s="15"/>
    </row>
    <row r="559" spans="2:12" ht="14.1" customHeight="1">
      <c r="B559" s="27"/>
      <c r="G559" s="372"/>
      <c r="H559" s="372"/>
      <c r="I559" s="11"/>
      <c r="J559" s="11"/>
      <c r="K559" s="365"/>
      <c r="L559" s="15"/>
    </row>
    <row r="560" spans="2:12" ht="14.1" customHeight="1">
      <c r="B560" s="27"/>
      <c r="G560" s="372"/>
      <c r="H560" s="372"/>
      <c r="I560" s="11"/>
      <c r="J560" s="11"/>
      <c r="K560" s="365"/>
      <c r="L560" s="15"/>
    </row>
    <row r="561" spans="2:12" ht="14.1" customHeight="1">
      <c r="B561" s="27"/>
      <c r="G561" s="372"/>
      <c r="H561" s="372"/>
      <c r="I561" s="11"/>
      <c r="J561" s="11"/>
      <c r="K561" s="365"/>
      <c r="L561" s="15"/>
    </row>
    <row r="562" spans="2:12" ht="14.1" customHeight="1">
      <c r="B562" s="27"/>
      <c r="G562" s="372"/>
      <c r="H562" s="372"/>
      <c r="I562" s="11"/>
      <c r="J562" s="11"/>
      <c r="K562" s="365"/>
      <c r="L562" s="15"/>
    </row>
    <row r="563" spans="2:12" ht="14.1" customHeight="1">
      <c r="B563" s="27"/>
      <c r="G563" s="372"/>
      <c r="H563" s="372"/>
      <c r="I563" s="11"/>
      <c r="J563" s="11"/>
      <c r="K563" s="365"/>
      <c r="L563" s="15"/>
    </row>
    <row r="564" spans="2:12" ht="14.1" customHeight="1">
      <c r="B564" s="27"/>
      <c r="G564" s="372"/>
      <c r="H564" s="372"/>
      <c r="I564" s="11"/>
      <c r="J564" s="11"/>
      <c r="K564" s="365"/>
      <c r="L564" s="15"/>
    </row>
    <row r="565" spans="2:12" ht="14.1" customHeight="1">
      <c r="B565" s="27"/>
      <c r="G565" s="372"/>
      <c r="H565" s="372"/>
      <c r="I565" s="11"/>
      <c r="J565" s="11"/>
      <c r="K565" s="365"/>
      <c r="L565" s="15"/>
    </row>
    <row r="566" spans="2:12" ht="14.1" customHeight="1">
      <c r="B566" s="27"/>
      <c r="G566" s="372"/>
      <c r="H566" s="372"/>
      <c r="I566" s="11"/>
      <c r="J566" s="11"/>
      <c r="K566" s="365"/>
      <c r="L566" s="15"/>
    </row>
    <row r="567" spans="2:12" ht="14.1" customHeight="1">
      <c r="B567" s="27"/>
      <c r="G567" s="372"/>
      <c r="H567" s="372"/>
      <c r="I567" s="11"/>
      <c r="J567" s="11"/>
      <c r="K567" s="365"/>
      <c r="L567" s="15"/>
    </row>
    <row r="568" spans="2:12" ht="14.1" customHeight="1">
      <c r="B568" s="27"/>
      <c r="G568" s="372"/>
      <c r="H568" s="372"/>
      <c r="I568" s="11"/>
      <c r="J568" s="11"/>
      <c r="K568" s="365"/>
      <c r="L568" s="15"/>
    </row>
    <row r="569" spans="2:12" ht="14.1" customHeight="1">
      <c r="B569" s="27"/>
      <c r="G569" s="372"/>
      <c r="H569" s="372"/>
      <c r="I569" s="11"/>
      <c r="J569" s="11"/>
      <c r="K569" s="365"/>
      <c r="L569" s="15"/>
    </row>
    <row r="570" spans="2:12" ht="14.1" customHeight="1">
      <c r="B570" s="27"/>
      <c r="G570" s="372"/>
      <c r="H570" s="372"/>
      <c r="I570" s="11"/>
      <c r="J570" s="11"/>
      <c r="K570" s="365"/>
      <c r="L570" s="15"/>
    </row>
    <row r="571" spans="2:12" ht="14.1" customHeight="1">
      <c r="B571" s="27"/>
      <c r="G571" s="372"/>
      <c r="H571" s="372"/>
      <c r="I571" s="11"/>
      <c r="J571" s="11"/>
      <c r="K571" s="365"/>
      <c r="L571" s="15"/>
    </row>
    <row r="572" spans="2:12" ht="14.1" customHeight="1">
      <c r="B572" s="27"/>
      <c r="G572" s="372"/>
      <c r="H572" s="372"/>
      <c r="I572" s="11"/>
      <c r="J572" s="11"/>
      <c r="K572" s="365"/>
      <c r="L572" s="15"/>
    </row>
    <row r="573" spans="2:12" ht="14.1" customHeight="1">
      <c r="B573" s="27"/>
      <c r="G573" s="372"/>
      <c r="H573" s="372"/>
      <c r="I573" s="11"/>
      <c r="J573" s="11"/>
      <c r="K573" s="365"/>
      <c r="L573" s="15"/>
    </row>
    <row r="574" spans="2:12" ht="14.1" customHeight="1">
      <c r="B574" s="27"/>
      <c r="G574" s="372"/>
      <c r="H574" s="372"/>
      <c r="I574" s="11"/>
      <c r="J574" s="11"/>
      <c r="K574" s="365"/>
      <c r="L574" s="15"/>
    </row>
    <row r="575" spans="2:12" ht="14.1" customHeight="1">
      <c r="B575" s="27"/>
      <c r="G575" s="372"/>
      <c r="H575" s="372"/>
      <c r="I575" s="11"/>
      <c r="J575" s="11"/>
      <c r="K575" s="365"/>
      <c r="L575" s="15"/>
    </row>
    <row r="576" spans="2:12" ht="14.1" customHeight="1">
      <c r="B576" s="27"/>
      <c r="G576" s="372"/>
      <c r="H576" s="372"/>
      <c r="I576" s="11"/>
      <c r="J576" s="11"/>
      <c r="K576" s="365"/>
      <c r="L576" s="15"/>
    </row>
    <row r="577" spans="2:12" ht="14.1" customHeight="1">
      <c r="B577" s="27"/>
      <c r="G577" s="372"/>
      <c r="H577" s="372"/>
      <c r="I577" s="11"/>
      <c r="J577" s="11"/>
      <c r="K577" s="365"/>
      <c r="L577" s="15"/>
    </row>
    <row r="578" spans="2:12" ht="14.1" customHeight="1">
      <c r="B578" s="27"/>
      <c r="G578" s="372"/>
      <c r="H578" s="372"/>
      <c r="I578" s="11"/>
      <c r="J578" s="11"/>
      <c r="K578" s="365"/>
      <c r="L578" s="15"/>
    </row>
    <row r="579" spans="2:12" ht="14.1" customHeight="1">
      <c r="B579" s="27"/>
      <c r="G579" s="372"/>
      <c r="H579" s="372"/>
      <c r="I579" s="11"/>
      <c r="J579" s="11"/>
      <c r="K579" s="365"/>
      <c r="L579" s="15"/>
    </row>
    <row r="580" spans="2:12" ht="14.1" customHeight="1">
      <c r="B580" s="27"/>
      <c r="G580" s="372"/>
      <c r="H580" s="372"/>
      <c r="I580" s="11"/>
      <c r="J580" s="11"/>
      <c r="K580" s="365"/>
      <c r="L580" s="15"/>
    </row>
    <row r="581" spans="2:12" ht="14.1" customHeight="1">
      <c r="B581" s="27"/>
      <c r="G581" s="372"/>
      <c r="H581" s="372"/>
      <c r="I581" s="11"/>
      <c r="J581" s="11"/>
      <c r="K581" s="365"/>
      <c r="L581" s="15"/>
    </row>
    <row r="582" spans="2:12" ht="14.1" customHeight="1">
      <c r="B582" s="27"/>
      <c r="G582" s="372"/>
      <c r="H582" s="372"/>
      <c r="I582" s="11"/>
      <c r="J582" s="11"/>
      <c r="K582" s="365"/>
      <c r="L582" s="15"/>
    </row>
    <row r="583" spans="2:12" ht="14.1" customHeight="1">
      <c r="B583" s="27"/>
      <c r="G583" s="372"/>
      <c r="H583" s="372"/>
      <c r="I583" s="11"/>
      <c r="J583" s="11"/>
      <c r="K583" s="365"/>
      <c r="L583" s="15"/>
    </row>
    <row r="584" spans="2:12" ht="14.1" customHeight="1">
      <c r="B584" s="27"/>
      <c r="G584" s="372"/>
      <c r="H584" s="372"/>
      <c r="I584" s="11"/>
      <c r="J584" s="11"/>
      <c r="K584" s="365"/>
      <c r="L584" s="15"/>
    </row>
    <row r="585" spans="2:12" ht="14.1" customHeight="1">
      <c r="B585" s="27"/>
      <c r="G585" s="372"/>
      <c r="H585" s="372"/>
      <c r="I585" s="11"/>
      <c r="J585" s="11"/>
      <c r="K585" s="365"/>
      <c r="L585" s="15"/>
    </row>
    <row r="586" spans="2:12" ht="14.1" customHeight="1">
      <c r="B586" s="27"/>
      <c r="G586" s="372"/>
      <c r="H586" s="372"/>
      <c r="I586" s="11"/>
      <c r="J586" s="11"/>
      <c r="K586" s="365"/>
      <c r="L586" s="15"/>
    </row>
    <row r="587" spans="2:12" ht="14.1" customHeight="1">
      <c r="B587" s="27"/>
      <c r="G587" s="372"/>
      <c r="H587" s="372"/>
      <c r="I587" s="11"/>
      <c r="J587" s="11"/>
      <c r="K587" s="365"/>
      <c r="L587" s="15"/>
    </row>
    <row r="588" spans="2:12" ht="14.1" customHeight="1">
      <c r="B588" s="27"/>
      <c r="G588" s="372"/>
      <c r="H588" s="372"/>
      <c r="I588" s="11"/>
      <c r="J588" s="11"/>
      <c r="K588" s="365"/>
      <c r="L588" s="15"/>
    </row>
    <row r="589" spans="2:12" ht="14.1" customHeight="1">
      <c r="B589" s="27"/>
      <c r="G589" s="372"/>
      <c r="H589" s="372"/>
      <c r="I589" s="11"/>
      <c r="J589" s="11"/>
      <c r="K589" s="365"/>
      <c r="L589" s="15"/>
    </row>
    <row r="590" spans="2:12" ht="14.1" customHeight="1">
      <c r="B590" s="27"/>
      <c r="G590" s="372"/>
      <c r="H590" s="372"/>
      <c r="I590" s="375"/>
      <c r="J590" s="375"/>
      <c r="K590" s="372"/>
      <c r="L590" s="365"/>
    </row>
    <row r="591" spans="2:12" ht="14.1" customHeight="1">
      <c r="B591" s="27"/>
      <c r="G591" s="372"/>
      <c r="H591" s="372"/>
      <c r="I591" s="375"/>
      <c r="J591" s="375"/>
      <c r="K591" s="372"/>
      <c r="L591" s="365"/>
    </row>
    <row r="592" spans="2:12" ht="14.1" customHeight="1">
      <c r="B592" s="27"/>
      <c r="G592" s="372"/>
      <c r="H592" s="372"/>
      <c r="I592" s="375"/>
      <c r="J592" s="375"/>
      <c r="K592" s="372"/>
      <c r="L592" s="365"/>
    </row>
    <row r="593" spans="2:12" ht="14.1" customHeight="1">
      <c r="B593" s="27"/>
      <c r="G593" s="372"/>
      <c r="H593" s="372"/>
      <c r="I593" s="375"/>
      <c r="J593" s="375"/>
      <c r="K593" s="372"/>
      <c r="L593" s="365"/>
    </row>
    <row r="594" spans="2:12" ht="14.1" customHeight="1">
      <c r="B594" s="27"/>
      <c r="G594" s="372"/>
      <c r="H594" s="372"/>
      <c r="I594" s="375"/>
      <c r="J594" s="375"/>
      <c r="K594" s="372"/>
      <c r="L594" s="365"/>
    </row>
    <row r="595" spans="2:12" ht="14.1" customHeight="1">
      <c r="B595" s="27"/>
      <c r="G595" s="372"/>
      <c r="H595" s="372"/>
      <c r="I595" s="375"/>
      <c r="J595" s="375"/>
      <c r="K595" s="372"/>
      <c r="L595" s="365"/>
    </row>
    <row r="596" spans="2:12" ht="14.1" customHeight="1">
      <c r="B596" s="27"/>
      <c r="G596" s="372"/>
      <c r="H596" s="372"/>
      <c r="I596" s="375"/>
      <c r="J596" s="375"/>
      <c r="K596" s="372"/>
      <c r="L596" s="365"/>
    </row>
    <row r="597" spans="2:12" ht="14.1" customHeight="1">
      <c r="B597" s="27"/>
      <c r="G597" s="372"/>
      <c r="H597" s="372"/>
      <c r="I597" s="375"/>
      <c r="J597" s="375"/>
      <c r="K597" s="372"/>
      <c r="L597" s="365"/>
    </row>
    <row r="598" spans="2:12" ht="14.1" customHeight="1">
      <c r="B598" s="27"/>
      <c r="G598" s="372"/>
      <c r="H598" s="372"/>
      <c r="I598" s="375"/>
      <c r="J598" s="375"/>
      <c r="K598" s="372"/>
      <c r="L598" s="365"/>
    </row>
    <row r="599" spans="2:12" ht="14.1" customHeight="1">
      <c r="B599" s="27"/>
      <c r="G599" s="372"/>
      <c r="H599" s="372"/>
      <c r="I599" s="375"/>
      <c r="J599" s="375"/>
      <c r="K599" s="372"/>
      <c r="L599" s="365"/>
    </row>
    <row r="600" spans="2:12" ht="14.1" customHeight="1">
      <c r="B600" s="27"/>
      <c r="G600" s="372"/>
      <c r="H600" s="372"/>
      <c r="I600" s="375"/>
      <c r="J600" s="375"/>
      <c r="K600" s="372"/>
      <c r="L600" s="365"/>
    </row>
    <row r="601" spans="2:12" ht="14.1" customHeight="1">
      <c r="B601" s="27"/>
      <c r="G601" s="372"/>
      <c r="H601" s="372"/>
      <c r="I601" s="375"/>
      <c r="J601" s="375"/>
      <c r="K601" s="372"/>
      <c r="L601" s="365"/>
    </row>
    <row r="602" spans="2:12" ht="14.1" customHeight="1">
      <c r="B602" s="27"/>
      <c r="G602" s="372"/>
      <c r="H602" s="372"/>
      <c r="I602" s="375"/>
      <c r="J602" s="375"/>
      <c r="K602" s="372"/>
      <c r="L602" s="365"/>
    </row>
    <row r="603" spans="2:12" ht="14.1" customHeight="1">
      <c r="B603" s="27"/>
      <c r="G603" s="372"/>
      <c r="H603" s="372"/>
      <c r="I603" s="375"/>
      <c r="J603" s="375"/>
      <c r="K603" s="372"/>
      <c r="L603" s="365"/>
    </row>
    <row r="604" spans="2:12" ht="14.1" customHeight="1">
      <c r="B604" s="27"/>
      <c r="G604" s="372"/>
      <c r="H604" s="372"/>
      <c r="I604" s="375"/>
      <c r="J604" s="375"/>
      <c r="K604" s="372"/>
      <c r="L604" s="365"/>
    </row>
    <row r="605" spans="2:12" ht="14.1" customHeight="1">
      <c r="B605" s="27"/>
      <c r="G605" s="372"/>
      <c r="H605" s="372"/>
      <c r="I605" s="375"/>
      <c r="J605" s="375"/>
      <c r="K605" s="372"/>
      <c r="L605" s="365"/>
    </row>
    <row r="606" spans="2:12" ht="14.1" customHeight="1">
      <c r="B606" s="27"/>
      <c r="G606" s="372"/>
      <c r="H606" s="372"/>
      <c r="I606" s="375"/>
      <c r="J606" s="375"/>
      <c r="K606" s="372"/>
      <c r="L606" s="365"/>
    </row>
    <row r="607" spans="2:12" ht="14.1" customHeight="1">
      <c r="B607" s="27"/>
      <c r="G607" s="372"/>
      <c r="H607" s="372"/>
      <c r="I607" s="375"/>
      <c r="J607" s="375"/>
      <c r="K607" s="372"/>
      <c r="L607" s="365"/>
    </row>
    <row r="608" spans="2:12" ht="14.1" customHeight="1">
      <c r="B608" s="27"/>
      <c r="G608" s="372"/>
      <c r="H608" s="372"/>
      <c r="I608" s="375"/>
      <c r="J608" s="375"/>
      <c r="K608" s="372"/>
      <c r="L608" s="365"/>
    </row>
    <row r="609" spans="2:12" ht="14.1" customHeight="1">
      <c r="B609" s="27"/>
      <c r="G609" s="372"/>
      <c r="H609" s="372"/>
      <c r="I609" s="375"/>
      <c r="J609" s="375"/>
      <c r="K609" s="372"/>
      <c r="L609" s="365"/>
    </row>
    <row r="610" spans="2:12" ht="14.1" customHeight="1">
      <c r="B610" s="27"/>
      <c r="G610" s="372"/>
      <c r="H610" s="372"/>
      <c r="I610" s="375"/>
      <c r="J610" s="375"/>
      <c r="K610" s="372"/>
      <c r="L610" s="365"/>
    </row>
    <row r="611" spans="2:12" ht="14.1" customHeight="1">
      <c r="B611" s="27"/>
      <c r="G611" s="372"/>
      <c r="H611" s="372"/>
      <c r="I611" s="375"/>
      <c r="J611" s="375"/>
      <c r="K611" s="372"/>
      <c r="L611" s="365"/>
    </row>
    <row r="612" spans="2:12" ht="14.1" customHeight="1">
      <c r="B612" s="27"/>
      <c r="G612" s="372"/>
      <c r="H612" s="372"/>
      <c r="I612" s="375"/>
      <c r="J612" s="375"/>
      <c r="K612" s="372"/>
      <c r="L612" s="365"/>
    </row>
    <row r="613" spans="2:12" ht="14.1" customHeight="1">
      <c r="B613" s="27"/>
      <c r="G613" s="372"/>
      <c r="H613" s="372"/>
      <c r="I613" s="375"/>
      <c r="J613" s="375"/>
      <c r="K613" s="372"/>
      <c r="L613" s="365"/>
    </row>
    <row r="614" spans="2:12" ht="14.1" customHeight="1">
      <c r="B614" s="27"/>
      <c r="G614" s="372"/>
      <c r="H614" s="372"/>
      <c r="I614" s="375"/>
      <c r="J614" s="375"/>
      <c r="K614" s="372"/>
      <c r="L614" s="365"/>
    </row>
    <row r="615" spans="2:12" ht="14.1" customHeight="1">
      <c r="B615" s="27"/>
      <c r="G615" s="372"/>
      <c r="H615" s="372"/>
      <c r="I615" s="375"/>
      <c r="J615" s="375"/>
      <c r="K615" s="372"/>
      <c r="L615" s="376"/>
    </row>
    <row r="616" spans="2:12" ht="14.1" customHeight="1">
      <c r="B616" s="27"/>
      <c r="G616" s="372"/>
      <c r="H616" s="372"/>
      <c r="I616" s="375"/>
      <c r="J616" s="375"/>
      <c r="K616" s="372"/>
      <c r="L616" s="376"/>
    </row>
    <row r="617" spans="2:12" ht="14.1" customHeight="1">
      <c r="B617" s="27"/>
      <c r="G617" s="372"/>
      <c r="H617" s="372"/>
      <c r="I617" s="375"/>
      <c r="J617" s="375"/>
      <c r="K617" s="372"/>
      <c r="L617" s="376"/>
    </row>
    <row r="618" spans="2:12" ht="14.1" customHeight="1">
      <c r="B618" s="27"/>
      <c r="G618" s="372"/>
      <c r="H618" s="372"/>
      <c r="I618" s="375"/>
      <c r="J618" s="375"/>
      <c r="K618" s="372"/>
      <c r="L618" s="376"/>
    </row>
    <row r="619" spans="2:12" ht="14.1" customHeight="1">
      <c r="B619" s="27"/>
      <c r="G619" s="372"/>
      <c r="H619" s="372"/>
      <c r="I619" s="375"/>
      <c r="J619" s="375"/>
      <c r="K619" s="372"/>
      <c r="L619" s="376"/>
    </row>
    <row r="620" spans="2:12" ht="14.1" customHeight="1">
      <c r="B620" s="27"/>
      <c r="G620" s="372"/>
      <c r="H620" s="372"/>
      <c r="I620" s="375"/>
      <c r="J620" s="375"/>
      <c r="K620" s="372"/>
      <c r="L620" s="376"/>
    </row>
    <row r="621" spans="2:12" ht="14.1" customHeight="1">
      <c r="B621" s="27"/>
      <c r="G621" s="372"/>
      <c r="H621" s="372"/>
      <c r="I621" s="375"/>
      <c r="J621" s="375"/>
      <c r="K621" s="372"/>
      <c r="L621" s="376"/>
    </row>
    <row r="622" spans="2:12" ht="14.1" customHeight="1">
      <c r="B622" s="27"/>
      <c r="G622" s="372"/>
      <c r="H622" s="372"/>
      <c r="I622" s="375"/>
      <c r="J622" s="375"/>
      <c r="K622" s="372"/>
      <c r="L622" s="376"/>
    </row>
    <row r="623" spans="2:12" ht="14.1" customHeight="1">
      <c r="B623" s="27"/>
      <c r="G623" s="372"/>
      <c r="H623" s="372"/>
      <c r="I623" s="375"/>
      <c r="J623" s="375"/>
      <c r="K623" s="372"/>
      <c r="L623" s="376"/>
    </row>
    <row r="624" spans="2:12" ht="14.1" customHeight="1">
      <c r="B624" s="27"/>
      <c r="G624" s="372"/>
      <c r="H624" s="372"/>
      <c r="I624" s="375"/>
      <c r="J624" s="375"/>
      <c r="K624" s="372"/>
      <c r="L624" s="376"/>
    </row>
    <row r="625" spans="2:12" ht="14.1" customHeight="1">
      <c r="B625" s="27"/>
      <c r="G625" s="372"/>
      <c r="H625" s="372"/>
      <c r="I625" s="375"/>
      <c r="J625" s="375"/>
      <c r="K625" s="372"/>
      <c r="L625" s="376"/>
    </row>
    <row r="626" spans="2:12" ht="14.1" customHeight="1">
      <c r="B626" s="27"/>
      <c r="G626" s="372"/>
      <c r="H626" s="372"/>
      <c r="I626" s="375"/>
      <c r="J626" s="375"/>
      <c r="K626" s="372"/>
      <c r="L626" s="376"/>
    </row>
    <row r="627" spans="2:12" ht="14.1" customHeight="1">
      <c r="B627" s="27"/>
      <c r="G627" s="372"/>
      <c r="H627" s="372"/>
      <c r="I627" s="375"/>
      <c r="J627" s="375"/>
      <c r="K627" s="372"/>
      <c r="L627" s="376"/>
    </row>
    <row r="628" spans="2:12" ht="14.1" customHeight="1">
      <c r="B628" s="27"/>
      <c r="G628" s="372"/>
      <c r="H628" s="372"/>
      <c r="I628" s="375"/>
      <c r="J628" s="375"/>
      <c r="K628" s="372"/>
      <c r="L628" s="376"/>
    </row>
    <row r="629" spans="2:12" ht="14.1" customHeight="1">
      <c r="B629" s="27"/>
      <c r="G629" s="372"/>
      <c r="H629" s="372"/>
      <c r="I629" s="375"/>
      <c r="J629" s="375"/>
      <c r="K629" s="372"/>
      <c r="L629" s="376"/>
    </row>
    <row r="630" spans="2:12" ht="14.1" customHeight="1">
      <c r="B630" s="27"/>
      <c r="G630" s="372"/>
      <c r="H630" s="372"/>
      <c r="I630" s="375"/>
      <c r="J630" s="375"/>
      <c r="K630" s="372"/>
      <c r="L630" s="376"/>
    </row>
    <row r="631" spans="2:12" ht="14.1" customHeight="1">
      <c r="B631" s="27"/>
      <c r="G631" s="372"/>
      <c r="H631" s="372"/>
      <c r="I631" s="375"/>
      <c r="J631" s="375"/>
      <c r="K631" s="372"/>
      <c r="L631" s="376"/>
    </row>
    <row r="632" spans="2:12" ht="14.1" customHeight="1">
      <c r="B632" s="27"/>
      <c r="G632" s="372"/>
      <c r="H632" s="372"/>
      <c r="I632" s="375"/>
      <c r="J632" s="375"/>
      <c r="K632" s="372"/>
      <c r="L632" s="376"/>
    </row>
    <row r="633" spans="2:12" ht="14.1" customHeight="1">
      <c r="B633" s="27"/>
      <c r="G633" s="372"/>
      <c r="H633" s="372"/>
      <c r="I633" s="375"/>
      <c r="J633" s="375"/>
      <c r="K633" s="372"/>
      <c r="L633" s="376"/>
    </row>
    <row r="634" spans="2:12" ht="14.1" customHeight="1">
      <c r="B634" s="27"/>
      <c r="G634" s="372"/>
      <c r="H634" s="372"/>
      <c r="I634" s="375"/>
      <c r="J634" s="375"/>
      <c r="K634" s="372"/>
      <c r="L634" s="376"/>
    </row>
    <row r="635" spans="2:12" ht="14.1" customHeight="1">
      <c r="B635" s="27"/>
      <c r="G635" s="372"/>
      <c r="H635" s="372"/>
      <c r="I635" s="375"/>
      <c r="J635" s="375"/>
      <c r="K635" s="372"/>
      <c r="L635" s="376"/>
    </row>
    <row r="636" spans="2:12" ht="14.1" customHeight="1">
      <c r="B636" s="27"/>
      <c r="G636" s="372"/>
      <c r="H636" s="372"/>
      <c r="I636" s="375"/>
      <c r="J636" s="375"/>
      <c r="K636" s="372"/>
      <c r="L636" s="376"/>
    </row>
    <row r="637" spans="2:12" ht="14.1" customHeight="1">
      <c r="B637" s="27"/>
      <c r="G637" s="372"/>
      <c r="H637" s="372"/>
      <c r="I637" s="375"/>
      <c r="J637" s="375"/>
      <c r="K637" s="372"/>
      <c r="L637" s="376"/>
    </row>
    <row r="638" spans="2:12" ht="14.1" customHeight="1">
      <c r="B638" s="27"/>
      <c r="G638" s="372"/>
      <c r="H638" s="372"/>
      <c r="I638" s="375"/>
      <c r="J638" s="375"/>
      <c r="K638" s="372"/>
      <c r="L638" s="376"/>
    </row>
    <row r="639" spans="2:12" ht="14.1" customHeight="1">
      <c r="B639" s="27"/>
      <c r="G639" s="372"/>
      <c r="H639" s="372"/>
      <c r="I639" s="375"/>
      <c r="J639" s="375"/>
      <c r="K639" s="372"/>
      <c r="L639" s="376"/>
    </row>
    <row r="640" spans="2:12" ht="14.1" customHeight="1">
      <c r="B640" s="27"/>
      <c r="G640" s="372"/>
      <c r="H640" s="372"/>
      <c r="I640" s="375"/>
      <c r="J640" s="375"/>
      <c r="K640" s="372"/>
      <c r="L640" s="376"/>
    </row>
    <row r="641" spans="2:12" ht="14.1" customHeight="1">
      <c r="B641" s="27"/>
      <c r="G641" s="372"/>
      <c r="H641" s="372"/>
      <c r="I641" s="375"/>
      <c r="J641" s="375"/>
      <c r="K641" s="372"/>
      <c r="L641" s="376"/>
    </row>
    <row r="642" spans="2:12" ht="14.1" customHeight="1">
      <c r="B642" s="27"/>
      <c r="G642" s="372"/>
      <c r="H642" s="372"/>
      <c r="I642" s="375"/>
      <c r="J642" s="375"/>
      <c r="K642" s="372"/>
      <c r="L642" s="376"/>
    </row>
    <row r="643" spans="2:12" ht="14.1" customHeight="1">
      <c r="B643" s="27"/>
      <c r="G643" s="372"/>
      <c r="H643" s="372"/>
      <c r="I643" s="375"/>
      <c r="J643" s="375"/>
      <c r="K643" s="372"/>
      <c r="L643" s="376"/>
    </row>
    <row r="644" spans="2:12" ht="14.1" customHeight="1">
      <c r="G644" s="372"/>
      <c r="H644" s="372"/>
      <c r="I644" s="375"/>
      <c r="J644" s="375"/>
      <c r="K644" s="372"/>
      <c r="L644" s="376"/>
    </row>
    <row r="645" spans="2:12" ht="14.1" customHeight="1">
      <c r="G645" s="372"/>
      <c r="H645" s="372"/>
      <c r="I645" s="375"/>
      <c r="J645" s="375"/>
      <c r="K645" s="372"/>
      <c r="L645" s="376"/>
    </row>
    <row r="646" spans="2:12" ht="14.1" customHeight="1">
      <c r="G646" s="372"/>
      <c r="H646" s="372"/>
      <c r="I646" s="375"/>
      <c r="J646" s="375"/>
      <c r="K646" s="372"/>
      <c r="L646" s="376"/>
    </row>
    <row r="647" spans="2:12" ht="14.1" customHeight="1">
      <c r="G647" s="372"/>
      <c r="H647" s="372"/>
      <c r="I647" s="375"/>
      <c r="J647" s="375"/>
      <c r="K647" s="372"/>
      <c r="L647" s="372"/>
    </row>
    <row r="648" spans="2:12" ht="14.1" customHeight="1">
      <c r="G648" s="372"/>
      <c r="H648" s="372"/>
      <c r="I648" s="375"/>
      <c r="J648" s="375"/>
      <c r="K648" s="372"/>
      <c r="L648" s="372"/>
    </row>
    <row r="649" spans="2:12" ht="14.1" customHeight="1">
      <c r="G649" s="372"/>
      <c r="H649" s="372"/>
      <c r="I649" s="375"/>
      <c r="J649" s="375"/>
      <c r="K649" s="372"/>
      <c r="L649" s="372"/>
    </row>
    <row r="650" spans="2:12" ht="14.1" customHeight="1">
      <c r="G650" s="372"/>
      <c r="H650" s="372"/>
      <c r="I650" s="375"/>
      <c r="J650" s="375"/>
      <c r="K650" s="372"/>
      <c r="L650" s="372"/>
    </row>
    <row r="651" spans="2:12" ht="14.1" customHeight="1">
      <c r="G651" s="372"/>
      <c r="H651" s="372"/>
      <c r="I651" s="375"/>
      <c r="J651" s="375"/>
      <c r="K651" s="372"/>
      <c r="L651" s="372"/>
    </row>
    <row r="652" spans="2:12" ht="14.1" customHeight="1">
      <c r="G652" s="372"/>
      <c r="H652" s="372"/>
      <c r="I652" s="375"/>
      <c r="J652" s="375"/>
      <c r="K652" s="372"/>
      <c r="L652" s="372"/>
    </row>
    <row r="653" spans="2:12" ht="14.1" customHeight="1">
      <c r="G653" s="372"/>
      <c r="H653" s="372"/>
      <c r="I653" s="375"/>
      <c r="J653" s="375"/>
      <c r="K653" s="372"/>
      <c r="L653" s="372"/>
    </row>
    <row r="654" spans="2:12" ht="14.1" customHeight="1">
      <c r="G654" s="372"/>
      <c r="H654" s="372"/>
      <c r="I654" s="375"/>
      <c r="J654" s="375"/>
      <c r="K654" s="372"/>
      <c r="L654" s="372"/>
    </row>
    <row r="655" spans="2:12" ht="14.1" customHeight="1">
      <c r="G655" s="372"/>
      <c r="H655" s="372"/>
      <c r="I655" s="375"/>
      <c r="J655" s="375"/>
      <c r="K655" s="372"/>
      <c r="L655" s="372"/>
    </row>
    <row r="656" spans="2:12" ht="14.1" customHeight="1">
      <c r="G656" s="372"/>
      <c r="H656" s="372"/>
      <c r="I656" s="375"/>
      <c r="J656" s="375"/>
      <c r="K656" s="372"/>
      <c r="L656" s="372"/>
    </row>
    <row r="657" spans="7:12" ht="14.1" customHeight="1">
      <c r="G657" s="372"/>
      <c r="H657" s="372"/>
      <c r="I657" s="375"/>
      <c r="J657" s="375"/>
      <c r="K657" s="372"/>
      <c r="L657" s="372"/>
    </row>
    <row r="658" spans="7:12" ht="14.1" customHeight="1">
      <c r="G658" s="372"/>
      <c r="H658" s="372"/>
      <c r="I658" s="375"/>
      <c r="J658" s="375"/>
      <c r="K658" s="372"/>
      <c r="L658" s="372"/>
    </row>
    <row r="659" spans="7:12" ht="14.1" customHeight="1">
      <c r="G659" s="372"/>
      <c r="H659" s="372"/>
      <c r="I659" s="375"/>
      <c r="J659" s="375"/>
      <c r="K659" s="372"/>
      <c r="L659" s="372"/>
    </row>
    <row r="660" spans="7:12" ht="14.1" customHeight="1">
      <c r="G660" s="372"/>
      <c r="H660" s="372"/>
      <c r="I660" s="375"/>
      <c r="J660" s="375"/>
      <c r="K660" s="372"/>
      <c r="L660" s="372"/>
    </row>
    <row r="661" spans="7:12" ht="14.1" customHeight="1">
      <c r="G661" s="372"/>
      <c r="H661" s="372"/>
      <c r="I661" s="375"/>
      <c r="J661" s="375"/>
      <c r="K661" s="372"/>
      <c r="L661" s="372"/>
    </row>
    <row r="662" spans="7:12" ht="14.1" customHeight="1">
      <c r="G662" s="372"/>
      <c r="H662" s="372"/>
      <c r="I662" s="375"/>
      <c r="J662" s="375"/>
      <c r="K662" s="372"/>
      <c r="L662" s="372"/>
    </row>
    <row r="663" spans="7:12" ht="14.1" customHeight="1">
      <c r="G663" s="372"/>
      <c r="H663" s="372"/>
      <c r="I663" s="375"/>
      <c r="J663" s="375"/>
      <c r="K663" s="372"/>
      <c r="L663" s="372"/>
    </row>
    <row r="664" spans="7:12" ht="14.1" customHeight="1">
      <c r="G664" s="372"/>
      <c r="H664" s="372"/>
      <c r="I664" s="375"/>
      <c r="J664" s="375"/>
      <c r="K664" s="372"/>
      <c r="L664" s="372"/>
    </row>
    <row r="665" spans="7:12" ht="14.1" customHeight="1">
      <c r="G665" s="372"/>
      <c r="H665" s="372"/>
      <c r="I665" s="375"/>
      <c r="J665" s="375"/>
      <c r="K665" s="372"/>
      <c r="L665" s="372"/>
    </row>
    <row r="666" spans="7:12" ht="14.1" customHeight="1">
      <c r="G666" s="372"/>
      <c r="H666" s="372"/>
      <c r="I666" s="375"/>
      <c r="J666" s="375"/>
      <c r="K666" s="372"/>
      <c r="L666" s="372"/>
    </row>
    <row r="667" spans="7:12" ht="14.1" customHeight="1">
      <c r="G667" s="372"/>
      <c r="H667" s="372"/>
      <c r="I667" s="375"/>
      <c r="J667" s="375"/>
      <c r="K667" s="372"/>
      <c r="L667" s="372"/>
    </row>
    <row r="668" spans="7:12" ht="14.1" customHeight="1">
      <c r="G668" s="372"/>
      <c r="H668" s="372"/>
      <c r="I668" s="375"/>
      <c r="J668" s="375"/>
      <c r="K668" s="372"/>
      <c r="L668" s="372"/>
    </row>
    <row r="669" spans="7:12" ht="14.1" customHeight="1">
      <c r="G669" s="372"/>
      <c r="H669" s="372"/>
      <c r="I669" s="375"/>
      <c r="J669" s="375"/>
      <c r="K669" s="372"/>
      <c r="L669" s="372"/>
    </row>
    <row r="670" spans="7:12" ht="14.1" customHeight="1">
      <c r="G670" s="372"/>
      <c r="H670" s="372"/>
      <c r="I670" s="375"/>
      <c r="J670" s="375"/>
      <c r="K670" s="372"/>
      <c r="L670" s="372"/>
    </row>
    <row r="671" spans="7:12" ht="14.1" customHeight="1">
      <c r="G671" s="372"/>
      <c r="H671" s="372"/>
      <c r="I671" s="375"/>
      <c r="J671" s="375"/>
      <c r="K671" s="372"/>
      <c r="L671" s="372"/>
    </row>
    <row r="672" spans="7:12" ht="14.1" customHeight="1">
      <c r="G672" s="372"/>
      <c r="H672" s="372"/>
      <c r="I672" s="375"/>
      <c r="J672" s="375"/>
      <c r="K672" s="372"/>
      <c r="L672" s="372"/>
    </row>
    <row r="673" spans="1:21" ht="14.1" customHeight="1">
      <c r="G673" s="372"/>
      <c r="H673" s="372"/>
      <c r="I673" s="375"/>
      <c r="J673" s="375"/>
      <c r="K673" s="372"/>
      <c r="L673" s="372"/>
    </row>
    <row r="674" spans="1:21" ht="14.1" customHeight="1">
      <c r="G674" s="372"/>
      <c r="H674" s="372"/>
      <c r="I674" s="375"/>
      <c r="J674" s="375"/>
      <c r="K674" s="372"/>
      <c r="L674" s="372"/>
    </row>
    <row r="675" spans="1:21" ht="14.1" customHeight="1">
      <c r="G675" s="372"/>
      <c r="H675" s="372"/>
      <c r="I675" s="375"/>
      <c r="J675" s="375"/>
      <c r="K675" s="372"/>
      <c r="L675" s="372"/>
    </row>
    <row r="676" spans="1:21" ht="14.1" customHeight="1">
      <c r="G676" s="372"/>
      <c r="H676" s="372"/>
      <c r="I676" s="375"/>
      <c r="J676" s="375"/>
      <c r="K676" s="372"/>
      <c r="L676" s="372"/>
    </row>
    <row r="677" spans="1:21" ht="14.1" customHeight="1">
      <c r="G677" s="372"/>
      <c r="H677" s="372"/>
      <c r="I677" s="375"/>
      <c r="J677" s="375"/>
      <c r="K677" s="372"/>
      <c r="L677" s="372"/>
    </row>
    <row r="678" spans="1:21" ht="14.1" customHeight="1">
      <c r="G678" s="372"/>
      <c r="H678" s="372"/>
      <c r="I678" s="375"/>
      <c r="J678" s="375"/>
      <c r="K678" s="372"/>
      <c r="L678" s="372"/>
    </row>
    <row r="679" spans="1:21" ht="14.1" customHeight="1">
      <c r="G679" s="372"/>
      <c r="H679" s="372"/>
      <c r="I679" s="375"/>
      <c r="J679" s="375"/>
      <c r="K679" s="372"/>
      <c r="L679" s="372"/>
    </row>
    <row r="680" spans="1:21" s="15" customFormat="1" ht="14.1" customHeight="1">
      <c r="A680" s="247"/>
      <c r="B680" s="203"/>
      <c r="C680" s="203"/>
      <c r="D680" s="203"/>
      <c r="E680" s="203"/>
      <c r="F680" s="203"/>
      <c r="G680" s="372"/>
      <c r="H680" s="372"/>
      <c r="I680" s="375"/>
      <c r="J680" s="375"/>
      <c r="L680" s="203"/>
      <c r="M680" s="203"/>
      <c r="N680" s="203"/>
      <c r="O680" s="203"/>
      <c r="P680" s="203"/>
      <c r="Q680" s="203"/>
      <c r="R680" s="203"/>
      <c r="S680" s="203"/>
      <c r="T680" s="203"/>
      <c r="U680" s="203"/>
    </row>
    <row r="681" spans="1:21" s="15" customFormat="1" ht="14.1" customHeight="1">
      <c r="A681" s="247"/>
      <c r="B681" s="203"/>
      <c r="C681" s="203"/>
      <c r="D681" s="203"/>
      <c r="E681" s="203"/>
      <c r="F681" s="203"/>
      <c r="G681" s="372"/>
      <c r="H681" s="372"/>
      <c r="I681" s="375"/>
      <c r="J681" s="375"/>
      <c r="L681" s="203"/>
      <c r="M681" s="203"/>
      <c r="N681" s="203"/>
      <c r="O681" s="203"/>
      <c r="P681" s="203"/>
      <c r="Q681" s="203"/>
      <c r="R681" s="203"/>
      <c r="S681" s="203"/>
      <c r="T681" s="203"/>
      <c r="U681" s="203"/>
    </row>
    <row r="682" spans="1:21" s="15" customFormat="1" ht="14.1" customHeight="1">
      <c r="A682" s="247"/>
      <c r="B682" s="203"/>
      <c r="C682" s="203"/>
      <c r="D682" s="203"/>
      <c r="E682" s="203"/>
      <c r="F682" s="203"/>
      <c r="G682" s="372"/>
      <c r="H682" s="372"/>
      <c r="I682" s="375"/>
      <c r="J682" s="375"/>
      <c r="L682" s="203"/>
      <c r="M682" s="203"/>
      <c r="N682" s="203"/>
      <c r="O682" s="203"/>
      <c r="P682" s="203"/>
      <c r="Q682" s="203"/>
      <c r="R682" s="203"/>
      <c r="S682" s="203"/>
      <c r="T682" s="203"/>
      <c r="U682" s="203"/>
    </row>
    <row r="683" spans="1:21" s="15" customFormat="1" ht="14.1" customHeight="1">
      <c r="A683" s="247"/>
      <c r="B683" s="203"/>
      <c r="C683" s="203"/>
      <c r="D683" s="203"/>
      <c r="E683" s="203"/>
      <c r="F683" s="203"/>
      <c r="G683" s="372"/>
      <c r="H683" s="372"/>
      <c r="I683" s="375"/>
      <c r="J683" s="375"/>
      <c r="L683" s="203"/>
      <c r="M683" s="203"/>
      <c r="N683" s="203"/>
      <c r="O683" s="203"/>
      <c r="P683" s="203"/>
      <c r="Q683" s="203"/>
      <c r="R683" s="203"/>
      <c r="S683" s="203"/>
      <c r="T683" s="203"/>
      <c r="U683" s="203"/>
    </row>
    <row r="684" spans="1:21" s="15" customFormat="1" ht="14.1" customHeight="1">
      <c r="A684" s="247"/>
      <c r="B684" s="203"/>
      <c r="C684" s="203"/>
      <c r="D684" s="203"/>
      <c r="E684" s="203"/>
      <c r="F684" s="203"/>
      <c r="G684" s="372"/>
      <c r="H684" s="372"/>
      <c r="I684" s="375"/>
      <c r="J684" s="375"/>
      <c r="L684" s="203"/>
      <c r="M684" s="203"/>
      <c r="N684" s="203"/>
      <c r="O684" s="203"/>
      <c r="P684" s="203"/>
      <c r="Q684" s="203"/>
      <c r="R684" s="203"/>
      <c r="S684" s="203"/>
      <c r="T684" s="203"/>
      <c r="U684" s="203"/>
    </row>
    <row r="685" spans="1:21" s="15" customFormat="1" ht="14.1" customHeight="1">
      <c r="A685" s="247"/>
      <c r="B685" s="203"/>
      <c r="C685" s="203"/>
      <c r="D685" s="203"/>
      <c r="E685" s="203"/>
      <c r="F685" s="203"/>
      <c r="G685" s="372"/>
      <c r="H685" s="372"/>
      <c r="I685" s="375"/>
      <c r="J685" s="375"/>
      <c r="L685" s="203"/>
      <c r="M685" s="203"/>
      <c r="N685" s="203"/>
      <c r="O685" s="203"/>
      <c r="P685" s="203"/>
      <c r="Q685" s="203"/>
      <c r="R685" s="203"/>
      <c r="S685" s="203"/>
      <c r="T685" s="203"/>
      <c r="U685" s="203"/>
    </row>
    <row r="686" spans="1:21" s="15" customFormat="1" ht="14.1" customHeight="1">
      <c r="A686" s="247"/>
      <c r="B686" s="203"/>
      <c r="C686" s="203"/>
      <c r="D686" s="203"/>
      <c r="E686" s="203"/>
      <c r="F686" s="203"/>
      <c r="G686" s="372"/>
      <c r="H686" s="372"/>
      <c r="I686" s="375"/>
      <c r="J686" s="375"/>
      <c r="L686" s="203"/>
      <c r="M686" s="203"/>
      <c r="N686" s="203"/>
      <c r="O686" s="203"/>
      <c r="P686" s="203"/>
      <c r="Q686" s="203"/>
      <c r="R686" s="203"/>
      <c r="S686" s="203"/>
      <c r="T686" s="203"/>
      <c r="U686" s="203"/>
    </row>
    <row r="687" spans="1:21" s="15" customFormat="1" ht="14.1" customHeight="1">
      <c r="A687" s="247"/>
      <c r="B687" s="203"/>
      <c r="C687" s="203"/>
      <c r="D687" s="203"/>
      <c r="E687" s="203"/>
      <c r="F687" s="203"/>
      <c r="G687" s="372"/>
      <c r="H687" s="372"/>
      <c r="I687" s="375"/>
      <c r="J687" s="375"/>
      <c r="L687" s="203"/>
      <c r="M687" s="203"/>
      <c r="N687" s="203"/>
      <c r="O687" s="203"/>
      <c r="P687" s="203"/>
      <c r="Q687" s="203"/>
      <c r="R687" s="203"/>
      <c r="S687" s="203"/>
      <c r="T687" s="203"/>
      <c r="U687" s="203"/>
    </row>
    <row r="688" spans="1:21" s="15" customFormat="1" ht="14.1" customHeight="1">
      <c r="A688" s="247"/>
      <c r="B688" s="203"/>
      <c r="C688" s="203"/>
      <c r="D688" s="203"/>
      <c r="E688" s="203"/>
      <c r="F688" s="203"/>
      <c r="G688" s="372"/>
      <c r="H688" s="372"/>
      <c r="I688" s="375"/>
      <c r="J688" s="375"/>
      <c r="L688" s="203"/>
      <c r="M688" s="203"/>
      <c r="N688" s="203"/>
      <c r="O688" s="203"/>
      <c r="P688" s="203"/>
      <c r="Q688" s="203"/>
      <c r="R688" s="203"/>
      <c r="S688" s="203"/>
      <c r="T688" s="203"/>
      <c r="U688" s="203"/>
    </row>
    <row r="689" spans="1:21" s="15" customFormat="1" ht="14.1" customHeight="1">
      <c r="A689" s="247"/>
      <c r="B689" s="203"/>
      <c r="C689" s="203"/>
      <c r="D689" s="203"/>
      <c r="E689" s="203"/>
      <c r="F689" s="203"/>
      <c r="G689" s="372"/>
      <c r="H689" s="372"/>
      <c r="I689" s="375"/>
      <c r="J689" s="375"/>
      <c r="L689" s="203"/>
      <c r="M689" s="203"/>
      <c r="N689" s="203"/>
      <c r="O689" s="203"/>
      <c r="P689" s="203"/>
      <c r="Q689" s="203"/>
      <c r="R689" s="203"/>
      <c r="S689" s="203"/>
      <c r="T689" s="203"/>
      <c r="U689" s="203"/>
    </row>
    <row r="690" spans="1:21" s="15" customFormat="1" ht="14.1" customHeight="1">
      <c r="A690" s="247"/>
      <c r="B690" s="203"/>
      <c r="C690" s="203"/>
      <c r="D690" s="203"/>
      <c r="E690" s="203"/>
      <c r="F690" s="203"/>
      <c r="G690" s="372"/>
      <c r="H690" s="372"/>
      <c r="I690" s="375"/>
      <c r="J690" s="375"/>
      <c r="L690" s="203"/>
      <c r="M690" s="203"/>
      <c r="N690" s="203"/>
      <c r="O690" s="203"/>
      <c r="P690" s="203"/>
      <c r="Q690" s="203"/>
      <c r="R690" s="203"/>
      <c r="S690" s="203"/>
      <c r="T690" s="203"/>
      <c r="U690" s="203"/>
    </row>
    <row r="691" spans="1:21" s="15" customFormat="1" ht="14.1" customHeight="1">
      <c r="A691" s="247"/>
      <c r="B691" s="203"/>
      <c r="C691" s="203"/>
      <c r="D691" s="203"/>
      <c r="E691" s="203"/>
      <c r="F691" s="203"/>
      <c r="G691" s="372"/>
      <c r="H691" s="372"/>
      <c r="I691" s="375"/>
      <c r="J691" s="375"/>
      <c r="L691" s="203"/>
      <c r="M691" s="203"/>
      <c r="N691" s="203"/>
      <c r="O691" s="203"/>
      <c r="P691" s="203"/>
      <c r="Q691" s="203"/>
      <c r="R691" s="203"/>
      <c r="S691" s="203"/>
      <c r="T691" s="203"/>
      <c r="U691" s="203"/>
    </row>
    <row r="692" spans="1:21" s="15" customFormat="1" ht="14.1" customHeight="1">
      <c r="A692" s="247"/>
      <c r="B692" s="203"/>
      <c r="C692" s="203"/>
      <c r="D692" s="203"/>
      <c r="E692" s="203"/>
      <c r="F692" s="203"/>
      <c r="G692" s="372"/>
      <c r="H692" s="372"/>
      <c r="I692" s="375"/>
      <c r="J692" s="375"/>
      <c r="L692" s="203"/>
      <c r="M692" s="203"/>
      <c r="N692" s="203"/>
      <c r="O692" s="203"/>
      <c r="P692" s="203"/>
      <c r="Q692" s="203"/>
      <c r="R692" s="203"/>
      <c r="S692" s="203"/>
      <c r="T692" s="203"/>
      <c r="U692" s="203"/>
    </row>
    <row r="693" spans="1:21" s="15" customFormat="1" ht="14.1" customHeight="1">
      <c r="A693" s="247"/>
      <c r="B693" s="203"/>
      <c r="C693" s="203"/>
      <c r="D693" s="203"/>
      <c r="E693" s="203"/>
      <c r="F693" s="203"/>
      <c r="G693" s="372"/>
      <c r="H693" s="372"/>
      <c r="I693" s="375"/>
      <c r="J693" s="375"/>
      <c r="L693" s="203"/>
      <c r="M693" s="203"/>
      <c r="N693" s="203"/>
      <c r="O693" s="203"/>
      <c r="P693" s="203"/>
      <c r="Q693" s="203"/>
      <c r="R693" s="203"/>
      <c r="S693" s="203"/>
      <c r="T693" s="203"/>
      <c r="U693" s="203"/>
    </row>
    <row r="694" spans="1:21" s="15" customFormat="1" ht="14.1" customHeight="1">
      <c r="A694" s="247"/>
      <c r="B694" s="203"/>
      <c r="C694" s="203"/>
      <c r="D694" s="203"/>
      <c r="E694" s="203"/>
      <c r="F694" s="203"/>
      <c r="G694" s="372"/>
      <c r="H694" s="372"/>
      <c r="I694" s="375"/>
      <c r="J694" s="375"/>
      <c r="L694" s="203"/>
      <c r="M694" s="203"/>
      <c r="N694" s="203"/>
      <c r="O694" s="203"/>
      <c r="P694" s="203"/>
      <c r="Q694" s="203"/>
      <c r="R694" s="203"/>
      <c r="S694" s="203"/>
      <c r="T694" s="203"/>
      <c r="U694" s="203"/>
    </row>
    <row r="695" spans="1:21" s="15" customFormat="1" ht="14.1" customHeight="1">
      <c r="A695" s="247"/>
      <c r="B695" s="203"/>
      <c r="C695" s="203"/>
      <c r="D695" s="203"/>
      <c r="E695" s="203"/>
      <c r="F695" s="203"/>
      <c r="G695" s="372"/>
      <c r="H695" s="372"/>
      <c r="I695" s="375"/>
      <c r="J695" s="375"/>
      <c r="L695" s="203"/>
      <c r="M695" s="203"/>
      <c r="N695" s="203"/>
      <c r="O695" s="203"/>
      <c r="P695" s="203"/>
      <c r="Q695" s="203"/>
      <c r="R695" s="203"/>
      <c r="S695" s="203"/>
      <c r="T695" s="203"/>
      <c r="U695" s="203"/>
    </row>
    <row r="696" spans="1:21" s="15" customFormat="1" ht="14.1" customHeight="1">
      <c r="A696" s="247"/>
      <c r="B696" s="203"/>
      <c r="C696" s="203"/>
      <c r="D696" s="203"/>
      <c r="E696" s="203"/>
      <c r="F696" s="203"/>
      <c r="G696" s="372"/>
      <c r="H696" s="372"/>
      <c r="I696" s="375"/>
      <c r="J696" s="375"/>
      <c r="L696" s="203"/>
      <c r="M696" s="203"/>
      <c r="N696" s="203"/>
      <c r="O696" s="203"/>
      <c r="P696" s="203"/>
      <c r="Q696" s="203"/>
      <c r="R696" s="203"/>
      <c r="S696" s="203"/>
      <c r="T696" s="203"/>
      <c r="U696" s="203"/>
    </row>
    <row r="697" spans="1:21" s="15" customFormat="1" ht="14.1" customHeight="1">
      <c r="A697" s="247"/>
      <c r="B697" s="203"/>
      <c r="C697" s="203"/>
      <c r="D697" s="203"/>
      <c r="E697" s="203"/>
      <c r="F697" s="203"/>
      <c r="G697" s="372"/>
      <c r="H697" s="372"/>
      <c r="I697" s="375"/>
      <c r="J697" s="375"/>
      <c r="L697" s="203"/>
      <c r="M697" s="203"/>
      <c r="N697" s="203"/>
      <c r="O697" s="203"/>
      <c r="P697" s="203"/>
      <c r="Q697" s="203"/>
      <c r="R697" s="203"/>
      <c r="S697" s="203"/>
      <c r="T697" s="203"/>
      <c r="U697" s="203"/>
    </row>
    <row r="698" spans="1:21" s="15" customFormat="1" ht="14.1" customHeight="1">
      <c r="A698" s="247"/>
      <c r="B698" s="203"/>
      <c r="C698" s="203"/>
      <c r="D698" s="203"/>
      <c r="E698" s="203"/>
      <c r="F698" s="203"/>
      <c r="G698" s="372"/>
      <c r="H698" s="372"/>
      <c r="I698" s="375"/>
      <c r="J698" s="375"/>
      <c r="L698" s="203"/>
      <c r="M698" s="203"/>
      <c r="N698" s="203"/>
      <c r="O698" s="203"/>
      <c r="P698" s="203"/>
      <c r="Q698" s="203"/>
      <c r="R698" s="203"/>
      <c r="S698" s="203"/>
      <c r="T698" s="203"/>
      <c r="U698" s="203"/>
    </row>
    <row r="699" spans="1:21" s="15" customFormat="1" ht="14.1" customHeight="1">
      <c r="A699" s="247"/>
      <c r="B699" s="203"/>
      <c r="C699" s="203"/>
      <c r="D699" s="203"/>
      <c r="E699" s="203"/>
      <c r="F699" s="203"/>
      <c r="G699" s="372"/>
      <c r="H699" s="372"/>
      <c r="I699" s="375"/>
      <c r="J699" s="375"/>
      <c r="L699" s="203"/>
      <c r="M699" s="203"/>
      <c r="N699" s="203"/>
      <c r="O699" s="203"/>
      <c r="P699" s="203"/>
      <c r="Q699" s="203"/>
      <c r="R699" s="203"/>
      <c r="S699" s="203"/>
      <c r="T699" s="203"/>
      <c r="U699" s="203"/>
    </row>
    <row r="700" spans="1:21" s="15" customFormat="1" ht="14.1" customHeight="1">
      <c r="A700" s="247"/>
      <c r="B700" s="203"/>
      <c r="C700" s="203"/>
      <c r="D700" s="203"/>
      <c r="E700" s="203"/>
      <c r="F700" s="203"/>
      <c r="G700" s="372"/>
      <c r="H700" s="372"/>
      <c r="I700" s="375"/>
      <c r="J700" s="375"/>
      <c r="L700" s="203"/>
      <c r="M700" s="203"/>
      <c r="N700" s="203"/>
      <c r="O700" s="203"/>
      <c r="P700" s="203"/>
      <c r="Q700" s="203"/>
      <c r="R700" s="203"/>
      <c r="S700" s="203"/>
      <c r="T700" s="203"/>
      <c r="U700" s="203"/>
    </row>
    <row r="701" spans="1:21" s="15" customFormat="1" ht="14.1" customHeight="1">
      <c r="A701" s="247"/>
      <c r="B701" s="203"/>
      <c r="C701" s="203"/>
      <c r="D701" s="203"/>
      <c r="E701" s="203"/>
      <c r="F701" s="203"/>
      <c r="G701" s="372"/>
      <c r="H701" s="372"/>
      <c r="I701" s="375"/>
      <c r="J701" s="375"/>
      <c r="L701" s="203"/>
      <c r="M701" s="203"/>
      <c r="N701" s="203"/>
      <c r="O701" s="203"/>
      <c r="P701" s="203"/>
      <c r="Q701" s="203"/>
      <c r="R701" s="203"/>
      <c r="S701" s="203"/>
      <c r="T701" s="203"/>
      <c r="U701" s="203"/>
    </row>
    <row r="702" spans="1:21" s="15" customFormat="1" ht="14.1" customHeight="1">
      <c r="A702" s="247"/>
      <c r="B702" s="203"/>
      <c r="C702" s="203"/>
      <c r="D702" s="203"/>
      <c r="E702" s="203"/>
      <c r="F702" s="203"/>
      <c r="G702" s="372"/>
      <c r="H702" s="372"/>
      <c r="I702" s="375"/>
      <c r="J702" s="375"/>
      <c r="L702" s="203"/>
      <c r="M702" s="203"/>
      <c r="N702" s="203"/>
      <c r="O702" s="203"/>
      <c r="P702" s="203"/>
      <c r="Q702" s="203"/>
      <c r="R702" s="203"/>
      <c r="S702" s="203"/>
      <c r="T702" s="203"/>
      <c r="U702" s="203"/>
    </row>
    <row r="703" spans="1:21" s="15" customFormat="1" ht="14.1" customHeight="1">
      <c r="A703" s="247"/>
      <c r="B703" s="203"/>
      <c r="C703" s="203"/>
      <c r="D703" s="203"/>
      <c r="E703" s="203"/>
      <c r="F703" s="203"/>
      <c r="G703" s="372"/>
      <c r="H703" s="372"/>
      <c r="I703" s="375"/>
      <c r="J703" s="375"/>
      <c r="L703" s="203"/>
      <c r="M703" s="203"/>
      <c r="N703" s="203"/>
      <c r="O703" s="203"/>
      <c r="P703" s="203"/>
      <c r="Q703" s="203"/>
      <c r="R703" s="203"/>
      <c r="S703" s="203"/>
      <c r="T703" s="203"/>
      <c r="U703" s="203"/>
    </row>
    <row r="704" spans="1:21" s="15" customFormat="1" ht="14.1" customHeight="1">
      <c r="A704" s="247"/>
      <c r="B704" s="203"/>
      <c r="C704" s="203"/>
      <c r="D704" s="203"/>
      <c r="E704" s="203"/>
      <c r="F704" s="203"/>
      <c r="G704" s="372"/>
      <c r="H704" s="372"/>
      <c r="I704" s="375"/>
      <c r="J704" s="375"/>
      <c r="L704" s="203"/>
      <c r="M704" s="203"/>
      <c r="N704" s="203"/>
      <c r="O704" s="203"/>
      <c r="P704" s="203"/>
      <c r="Q704" s="203"/>
      <c r="R704" s="203"/>
      <c r="S704" s="203"/>
      <c r="T704" s="203"/>
      <c r="U704" s="203"/>
    </row>
    <row r="705" spans="1:21" s="15" customFormat="1" ht="14.1" customHeight="1">
      <c r="A705" s="247"/>
      <c r="B705" s="203"/>
      <c r="C705" s="203"/>
      <c r="D705" s="203"/>
      <c r="E705" s="203"/>
      <c r="F705" s="203"/>
      <c r="G705" s="372"/>
      <c r="H705" s="372"/>
      <c r="I705" s="375"/>
      <c r="J705" s="375"/>
      <c r="L705" s="203"/>
      <c r="M705" s="203"/>
      <c r="N705" s="203"/>
      <c r="O705" s="203"/>
      <c r="P705" s="203"/>
      <c r="Q705" s="203"/>
      <c r="R705" s="203"/>
      <c r="S705" s="203"/>
      <c r="T705" s="203"/>
      <c r="U705" s="203"/>
    </row>
    <row r="706" spans="1:21" s="15" customFormat="1" ht="14.1" customHeight="1">
      <c r="A706" s="247"/>
      <c r="B706" s="203"/>
      <c r="C706" s="203"/>
      <c r="D706" s="203"/>
      <c r="E706" s="203"/>
      <c r="F706" s="203"/>
      <c r="G706" s="372"/>
      <c r="H706" s="372"/>
      <c r="I706" s="375"/>
      <c r="J706" s="375"/>
      <c r="L706" s="203"/>
      <c r="M706" s="203"/>
      <c r="N706" s="203"/>
      <c r="O706" s="203"/>
      <c r="P706" s="203"/>
      <c r="Q706" s="203"/>
      <c r="R706" s="203"/>
      <c r="S706" s="203"/>
      <c r="T706" s="203"/>
      <c r="U706" s="203"/>
    </row>
    <row r="707" spans="1:21" s="15" customFormat="1" ht="14.1" customHeight="1">
      <c r="A707" s="247"/>
      <c r="B707" s="203"/>
      <c r="C707" s="203"/>
      <c r="D707" s="203"/>
      <c r="E707" s="203"/>
      <c r="F707" s="203"/>
      <c r="G707" s="372"/>
      <c r="H707" s="372"/>
      <c r="I707" s="375"/>
      <c r="J707" s="375"/>
      <c r="L707" s="203"/>
      <c r="M707" s="203"/>
      <c r="N707" s="203"/>
      <c r="O707" s="203"/>
      <c r="P707" s="203"/>
      <c r="Q707" s="203"/>
      <c r="R707" s="203"/>
      <c r="S707" s="203"/>
      <c r="T707" s="203"/>
      <c r="U707" s="203"/>
    </row>
    <row r="708" spans="1:21" s="15" customFormat="1" ht="14.1" customHeight="1">
      <c r="A708" s="247"/>
      <c r="B708" s="203"/>
      <c r="C708" s="203"/>
      <c r="D708" s="203"/>
      <c r="E708" s="203"/>
      <c r="F708" s="203"/>
      <c r="G708" s="372"/>
      <c r="H708" s="372"/>
      <c r="I708" s="375"/>
      <c r="J708" s="375"/>
      <c r="L708" s="203"/>
      <c r="M708" s="203"/>
      <c r="N708" s="203"/>
      <c r="O708" s="203"/>
      <c r="P708" s="203"/>
      <c r="Q708" s="203"/>
      <c r="R708" s="203"/>
      <c r="S708" s="203"/>
      <c r="T708" s="203"/>
      <c r="U708" s="203"/>
    </row>
    <row r="709" spans="1:21" s="15" customFormat="1" ht="14.1" customHeight="1">
      <c r="A709" s="247"/>
      <c r="B709" s="203"/>
      <c r="C709" s="203"/>
      <c r="D709" s="203"/>
      <c r="E709" s="203"/>
      <c r="F709" s="203"/>
      <c r="G709" s="372"/>
      <c r="H709" s="372"/>
      <c r="I709" s="375"/>
      <c r="J709" s="375"/>
      <c r="L709" s="203"/>
      <c r="M709" s="203"/>
      <c r="N709" s="203"/>
      <c r="O709" s="203"/>
      <c r="P709" s="203"/>
      <c r="Q709" s="203"/>
      <c r="R709" s="203"/>
      <c r="S709" s="203"/>
      <c r="T709" s="203"/>
      <c r="U709" s="203"/>
    </row>
    <row r="710" spans="1:21" s="15" customFormat="1" ht="14.1" customHeight="1">
      <c r="A710" s="247"/>
      <c r="B710" s="203"/>
      <c r="C710" s="203"/>
      <c r="D710" s="203"/>
      <c r="E710" s="203"/>
      <c r="F710" s="203"/>
      <c r="G710" s="372"/>
      <c r="H710" s="372"/>
      <c r="I710" s="375"/>
      <c r="J710" s="375"/>
      <c r="L710" s="203"/>
      <c r="M710" s="203"/>
      <c r="N710" s="203"/>
      <c r="O710" s="203"/>
      <c r="P710" s="203"/>
      <c r="Q710" s="203"/>
      <c r="R710" s="203"/>
      <c r="S710" s="203"/>
      <c r="T710" s="203"/>
      <c r="U710" s="203"/>
    </row>
    <row r="711" spans="1:21" s="15" customFormat="1" ht="14.1" customHeight="1">
      <c r="A711" s="247"/>
      <c r="B711" s="203"/>
      <c r="C711" s="203"/>
      <c r="D711" s="203"/>
      <c r="E711" s="203"/>
      <c r="F711" s="203"/>
      <c r="G711" s="372"/>
      <c r="H711" s="372"/>
      <c r="I711" s="375"/>
      <c r="J711" s="375"/>
      <c r="L711" s="203"/>
      <c r="M711" s="203"/>
      <c r="N711" s="203"/>
      <c r="O711" s="203"/>
      <c r="P711" s="203"/>
      <c r="Q711" s="203"/>
      <c r="R711" s="203"/>
      <c r="S711" s="203"/>
      <c r="T711" s="203"/>
      <c r="U711" s="203"/>
    </row>
    <row r="712" spans="1:21" s="15" customFormat="1" ht="14.1" customHeight="1">
      <c r="A712" s="247"/>
      <c r="B712" s="203"/>
      <c r="C712" s="203"/>
      <c r="D712" s="203"/>
      <c r="E712" s="203"/>
      <c r="F712" s="203"/>
      <c r="G712" s="372"/>
      <c r="H712" s="372"/>
      <c r="I712" s="375"/>
      <c r="J712" s="375"/>
      <c r="L712" s="203"/>
      <c r="M712" s="203"/>
      <c r="N712" s="203"/>
      <c r="O712" s="203"/>
      <c r="P712" s="203"/>
      <c r="Q712" s="203"/>
      <c r="R712" s="203"/>
      <c r="S712" s="203"/>
      <c r="T712" s="203"/>
      <c r="U712" s="203"/>
    </row>
    <row r="713" spans="1:21" s="15" customFormat="1" ht="14.1" customHeight="1">
      <c r="A713" s="247"/>
      <c r="B713" s="203"/>
      <c r="C713" s="203"/>
      <c r="D713" s="203"/>
      <c r="E713" s="203"/>
      <c r="F713" s="203"/>
      <c r="G713" s="372"/>
      <c r="H713" s="372"/>
      <c r="I713" s="375"/>
      <c r="J713" s="375"/>
      <c r="L713" s="203"/>
      <c r="M713" s="203"/>
      <c r="N713" s="203"/>
      <c r="O713" s="203"/>
      <c r="P713" s="203"/>
      <c r="Q713" s="203"/>
      <c r="R713" s="203"/>
      <c r="S713" s="203"/>
      <c r="T713" s="203"/>
      <c r="U713" s="203"/>
    </row>
    <row r="714" spans="1:21" s="15" customFormat="1" ht="14.1" customHeight="1">
      <c r="A714" s="247"/>
      <c r="B714" s="203"/>
      <c r="C714" s="203"/>
      <c r="D714" s="203"/>
      <c r="E714" s="203"/>
      <c r="F714" s="203"/>
      <c r="G714" s="372"/>
      <c r="H714" s="372"/>
      <c r="I714" s="375"/>
      <c r="J714" s="375"/>
      <c r="L714" s="203"/>
      <c r="M714" s="203"/>
      <c r="N714" s="203"/>
      <c r="O714" s="203"/>
      <c r="P714" s="203"/>
      <c r="Q714" s="203"/>
      <c r="R714" s="203"/>
      <c r="S714" s="203"/>
      <c r="T714" s="203"/>
      <c r="U714" s="203"/>
    </row>
    <row r="715" spans="1:21" s="15" customFormat="1" ht="14.1" customHeight="1">
      <c r="A715" s="247"/>
      <c r="B715" s="203"/>
      <c r="C715" s="203"/>
      <c r="D715" s="203"/>
      <c r="E715" s="203"/>
      <c r="F715" s="203"/>
      <c r="G715" s="372"/>
      <c r="H715" s="372"/>
      <c r="I715" s="375"/>
      <c r="J715" s="375"/>
      <c r="L715" s="203"/>
      <c r="M715" s="203"/>
      <c r="N715" s="203"/>
      <c r="O715" s="203"/>
      <c r="P715" s="203"/>
      <c r="Q715" s="203"/>
      <c r="R715" s="203"/>
      <c r="S715" s="203"/>
      <c r="T715" s="203"/>
      <c r="U715" s="203"/>
    </row>
    <row r="716" spans="1:21" s="15" customFormat="1" ht="14.1" customHeight="1">
      <c r="A716" s="247"/>
      <c r="B716" s="203"/>
      <c r="C716" s="203"/>
      <c r="D716" s="203"/>
      <c r="E716" s="203"/>
      <c r="F716" s="203"/>
      <c r="G716" s="372"/>
      <c r="H716" s="372"/>
      <c r="I716" s="375"/>
      <c r="J716" s="375"/>
      <c r="L716" s="203"/>
      <c r="M716" s="203"/>
      <c r="N716" s="203"/>
      <c r="O716" s="203"/>
      <c r="P716" s="203"/>
      <c r="Q716" s="203"/>
      <c r="R716" s="203"/>
      <c r="S716" s="203"/>
      <c r="T716" s="203"/>
      <c r="U716" s="203"/>
    </row>
    <row r="717" spans="1:21" s="15" customFormat="1" ht="14.1" customHeight="1">
      <c r="A717" s="247"/>
      <c r="B717" s="203"/>
      <c r="C717" s="203"/>
      <c r="D717" s="203"/>
      <c r="E717" s="203"/>
      <c r="F717" s="203"/>
      <c r="G717" s="372"/>
      <c r="H717" s="372"/>
      <c r="I717" s="375"/>
      <c r="J717" s="375"/>
      <c r="L717" s="203"/>
      <c r="M717" s="203"/>
      <c r="N717" s="203"/>
      <c r="O717" s="203"/>
      <c r="P717" s="203"/>
      <c r="Q717" s="203"/>
      <c r="R717" s="203"/>
      <c r="S717" s="203"/>
      <c r="T717" s="203"/>
      <c r="U717" s="203"/>
    </row>
    <row r="718" spans="1:21" s="15" customFormat="1" ht="14.1" customHeight="1">
      <c r="A718" s="247"/>
      <c r="B718" s="203"/>
      <c r="C718" s="203"/>
      <c r="D718" s="203"/>
      <c r="E718" s="203"/>
      <c r="F718" s="203"/>
      <c r="G718" s="372"/>
      <c r="H718" s="372"/>
      <c r="I718" s="375"/>
      <c r="J718" s="375"/>
      <c r="L718" s="203"/>
      <c r="M718" s="203"/>
      <c r="N718" s="203"/>
      <c r="O718" s="203"/>
      <c r="P718" s="203"/>
      <c r="Q718" s="203"/>
      <c r="R718" s="203"/>
      <c r="S718" s="203"/>
      <c r="T718" s="203"/>
      <c r="U718" s="203"/>
    </row>
    <row r="719" spans="1:21" s="15" customFormat="1" ht="14.1" customHeight="1">
      <c r="A719" s="247"/>
      <c r="B719" s="203"/>
      <c r="C719" s="203"/>
      <c r="D719" s="203"/>
      <c r="E719" s="203"/>
      <c r="F719" s="203"/>
      <c r="G719" s="372"/>
      <c r="H719" s="372"/>
      <c r="I719" s="375"/>
      <c r="J719" s="375"/>
      <c r="L719" s="203"/>
      <c r="M719" s="203"/>
      <c r="N719" s="203"/>
      <c r="O719" s="203"/>
      <c r="P719" s="203"/>
      <c r="Q719" s="203"/>
      <c r="R719" s="203"/>
      <c r="S719" s="203"/>
      <c r="T719" s="203"/>
      <c r="U719" s="203"/>
    </row>
    <row r="720" spans="1:21" s="15" customFormat="1" ht="14.1" customHeight="1">
      <c r="A720" s="247"/>
      <c r="B720" s="203"/>
      <c r="C720" s="203"/>
      <c r="D720" s="203"/>
      <c r="E720" s="203"/>
      <c r="F720" s="203"/>
      <c r="G720" s="372"/>
      <c r="H720" s="372"/>
      <c r="I720" s="375"/>
      <c r="J720" s="375"/>
      <c r="L720" s="203"/>
      <c r="M720" s="203"/>
      <c r="N720" s="203"/>
      <c r="O720" s="203"/>
      <c r="P720" s="203"/>
      <c r="Q720" s="203"/>
      <c r="R720" s="203"/>
      <c r="S720" s="203"/>
      <c r="T720" s="203"/>
      <c r="U720" s="203"/>
    </row>
    <row r="721" spans="1:21" s="15" customFormat="1" ht="14.1" customHeight="1">
      <c r="A721" s="247"/>
      <c r="B721" s="203"/>
      <c r="C721" s="203"/>
      <c r="D721" s="203"/>
      <c r="E721" s="203"/>
      <c r="F721" s="203"/>
      <c r="G721" s="372"/>
      <c r="H721" s="372"/>
      <c r="I721" s="375"/>
      <c r="J721" s="375"/>
      <c r="L721" s="203"/>
      <c r="M721" s="203"/>
      <c r="N721" s="203"/>
      <c r="O721" s="203"/>
      <c r="P721" s="203"/>
      <c r="Q721" s="203"/>
      <c r="R721" s="203"/>
      <c r="S721" s="203"/>
      <c r="T721" s="203"/>
      <c r="U721" s="203"/>
    </row>
    <row r="722" spans="1:21" s="15" customFormat="1" ht="14.1" customHeight="1">
      <c r="A722" s="247"/>
      <c r="B722" s="203"/>
      <c r="C722" s="203"/>
      <c r="D722" s="203"/>
      <c r="E722" s="203"/>
      <c r="F722" s="203"/>
      <c r="G722" s="372"/>
      <c r="H722" s="372"/>
      <c r="I722" s="375"/>
      <c r="J722" s="375"/>
      <c r="L722" s="203"/>
      <c r="M722" s="203"/>
      <c r="N722" s="203"/>
      <c r="O722" s="203"/>
      <c r="P722" s="203"/>
      <c r="Q722" s="203"/>
      <c r="R722" s="203"/>
      <c r="S722" s="203"/>
      <c r="T722" s="203"/>
      <c r="U722" s="203"/>
    </row>
    <row r="723" spans="1:21" s="15" customFormat="1" ht="14.1" customHeight="1">
      <c r="A723" s="247"/>
      <c r="B723" s="203"/>
      <c r="C723" s="203"/>
      <c r="D723" s="203"/>
      <c r="E723" s="203"/>
      <c r="F723" s="203"/>
      <c r="G723" s="372"/>
      <c r="H723" s="372"/>
      <c r="I723" s="375"/>
      <c r="J723" s="375"/>
      <c r="L723" s="203"/>
      <c r="M723" s="203"/>
      <c r="N723" s="203"/>
      <c r="O723" s="203"/>
      <c r="P723" s="203"/>
      <c r="Q723" s="203"/>
      <c r="R723" s="203"/>
      <c r="S723" s="203"/>
      <c r="T723" s="203"/>
      <c r="U723" s="203"/>
    </row>
    <row r="724" spans="1:21" s="15" customFormat="1" ht="14.1" customHeight="1">
      <c r="A724" s="247"/>
      <c r="B724" s="203"/>
      <c r="C724" s="203"/>
      <c r="D724" s="203"/>
      <c r="E724" s="203"/>
      <c r="F724" s="203"/>
      <c r="G724" s="372"/>
      <c r="H724" s="372"/>
      <c r="I724" s="375"/>
      <c r="J724" s="375"/>
      <c r="L724" s="203"/>
      <c r="M724" s="203"/>
      <c r="N724" s="203"/>
      <c r="O724" s="203"/>
      <c r="P724" s="203"/>
      <c r="Q724" s="203"/>
      <c r="R724" s="203"/>
      <c r="S724" s="203"/>
      <c r="T724" s="203"/>
      <c r="U724" s="203"/>
    </row>
    <row r="725" spans="1:21" s="15" customFormat="1" ht="14.1" customHeight="1">
      <c r="A725" s="247"/>
      <c r="B725" s="203"/>
      <c r="C725" s="203"/>
      <c r="D725" s="203"/>
      <c r="E725" s="203"/>
      <c r="F725" s="203"/>
      <c r="G725" s="372"/>
      <c r="H725" s="372"/>
      <c r="I725" s="375"/>
      <c r="J725" s="375"/>
      <c r="L725" s="203"/>
      <c r="M725" s="203"/>
      <c r="N725" s="203"/>
      <c r="O725" s="203"/>
      <c r="P725" s="203"/>
      <c r="Q725" s="203"/>
      <c r="R725" s="203"/>
      <c r="S725" s="203"/>
      <c r="T725" s="203"/>
      <c r="U725" s="203"/>
    </row>
    <row r="726" spans="1:21" s="15" customFormat="1" ht="14.1" customHeight="1">
      <c r="A726" s="247"/>
      <c r="B726" s="203"/>
      <c r="C726" s="203"/>
      <c r="D726" s="203"/>
      <c r="E726" s="203"/>
      <c r="F726" s="203"/>
      <c r="G726" s="372"/>
      <c r="H726" s="372"/>
      <c r="I726" s="375"/>
      <c r="J726" s="375"/>
      <c r="L726" s="203"/>
      <c r="M726" s="203"/>
      <c r="N726" s="203"/>
      <c r="O726" s="203"/>
      <c r="P726" s="203"/>
      <c r="Q726" s="203"/>
      <c r="R726" s="203"/>
      <c r="S726" s="203"/>
      <c r="T726" s="203"/>
      <c r="U726" s="203"/>
    </row>
    <row r="727" spans="1:21" s="15" customFormat="1" ht="14.1" customHeight="1">
      <c r="A727" s="247"/>
      <c r="B727" s="203"/>
      <c r="C727" s="203"/>
      <c r="D727" s="203"/>
      <c r="E727" s="203"/>
      <c r="F727" s="203"/>
      <c r="G727" s="372"/>
      <c r="H727" s="372"/>
      <c r="I727" s="375"/>
      <c r="J727" s="375"/>
      <c r="L727" s="203"/>
      <c r="M727" s="203"/>
      <c r="N727" s="203"/>
      <c r="O727" s="203"/>
      <c r="P727" s="203"/>
      <c r="Q727" s="203"/>
      <c r="R727" s="203"/>
      <c r="S727" s="203"/>
      <c r="T727" s="203"/>
      <c r="U727" s="203"/>
    </row>
    <row r="728" spans="1:21" s="15" customFormat="1" ht="14.1" customHeight="1">
      <c r="A728" s="247"/>
      <c r="B728" s="203"/>
      <c r="C728" s="203"/>
      <c r="D728" s="203"/>
      <c r="E728" s="203"/>
      <c r="F728" s="203"/>
      <c r="G728" s="372"/>
      <c r="H728" s="372"/>
      <c r="I728" s="375"/>
      <c r="J728" s="375"/>
      <c r="L728" s="203"/>
      <c r="M728" s="203"/>
      <c r="N728" s="203"/>
      <c r="O728" s="203"/>
      <c r="P728" s="203"/>
      <c r="Q728" s="203"/>
      <c r="R728" s="203"/>
      <c r="S728" s="203"/>
      <c r="T728" s="203"/>
      <c r="U728" s="203"/>
    </row>
    <row r="729" spans="1:21" s="15" customFormat="1" ht="14.1" customHeight="1">
      <c r="A729" s="247"/>
      <c r="B729" s="203"/>
      <c r="C729" s="203"/>
      <c r="D729" s="203"/>
      <c r="E729" s="203"/>
      <c r="F729" s="203"/>
      <c r="G729" s="372"/>
      <c r="H729" s="372"/>
      <c r="I729" s="375"/>
      <c r="J729" s="375"/>
      <c r="L729" s="203"/>
      <c r="M729" s="203"/>
      <c r="N729" s="203"/>
      <c r="O729" s="203"/>
      <c r="P729" s="203"/>
      <c r="Q729" s="203"/>
      <c r="R729" s="203"/>
      <c r="S729" s="203"/>
      <c r="T729" s="203"/>
      <c r="U729" s="203"/>
    </row>
    <row r="730" spans="1:21" s="15" customFormat="1" ht="14.1" customHeight="1">
      <c r="A730" s="247"/>
      <c r="B730" s="203"/>
      <c r="C730" s="203"/>
      <c r="D730" s="203"/>
      <c r="E730" s="203"/>
      <c r="F730" s="203"/>
      <c r="G730" s="372"/>
      <c r="H730" s="372"/>
      <c r="I730" s="375"/>
      <c r="J730" s="375"/>
      <c r="L730" s="203"/>
      <c r="M730" s="203"/>
      <c r="N730" s="203"/>
      <c r="O730" s="203"/>
      <c r="P730" s="203"/>
      <c r="Q730" s="203"/>
      <c r="R730" s="203"/>
      <c r="S730" s="203"/>
      <c r="T730" s="203"/>
      <c r="U730" s="203"/>
    </row>
    <row r="731" spans="1:21" s="15" customFormat="1" ht="14.1" customHeight="1">
      <c r="A731" s="247"/>
      <c r="B731" s="203"/>
      <c r="C731" s="203"/>
      <c r="D731" s="203"/>
      <c r="E731" s="203"/>
      <c r="F731" s="203"/>
      <c r="G731" s="372"/>
      <c r="H731" s="372"/>
      <c r="I731" s="375"/>
      <c r="J731" s="375"/>
      <c r="L731" s="203"/>
      <c r="M731" s="203"/>
      <c r="N731" s="203"/>
      <c r="O731" s="203"/>
      <c r="P731" s="203"/>
      <c r="Q731" s="203"/>
      <c r="R731" s="203"/>
      <c r="S731" s="203"/>
      <c r="T731" s="203"/>
      <c r="U731" s="203"/>
    </row>
    <row r="732" spans="1:21" s="15" customFormat="1" ht="14.1" customHeight="1">
      <c r="A732" s="247"/>
      <c r="B732" s="203"/>
      <c r="C732" s="203"/>
      <c r="D732" s="203"/>
      <c r="E732" s="203"/>
      <c r="F732" s="203"/>
      <c r="G732" s="372"/>
      <c r="H732" s="372"/>
      <c r="I732" s="375"/>
      <c r="J732" s="375"/>
      <c r="L732" s="203"/>
      <c r="M732" s="203"/>
      <c r="N732" s="203"/>
      <c r="O732" s="203"/>
      <c r="P732" s="203"/>
      <c r="Q732" s="203"/>
      <c r="R732" s="203"/>
      <c r="S732" s="203"/>
      <c r="T732" s="203"/>
      <c r="U732" s="203"/>
    </row>
    <row r="733" spans="1:21" s="15" customFormat="1" ht="14.1" customHeight="1">
      <c r="A733" s="247"/>
      <c r="B733" s="203"/>
      <c r="C733" s="203"/>
      <c r="D733" s="203"/>
      <c r="E733" s="203"/>
      <c r="F733" s="203"/>
      <c r="G733" s="372"/>
      <c r="H733" s="372"/>
      <c r="I733" s="375"/>
      <c r="J733" s="375"/>
      <c r="L733" s="203"/>
      <c r="M733" s="203"/>
      <c r="N733" s="203"/>
      <c r="O733" s="203"/>
      <c r="P733" s="203"/>
      <c r="Q733" s="203"/>
      <c r="R733" s="203"/>
      <c r="S733" s="203"/>
      <c r="T733" s="203"/>
      <c r="U733" s="203"/>
    </row>
    <row r="734" spans="1:21" s="15" customFormat="1" ht="14.1" customHeight="1">
      <c r="A734" s="247"/>
      <c r="B734" s="203"/>
      <c r="C734" s="203"/>
      <c r="D734" s="203"/>
      <c r="E734" s="203"/>
      <c r="F734" s="203"/>
      <c r="G734" s="372"/>
      <c r="H734" s="372"/>
      <c r="I734" s="375"/>
      <c r="J734" s="375"/>
      <c r="L734" s="203"/>
      <c r="M734" s="203"/>
      <c r="N734" s="203"/>
      <c r="O734" s="203"/>
      <c r="P734" s="203"/>
      <c r="Q734" s="203"/>
      <c r="R734" s="203"/>
      <c r="S734" s="203"/>
      <c r="T734" s="203"/>
      <c r="U734" s="203"/>
    </row>
    <row r="735" spans="1:21" s="15" customFormat="1" ht="14.1" customHeight="1">
      <c r="A735" s="247"/>
      <c r="B735" s="203"/>
      <c r="C735" s="203"/>
      <c r="D735" s="203"/>
      <c r="E735" s="203"/>
      <c r="F735" s="203"/>
      <c r="G735" s="372"/>
      <c r="H735" s="372"/>
      <c r="I735" s="375"/>
      <c r="J735" s="375"/>
      <c r="L735" s="203"/>
      <c r="M735" s="203"/>
      <c r="N735" s="203"/>
      <c r="O735" s="203"/>
      <c r="P735" s="203"/>
      <c r="Q735" s="203"/>
      <c r="R735" s="203"/>
      <c r="S735" s="203"/>
      <c r="T735" s="203"/>
      <c r="U735" s="203"/>
    </row>
    <row r="736" spans="1:21" s="15" customFormat="1" ht="14.1" customHeight="1">
      <c r="A736" s="247"/>
      <c r="B736" s="203"/>
      <c r="C736" s="203"/>
      <c r="D736" s="203"/>
      <c r="E736" s="203"/>
      <c r="F736" s="203"/>
      <c r="G736" s="372"/>
      <c r="H736" s="372"/>
      <c r="I736" s="375"/>
      <c r="J736" s="375"/>
      <c r="L736" s="203"/>
      <c r="M736" s="203"/>
      <c r="N736" s="203"/>
      <c r="O736" s="203"/>
      <c r="P736" s="203"/>
      <c r="Q736" s="203"/>
      <c r="R736" s="203"/>
      <c r="S736" s="203"/>
      <c r="T736" s="203"/>
      <c r="U736" s="203"/>
    </row>
    <row r="737" spans="1:21" s="15" customFormat="1" ht="14.1" customHeight="1">
      <c r="A737" s="247"/>
      <c r="B737" s="203"/>
      <c r="C737" s="203"/>
      <c r="D737" s="203"/>
      <c r="E737" s="203"/>
      <c r="F737" s="203"/>
      <c r="G737" s="372"/>
      <c r="H737" s="372"/>
      <c r="I737" s="375"/>
      <c r="J737" s="375"/>
      <c r="L737" s="203"/>
      <c r="M737" s="203"/>
      <c r="N737" s="203"/>
      <c r="O737" s="203"/>
      <c r="P737" s="203"/>
      <c r="Q737" s="203"/>
      <c r="R737" s="203"/>
      <c r="S737" s="203"/>
      <c r="T737" s="203"/>
      <c r="U737" s="203"/>
    </row>
    <row r="738" spans="1:21" s="15" customFormat="1" ht="14.1" customHeight="1">
      <c r="A738" s="247"/>
      <c r="B738" s="203"/>
      <c r="C738" s="203"/>
      <c r="D738" s="203"/>
      <c r="E738" s="203"/>
      <c r="F738" s="203"/>
      <c r="G738" s="372"/>
      <c r="H738" s="372"/>
      <c r="I738" s="375"/>
      <c r="J738" s="375"/>
      <c r="L738" s="203"/>
      <c r="M738" s="203"/>
      <c r="N738" s="203"/>
      <c r="O738" s="203"/>
      <c r="P738" s="203"/>
      <c r="Q738" s="203"/>
      <c r="R738" s="203"/>
      <c r="S738" s="203"/>
      <c r="T738" s="203"/>
      <c r="U738" s="203"/>
    </row>
    <row r="739" spans="1:21" s="15" customFormat="1" ht="14.1" customHeight="1">
      <c r="A739" s="247"/>
      <c r="B739" s="203"/>
      <c r="C739" s="203"/>
      <c r="D739" s="203"/>
      <c r="E739" s="203"/>
      <c r="F739" s="203"/>
      <c r="G739" s="372"/>
      <c r="H739" s="372"/>
      <c r="I739" s="375"/>
      <c r="J739" s="375"/>
      <c r="L739" s="203"/>
      <c r="M739" s="203"/>
      <c r="N739" s="203"/>
      <c r="O739" s="203"/>
      <c r="P739" s="203"/>
      <c r="Q739" s="203"/>
      <c r="R739" s="203"/>
      <c r="S739" s="203"/>
      <c r="T739" s="203"/>
      <c r="U739" s="203"/>
    </row>
    <row r="740" spans="1:21" s="15" customFormat="1" ht="14.1" customHeight="1">
      <c r="A740" s="247"/>
      <c r="B740" s="203"/>
      <c r="C740" s="203"/>
      <c r="D740" s="203"/>
      <c r="E740" s="203"/>
      <c r="F740" s="203"/>
      <c r="G740" s="372"/>
      <c r="H740" s="372"/>
      <c r="I740" s="375"/>
      <c r="J740" s="375"/>
      <c r="L740" s="203"/>
      <c r="M740" s="203"/>
      <c r="N740" s="203"/>
      <c r="O740" s="203"/>
      <c r="P740" s="203"/>
      <c r="Q740" s="203"/>
      <c r="R740" s="203"/>
      <c r="S740" s="203"/>
      <c r="T740" s="203"/>
      <c r="U740" s="203"/>
    </row>
    <row r="741" spans="1:21" s="15" customFormat="1" ht="14.1" customHeight="1">
      <c r="A741" s="247"/>
      <c r="B741" s="203"/>
      <c r="C741" s="203"/>
      <c r="D741" s="203"/>
      <c r="E741" s="203"/>
      <c r="F741" s="203"/>
      <c r="G741" s="372"/>
      <c r="H741" s="372"/>
      <c r="I741" s="375"/>
      <c r="J741" s="375"/>
      <c r="L741" s="203"/>
      <c r="M741" s="203"/>
      <c r="N741" s="203"/>
      <c r="O741" s="203"/>
      <c r="P741" s="203"/>
      <c r="Q741" s="203"/>
      <c r="R741" s="203"/>
      <c r="S741" s="203"/>
      <c r="T741" s="203"/>
      <c r="U741" s="203"/>
    </row>
    <row r="742" spans="1:21" s="15" customFormat="1" ht="14.1" customHeight="1">
      <c r="A742" s="247"/>
      <c r="B742" s="203"/>
      <c r="C742" s="203"/>
      <c r="D742" s="203"/>
      <c r="E742" s="203"/>
      <c r="F742" s="203"/>
      <c r="G742" s="372"/>
      <c r="H742" s="372"/>
      <c r="I742" s="375"/>
      <c r="J742" s="375"/>
      <c r="L742" s="203"/>
      <c r="M742" s="203"/>
      <c r="N742" s="203"/>
      <c r="O742" s="203"/>
      <c r="P742" s="203"/>
      <c r="Q742" s="203"/>
      <c r="R742" s="203"/>
      <c r="S742" s="203"/>
      <c r="T742" s="203"/>
      <c r="U742" s="203"/>
    </row>
    <row r="743" spans="1:21" s="15" customFormat="1" ht="14.1" customHeight="1">
      <c r="A743" s="247"/>
      <c r="B743" s="203"/>
      <c r="C743" s="203"/>
      <c r="D743" s="203"/>
      <c r="E743" s="203"/>
      <c r="F743" s="203"/>
      <c r="G743" s="372"/>
      <c r="H743" s="372"/>
      <c r="I743" s="375"/>
      <c r="J743" s="372"/>
      <c r="L743" s="203"/>
      <c r="M743" s="203"/>
      <c r="N743" s="203"/>
      <c r="O743" s="203"/>
      <c r="P743" s="203"/>
      <c r="Q743" s="203"/>
      <c r="R743" s="203"/>
      <c r="S743" s="203"/>
      <c r="T743" s="203"/>
      <c r="U743" s="203"/>
    </row>
    <row r="744" spans="1:21" s="15" customFormat="1" ht="14.1" customHeight="1">
      <c r="A744" s="247"/>
      <c r="B744" s="203"/>
      <c r="C744" s="203"/>
      <c r="D744" s="203"/>
      <c r="E744" s="203"/>
      <c r="F744" s="203"/>
      <c r="G744" s="372"/>
      <c r="H744" s="372"/>
      <c r="I744" s="375"/>
      <c r="J744" s="372"/>
      <c r="L744" s="203"/>
      <c r="M744" s="203"/>
      <c r="N744" s="203"/>
      <c r="O744" s="203"/>
      <c r="P744" s="203"/>
      <c r="Q744" s="203"/>
      <c r="R744" s="203"/>
      <c r="S744" s="203"/>
      <c r="T744" s="203"/>
      <c r="U744" s="203"/>
    </row>
    <row r="745" spans="1:21" s="15" customFormat="1" ht="14.1" customHeight="1">
      <c r="A745" s="247"/>
      <c r="B745" s="203"/>
      <c r="C745" s="203"/>
      <c r="D745" s="203"/>
      <c r="E745" s="203"/>
      <c r="F745" s="203"/>
      <c r="G745" s="372"/>
      <c r="H745" s="372"/>
      <c r="I745" s="375"/>
      <c r="J745" s="372"/>
      <c r="L745" s="203"/>
      <c r="M745" s="203"/>
      <c r="N745" s="203"/>
      <c r="O745" s="203"/>
      <c r="P745" s="203"/>
      <c r="Q745" s="203"/>
      <c r="R745" s="203"/>
      <c r="S745" s="203"/>
      <c r="T745" s="203"/>
      <c r="U745" s="203"/>
    </row>
    <row r="746" spans="1:21" s="15" customFormat="1" ht="14.1" customHeight="1">
      <c r="A746" s="247"/>
      <c r="B746" s="203"/>
      <c r="C746" s="203"/>
      <c r="D746" s="203"/>
      <c r="E746" s="203"/>
      <c r="F746" s="203"/>
      <c r="G746" s="372"/>
      <c r="H746" s="372"/>
      <c r="I746" s="375"/>
      <c r="J746" s="372"/>
      <c r="L746" s="203"/>
      <c r="M746" s="203"/>
      <c r="N746" s="203"/>
      <c r="O746" s="203"/>
      <c r="P746" s="203"/>
      <c r="Q746" s="203"/>
      <c r="R746" s="203"/>
      <c r="S746" s="203"/>
      <c r="T746" s="203"/>
      <c r="U746" s="203"/>
    </row>
    <row r="747" spans="1:21" s="15" customFormat="1" ht="14.1" customHeight="1">
      <c r="A747" s="247"/>
      <c r="B747" s="203"/>
      <c r="C747" s="203"/>
      <c r="D747" s="203"/>
      <c r="E747" s="203"/>
      <c r="F747" s="203"/>
      <c r="G747" s="372"/>
      <c r="H747" s="372"/>
      <c r="I747" s="375"/>
      <c r="J747" s="372"/>
      <c r="L747" s="203"/>
      <c r="M747" s="203"/>
      <c r="N747" s="203"/>
      <c r="O747" s="203"/>
      <c r="P747" s="203"/>
      <c r="Q747" s="203"/>
      <c r="R747" s="203"/>
      <c r="S747" s="203"/>
      <c r="T747" s="203"/>
      <c r="U747" s="203"/>
    </row>
    <row r="748" spans="1:21" s="15" customFormat="1" ht="14.1" customHeight="1">
      <c r="A748" s="247"/>
      <c r="B748" s="203"/>
      <c r="C748" s="203"/>
      <c r="D748" s="203"/>
      <c r="E748" s="203"/>
      <c r="F748" s="203"/>
      <c r="G748" s="372"/>
      <c r="H748" s="372"/>
      <c r="I748" s="375"/>
      <c r="J748" s="372"/>
      <c r="L748" s="203"/>
      <c r="M748" s="203"/>
      <c r="N748" s="203"/>
      <c r="O748" s="203"/>
      <c r="P748" s="203"/>
      <c r="Q748" s="203"/>
      <c r="R748" s="203"/>
      <c r="S748" s="203"/>
      <c r="T748" s="203"/>
      <c r="U748" s="203"/>
    </row>
    <row r="749" spans="1:21" s="15" customFormat="1" ht="14.1" customHeight="1">
      <c r="A749" s="247"/>
      <c r="B749" s="203"/>
      <c r="C749" s="203"/>
      <c r="D749" s="203"/>
      <c r="E749" s="203"/>
      <c r="F749" s="203"/>
      <c r="G749" s="372"/>
      <c r="H749" s="372"/>
      <c r="I749" s="375"/>
      <c r="J749" s="372"/>
      <c r="L749" s="203"/>
      <c r="M749" s="203"/>
      <c r="N749" s="203"/>
      <c r="O749" s="203"/>
      <c r="P749" s="203"/>
      <c r="Q749" s="203"/>
      <c r="R749" s="203"/>
      <c r="S749" s="203"/>
      <c r="T749" s="203"/>
      <c r="U749" s="203"/>
    </row>
    <row r="750" spans="1:21" s="15" customFormat="1" ht="14.1" customHeight="1">
      <c r="A750" s="247"/>
      <c r="B750" s="203"/>
      <c r="C750" s="203"/>
      <c r="D750" s="203"/>
      <c r="E750" s="203"/>
      <c r="F750" s="203"/>
      <c r="G750" s="372"/>
      <c r="H750" s="372"/>
      <c r="I750" s="375"/>
      <c r="J750" s="372"/>
      <c r="L750" s="203"/>
      <c r="M750" s="203"/>
      <c r="N750" s="203"/>
      <c r="O750" s="203"/>
      <c r="P750" s="203"/>
      <c r="Q750" s="203"/>
      <c r="R750" s="203"/>
      <c r="S750" s="203"/>
      <c r="T750" s="203"/>
      <c r="U750" s="203"/>
    </row>
    <row r="751" spans="1:21" s="15" customFormat="1" ht="14.1" customHeight="1">
      <c r="A751" s="247"/>
      <c r="B751" s="203"/>
      <c r="C751" s="203"/>
      <c r="D751" s="203"/>
      <c r="E751" s="203"/>
      <c r="F751" s="203"/>
      <c r="G751" s="372"/>
      <c r="H751" s="372"/>
      <c r="I751" s="375"/>
      <c r="J751" s="372"/>
      <c r="L751" s="203"/>
      <c r="M751" s="203"/>
      <c r="N751" s="203"/>
      <c r="O751" s="203"/>
      <c r="P751" s="203"/>
      <c r="Q751" s="203"/>
      <c r="R751" s="203"/>
      <c r="S751" s="203"/>
      <c r="T751" s="203"/>
      <c r="U751" s="203"/>
    </row>
    <row r="752" spans="1:21" s="15" customFormat="1" ht="14.1" customHeight="1">
      <c r="A752" s="247"/>
      <c r="B752" s="203"/>
      <c r="C752" s="203"/>
      <c r="D752" s="203"/>
      <c r="E752" s="203"/>
      <c r="F752" s="203"/>
      <c r="G752" s="372"/>
      <c r="H752" s="372"/>
      <c r="I752" s="375"/>
      <c r="J752" s="372"/>
      <c r="L752" s="203"/>
      <c r="M752" s="203"/>
      <c r="N752" s="203"/>
      <c r="O752" s="203"/>
      <c r="P752" s="203"/>
      <c r="Q752" s="203"/>
      <c r="R752" s="203"/>
      <c r="S752" s="203"/>
      <c r="T752" s="203"/>
      <c r="U752" s="203"/>
    </row>
    <row r="753" spans="1:21" s="15" customFormat="1" ht="14.1" customHeight="1">
      <c r="A753" s="247"/>
      <c r="B753" s="203"/>
      <c r="C753" s="203"/>
      <c r="D753" s="203"/>
      <c r="E753" s="203"/>
      <c r="F753" s="203"/>
      <c r="G753" s="372"/>
      <c r="H753" s="372"/>
      <c r="I753" s="375"/>
      <c r="J753" s="372"/>
      <c r="L753" s="203"/>
      <c r="M753" s="203"/>
      <c r="N753" s="203"/>
      <c r="O753" s="203"/>
      <c r="P753" s="203"/>
      <c r="Q753" s="203"/>
      <c r="R753" s="203"/>
      <c r="S753" s="203"/>
      <c r="T753" s="203"/>
      <c r="U753" s="203"/>
    </row>
    <row r="754" spans="1:21" s="15" customFormat="1" ht="14.1" customHeight="1">
      <c r="A754" s="247"/>
      <c r="B754" s="203"/>
      <c r="C754" s="203"/>
      <c r="D754" s="203"/>
      <c r="E754" s="203"/>
      <c r="F754" s="203"/>
      <c r="G754" s="372"/>
      <c r="H754" s="372"/>
      <c r="I754" s="375"/>
      <c r="J754" s="372"/>
      <c r="L754" s="203"/>
      <c r="M754" s="203"/>
      <c r="N754" s="203"/>
      <c r="O754" s="203"/>
      <c r="P754" s="203"/>
      <c r="Q754" s="203"/>
      <c r="R754" s="203"/>
      <c r="S754" s="203"/>
      <c r="T754" s="203"/>
      <c r="U754" s="203"/>
    </row>
    <row r="755" spans="1:21" s="15" customFormat="1" ht="14.1" customHeight="1">
      <c r="A755" s="247"/>
      <c r="B755" s="203"/>
      <c r="C755" s="203"/>
      <c r="D755" s="203"/>
      <c r="E755" s="203"/>
      <c r="F755" s="203"/>
      <c r="G755" s="372"/>
      <c r="H755" s="372"/>
      <c r="I755" s="375"/>
      <c r="J755" s="372"/>
      <c r="L755" s="203"/>
      <c r="M755" s="203"/>
      <c r="N755" s="203"/>
      <c r="O755" s="203"/>
      <c r="P755" s="203"/>
      <c r="Q755" s="203"/>
      <c r="R755" s="203"/>
      <c r="S755" s="203"/>
      <c r="T755" s="203"/>
      <c r="U755" s="203"/>
    </row>
    <row r="756" spans="1:21" s="15" customFormat="1" ht="14.1" customHeight="1">
      <c r="A756" s="247"/>
      <c r="B756" s="203"/>
      <c r="C756" s="203"/>
      <c r="D756" s="203"/>
      <c r="E756" s="203"/>
      <c r="F756" s="203"/>
      <c r="G756" s="372"/>
      <c r="H756" s="372"/>
      <c r="I756" s="375"/>
      <c r="J756" s="372"/>
      <c r="L756" s="203"/>
      <c r="M756" s="203"/>
      <c r="N756" s="203"/>
      <c r="O756" s="203"/>
      <c r="P756" s="203"/>
      <c r="Q756" s="203"/>
      <c r="R756" s="203"/>
      <c r="S756" s="203"/>
      <c r="T756" s="203"/>
      <c r="U756" s="203"/>
    </row>
    <row r="757" spans="1:21" s="15" customFormat="1" ht="14.1" customHeight="1">
      <c r="A757" s="247"/>
      <c r="B757" s="203"/>
      <c r="C757" s="203"/>
      <c r="D757" s="203"/>
      <c r="E757" s="203"/>
      <c r="F757" s="203"/>
      <c r="G757" s="372"/>
      <c r="H757" s="372"/>
      <c r="I757" s="375"/>
      <c r="J757" s="372"/>
      <c r="L757" s="203"/>
      <c r="M757" s="203"/>
      <c r="N757" s="203"/>
      <c r="O757" s="203"/>
      <c r="P757" s="203"/>
      <c r="Q757" s="203"/>
      <c r="R757" s="203"/>
      <c r="S757" s="203"/>
      <c r="T757" s="203"/>
      <c r="U757" s="203"/>
    </row>
    <row r="758" spans="1:21" s="15" customFormat="1" ht="14.1" customHeight="1">
      <c r="A758" s="247"/>
      <c r="B758" s="203"/>
      <c r="C758" s="203"/>
      <c r="D758" s="203"/>
      <c r="E758" s="203"/>
      <c r="F758" s="203"/>
      <c r="G758" s="372"/>
      <c r="H758" s="372"/>
      <c r="I758" s="375"/>
      <c r="J758" s="372"/>
      <c r="L758" s="203"/>
      <c r="M758" s="203"/>
      <c r="N758" s="203"/>
      <c r="O758" s="203"/>
      <c r="P758" s="203"/>
      <c r="Q758" s="203"/>
      <c r="R758" s="203"/>
      <c r="S758" s="203"/>
      <c r="T758" s="203"/>
      <c r="U758" s="203"/>
    </row>
    <row r="759" spans="1:21" s="15" customFormat="1" ht="14.1" customHeight="1">
      <c r="A759" s="247"/>
      <c r="B759" s="203"/>
      <c r="C759" s="203"/>
      <c r="D759" s="203"/>
      <c r="E759" s="203"/>
      <c r="F759" s="203"/>
      <c r="G759" s="372"/>
      <c r="H759" s="372"/>
      <c r="I759" s="375"/>
      <c r="J759" s="372"/>
      <c r="L759" s="203"/>
      <c r="M759" s="203"/>
      <c r="N759" s="203"/>
      <c r="O759" s="203"/>
      <c r="P759" s="203"/>
      <c r="Q759" s="203"/>
      <c r="R759" s="203"/>
      <c r="S759" s="203"/>
      <c r="T759" s="203"/>
      <c r="U759" s="203"/>
    </row>
    <row r="760" spans="1:21" s="15" customFormat="1" ht="14.1" customHeight="1">
      <c r="A760" s="247"/>
      <c r="B760" s="203"/>
      <c r="C760" s="203"/>
      <c r="D760" s="203"/>
      <c r="E760" s="203"/>
      <c r="F760" s="203"/>
      <c r="G760" s="372"/>
      <c r="H760" s="372"/>
      <c r="I760" s="375"/>
      <c r="J760" s="372"/>
      <c r="L760" s="203"/>
      <c r="M760" s="203"/>
      <c r="N760" s="203"/>
      <c r="O760" s="203"/>
      <c r="P760" s="203"/>
      <c r="Q760" s="203"/>
      <c r="R760" s="203"/>
      <c r="S760" s="203"/>
      <c r="T760" s="203"/>
      <c r="U760" s="203"/>
    </row>
    <row r="761" spans="1:21" s="15" customFormat="1" ht="14.1" customHeight="1">
      <c r="A761" s="247"/>
      <c r="B761" s="203"/>
      <c r="C761" s="203"/>
      <c r="D761" s="203"/>
      <c r="E761" s="203"/>
      <c r="F761" s="203"/>
      <c r="G761" s="372"/>
      <c r="H761" s="372"/>
      <c r="I761" s="375"/>
      <c r="J761" s="372"/>
      <c r="L761" s="203"/>
      <c r="M761" s="203"/>
      <c r="N761" s="203"/>
      <c r="O761" s="203"/>
      <c r="P761" s="203"/>
      <c r="Q761" s="203"/>
      <c r="R761" s="203"/>
      <c r="S761" s="203"/>
      <c r="T761" s="203"/>
      <c r="U761" s="203"/>
    </row>
    <row r="762" spans="1:21" s="15" customFormat="1" ht="14.1" customHeight="1">
      <c r="A762" s="247"/>
      <c r="B762" s="203"/>
      <c r="C762" s="203"/>
      <c r="D762" s="203"/>
      <c r="E762" s="203"/>
      <c r="F762" s="203"/>
      <c r="G762" s="372"/>
      <c r="H762" s="372"/>
      <c r="I762" s="375"/>
      <c r="J762" s="372"/>
      <c r="L762" s="203"/>
      <c r="M762" s="203"/>
      <c r="N762" s="203"/>
      <c r="O762" s="203"/>
      <c r="P762" s="203"/>
      <c r="Q762" s="203"/>
      <c r="R762" s="203"/>
      <c r="S762" s="203"/>
      <c r="T762" s="203"/>
      <c r="U762" s="203"/>
    </row>
    <row r="763" spans="1:21" s="15" customFormat="1" ht="14.1" customHeight="1">
      <c r="A763" s="247"/>
      <c r="B763" s="203"/>
      <c r="C763" s="203"/>
      <c r="D763" s="203"/>
      <c r="E763" s="203"/>
      <c r="F763" s="203"/>
      <c r="G763" s="372"/>
      <c r="H763" s="372"/>
      <c r="I763" s="375"/>
      <c r="J763" s="372"/>
      <c r="L763" s="203"/>
      <c r="M763" s="203"/>
      <c r="N763" s="203"/>
      <c r="O763" s="203"/>
      <c r="P763" s="203"/>
      <c r="Q763" s="203"/>
      <c r="R763" s="203"/>
      <c r="S763" s="203"/>
      <c r="T763" s="203"/>
      <c r="U763" s="203"/>
    </row>
    <row r="764" spans="1:21" s="15" customFormat="1" ht="14.1" customHeight="1">
      <c r="A764" s="247"/>
      <c r="B764" s="203"/>
      <c r="C764" s="203"/>
      <c r="D764" s="203"/>
      <c r="E764" s="203"/>
      <c r="F764" s="203"/>
      <c r="G764" s="372"/>
      <c r="H764" s="372"/>
      <c r="I764" s="375"/>
      <c r="J764" s="372"/>
      <c r="L764" s="203"/>
      <c r="M764" s="203"/>
      <c r="N764" s="203"/>
      <c r="O764" s="203"/>
      <c r="P764" s="203"/>
      <c r="Q764" s="203"/>
      <c r="R764" s="203"/>
      <c r="S764" s="203"/>
      <c r="T764" s="203"/>
      <c r="U764" s="203"/>
    </row>
    <row r="765" spans="1:21" s="15" customFormat="1" ht="14.1" customHeight="1">
      <c r="A765" s="247"/>
      <c r="B765" s="203"/>
      <c r="C765" s="203"/>
      <c r="D765" s="203"/>
      <c r="E765" s="203"/>
      <c r="F765" s="203"/>
      <c r="G765" s="372"/>
      <c r="H765" s="372"/>
      <c r="I765" s="375"/>
      <c r="J765" s="372"/>
      <c r="L765" s="203"/>
      <c r="M765" s="203"/>
      <c r="N765" s="203"/>
      <c r="O765" s="203"/>
      <c r="P765" s="203"/>
      <c r="Q765" s="203"/>
      <c r="R765" s="203"/>
      <c r="S765" s="203"/>
      <c r="T765" s="203"/>
      <c r="U765" s="203"/>
    </row>
    <row r="766" spans="1:21" s="15" customFormat="1" ht="14.1" customHeight="1">
      <c r="A766" s="247"/>
      <c r="B766" s="203"/>
      <c r="C766" s="203"/>
      <c r="D766" s="203"/>
      <c r="E766" s="203"/>
      <c r="F766" s="203"/>
      <c r="G766" s="372"/>
      <c r="H766" s="372"/>
      <c r="I766" s="375"/>
      <c r="J766" s="372"/>
      <c r="L766" s="203"/>
      <c r="M766" s="203"/>
      <c r="N766" s="203"/>
      <c r="O766" s="203"/>
      <c r="P766" s="203"/>
      <c r="Q766" s="203"/>
      <c r="R766" s="203"/>
      <c r="S766" s="203"/>
      <c r="T766" s="203"/>
      <c r="U766" s="203"/>
    </row>
    <row r="767" spans="1:21" s="15" customFormat="1" ht="14.1" customHeight="1">
      <c r="A767" s="247"/>
      <c r="B767" s="203"/>
      <c r="C767" s="203"/>
      <c r="D767" s="203"/>
      <c r="E767" s="203"/>
      <c r="F767" s="203"/>
      <c r="G767" s="372"/>
      <c r="H767" s="372"/>
      <c r="I767" s="375"/>
      <c r="J767" s="372"/>
      <c r="L767" s="203"/>
      <c r="M767" s="203"/>
      <c r="N767" s="203"/>
      <c r="O767" s="203"/>
      <c r="P767" s="203"/>
      <c r="Q767" s="203"/>
      <c r="R767" s="203"/>
      <c r="S767" s="203"/>
      <c r="T767" s="203"/>
      <c r="U767" s="203"/>
    </row>
    <row r="768" spans="1:21" s="15" customFormat="1" ht="14.1" customHeight="1">
      <c r="A768" s="247"/>
      <c r="B768" s="203"/>
      <c r="C768" s="203"/>
      <c r="D768" s="203"/>
      <c r="E768" s="203"/>
      <c r="F768" s="203"/>
      <c r="G768" s="372"/>
      <c r="H768" s="372"/>
      <c r="I768" s="375"/>
      <c r="J768" s="372"/>
      <c r="L768" s="203"/>
      <c r="M768" s="203"/>
      <c r="N768" s="203"/>
      <c r="O768" s="203"/>
      <c r="P768" s="203"/>
      <c r="Q768" s="203"/>
      <c r="R768" s="203"/>
      <c r="S768" s="203"/>
      <c r="T768" s="203"/>
      <c r="U768" s="203"/>
    </row>
    <row r="769" spans="1:21" s="15" customFormat="1" ht="14.1" customHeight="1">
      <c r="A769" s="247"/>
      <c r="B769" s="203"/>
      <c r="C769" s="203"/>
      <c r="D769" s="203"/>
      <c r="E769" s="203"/>
      <c r="F769" s="203"/>
      <c r="G769" s="372"/>
      <c r="H769" s="372"/>
      <c r="I769" s="375"/>
      <c r="J769" s="372"/>
      <c r="L769" s="203"/>
      <c r="M769" s="203"/>
      <c r="N769" s="203"/>
      <c r="O769" s="203"/>
      <c r="P769" s="203"/>
      <c r="Q769" s="203"/>
      <c r="R769" s="203"/>
      <c r="S769" s="203"/>
      <c r="T769" s="203"/>
      <c r="U769" s="203"/>
    </row>
    <row r="770" spans="1:21" s="15" customFormat="1" ht="14.1" customHeight="1">
      <c r="A770" s="247"/>
      <c r="B770" s="203"/>
      <c r="C770" s="203"/>
      <c r="D770" s="203"/>
      <c r="E770" s="203"/>
      <c r="F770" s="203"/>
      <c r="G770" s="372"/>
      <c r="H770" s="372"/>
      <c r="I770" s="375"/>
      <c r="J770" s="372"/>
      <c r="L770" s="203"/>
      <c r="M770" s="203"/>
      <c r="N770" s="203"/>
      <c r="O770" s="203"/>
      <c r="P770" s="203"/>
      <c r="Q770" s="203"/>
      <c r="R770" s="203"/>
      <c r="S770" s="203"/>
      <c r="T770" s="203"/>
      <c r="U770" s="203"/>
    </row>
    <row r="771" spans="1:21" s="15" customFormat="1" ht="14.1" customHeight="1">
      <c r="A771" s="247"/>
      <c r="B771" s="203"/>
      <c r="C771" s="203"/>
      <c r="D771" s="203"/>
      <c r="E771" s="203"/>
      <c r="F771" s="203"/>
      <c r="G771" s="372"/>
      <c r="H771" s="372"/>
      <c r="I771" s="375"/>
      <c r="J771" s="372"/>
      <c r="L771" s="203"/>
      <c r="M771" s="203"/>
      <c r="N771" s="203"/>
      <c r="O771" s="203"/>
      <c r="P771" s="203"/>
      <c r="Q771" s="203"/>
      <c r="R771" s="203"/>
      <c r="S771" s="203"/>
      <c r="T771" s="203"/>
      <c r="U771" s="203"/>
    </row>
    <row r="772" spans="1:21" s="15" customFormat="1" ht="14.1" customHeight="1">
      <c r="A772" s="247"/>
      <c r="B772" s="203"/>
      <c r="C772" s="203"/>
      <c r="D772" s="203"/>
      <c r="E772" s="203"/>
      <c r="F772" s="203"/>
      <c r="G772" s="372"/>
      <c r="H772" s="372"/>
      <c r="I772" s="375"/>
      <c r="J772" s="372"/>
      <c r="L772" s="203"/>
      <c r="M772" s="203"/>
      <c r="N772" s="203"/>
      <c r="O772" s="203"/>
      <c r="P772" s="203"/>
      <c r="Q772" s="203"/>
      <c r="R772" s="203"/>
      <c r="S772" s="203"/>
      <c r="T772" s="203"/>
      <c r="U772" s="203"/>
    </row>
    <row r="773" spans="1:21" s="15" customFormat="1" ht="14.1" customHeight="1">
      <c r="A773" s="247"/>
      <c r="B773" s="203"/>
      <c r="C773" s="203"/>
      <c r="D773" s="203"/>
      <c r="E773" s="203"/>
      <c r="F773" s="203"/>
      <c r="G773" s="372"/>
      <c r="H773" s="372"/>
      <c r="I773" s="372"/>
      <c r="J773" s="372"/>
      <c r="L773" s="203"/>
      <c r="M773" s="203"/>
      <c r="N773" s="203"/>
      <c r="O773" s="203"/>
      <c r="P773" s="203"/>
      <c r="Q773" s="203"/>
      <c r="R773" s="203"/>
      <c r="S773" s="203"/>
      <c r="T773" s="203"/>
      <c r="U773" s="203"/>
    </row>
    <row r="774" spans="1:21" s="15" customFormat="1" ht="14.1" customHeight="1">
      <c r="A774" s="247"/>
      <c r="B774" s="203"/>
      <c r="C774" s="203"/>
      <c r="D774" s="203"/>
      <c r="E774" s="203"/>
      <c r="F774" s="203"/>
      <c r="G774" s="372"/>
      <c r="H774" s="372"/>
      <c r="I774" s="372"/>
      <c r="J774" s="372"/>
      <c r="L774" s="203"/>
      <c r="M774" s="203"/>
      <c r="N774" s="203"/>
      <c r="O774" s="203"/>
      <c r="P774" s="203"/>
      <c r="Q774" s="203"/>
      <c r="R774" s="203"/>
      <c r="S774" s="203"/>
      <c r="T774" s="203"/>
      <c r="U774" s="203"/>
    </row>
    <row r="775" spans="1:21" s="15" customFormat="1" ht="14.1" customHeight="1">
      <c r="A775" s="247"/>
      <c r="B775" s="203"/>
      <c r="C775" s="203"/>
      <c r="D775" s="203"/>
      <c r="E775" s="203"/>
      <c r="F775" s="203"/>
      <c r="G775" s="372"/>
      <c r="H775" s="372"/>
      <c r="I775" s="372"/>
      <c r="J775" s="372"/>
      <c r="L775" s="203"/>
      <c r="M775" s="203"/>
      <c r="N775" s="203"/>
      <c r="O775" s="203"/>
      <c r="P775" s="203"/>
      <c r="Q775" s="203"/>
      <c r="R775" s="203"/>
      <c r="S775" s="203"/>
      <c r="T775" s="203"/>
      <c r="U775" s="203"/>
    </row>
    <row r="776" spans="1:21" s="15" customFormat="1" ht="14.1" customHeight="1">
      <c r="A776" s="247"/>
      <c r="B776" s="203"/>
      <c r="C776" s="203"/>
      <c r="D776" s="203"/>
      <c r="E776" s="203"/>
      <c r="F776" s="203"/>
      <c r="G776" s="372"/>
      <c r="H776" s="372"/>
      <c r="I776" s="372"/>
      <c r="J776" s="372"/>
      <c r="L776" s="203"/>
      <c r="M776" s="203"/>
      <c r="N776" s="203"/>
      <c r="O776" s="203"/>
      <c r="P776" s="203"/>
      <c r="Q776" s="203"/>
      <c r="R776" s="203"/>
      <c r="S776" s="203"/>
      <c r="T776" s="203"/>
      <c r="U776" s="203"/>
    </row>
    <row r="777" spans="1:21" s="15" customFormat="1" ht="14.1" customHeight="1">
      <c r="A777" s="247"/>
      <c r="B777" s="203"/>
      <c r="C777" s="203"/>
      <c r="D777" s="203"/>
      <c r="E777" s="203"/>
      <c r="F777" s="203"/>
      <c r="G777" s="372"/>
      <c r="H777" s="372"/>
      <c r="I777" s="372"/>
      <c r="J777" s="372"/>
      <c r="L777" s="203"/>
      <c r="M777" s="203"/>
      <c r="N777" s="203"/>
      <c r="O777" s="203"/>
      <c r="P777" s="203"/>
      <c r="Q777" s="203"/>
      <c r="R777" s="203"/>
      <c r="S777" s="203"/>
      <c r="T777" s="203"/>
      <c r="U777" s="203"/>
    </row>
    <row r="778" spans="1:21" s="15" customFormat="1" ht="14.1" customHeight="1">
      <c r="A778" s="247"/>
      <c r="B778" s="203"/>
      <c r="C778" s="203"/>
      <c r="D778" s="203"/>
      <c r="E778" s="203"/>
      <c r="F778" s="203"/>
      <c r="G778" s="372"/>
      <c r="H778" s="372"/>
      <c r="I778" s="372"/>
      <c r="J778" s="372"/>
      <c r="L778" s="203"/>
      <c r="M778" s="203"/>
      <c r="N778" s="203"/>
      <c r="O778" s="203"/>
      <c r="P778" s="203"/>
      <c r="Q778" s="203"/>
      <c r="R778" s="203"/>
      <c r="S778" s="203"/>
      <c r="T778" s="203"/>
      <c r="U778" s="203"/>
    </row>
    <row r="779" spans="1:21" s="15" customFormat="1" ht="14.1" customHeight="1">
      <c r="A779" s="247"/>
      <c r="B779" s="203"/>
      <c r="C779" s="203"/>
      <c r="D779" s="203"/>
      <c r="E779" s="203"/>
      <c r="F779" s="203"/>
      <c r="G779" s="372"/>
      <c r="H779" s="372"/>
      <c r="I779" s="372"/>
      <c r="J779" s="372"/>
      <c r="L779" s="203"/>
      <c r="M779" s="203"/>
      <c r="N779" s="203"/>
      <c r="O779" s="203"/>
      <c r="P779" s="203"/>
      <c r="Q779" s="203"/>
      <c r="R779" s="203"/>
      <c r="S779" s="203"/>
      <c r="T779" s="203"/>
      <c r="U779" s="203"/>
    </row>
    <row r="780" spans="1:21" s="15" customFormat="1" ht="14.1" customHeight="1">
      <c r="A780" s="247"/>
      <c r="B780" s="203"/>
      <c r="C780" s="203"/>
      <c r="D780" s="203"/>
      <c r="E780" s="203"/>
      <c r="F780" s="203"/>
      <c r="G780" s="372"/>
      <c r="H780" s="372"/>
      <c r="I780" s="372"/>
      <c r="J780" s="372"/>
      <c r="L780" s="203"/>
      <c r="M780" s="203"/>
      <c r="N780" s="203"/>
      <c r="O780" s="203"/>
      <c r="P780" s="203"/>
      <c r="Q780" s="203"/>
      <c r="R780" s="203"/>
      <c r="S780" s="203"/>
      <c r="T780" s="203"/>
      <c r="U780" s="203"/>
    </row>
    <row r="781" spans="1:21" s="15" customFormat="1" ht="14.1" customHeight="1">
      <c r="A781" s="247"/>
      <c r="B781" s="203"/>
      <c r="C781" s="203"/>
      <c r="D781" s="203"/>
      <c r="E781" s="203"/>
      <c r="F781" s="203"/>
      <c r="G781" s="372"/>
      <c r="H781" s="372"/>
      <c r="I781" s="372"/>
      <c r="J781" s="372"/>
      <c r="L781" s="203"/>
      <c r="M781" s="203"/>
      <c r="N781" s="203"/>
      <c r="O781" s="203"/>
      <c r="P781" s="203"/>
      <c r="Q781" s="203"/>
      <c r="R781" s="203"/>
      <c r="S781" s="203"/>
      <c r="T781" s="203"/>
      <c r="U781" s="203"/>
    </row>
    <row r="782" spans="1:21" s="15" customFormat="1" ht="14.1" customHeight="1">
      <c r="A782" s="247"/>
      <c r="B782" s="203"/>
      <c r="C782" s="203"/>
      <c r="D782" s="203"/>
      <c r="E782" s="203"/>
      <c r="F782" s="203"/>
      <c r="G782" s="372"/>
      <c r="H782" s="372"/>
      <c r="I782" s="372"/>
      <c r="J782" s="372"/>
      <c r="L782" s="203"/>
      <c r="M782" s="203"/>
      <c r="N782" s="203"/>
      <c r="O782" s="203"/>
      <c r="P782" s="203"/>
      <c r="Q782" s="203"/>
      <c r="R782" s="203"/>
      <c r="S782" s="203"/>
      <c r="T782" s="203"/>
      <c r="U782" s="203"/>
    </row>
    <row r="783" spans="1:21" s="15" customFormat="1" ht="14.1" customHeight="1">
      <c r="A783" s="247"/>
      <c r="B783" s="203"/>
      <c r="C783" s="203"/>
      <c r="D783" s="203"/>
      <c r="E783" s="203"/>
      <c r="F783" s="203"/>
      <c r="G783" s="372"/>
      <c r="H783" s="372"/>
      <c r="I783" s="372"/>
      <c r="J783" s="372"/>
      <c r="L783" s="203"/>
      <c r="M783" s="203"/>
      <c r="N783" s="203"/>
      <c r="O783" s="203"/>
      <c r="P783" s="203"/>
      <c r="Q783" s="203"/>
      <c r="R783" s="203"/>
      <c r="S783" s="203"/>
      <c r="T783" s="203"/>
      <c r="U783" s="203"/>
    </row>
    <row r="784" spans="1:21" s="15" customFormat="1" ht="14.1" customHeight="1">
      <c r="A784" s="247"/>
      <c r="B784" s="203"/>
      <c r="C784" s="203"/>
      <c r="D784" s="203"/>
      <c r="E784" s="203"/>
      <c r="F784" s="203"/>
      <c r="G784" s="372"/>
      <c r="H784" s="372"/>
      <c r="I784" s="372"/>
      <c r="J784" s="372"/>
      <c r="L784" s="203"/>
      <c r="M784" s="203"/>
      <c r="N784" s="203"/>
      <c r="O784" s="203"/>
      <c r="P784" s="203"/>
      <c r="Q784" s="203"/>
      <c r="R784" s="203"/>
      <c r="S784" s="203"/>
      <c r="T784" s="203"/>
      <c r="U784" s="203"/>
    </row>
    <row r="785" spans="1:21" s="15" customFormat="1" ht="14.1" customHeight="1">
      <c r="A785" s="247"/>
      <c r="B785" s="203"/>
      <c r="C785" s="203"/>
      <c r="D785" s="203"/>
      <c r="E785" s="203"/>
      <c r="F785" s="203"/>
      <c r="G785" s="372"/>
      <c r="H785" s="372"/>
      <c r="I785" s="372"/>
      <c r="J785" s="372"/>
      <c r="L785" s="203"/>
      <c r="M785" s="203"/>
      <c r="N785" s="203"/>
      <c r="O785" s="203"/>
      <c r="P785" s="203"/>
      <c r="Q785" s="203"/>
      <c r="R785" s="203"/>
      <c r="S785" s="203"/>
      <c r="T785" s="203"/>
      <c r="U785" s="203"/>
    </row>
    <row r="786" spans="1:21" s="15" customFormat="1" ht="14.1" customHeight="1">
      <c r="A786" s="247"/>
      <c r="B786" s="203"/>
      <c r="C786" s="203"/>
      <c r="D786" s="203"/>
      <c r="E786" s="203"/>
      <c r="F786" s="203"/>
      <c r="G786" s="372"/>
      <c r="H786" s="372"/>
      <c r="I786" s="372"/>
      <c r="J786" s="372"/>
      <c r="L786" s="203"/>
      <c r="M786" s="203"/>
      <c r="N786" s="203"/>
      <c r="O786" s="203"/>
      <c r="P786" s="203"/>
      <c r="Q786" s="203"/>
      <c r="R786" s="203"/>
      <c r="S786" s="203"/>
      <c r="T786" s="203"/>
      <c r="U786" s="203"/>
    </row>
    <row r="787" spans="1:21" s="15" customFormat="1" ht="14.1" customHeight="1">
      <c r="A787" s="247"/>
      <c r="B787" s="203"/>
      <c r="C787" s="203"/>
      <c r="D787" s="203"/>
      <c r="E787" s="203"/>
      <c r="F787" s="203"/>
      <c r="G787" s="372"/>
      <c r="H787" s="372"/>
      <c r="I787" s="372"/>
      <c r="J787" s="372"/>
      <c r="L787" s="203"/>
      <c r="M787" s="203"/>
      <c r="N787" s="203"/>
      <c r="O787" s="203"/>
      <c r="P787" s="203"/>
      <c r="Q787" s="203"/>
      <c r="R787" s="203"/>
      <c r="S787" s="203"/>
      <c r="T787" s="203"/>
      <c r="U787" s="203"/>
    </row>
    <row r="788" spans="1:21" s="15" customFormat="1" ht="14.1" customHeight="1">
      <c r="A788" s="247"/>
      <c r="B788" s="203"/>
      <c r="C788" s="203"/>
      <c r="D788" s="203"/>
      <c r="E788" s="203"/>
      <c r="F788" s="203"/>
      <c r="G788" s="372"/>
      <c r="H788" s="372"/>
      <c r="I788" s="372"/>
      <c r="J788" s="372"/>
      <c r="L788" s="203"/>
      <c r="M788" s="203"/>
      <c r="N788" s="203"/>
      <c r="O788" s="203"/>
      <c r="P788" s="203"/>
      <c r="Q788" s="203"/>
      <c r="R788" s="203"/>
      <c r="S788" s="203"/>
      <c r="T788" s="203"/>
      <c r="U788" s="203"/>
    </row>
    <row r="789" spans="1:21" s="15" customFormat="1" ht="14.1" customHeight="1">
      <c r="A789" s="247"/>
      <c r="B789" s="203"/>
      <c r="C789" s="203"/>
      <c r="D789" s="203"/>
      <c r="E789" s="203"/>
      <c r="F789" s="203"/>
      <c r="G789" s="372"/>
      <c r="H789" s="372"/>
      <c r="I789" s="372"/>
      <c r="J789" s="372"/>
      <c r="L789" s="203"/>
      <c r="M789" s="203"/>
      <c r="N789" s="203"/>
      <c r="O789" s="203"/>
      <c r="P789" s="203"/>
      <c r="Q789" s="203"/>
      <c r="R789" s="203"/>
      <c r="S789" s="203"/>
      <c r="T789" s="203"/>
      <c r="U789" s="203"/>
    </row>
    <row r="790" spans="1:21" s="15" customFormat="1" ht="14.1" customHeight="1">
      <c r="A790" s="247"/>
      <c r="B790" s="203"/>
      <c r="C790" s="203"/>
      <c r="D790" s="203"/>
      <c r="E790" s="203"/>
      <c r="F790" s="203"/>
      <c r="G790" s="372"/>
      <c r="H790" s="372"/>
      <c r="I790" s="372"/>
      <c r="J790" s="372"/>
      <c r="L790" s="203"/>
      <c r="M790" s="203"/>
      <c r="N790" s="203"/>
      <c r="O790" s="203"/>
      <c r="P790" s="203"/>
      <c r="Q790" s="203"/>
      <c r="R790" s="203"/>
      <c r="S790" s="203"/>
      <c r="T790" s="203"/>
      <c r="U790" s="203"/>
    </row>
    <row r="791" spans="1:21" s="15" customFormat="1" ht="14.1" customHeight="1">
      <c r="A791" s="247"/>
      <c r="B791" s="203"/>
      <c r="C791" s="203"/>
      <c r="D791" s="203"/>
      <c r="E791" s="203"/>
      <c r="F791" s="203"/>
      <c r="G791" s="372"/>
      <c r="H791" s="372"/>
      <c r="I791" s="372"/>
      <c r="J791" s="372"/>
      <c r="L791" s="203"/>
      <c r="M791" s="203"/>
      <c r="N791" s="203"/>
      <c r="O791" s="203"/>
      <c r="P791" s="203"/>
      <c r="Q791" s="203"/>
      <c r="R791" s="203"/>
      <c r="S791" s="203"/>
      <c r="T791" s="203"/>
      <c r="U791" s="203"/>
    </row>
    <row r="792" spans="1:21" s="15" customFormat="1" ht="14.1" customHeight="1">
      <c r="A792" s="247"/>
      <c r="B792" s="203"/>
      <c r="C792" s="203"/>
      <c r="D792" s="203"/>
      <c r="E792" s="203"/>
      <c r="F792" s="203"/>
      <c r="G792" s="372"/>
      <c r="H792" s="372"/>
      <c r="I792" s="372"/>
      <c r="J792" s="372"/>
      <c r="L792" s="203"/>
      <c r="M792" s="203"/>
      <c r="N792" s="203"/>
      <c r="O792" s="203"/>
      <c r="P792" s="203"/>
      <c r="Q792" s="203"/>
      <c r="R792" s="203"/>
      <c r="S792" s="203"/>
      <c r="T792" s="203"/>
      <c r="U792" s="203"/>
    </row>
    <row r="793" spans="1:21" s="15" customFormat="1" ht="14.1" customHeight="1">
      <c r="A793" s="247"/>
      <c r="B793" s="203"/>
      <c r="C793" s="203"/>
      <c r="D793" s="203"/>
      <c r="E793" s="203"/>
      <c r="F793" s="203"/>
      <c r="G793" s="372"/>
      <c r="H793" s="372"/>
      <c r="I793" s="372"/>
      <c r="J793" s="372"/>
      <c r="L793" s="203"/>
      <c r="M793" s="203"/>
      <c r="N793" s="203"/>
      <c r="O793" s="203"/>
      <c r="P793" s="203"/>
      <c r="Q793" s="203"/>
      <c r="R793" s="203"/>
      <c r="S793" s="203"/>
      <c r="T793" s="203"/>
      <c r="U793" s="203"/>
    </row>
    <row r="794" spans="1:21" s="15" customFormat="1" ht="14.1" customHeight="1">
      <c r="A794" s="247"/>
      <c r="B794" s="203"/>
      <c r="C794" s="203"/>
      <c r="D794" s="203"/>
      <c r="E794" s="203"/>
      <c r="F794" s="203"/>
      <c r="G794" s="372"/>
      <c r="H794" s="372"/>
      <c r="I794" s="372"/>
      <c r="J794" s="372"/>
      <c r="L794" s="203"/>
      <c r="M794" s="203"/>
      <c r="N794" s="203"/>
      <c r="O794" s="203"/>
      <c r="P794" s="203"/>
      <c r="Q794" s="203"/>
      <c r="R794" s="203"/>
      <c r="S794" s="203"/>
      <c r="T794" s="203"/>
      <c r="U794" s="203"/>
    </row>
    <row r="795" spans="1:21" s="15" customFormat="1" ht="14.1" customHeight="1">
      <c r="A795" s="247"/>
      <c r="B795" s="203"/>
      <c r="C795" s="203"/>
      <c r="D795" s="203"/>
      <c r="E795" s="203"/>
      <c r="F795" s="203"/>
      <c r="G795" s="372"/>
      <c r="H795" s="372"/>
      <c r="I795" s="372"/>
      <c r="J795" s="372"/>
      <c r="L795" s="203"/>
      <c r="M795" s="203"/>
      <c r="N795" s="203"/>
      <c r="O795" s="203"/>
      <c r="P795" s="203"/>
      <c r="Q795" s="203"/>
      <c r="R795" s="203"/>
      <c r="S795" s="203"/>
      <c r="T795" s="203"/>
      <c r="U795" s="203"/>
    </row>
    <row r="796" spans="1:21" s="15" customFormat="1" ht="14.1" customHeight="1">
      <c r="A796" s="247"/>
      <c r="B796" s="203"/>
      <c r="C796" s="203"/>
      <c r="D796" s="203"/>
      <c r="E796" s="203"/>
      <c r="F796" s="203"/>
      <c r="G796" s="372"/>
      <c r="H796" s="372"/>
      <c r="I796" s="372"/>
      <c r="J796" s="372"/>
      <c r="L796" s="203"/>
      <c r="M796" s="203"/>
      <c r="N796" s="203"/>
      <c r="O796" s="203"/>
      <c r="P796" s="203"/>
      <c r="Q796" s="203"/>
      <c r="R796" s="203"/>
      <c r="S796" s="203"/>
      <c r="T796" s="203"/>
      <c r="U796" s="203"/>
    </row>
    <row r="797" spans="1:21" s="15" customFormat="1" ht="14.1" customHeight="1">
      <c r="A797" s="247"/>
      <c r="B797" s="203"/>
      <c r="C797" s="203"/>
      <c r="D797" s="203"/>
      <c r="E797" s="203"/>
      <c r="F797" s="203"/>
      <c r="G797" s="372"/>
      <c r="H797" s="372"/>
      <c r="I797" s="372"/>
      <c r="J797" s="372"/>
      <c r="L797" s="203"/>
      <c r="M797" s="203"/>
      <c r="N797" s="203"/>
      <c r="O797" s="203"/>
      <c r="P797" s="203"/>
      <c r="Q797" s="203"/>
      <c r="R797" s="203"/>
      <c r="S797" s="203"/>
      <c r="T797" s="203"/>
      <c r="U797" s="203"/>
    </row>
    <row r="798" spans="1:21" s="15" customFormat="1" ht="14.1" customHeight="1">
      <c r="A798" s="247"/>
      <c r="B798" s="203"/>
      <c r="C798" s="203"/>
      <c r="D798" s="203"/>
      <c r="E798" s="203"/>
      <c r="F798" s="203"/>
      <c r="G798" s="372"/>
      <c r="H798" s="372"/>
      <c r="I798" s="372"/>
      <c r="J798" s="372"/>
      <c r="L798" s="203"/>
      <c r="M798" s="203"/>
      <c r="N798" s="203"/>
      <c r="O798" s="203"/>
      <c r="P798" s="203"/>
      <c r="Q798" s="203"/>
      <c r="R798" s="203"/>
      <c r="S798" s="203"/>
      <c r="T798" s="203"/>
      <c r="U798" s="203"/>
    </row>
    <row r="799" spans="1:21" s="15" customFormat="1" ht="14.1" customHeight="1">
      <c r="A799" s="247"/>
      <c r="B799" s="203"/>
      <c r="C799" s="203"/>
      <c r="D799" s="203"/>
      <c r="E799" s="203"/>
      <c r="F799" s="203"/>
      <c r="G799" s="372"/>
      <c r="H799" s="372"/>
      <c r="I799" s="372"/>
      <c r="J799" s="372"/>
      <c r="L799" s="203"/>
      <c r="M799" s="203"/>
      <c r="N799" s="203"/>
      <c r="O799" s="203"/>
      <c r="P799" s="203"/>
      <c r="Q799" s="203"/>
      <c r="R799" s="203"/>
      <c r="S799" s="203"/>
      <c r="T799" s="203"/>
      <c r="U799" s="203"/>
    </row>
    <row r="800" spans="1:21" s="15" customFormat="1" ht="14.1" customHeight="1">
      <c r="A800" s="247"/>
      <c r="B800" s="203"/>
      <c r="C800" s="203"/>
      <c r="D800" s="203"/>
      <c r="E800" s="203"/>
      <c r="F800" s="203"/>
      <c r="G800" s="372"/>
      <c r="H800" s="372"/>
      <c r="I800" s="372"/>
      <c r="J800" s="372"/>
      <c r="L800" s="203"/>
      <c r="M800" s="203"/>
      <c r="N800" s="203"/>
      <c r="O800" s="203"/>
      <c r="P800" s="203"/>
      <c r="Q800" s="203"/>
      <c r="R800" s="203"/>
      <c r="S800" s="203"/>
      <c r="T800" s="203"/>
      <c r="U800" s="203"/>
    </row>
    <row r="801" spans="1:21" s="15" customFormat="1" ht="14.1" customHeight="1">
      <c r="A801" s="247"/>
      <c r="B801" s="203"/>
      <c r="C801" s="203"/>
      <c r="D801" s="203"/>
      <c r="E801" s="203"/>
      <c r="F801" s="203"/>
      <c r="G801" s="372"/>
      <c r="H801" s="372"/>
      <c r="I801" s="372"/>
      <c r="J801" s="372"/>
      <c r="L801" s="203"/>
      <c r="M801" s="203"/>
      <c r="N801" s="203"/>
      <c r="O801" s="203"/>
      <c r="P801" s="203"/>
      <c r="Q801" s="203"/>
      <c r="R801" s="203"/>
      <c r="S801" s="203"/>
      <c r="T801" s="203"/>
      <c r="U801" s="203"/>
    </row>
    <row r="802" spans="1:21" s="15" customFormat="1" ht="14.1" customHeight="1">
      <c r="A802" s="247"/>
      <c r="B802" s="203"/>
      <c r="C802" s="203"/>
      <c r="D802" s="203"/>
      <c r="E802" s="203"/>
      <c r="F802" s="203"/>
      <c r="G802" s="372"/>
      <c r="H802" s="372"/>
      <c r="I802" s="372"/>
      <c r="J802" s="372"/>
      <c r="L802" s="203"/>
      <c r="M802" s="203"/>
      <c r="N802" s="203"/>
      <c r="O802" s="203"/>
      <c r="P802" s="203"/>
      <c r="Q802" s="203"/>
      <c r="R802" s="203"/>
      <c r="S802" s="203"/>
      <c r="T802" s="203"/>
      <c r="U802" s="203"/>
    </row>
    <row r="803" spans="1:21" s="15" customFormat="1" ht="14.1" customHeight="1">
      <c r="A803" s="247"/>
      <c r="B803" s="203"/>
      <c r="C803" s="203"/>
      <c r="D803" s="203"/>
      <c r="E803" s="203"/>
      <c r="F803" s="203"/>
      <c r="G803" s="372"/>
      <c r="H803" s="372"/>
      <c r="I803" s="372"/>
      <c r="J803" s="372"/>
      <c r="L803" s="203"/>
      <c r="M803" s="203"/>
      <c r="N803" s="203"/>
      <c r="O803" s="203"/>
      <c r="P803" s="203"/>
      <c r="Q803" s="203"/>
      <c r="R803" s="203"/>
      <c r="S803" s="203"/>
      <c r="T803" s="203"/>
      <c r="U803" s="203"/>
    </row>
    <row r="804" spans="1:21" s="15" customFormat="1" ht="14.1" customHeight="1">
      <c r="A804" s="247"/>
      <c r="B804" s="203"/>
      <c r="C804" s="203"/>
      <c r="D804" s="203"/>
      <c r="E804" s="203"/>
      <c r="F804" s="203"/>
      <c r="G804" s="372"/>
      <c r="H804" s="372"/>
      <c r="I804" s="372"/>
      <c r="J804" s="372"/>
      <c r="L804" s="203"/>
      <c r="M804" s="203"/>
      <c r="N804" s="203"/>
      <c r="O804" s="203"/>
      <c r="P804" s="203"/>
      <c r="Q804" s="203"/>
      <c r="R804" s="203"/>
      <c r="S804" s="203"/>
      <c r="T804" s="203"/>
      <c r="U804" s="203"/>
    </row>
    <row r="805" spans="1:21" s="15" customFormat="1" ht="14.1" customHeight="1">
      <c r="A805" s="247"/>
      <c r="B805" s="203"/>
      <c r="C805" s="203"/>
      <c r="D805" s="203"/>
      <c r="E805" s="203"/>
      <c r="F805" s="203"/>
      <c r="G805" s="372"/>
      <c r="H805" s="372"/>
      <c r="I805" s="372"/>
      <c r="J805" s="372"/>
      <c r="L805" s="203"/>
      <c r="M805" s="203"/>
      <c r="N805" s="203"/>
      <c r="O805" s="203"/>
      <c r="P805" s="203"/>
      <c r="Q805" s="203"/>
      <c r="R805" s="203"/>
      <c r="S805" s="203"/>
      <c r="T805" s="203"/>
      <c r="U805" s="203"/>
    </row>
    <row r="806" spans="1:21" s="15" customFormat="1" ht="14.1" customHeight="1">
      <c r="A806" s="247"/>
      <c r="B806" s="203"/>
      <c r="C806" s="203"/>
      <c r="D806" s="203"/>
      <c r="E806" s="203"/>
      <c r="F806" s="203"/>
      <c r="G806" s="372"/>
      <c r="H806" s="372"/>
      <c r="I806" s="372"/>
      <c r="J806" s="372"/>
      <c r="L806" s="203"/>
      <c r="M806" s="203"/>
      <c r="N806" s="203"/>
      <c r="O806" s="203"/>
      <c r="P806" s="203"/>
      <c r="Q806" s="203"/>
      <c r="R806" s="203"/>
      <c r="S806" s="203"/>
      <c r="T806" s="203"/>
      <c r="U806" s="203"/>
    </row>
    <row r="807" spans="1:21" s="15" customFormat="1" ht="14.1" customHeight="1">
      <c r="A807" s="247"/>
      <c r="B807" s="203"/>
      <c r="C807" s="203"/>
      <c r="D807" s="203"/>
      <c r="E807" s="203"/>
      <c r="F807" s="203"/>
      <c r="G807" s="372"/>
      <c r="H807" s="372"/>
      <c r="I807" s="372"/>
      <c r="J807" s="372"/>
      <c r="L807" s="203"/>
      <c r="M807" s="203"/>
      <c r="N807" s="203"/>
      <c r="O807" s="203"/>
      <c r="P807" s="203"/>
      <c r="Q807" s="203"/>
      <c r="R807" s="203"/>
      <c r="S807" s="203"/>
      <c r="T807" s="203"/>
      <c r="U807" s="203"/>
    </row>
    <row r="808" spans="1:21" s="15" customFormat="1" ht="14.1" customHeight="1">
      <c r="A808" s="247"/>
      <c r="B808" s="203"/>
      <c r="C808" s="203"/>
      <c r="D808" s="203"/>
      <c r="E808" s="203"/>
      <c r="F808" s="203"/>
      <c r="G808" s="372"/>
      <c r="H808" s="372"/>
      <c r="I808" s="372"/>
      <c r="J808" s="372"/>
      <c r="L808" s="203"/>
      <c r="M808" s="203"/>
      <c r="N808" s="203"/>
      <c r="O808" s="203"/>
      <c r="P808" s="203"/>
      <c r="Q808" s="203"/>
      <c r="R808" s="203"/>
      <c r="S808" s="203"/>
      <c r="T808" s="203"/>
      <c r="U808" s="203"/>
    </row>
    <row r="809" spans="1:21" s="15" customFormat="1" ht="14.1" customHeight="1">
      <c r="A809" s="247"/>
      <c r="B809" s="203"/>
      <c r="C809" s="203"/>
      <c r="D809" s="203"/>
      <c r="E809" s="203"/>
      <c r="F809" s="203"/>
      <c r="G809" s="372"/>
      <c r="H809" s="372"/>
      <c r="I809" s="372"/>
      <c r="J809" s="372"/>
      <c r="L809" s="203"/>
      <c r="M809" s="203"/>
      <c r="N809" s="203"/>
      <c r="O809" s="203"/>
      <c r="P809" s="203"/>
      <c r="Q809" s="203"/>
      <c r="R809" s="203"/>
      <c r="S809" s="203"/>
      <c r="T809" s="203"/>
      <c r="U809" s="203"/>
    </row>
    <row r="810" spans="1:21" s="15" customFormat="1" ht="14.1" customHeight="1">
      <c r="A810" s="247"/>
      <c r="B810" s="203"/>
      <c r="C810" s="203"/>
      <c r="D810" s="203"/>
      <c r="E810" s="203"/>
      <c r="F810" s="203"/>
      <c r="G810" s="372"/>
      <c r="H810" s="372"/>
      <c r="I810" s="372"/>
      <c r="J810" s="372"/>
      <c r="L810" s="203"/>
      <c r="M810" s="203"/>
      <c r="N810" s="203"/>
      <c r="O810" s="203"/>
      <c r="P810" s="203"/>
      <c r="Q810" s="203"/>
      <c r="R810" s="203"/>
      <c r="S810" s="203"/>
      <c r="T810" s="203"/>
      <c r="U810" s="203"/>
    </row>
    <row r="811" spans="1:21" s="15" customFormat="1" ht="14.1" customHeight="1">
      <c r="A811" s="247"/>
      <c r="B811" s="203"/>
      <c r="C811" s="203"/>
      <c r="D811" s="203"/>
      <c r="E811" s="203"/>
      <c r="F811" s="203"/>
      <c r="G811" s="372"/>
      <c r="H811" s="372"/>
      <c r="I811" s="372"/>
      <c r="J811" s="372"/>
      <c r="L811" s="203"/>
      <c r="M811" s="203"/>
      <c r="N811" s="203"/>
      <c r="O811" s="203"/>
      <c r="P811" s="203"/>
      <c r="Q811" s="203"/>
      <c r="R811" s="203"/>
      <c r="S811" s="203"/>
      <c r="T811" s="203"/>
      <c r="U811" s="203"/>
    </row>
    <row r="812" spans="1:21" s="15" customFormat="1" ht="14.1" customHeight="1">
      <c r="A812" s="247"/>
      <c r="B812" s="203"/>
      <c r="C812" s="203"/>
      <c r="D812" s="203"/>
      <c r="E812" s="203"/>
      <c r="F812" s="203"/>
      <c r="G812" s="372"/>
      <c r="H812" s="372"/>
      <c r="I812" s="372"/>
      <c r="J812" s="372"/>
      <c r="L812" s="203"/>
      <c r="M812" s="203"/>
      <c r="N812" s="203"/>
      <c r="O812" s="203"/>
      <c r="P812" s="203"/>
      <c r="Q812" s="203"/>
      <c r="R812" s="203"/>
      <c r="S812" s="203"/>
      <c r="T812" s="203"/>
      <c r="U812" s="203"/>
    </row>
    <row r="813" spans="1:21" s="15" customFormat="1" ht="14.1" customHeight="1">
      <c r="A813" s="247"/>
      <c r="B813" s="203"/>
      <c r="C813" s="203"/>
      <c r="D813" s="203"/>
      <c r="E813" s="203"/>
      <c r="F813" s="203"/>
      <c r="G813" s="372"/>
      <c r="H813" s="372"/>
      <c r="I813" s="372"/>
      <c r="J813" s="372"/>
      <c r="L813" s="203"/>
      <c r="M813" s="203"/>
      <c r="N813" s="203"/>
      <c r="O813" s="203"/>
      <c r="P813" s="203"/>
      <c r="Q813" s="203"/>
      <c r="R813" s="203"/>
      <c r="S813" s="203"/>
      <c r="T813" s="203"/>
      <c r="U813" s="203"/>
    </row>
    <row r="814" spans="1:21" s="15" customFormat="1" ht="14.1" customHeight="1">
      <c r="A814" s="247"/>
      <c r="B814" s="203"/>
      <c r="C814" s="203"/>
      <c r="D814" s="203"/>
      <c r="E814" s="203"/>
      <c r="F814" s="203"/>
      <c r="G814" s="372"/>
      <c r="H814" s="372"/>
      <c r="I814" s="372"/>
      <c r="J814" s="372"/>
      <c r="L814" s="203"/>
      <c r="M814" s="203"/>
      <c r="N814" s="203"/>
      <c r="O814" s="203"/>
      <c r="P814" s="203"/>
      <c r="Q814" s="203"/>
      <c r="R814" s="203"/>
      <c r="S814" s="203"/>
      <c r="T814" s="203"/>
      <c r="U814" s="203"/>
    </row>
    <row r="815" spans="1:21" s="15" customFormat="1" ht="14.1" customHeight="1">
      <c r="A815" s="247"/>
      <c r="B815" s="203"/>
      <c r="C815" s="203"/>
      <c r="D815" s="203"/>
      <c r="E815" s="203"/>
      <c r="F815" s="203"/>
      <c r="G815" s="372"/>
      <c r="H815" s="372"/>
      <c r="I815" s="372"/>
      <c r="J815" s="372"/>
      <c r="L815" s="203"/>
      <c r="M815" s="203"/>
      <c r="N815" s="203"/>
      <c r="O815" s="203"/>
      <c r="P815" s="203"/>
      <c r="Q815" s="203"/>
      <c r="R815" s="203"/>
      <c r="S815" s="203"/>
      <c r="T815" s="203"/>
      <c r="U815" s="203"/>
    </row>
    <row r="816" spans="1:21" s="15" customFormat="1" ht="14.1" customHeight="1">
      <c r="A816" s="247"/>
      <c r="B816" s="203"/>
      <c r="C816" s="203"/>
      <c r="D816" s="203"/>
      <c r="E816" s="203"/>
      <c r="F816" s="203"/>
      <c r="G816" s="372"/>
      <c r="H816" s="372"/>
      <c r="I816" s="372"/>
      <c r="J816" s="372"/>
      <c r="L816" s="203"/>
      <c r="M816" s="203"/>
      <c r="N816" s="203"/>
      <c r="O816" s="203"/>
      <c r="P816" s="203"/>
      <c r="Q816" s="203"/>
      <c r="R816" s="203"/>
      <c r="S816" s="203"/>
      <c r="T816" s="203"/>
      <c r="U816" s="203"/>
    </row>
    <row r="817" spans="1:21" s="15" customFormat="1" ht="14.1" customHeight="1">
      <c r="A817" s="247"/>
      <c r="B817" s="203"/>
      <c r="C817" s="203"/>
      <c r="D817" s="203"/>
      <c r="E817" s="203"/>
      <c r="F817" s="203"/>
      <c r="G817" s="372"/>
      <c r="H817" s="372"/>
      <c r="I817" s="372"/>
      <c r="J817" s="372"/>
      <c r="L817" s="203"/>
      <c r="M817" s="203"/>
      <c r="N817" s="203"/>
      <c r="O817" s="203"/>
      <c r="P817" s="203"/>
      <c r="Q817" s="203"/>
      <c r="R817" s="203"/>
      <c r="S817" s="203"/>
      <c r="T817" s="203"/>
      <c r="U817" s="203"/>
    </row>
    <row r="818" spans="1:21" s="15" customFormat="1" ht="14.1" customHeight="1">
      <c r="A818" s="247"/>
      <c r="B818" s="203"/>
      <c r="C818" s="203"/>
      <c r="D818" s="203"/>
      <c r="E818" s="203"/>
      <c r="F818" s="203"/>
      <c r="G818" s="372"/>
      <c r="H818" s="372"/>
      <c r="I818" s="372"/>
      <c r="J818" s="372"/>
      <c r="L818" s="203"/>
      <c r="M818" s="203"/>
      <c r="N818" s="203"/>
      <c r="O818" s="203"/>
      <c r="P818" s="203"/>
      <c r="Q818" s="203"/>
      <c r="R818" s="203"/>
      <c r="S818" s="203"/>
      <c r="T818" s="203"/>
      <c r="U818" s="203"/>
    </row>
    <row r="819" spans="1:21" s="15" customFormat="1" ht="14.1" customHeight="1">
      <c r="A819" s="247"/>
      <c r="B819" s="203"/>
      <c r="C819" s="203"/>
      <c r="D819" s="203"/>
      <c r="E819" s="203"/>
      <c r="F819" s="203"/>
      <c r="G819" s="372"/>
      <c r="H819" s="372"/>
      <c r="I819" s="372"/>
      <c r="J819" s="372"/>
      <c r="L819" s="203"/>
      <c r="M819" s="203"/>
      <c r="N819" s="203"/>
      <c r="O819" s="203"/>
      <c r="P819" s="203"/>
      <c r="Q819" s="203"/>
      <c r="R819" s="203"/>
      <c r="S819" s="203"/>
      <c r="T819" s="203"/>
      <c r="U819" s="203"/>
    </row>
    <row r="820" spans="1:21" s="15" customFormat="1" ht="14.1" customHeight="1">
      <c r="A820" s="247"/>
      <c r="B820" s="203"/>
      <c r="C820" s="203"/>
      <c r="D820" s="203"/>
      <c r="E820" s="203"/>
      <c r="F820" s="203"/>
      <c r="G820" s="372"/>
      <c r="H820" s="372"/>
      <c r="I820" s="372"/>
      <c r="J820" s="372"/>
      <c r="L820" s="203"/>
      <c r="M820" s="203"/>
      <c r="N820" s="203"/>
      <c r="O820" s="203"/>
      <c r="P820" s="203"/>
      <c r="Q820" s="203"/>
      <c r="R820" s="203"/>
      <c r="S820" s="203"/>
      <c r="T820" s="203"/>
      <c r="U820" s="203"/>
    </row>
    <row r="821" spans="1:21" s="15" customFormat="1" ht="14.1" customHeight="1">
      <c r="A821" s="247"/>
      <c r="B821" s="203"/>
      <c r="C821" s="203"/>
      <c r="D821" s="203"/>
      <c r="E821" s="203"/>
      <c r="F821" s="203"/>
      <c r="G821" s="372"/>
      <c r="H821" s="372"/>
      <c r="I821" s="372"/>
      <c r="J821" s="372"/>
      <c r="L821" s="203"/>
      <c r="M821" s="203"/>
      <c r="N821" s="203"/>
      <c r="O821" s="203"/>
      <c r="P821" s="203"/>
      <c r="Q821" s="203"/>
      <c r="R821" s="203"/>
      <c r="S821" s="203"/>
      <c r="T821" s="203"/>
      <c r="U821" s="203"/>
    </row>
    <row r="822" spans="1:21" s="15" customFormat="1" ht="14.1" customHeight="1">
      <c r="A822" s="247"/>
      <c r="B822" s="203"/>
      <c r="C822" s="203"/>
      <c r="D822" s="203"/>
      <c r="E822" s="203"/>
      <c r="F822" s="203"/>
      <c r="G822" s="372"/>
      <c r="H822" s="372"/>
      <c r="I822" s="372"/>
      <c r="J822" s="372"/>
      <c r="L822" s="203"/>
      <c r="M822" s="203"/>
      <c r="N822" s="203"/>
      <c r="O822" s="203"/>
      <c r="P822" s="203"/>
      <c r="Q822" s="203"/>
      <c r="R822" s="203"/>
      <c r="S822" s="203"/>
      <c r="T822" s="203"/>
      <c r="U822" s="203"/>
    </row>
    <row r="823" spans="1:21" s="15" customFormat="1" ht="14.1" customHeight="1">
      <c r="A823" s="247"/>
      <c r="B823" s="203"/>
      <c r="C823" s="203"/>
      <c r="D823" s="203"/>
      <c r="E823" s="203"/>
      <c r="F823" s="203"/>
      <c r="G823" s="372"/>
      <c r="H823" s="372"/>
      <c r="I823" s="372"/>
      <c r="J823" s="372"/>
      <c r="L823" s="203"/>
      <c r="M823" s="203"/>
      <c r="N823" s="203"/>
      <c r="O823" s="203"/>
      <c r="P823" s="203"/>
      <c r="Q823" s="203"/>
      <c r="R823" s="203"/>
      <c r="S823" s="203"/>
      <c r="T823" s="203"/>
      <c r="U823" s="203"/>
    </row>
    <row r="824" spans="1:21" s="15" customFormat="1" ht="14.1" customHeight="1">
      <c r="A824" s="247"/>
      <c r="B824" s="203"/>
      <c r="C824" s="203"/>
      <c r="D824" s="203"/>
      <c r="E824" s="203"/>
      <c r="F824" s="203"/>
      <c r="G824" s="372"/>
      <c r="H824" s="372"/>
      <c r="I824" s="372"/>
      <c r="J824" s="372"/>
      <c r="L824" s="203"/>
      <c r="M824" s="203"/>
      <c r="N824" s="203"/>
      <c r="O824" s="203"/>
      <c r="P824" s="203"/>
      <c r="Q824" s="203"/>
      <c r="R824" s="203"/>
      <c r="S824" s="203"/>
      <c r="T824" s="203"/>
      <c r="U824" s="203"/>
    </row>
    <row r="825" spans="1:21" s="15" customFormat="1" ht="14.1" customHeight="1">
      <c r="A825" s="247"/>
      <c r="B825" s="203"/>
      <c r="C825" s="203"/>
      <c r="D825" s="203"/>
      <c r="E825" s="203"/>
      <c r="F825" s="203"/>
      <c r="G825" s="372"/>
      <c r="H825" s="372"/>
      <c r="I825" s="372"/>
      <c r="J825" s="372"/>
      <c r="L825" s="203"/>
      <c r="M825" s="203"/>
      <c r="N825" s="203"/>
      <c r="O825" s="203"/>
      <c r="P825" s="203"/>
      <c r="Q825" s="203"/>
      <c r="R825" s="203"/>
      <c r="S825" s="203"/>
      <c r="T825" s="203"/>
      <c r="U825" s="203"/>
    </row>
    <row r="826" spans="1:21" s="15" customFormat="1" ht="14.1" customHeight="1">
      <c r="A826" s="247"/>
      <c r="B826" s="203"/>
      <c r="C826" s="203"/>
      <c r="D826" s="203"/>
      <c r="E826" s="203"/>
      <c r="F826" s="203"/>
      <c r="G826" s="372"/>
      <c r="H826" s="372"/>
      <c r="I826" s="372"/>
      <c r="J826" s="372"/>
      <c r="L826" s="203"/>
      <c r="M826" s="203"/>
      <c r="N826" s="203"/>
      <c r="O826" s="203"/>
      <c r="P826" s="203"/>
      <c r="Q826" s="203"/>
      <c r="R826" s="203"/>
      <c r="S826" s="203"/>
      <c r="T826" s="203"/>
      <c r="U826" s="203"/>
    </row>
    <row r="827" spans="1:21" s="15" customFormat="1" ht="14.1" customHeight="1">
      <c r="A827" s="247"/>
      <c r="B827" s="203"/>
      <c r="C827" s="203"/>
      <c r="D827" s="203"/>
      <c r="E827" s="203"/>
      <c r="F827" s="203"/>
      <c r="G827" s="372"/>
      <c r="H827" s="372"/>
      <c r="I827" s="372"/>
      <c r="J827" s="372"/>
      <c r="L827" s="203"/>
      <c r="M827" s="203"/>
      <c r="N827" s="203"/>
      <c r="O827" s="203"/>
      <c r="P827" s="203"/>
      <c r="Q827" s="203"/>
      <c r="R827" s="203"/>
      <c r="S827" s="203"/>
      <c r="T827" s="203"/>
      <c r="U827" s="203"/>
    </row>
    <row r="828" spans="1:21" s="15" customFormat="1" ht="14.1" customHeight="1">
      <c r="A828" s="247"/>
      <c r="B828" s="203"/>
      <c r="C828" s="203"/>
      <c r="D828" s="203"/>
      <c r="E828" s="203"/>
      <c r="F828" s="203"/>
      <c r="G828" s="372"/>
      <c r="H828" s="372"/>
      <c r="I828" s="372"/>
      <c r="J828" s="372"/>
      <c r="L828" s="203"/>
      <c r="M828" s="203"/>
      <c r="N828" s="203"/>
      <c r="O828" s="203"/>
      <c r="P828" s="203"/>
      <c r="Q828" s="203"/>
      <c r="R828" s="203"/>
      <c r="S828" s="203"/>
      <c r="T828" s="203"/>
      <c r="U828" s="203"/>
    </row>
    <row r="829" spans="1:21" s="15" customFormat="1" ht="14.1" customHeight="1">
      <c r="A829" s="247"/>
      <c r="B829" s="203"/>
      <c r="C829" s="203"/>
      <c r="D829" s="203"/>
      <c r="E829" s="203"/>
      <c r="F829" s="203"/>
      <c r="G829" s="372"/>
      <c r="H829" s="372"/>
      <c r="I829" s="372"/>
      <c r="J829" s="372"/>
      <c r="L829" s="203"/>
      <c r="M829" s="203"/>
      <c r="N829" s="203"/>
      <c r="O829" s="203"/>
      <c r="P829" s="203"/>
      <c r="Q829" s="203"/>
      <c r="R829" s="203"/>
      <c r="S829" s="203"/>
      <c r="T829" s="203"/>
      <c r="U829" s="203"/>
    </row>
    <row r="830" spans="1:21" s="15" customFormat="1" ht="14.1" customHeight="1">
      <c r="A830" s="247"/>
      <c r="B830" s="203"/>
      <c r="C830" s="203"/>
      <c r="D830" s="203"/>
      <c r="E830" s="203"/>
      <c r="F830" s="203"/>
      <c r="G830" s="372"/>
      <c r="H830" s="372"/>
      <c r="I830" s="372"/>
      <c r="J830" s="372"/>
      <c r="L830" s="203"/>
      <c r="M830" s="203"/>
      <c r="N830" s="203"/>
      <c r="O830" s="203"/>
      <c r="P830" s="203"/>
      <c r="Q830" s="203"/>
      <c r="R830" s="203"/>
      <c r="S830" s="203"/>
      <c r="T830" s="203"/>
      <c r="U830" s="203"/>
    </row>
    <row r="831" spans="1:21" s="15" customFormat="1" ht="14.1" customHeight="1">
      <c r="A831" s="247"/>
      <c r="B831" s="203"/>
      <c r="C831" s="203"/>
      <c r="D831" s="203"/>
      <c r="E831" s="203"/>
      <c r="F831" s="203"/>
      <c r="G831" s="372"/>
      <c r="H831" s="372"/>
      <c r="I831" s="372"/>
      <c r="J831" s="372"/>
      <c r="L831" s="203"/>
      <c r="M831" s="203"/>
      <c r="N831" s="203"/>
      <c r="O831" s="203"/>
      <c r="P831" s="203"/>
      <c r="Q831" s="203"/>
      <c r="R831" s="203"/>
      <c r="S831" s="203"/>
      <c r="T831" s="203"/>
      <c r="U831" s="203"/>
    </row>
    <row r="832" spans="1:21" s="15" customFormat="1" ht="14.1" customHeight="1">
      <c r="A832" s="247"/>
      <c r="B832" s="203"/>
      <c r="C832" s="203"/>
      <c r="D832" s="203"/>
      <c r="E832" s="203"/>
      <c r="F832" s="203"/>
      <c r="G832" s="372"/>
      <c r="H832" s="372"/>
      <c r="I832" s="372"/>
      <c r="J832" s="372"/>
      <c r="L832" s="203"/>
      <c r="M832" s="203"/>
      <c r="N832" s="203"/>
      <c r="O832" s="203"/>
      <c r="P832" s="203"/>
      <c r="Q832" s="203"/>
      <c r="R832" s="203"/>
      <c r="S832" s="203"/>
      <c r="T832" s="203"/>
      <c r="U832" s="203"/>
    </row>
    <row r="833" spans="1:21" s="15" customFormat="1" ht="14.1" customHeight="1">
      <c r="A833" s="247"/>
      <c r="B833" s="203"/>
      <c r="C833" s="203"/>
      <c r="D833" s="203"/>
      <c r="E833" s="203"/>
      <c r="F833" s="203"/>
      <c r="G833" s="372"/>
      <c r="H833" s="372"/>
      <c r="I833" s="372"/>
      <c r="J833" s="372"/>
      <c r="L833" s="203"/>
      <c r="M833" s="203"/>
      <c r="N833" s="203"/>
      <c r="O833" s="203"/>
      <c r="P833" s="203"/>
      <c r="Q833" s="203"/>
      <c r="R833" s="203"/>
      <c r="S833" s="203"/>
      <c r="T833" s="203"/>
      <c r="U833" s="203"/>
    </row>
    <row r="834" spans="1:21" s="15" customFormat="1" ht="14.1" customHeight="1">
      <c r="A834" s="247"/>
      <c r="B834" s="203"/>
      <c r="C834" s="203"/>
      <c r="D834" s="203"/>
      <c r="E834" s="203"/>
      <c r="F834" s="203"/>
      <c r="G834" s="372"/>
      <c r="H834" s="372"/>
      <c r="I834" s="372"/>
      <c r="J834" s="372"/>
      <c r="L834" s="203"/>
      <c r="M834" s="203"/>
      <c r="N834" s="203"/>
      <c r="O834" s="203"/>
      <c r="P834" s="203"/>
      <c r="Q834" s="203"/>
      <c r="R834" s="203"/>
      <c r="S834" s="203"/>
      <c r="T834" s="203"/>
      <c r="U834" s="203"/>
    </row>
    <row r="835" spans="1:21" s="15" customFormat="1" ht="14.1" customHeight="1">
      <c r="A835" s="247"/>
      <c r="B835" s="203"/>
      <c r="C835" s="203"/>
      <c r="D835" s="203"/>
      <c r="E835" s="203"/>
      <c r="F835" s="203"/>
      <c r="G835" s="372"/>
      <c r="H835" s="372"/>
      <c r="I835" s="372"/>
      <c r="J835" s="372"/>
      <c r="L835" s="203"/>
      <c r="M835" s="203"/>
      <c r="N835" s="203"/>
      <c r="O835" s="203"/>
      <c r="P835" s="203"/>
      <c r="Q835" s="203"/>
      <c r="R835" s="203"/>
      <c r="S835" s="203"/>
      <c r="T835" s="203"/>
      <c r="U835" s="203"/>
    </row>
    <row r="836" spans="1:21" s="15" customFormat="1" ht="14.1" customHeight="1">
      <c r="A836" s="247"/>
      <c r="B836" s="203"/>
      <c r="C836" s="203"/>
      <c r="D836" s="203"/>
      <c r="E836" s="203"/>
      <c r="F836" s="203"/>
      <c r="G836" s="372"/>
      <c r="H836" s="372"/>
      <c r="I836" s="372"/>
      <c r="J836" s="372"/>
      <c r="L836" s="203"/>
      <c r="M836" s="203"/>
      <c r="N836" s="203"/>
      <c r="O836" s="203"/>
      <c r="P836" s="203"/>
      <c r="Q836" s="203"/>
      <c r="R836" s="203"/>
      <c r="S836" s="203"/>
      <c r="T836" s="203"/>
      <c r="U836" s="203"/>
    </row>
    <row r="837" spans="1:21" s="15" customFormat="1" ht="14.1" customHeight="1">
      <c r="A837" s="247"/>
      <c r="B837" s="203"/>
      <c r="C837" s="203"/>
      <c r="D837" s="203"/>
      <c r="E837" s="203"/>
      <c r="F837" s="203"/>
      <c r="G837" s="372"/>
      <c r="H837" s="372"/>
      <c r="I837" s="372"/>
      <c r="J837" s="372"/>
      <c r="L837" s="203"/>
      <c r="M837" s="203"/>
      <c r="N837" s="203"/>
      <c r="O837" s="203"/>
      <c r="P837" s="203"/>
      <c r="Q837" s="203"/>
      <c r="R837" s="203"/>
      <c r="S837" s="203"/>
      <c r="T837" s="203"/>
      <c r="U837" s="203"/>
    </row>
    <row r="838" spans="1:21" s="15" customFormat="1" ht="14.1" customHeight="1">
      <c r="A838" s="247"/>
      <c r="B838" s="203"/>
      <c r="C838" s="203"/>
      <c r="D838" s="203"/>
      <c r="E838" s="203"/>
      <c r="F838" s="203"/>
      <c r="G838" s="372"/>
      <c r="H838" s="372"/>
      <c r="I838" s="372"/>
      <c r="J838" s="372"/>
      <c r="L838" s="203"/>
      <c r="M838" s="203"/>
      <c r="N838" s="203"/>
      <c r="O838" s="203"/>
      <c r="P838" s="203"/>
      <c r="Q838" s="203"/>
      <c r="R838" s="203"/>
      <c r="S838" s="203"/>
      <c r="T838" s="203"/>
      <c r="U838" s="203"/>
    </row>
    <row r="839" spans="1:21" s="15" customFormat="1" ht="14.1" customHeight="1">
      <c r="A839" s="247"/>
      <c r="B839" s="203"/>
      <c r="C839" s="203"/>
      <c r="D839" s="203"/>
      <c r="E839" s="203"/>
      <c r="F839" s="203"/>
      <c r="G839" s="372"/>
      <c r="H839" s="372"/>
      <c r="I839" s="372"/>
      <c r="J839" s="372"/>
      <c r="L839" s="203"/>
      <c r="M839" s="203"/>
      <c r="N839" s="203"/>
      <c r="O839" s="203"/>
      <c r="P839" s="203"/>
      <c r="Q839" s="203"/>
      <c r="R839" s="203"/>
      <c r="S839" s="203"/>
      <c r="T839" s="203"/>
      <c r="U839" s="203"/>
    </row>
    <row r="840" spans="1:21" s="15" customFormat="1" ht="14.1" customHeight="1">
      <c r="A840" s="247"/>
      <c r="B840" s="203"/>
      <c r="C840" s="203"/>
      <c r="D840" s="203"/>
      <c r="E840" s="203"/>
      <c r="F840" s="203"/>
      <c r="G840" s="372"/>
      <c r="H840" s="372"/>
      <c r="I840" s="372"/>
      <c r="J840" s="372"/>
      <c r="L840" s="203"/>
      <c r="M840" s="203"/>
      <c r="N840" s="203"/>
      <c r="O840" s="203"/>
      <c r="P840" s="203"/>
      <c r="Q840" s="203"/>
      <c r="R840" s="203"/>
      <c r="S840" s="203"/>
      <c r="T840" s="203"/>
      <c r="U840" s="203"/>
    </row>
    <row r="841" spans="1:21" s="15" customFormat="1" ht="14.1" customHeight="1">
      <c r="A841" s="247"/>
      <c r="B841" s="203"/>
      <c r="C841" s="203"/>
      <c r="D841" s="203"/>
      <c r="E841" s="203"/>
      <c r="F841" s="203"/>
      <c r="G841" s="372"/>
      <c r="H841" s="372"/>
      <c r="I841" s="372"/>
      <c r="J841" s="372"/>
      <c r="L841" s="203"/>
      <c r="M841" s="203"/>
      <c r="N841" s="203"/>
      <c r="O841" s="203"/>
      <c r="P841" s="203"/>
      <c r="Q841" s="203"/>
      <c r="R841" s="203"/>
      <c r="S841" s="203"/>
      <c r="T841" s="203"/>
      <c r="U841" s="203"/>
    </row>
    <row r="842" spans="1:21" s="15" customFormat="1" ht="14.1" customHeight="1">
      <c r="A842" s="247"/>
      <c r="B842" s="203"/>
      <c r="C842" s="203"/>
      <c r="D842" s="203"/>
      <c r="E842" s="203"/>
      <c r="F842" s="203"/>
      <c r="G842" s="372"/>
      <c r="H842" s="372"/>
      <c r="I842" s="372"/>
      <c r="J842" s="372"/>
      <c r="L842" s="203"/>
      <c r="M842" s="203"/>
      <c r="N842" s="203"/>
      <c r="O842" s="203"/>
      <c r="P842" s="203"/>
      <c r="Q842" s="203"/>
      <c r="R842" s="203"/>
      <c r="S842" s="203"/>
      <c r="T842" s="203"/>
      <c r="U842" s="203"/>
    </row>
    <row r="843" spans="1:21" s="15" customFormat="1" ht="14.1" customHeight="1">
      <c r="A843" s="247"/>
      <c r="B843" s="203"/>
      <c r="C843" s="203"/>
      <c r="D843" s="203"/>
      <c r="E843" s="203"/>
      <c r="F843" s="203"/>
      <c r="G843" s="372"/>
      <c r="H843" s="372"/>
      <c r="I843" s="372"/>
      <c r="J843" s="372"/>
      <c r="L843" s="203"/>
      <c r="M843" s="203"/>
      <c r="N843" s="203"/>
      <c r="O843" s="203"/>
      <c r="P843" s="203"/>
      <c r="Q843" s="203"/>
      <c r="R843" s="203"/>
      <c r="S843" s="203"/>
      <c r="T843" s="203"/>
      <c r="U843" s="203"/>
    </row>
    <row r="844" spans="1:21" s="15" customFormat="1" ht="14.1" customHeight="1">
      <c r="A844" s="247"/>
      <c r="B844" s="203"/>
      <c r="C844" s="203"/>
      <c r="D844" s="203"/>
      <c r="E844" s="203"/>
      <c r="F844" s="203"/>
      <c r="G844" s="372"/>
      <c r="H844" s="372"/>
      <c r="I844" s="372"/>
      <c r="J844" s="372"/>
      <c r="L844" s="203"/>
      <c r="M844" s="203"/>
      <c r="N844" s="203"/>
      <c r="O844" s="203"/>
      <c r="P844" s="203"/>
      <c r="Q844" s="203"/>
      <c r="R844" s="203"/>
      <c r="S844" s="203"/>
      <c r="T844" s="203"/>
      <c r="U844" s="203"/>
    </row>
    <row r="845" spans="1:21" s="15" customFormat="1" ht="14.1" customHeight="1">
      <c r="A845" s="247"/>
      <c r="B845" s="203"/>
      <c r="C845" s="203"/>
      <c r="D845" s="203"/>
      <c r="E845" s="203"/>
      <c r="F845" s="203"/>
      <c r="G845" s="372"/>
      <c r="H845" s="372"/>
      <c r="I845" s="372"/>
      <c r="J845" s="372"/>
      <c r="L845" s="203"/>
      <c r="M845" s="203"/>
      <c r="N845" s="203"/>
      <c r="O845" s="203"/>
      <c r="P845" s="203"/>
      <c r="Q845" s="203"/>
      <c r="R845" s="203"/>
      <c r="S845" s="203"/>
      <c r="T845" s="203"/>
      <c r="U845" s="203"/>
    </row>
    <row r="846" spans="1:21" s="15" customFormat="1" ht="14.1" customHeight="1">
      <c r="A846" s="247"/>
      <c r="B846" s="203"/>
      <c r="C846" s="203"/>
      <c r="D846" s="203"/>
      <c r="E846" s="203"/>
      <c r="F846" s="203"/>
      <c r="G846" s="372"/>
      <c r="H846" s="372"/>
      <c r="I846" s="372"/>
      <c r="J846" s="372"/>
      <c r="L846" s="203"/>
      <c r="M846" s="203"/>
      <c r="N846" s="203"/>
      <c r="O846" s="203"/>
      <c r="P846" s="203"/>
      <c r="Q846" s="203"/>
      <c r="R846" s="203"/>
      <c r="S846" s="203"/>
      <c r="T846" s="203"/>
      <c r="U846" s="203"/>
    </row>
    <row r="847" spans="1:21" s="15" customFormat="1" ht="14.1" customHeight="1">
      <c r="A847" s="247"/>
      <c r="B847" s="203"/>
      <c r="C847" s="203"/>
      <c r="D847" s="203"/>
      <c r="E847" s="203"/>
      <c r="F847" s="203"/>
      <c r="G847" s="372"/>
      <c r="H847" s="372"/>
      <c r="I847" s="372"/>
      <c r="J847" s="372"/>
      <c r="L847" s="203"/>
      <c r="M847" s="203"/>
      <c r="N847" s="203"/>
      <c r="O847" s="203"/>
      <c r="P847" s="203"/>
      <c r="Q847" s="203"/>
      <c r="R847" s="203"/>
      <c r="S847" s="203"/>
      <c r="T847" s="203"/>
      <c r="U847" s="203"/>
    </row>
    <row r="848" spans="1:21" s="15" customFormat="1" ht="14.1" customHeight="1">
      <c r="A848" s="247"/>
      <c r="B848" s="203"/>
      <c r="C848" s="203"/>
      <c r="D848" s="203"/>
      <c r="E848" s="203"/>
      <c r="F848" s="203"/>
      <c r="G848" s="372"/>
      <c r="H848" s="372"/>
      <c r="I848" s="372"/>
      <c r="J848" s="372"/>
      <c r="L848" s="203"/>
      <c r="M848" s="203"/>
      <c r="N848" s="203"/>
      <c r="O848" s="203"/>
      <c r="P848" s="203"/>
      <c r="Q848" s="203"/>
      <c r="R848" s="203"/>
      <c r="S848" s="203"/>
      <c r="T848" s="203"/>
      <c r="U848" s="203"/>
    </row>
    <row r="849" spans="1:21" s="15" customFormat="1" ht="14.1" customHeight="1">
      <c r="A849" s="247"/>
      <c r="B849" s="203"/>
      <c r="C849" s="203"/>
      <c r="D849" s="203"/>
      <c r="E849" s="203"/>
      <c r="F849" s="203"/>
      <c r="G849" s="372"/>
      <c r="H849" s="372"/>
      <c r="I849" s="372"/>
      <c r="J849" s="372"/>
      <c r="L849" s="203"/>
      <c r="M849" s="203"/>
      <c r="N849" s="203"/>
      <c r="O849" s="203"/>
      <c r="P849" s="203"/>
      <c r="Q849" s="203"/>
      <c r="R849" s="203"/>
      <c r="S849" s="203"/>
      <c r="T849" s="203"/>
      <c r="U849" s="203"/>
    </row>
    <row r="850" spans="1:21" s="15" customFormat="1" ht="14.1" customHeight="1">
      <c r="A850" s="247"/>
      <c r="B850" s="203"/>
      <c r="C850" s="203"/>
      <c r="D850" s="203"/>
      <c r="E850" s="203"/>
      <c r="F850" s="203"/>
      <c r="G850" s="372"/>
      <c r="H850" s="372"/>
      <c r="I850" s="372"/>
      <c r="J850" s="372"/>
      <c r="L850" s="203"/>
      <c r="M850" s="203"/>
      <c r="N850" s="203"/>
      <c r="O850" s="203"/>
      <c r="P850" s="203"/>
      <c r="Q850" s="203"/>
      <c r="R850" s="203"/>
      <c r="S850" s="203"/>
      <c r="T850" s="203"/>
      <c r="U850" s="203"/>
    </row>
    <row r="851" spans="1:21" s="15" customFormat="1" ht="14.1" customHeight="1">
      <c r="A851" s="247"/>
      <c r="B851" s="203"/>
      <c r="C851" s="203"/>
      <c r="D851" s="203"/>
      <c r="E851" s="203"/>
      <c r="F851" s="203"/>
      <c r="G851" s="372"/>
      <c r="H851" s="372"/>
      <c r="I851" s="372"/>
      <c r="J851" s="372"/>
      <c r="L851" s="203"/>
      <c r="M851" s="203"/>
      <c r="N851" s="203"/>
      <c r="O851" s="203"/>
      <c r="P851" s="203"/>
      <c r="Q851" s="203"/>
      <c r="R851" s="203"/>
      <c r="S851" s="203"/>
      <c r="T851" s="203"/>
      <c r="U851" s="203"/>
    </row>
    <row r="852" spans="1:21" s="15" customFormat="1" ht="14.1" customHeight="1">
      <c r="A852" s="247"/>
      <c r="B852" s="203"/>
      <c r="C852" s="203"/>
      <c r="D852" s="203"/>
      <c r="E852" s="203"/>
      <c r="F852" s="203"/>
      <c r="G852" s="372"/>
      <c r="H852" s="372"/>
      <c r="I852" s="372"/>
      <c r="J852" s="372"/>
      <c r="L852" s="203"/>
      <c r="M852" s="203"/>
      <c r="N852" s="203"/>
      <c r="O852" s="203"/>
      <c r="P852" s="203"/>
      <c r="Q852" s="203"/>
      <c r="R852" s="203"/>
      <c r="S852" s="203"/>
      <c r="T852" s="203"/>
      <c r="U852" s="203"/>
    </row>
    <row r="853" spans="1:21" s="15" customFormat="1" ht="14.1" customHeight="1">
      <c r="A853" s="247"/>
      <c r="B853" s="203"/>
      <c r="C853" s="203"/>
      <c r="D853" s="203"/>
      <c r="E853" s="203"/>
      <c r="F853" s="203"/>
      <c r="G853" s="372"/>
      <c r="H853" s="372"/>
      <c r="I853" s="372"/>
      <c r="J853" s="372"/>
      <c r="L853" s="203"/>
      <c r="M853" s="203"/>
      <c r="N853" s="203"/>
      <c r="O853" s="203"/>
      <c r="P853" s="203"/>
      <c r="Q853" s="203"/>
      <c r="R853" s="203"/>
      <c r="S853" s="203"/>
      <c r="T853" s="203"/>
      <c r="U853" s="203"/>
    </row>
    <row r="854" spans="1:21" s="15" customFormat="1" ht="14.1" customHeight="1">
      <c r="A854" s="247"/>
      <c r="B854" s="203"/>
      <c r="C854" s="203"/>
      <c r="D854" s="203"/>
      <c r="E854" s="203"/>
      <c r="F854" s="203"/>
      <c r="G854" s="372"/>
      <c r="H854" s="372"/>
      <c r="I854" s="372"/>
      <c r="J854" s="372"/>
      <c r="L854" s="203"/>
      <c r="M854" s="203"/>
      <c r="N854" s="203"/>
      <c r="O854" s="203"/>
      <c r="P854" s="203"/>
      <c r="Q854" s="203"/>
      <c r="R854" s="203"/>
      <c r="S854" s="203"/>
      <c r="T854" s="203"/>
      <c r="U854" s="203"/>
    </row>
    <row r="855" spans="1:21" s="15" customFormat="1" ht="14.1" customHeight="1">
      <c r="A855" s="247"/>
      <c r="B855" s="203"/>
      <c r="C855" s="203"/>
      <c r="D855" s="203"/>
      <c r="E855" s="203"/>
      <c r="F855" s="203"/>
      <c r="G855" s="372"/>
      <c r="H855" s="372"/>
      <c r="I855" s="372"/>
      <c r="J855" s="372"/>
      <c r="L855" s="203"/>
      <c r="M855" s="203"/>
      <c r="N855" s="203"/>
      <c r="O855" s="203"/>
      <c r="P855" s="203"/>
      <c r="Q855" s="203"/>
      <c r="R855" s="203"/>
      <c r="S855" s="203"/>
      <c r="T855" s="203"/>
      <c r="U855" s="203"/>
    </row>
    <row r="856" spans="1:21" s="15" customFormat="1" ht="14.1" customHeight="1">
      <c r="A856" s="247"/>
      <c r="B856" s="203"/>
      <c r="C856" s="203"/>
      <c r="D856" s="203"/>
      <c r="E856" s="203"/>
      <c r="F856" s="203"/>
      <c r="G856" s="372"/>
      <c r="H856" s="372"/>
      <c r="I856" s="372"/>
      <c r="J856" s="372"/>
      <c r="L856" s="203"/>
      <c r="M856" s="203"/>
      <c r="N856" s="203"/>
      <c r="O856" s="203"/>
      <c r="P856" s="203"/>
      <c r="Q856" s="203"/>
      <c r="R856" s="203"/>
      <c r="S856" s="203"/>
      <c r="T856" s="203"/>
      <c r="U856" s="203"/>
    </row>
    <row r="857" spans="1:21" s="15" customFormat="1" ht="14.1" customHeight="1">
      <c r="A857" s="247"/>
      <c r="B857" s="203"/>
      <c r="C857" s="203"/>
      <c r="D857" s="203"/>
      <c r="E857" s="203"/>
      <c r="F857" s="203"/>
      <c r="G857" s="372"/>
      <c r="H857" s="372"/>
      <c r="I857" s="372"/>
      <c r="J857" s="372"/>
      <c r="L857" s="203"/>
      <c r="M857" s="203"/>
      <c r="N857" s="203"/>
      <c r="O857" s="203"/>
      <c r="P857" s="203"/>
      <c r="Q857" s="203"/>
      <c r="R857" s="203"/>
      <c r="S857" s="203"/>
      <c r="T857" s="203"/>
      <c r="U857" s="203"/>
    </row>
    <row r="858" spans="1:21" s="15" customFormat="1" ht="14.1" customHeight="1">
      <c r="A858" s="247"/>
      <c r="B858" s="203"/>
      <c r="C858" s="203"/>
      <c r="D858" s="203"/>
      <c r="E858" s="203"/>
      <c r="F858" s="203"/>
      <c r="G858" s="372"/>
      <c r="H858" s="372"/>
      <c r="I858" s="372"/>
      <c r="J858" s="372"/>
      <c r="L858" s="203"/>
      <c r="M858" s="203"/>
      <c r="N858" s="203"/>
      <c r="O858" s="203"/>
      <c r="P858" s="203"/>
      <c r="Q858" s="203"/>
      <c r="R858" s="203"/>
      <c r="S858" s="203"/>
      <c r="T858" s="203"/>
      <c r="U858" s="203"/>
    </row>
    <row r="859" spans="1:21" s="15" customFormat="1" ht="14.1" customHeight="1">
      <c r="A859" s="247"/>
      <c r="B859" s="203"/>
      <c r="C859" s="203"/>
      <c r="D859" s="203"/>
      <c r="E859" s="203"/>
      <c r="F859" s="203"/>
      <c r="G859" s="372"/>
      <c r="H859" s="372"/>
      <c r="I859" s="372"/>
      <c r="J859" s="372"/>
      <c r="L859" s="203"/>
      <c r="M859" s="203"/>
      <c r="N859" s="203"/>
      <c r="O859" s="203"/>
      <c r="P859" s="203"/>
      <c r="Q859" s="203"/>
      <c r="R859" s="203"/>
      <c r="S859" s="203"/>
      <c r="T859" s="203"/>
      <c r="U859" s="203"/>
    </row>
    <row r="860" spans="1:21" s="15" customFormat="1" ht="14.1" customHeight="1">
      <c r="A860" s="247"/>
      <c r="B860" s="203"/>
      <c r="C860" s="203"/>
      <c r="D860" s="203"/>
      <c r="E860" s="203"/>
      <c r="F860" s="203"/>
      <c r="G860" s="372"/>
      <c r="H860" s="372"/>
      <c r="I860" s="372"/>
      <c r="J860" s="372"/>
      <c r="L860" s="203"/>
      <c r="M860" s="203"/>
      <c r="N860" s="203"/>
      <c r="O860" s="203"/>
      <c r="P860" s="203"/>
      <c r="Q860" s="203"/>
      <c r="R860" s="203"/>
      <c r="S860" s="203"/>
      <c r="T860" s="203"/>
      <c r="U860" s="203"/>
    </row>
    <row r="861" spans="1:21" s="15" customFormat="1" ht="14.1" customHeight="1">
      <c r="A861" s="247"/>
      <c r="B861" s="203"/>
      <c r="C861" s="203"/>
      <c r="D861" s="203"/>
      <c r="E861" s="203"/>
      <c r="F861" s="203"/>
      <c r="G861" s="372"/>
      <c r="H861" s="372"/>
      <c r="I861" s="372"/>
      <c r="J861" s="372"/>
      <c r="L861" s="203"/>
      <c r="M861" s="203"/>
      <c r="N861" s="203"/>
      <c r="O861" s="203"/>
      <c r="P861" s="203"/>
      <c r="Q861" s="203"/>
      <c r="R861" s="203"/>
      <c r="S861" s="203"/>
      <c r="T861" s="203"/>
      <c r="U861" s="203"/>
    </row>
    <row r="862" spans="1:21" s="15" customFormat="1" ht="14.1" customHeight="1">
      <c r="A862" s="247"/>
      <c r="B862" s="203"/>
      <c r="C862" s="203"/>
      <c r="D862" s="203"/>
      <c r="E862" s="203"/>
      <c r="F862" s="203"/>
      <c r="G862" s="372"/>
      <c r="H862" s="372"/>
      <c r="I862" s="372"/>
      <c r="J862" s="372"/>
      <c r="L862" s="203"/>
      <c r="M862" s="203"/>
      <c r="N862" s="203"/>
      <c r="O862" s="203"/>
      <c r="P862" s="203"/>
      <c r="Q862" s="203"/>
      <c r="R862" s="203"/>
      <c r="S862" s="203"/>
      <c r="T862" s="203"/>
      <c r="U862" s="203"/>
    </row>
    <row r="863" spans="1:21" s="15" customFormat="1" ht="14.1" customHeight="1">
      <c r="A863" s="247"/>
      <c r="B863" s="203"/>
      <c r="C863" s="203"/>
      <c r="D863" s="203"/>
      <c r="E863" s="203"/>
      <c r="F863" s="203"/>
      <c r="G863" s="372"/>
      <c r="H863" s="372"/>
      <c r="I863" s="372"/>
      <c r="J863" s="372"/>
      <c r="L863" s="203"/>
      <c r="M863" s="203"/>
      <c r="N863" s="203"/>
      <c r="O863" s="203"/>
      <c r="P863" s="203"/>
      <c r="Q863" s="203"/>
      <c r="R863" s="203"/>
      <c r="S863" s="203"/>
      <c r="T863" s="203"/>
      <c r="U863" s="203"/>
    </row>
    <row r="864" spans="1:21" s="15" customFormat="1" ht="14.1" customHeight="1">
      <c r="A864" s="247"/>
      <c r="B864" s="203"/>
      <c r="C864" s="203"/>
      <c r="D864" s="203"/>
      <c r="E864" s="203"/>
      <c r="F864" s="203"/>
      <c r="G864" s="372"/>
      <c r="H864" s="372"/>
      <c r="I864" s="372"/>
      <c r="J864" s="372"/>
      <c r="L864" s="203"/>
      <c r="M864" s="203"/>
      <c r="N864" s="203"/>
      <c r="O864" s="203"/>
      <c r="P864" s="203"/>
      <c r="Q864" s="203"/>
      <c r="R864" s="203"/>
      <c r="S864" s="203"/>
      <c r="T864" s="203"/>
      <c r="U864" s="203"/>
    </row>
    <row r="865" spans="1:21" s="15" customFormat="1" ht="14.1" customHeight="1">
      <c r="A865" s="247"/>
      <c r="B865" s="203"/>
      <c r="C865" s="203"/>
      <c r="D865" s="203"/>
      <c r="E865" s="203"/>
      <c r="F865" s="203"/>
      <c r="G865" s="372"/>
      <c r="H865" s="372"/>
      <c r="I865" s="372"/>
      <c r="J865" s="372"/>
      <c r="L865" s="203"/>
      <c r="M865" s="203"/>
      <c r="N865" s="203"/>
      <c r="O865" s="203"/>
      <c r="P865" s="203"/>
      <c r="Q865" s="203"/>
      <c r="R865" s="203"/>
      <c r="S865" s="203"/>
      <c r="T865" s="203"/>
      <c r="U865" s="203"/>
    </row>
    <row r="866" spans="1:21" s="15" customFormat="1" ht="14.1" customHeight="1">
      <c r="A866" s="247"/>
      <c r="B866" s="203"/>
      <c r="C866" s="203"/>
      <c r="D866" s="203"/>
      <c r="E866" s="203"/>
      <c r="F866" s="203"/>
      <c r="G866" s="372"/>
      <c r="H866" s="372"/>
      <c r="I866" s="372"/>
      <c r="J866" s="372"/>
      <c r="L866" s="203"/>
      <c r="M866" s="203"/>
      <c r="N866" s="203"/>
      <c r="O866" s="203"/>
      <c r="P866" s="203"/>
      <c r="Q866" s="203"/>
      <c r="R866" s="203"/>
      <c r="S866" s="203"/>
      <c r="T866" s="203"/>
      <c r="U866" s="203"/>
    </row>
    <row r="867" spans="1:21" s="15" customFormat="1" ht="14.1" customHeight="1">
      <c r="A867" s="247"/>
      <c r="B867" s="203"/>
      <c r="C867" s="203"/>
      <c r="D867" s="203"/>
      <c r="E867" s="203"/>
      <c r="F867" s="203"/>
      <c r="G867" s="372"/>
      <c r="H867" s="372"/>
      <c r="I867" s="372"/>
      <c r="J867" s="372"/>
      <c r="L867" s="203"/>
      <c r="M867" s="203"/>
      <c r="N867" s="203"/>
      <c r="O867" s="203"/>
      <c r="P867" s="203"/>
      <c r="Q867" s="203"/>
      <c r="R867" s="203"/>
      <c r="S867" s="203"/>
      <c r="T867" s="203"/>
      <c r="U867" s="203"/>
    </row>
    <row r="868" spans="1:21" s="15" customFormat="1" ht="14.1" customHeight="1">
      <c r="A868" s="247"/>
      <c r="B868" s="203"/>
      <c r="C868" s="203"/>
      <c r="D868" s="203"/>
      <c r="E868" s="203"/>
      <c r="F868" s="203"/>
      <c r="G868" s="372"/>
      <c r="H868" s="372"/>
      <c r="I868" s="372"/>
      <c r="J868" s="372"/>
      <c r="L868" s="203"/>
      <c r="M868" s="203"/>
      <c r="N868" s="203"/>
      <c r="O868" s="203"/>
      <c r="P868" s="203"/>
      <c r="Q868" s="203"/>
      <c r="R868" s="203"/>
      <c r="S868" s="203"/>
      <c r="T868" s="203"/>
      <c r="U868" s="203"/>
    </row>
    <row r="869" spans="1:21" s="15" customFormat="1" ht="14.1" customHeight="1">
      <c r="A869" s="247"/>
      <c r="B869" s="203"/>
      <c r="C869" s="203"/>
      <c r="D869" s="203"/>
      <c r="E869" s="203"/>
      <c r="F869" s="203"/>
      <c r="G869" s="372"/>
      <c r="H869" s="372"/>
      <c r="I869" s="372"/>
      <c r="J869" s="372"/>
      <c r="L869" s="203"/>
      <c r="M869" s="203"/>
      <c r="N869" s="203"/>
      <c r="O869" s="203"/>
      <c r="P869" s="203"/>
      <c r="Q869" s="203"/>
      <c r="R869" s="203"/>
      <c r="S869" s="203"/>
      <c r="T869" s="203"/>
      <c r="U869" s="203"/>
    </row>
    <row r="870" spans="1:21" s="15" customFormat="1" ht="14.1" customHeight="1">
      <c r="A870" s="247"/>
      <c r="B870" s="203"/>
      <c r="C870" s="203"/>
      <c r="D870" s="203"/>
      <c r="E870" s="203"/>
      <c r="F870" s="203"/>
      <c r="G870" s="372"/>
      <c r="H870" s="372"/>
      <c r="I870" s="372"/>
      <c r="J870" s="372"/>
      <c r="L870" s="203"/>
      <c r="M870" s="203"/>
      <c r="N870" s="203"/>
      <c r="O870" s="203"/>
      <c r="P870" s="203"/>
      <c r="Q870" s="203"/>
      <c r="R870" s="203"/>
      <c r="S870" s="203"/>
      <c r="T870" s="203"/>
      <c r="U870" s="203"/>
    </row>
    <row r="871" spans="1:21" s="15" customFormat="1" ht="14.1" customHeight="1">
      <c r="A871" s="247"/>
      <c r="B871" s="203"/>
      <c r="C871" s="203"/>
      <c r="D871" s="203"/>
      <c r="E871" s="203"/>
      <c r="F871" s="203"/>
      <c r="G871" s="372"/>
      <c r="H871" s="372"/>
      <c r="I871" s="372"/>
      <c r="J871" s="372"/>
      <c r="L871" s="203"/>
      <c r="M871" s="203"/>
      <c r="N871" s="203"/>
      <c r="O871" s="203"/>
      <c r="P871" s="203"/>
      <c r="Q871" s="203"/>
      <c r="R871" s="203"/>
      <c r="S871" s="203"/>
      <c r="T871" s="203"/>
      <c r="U871" s="203"/>
    </row>
    <row r="872" spans="1:21" s="15" customFormat="1" ht="14.1" customHeight="1">
      <c r="A872" s="247"/>
      <c r="B872" s="203"/>
      <c r="C872" s="203"/>
      <c r="D872" s="203"/>
      <c r="E872" s="203"/>
      <c r="F872" s="203"/>
      <c r="G872" s="372"/>
      <c r="H872" s="372"/>
      <c r="I872" s="372"/>
      <c r="J872" s="372"/>
      <c r="L872" s="203"/>
      <c r="M872" s="203"/>
      <c r="N872" s="203"/>
      <c r="O872" s="203"/>
      <c r="P872" s="203"/>
      <c r="Q872" s="203"/>
      <c r="R872" s="203"/>
      <c r="S872" s="203"/>
      <c r="T872" s="203"/>
      <c r="U872" s="203"/>
    </row>
    <row r="873" spans="1:21" s="15" customFormat="1" ht="14.1" customHeight="1">
      <c r="A873" s="247"/>
      <c r="B873" s="203"/>
      <c r="C873" s="203"/>
      <c r="D873" s="203"/>
      <c r="E873" s="203"/>
      <c r="F873" s="203"/>
      <c r="G873" s="372"/>
      <c r="H873" s="372"/>
      <c r="I873" s="372"/>
      <c r="J873" s="372"/>
      <c r="L873" s="203"/>
      <c r="M873" s="203"/>
      <c r="N873" s="203"/>
      <c r="O873" s="203"/>
      <c r="P873" s="203"/>
      <c r="Q873" s="203"/>
      <c r="R873" s="203"/>
      <c r="S873" s="203"/>
      <c r="T873" s="203"/>
      <c r="U873" s="203"/>
    </row>
    <row r="874" spans="1:21" s="15" customFormat="1" ht="14.1" customHeight="1">
      <c r="A874" s="247"/>
      <c r="B874" s="203"/>
      <c r="C874" s="203"/>
      <c r="D874" s="203"/>
      <c r="E874" s="203"/>
      <c r="F874" s="203"/>
      <c r="G874" s="372"/>
      <c r="H874" s="372"/>
      <c r="I874" s="372"/>
      <c r="J874" s="372"/>
      <c r="L874" s="203"/>
      <c r="M874" s="203"/>
      <c r="N874" s="203"/>
      <c r="O874" s="203"/>
      <c r="P874" s="203"/>
      <c r="Q874" s="203"/>
      <c r="R874" s="203"/>
      <c r="S874" s="203"/>
      <c r="T874" s="203"/>
      <c r="U874" s="203"/>
    </row>
    <row r="875" spans="1:21" s="15" customFormat="1" ht="14.1" customHeight="1">
      <c r="A875" s="247"/>
      <c r="B875" s="203"/>
      <c r="C875" s="203"/>
      <c r="D875" s="203"/>
      <c r="E875" s="203"/>
      <c r="F875" s="203"/>
      <c r="G875" s="372"/>
      <c r="H875" s="372"/>
      <c r="I875" s="372"/>
      <c r="J875" s="372"/>
      <c r="L875" s="203"/>
      <c r="M875" s="203"/>
      <c r="N875" s="203"/>
      <c r="O875" s="203"/>
      <c r="P875" s="203"/>
      <c r="Q875" s="203"/>
      <c r="R875" s="203"/>
      <c r="S875" s="203"/>
      <c r="T875" s="203"/>
      <c r="U875" s="203"/>
    </row>
    <row r="876" spans="1:21" s="15" customFormat="1" ht="14.1" customHeight="1">
      <c r="A876" s="247"/>
      <c r="B876" s="203"/>
      <c r="C876" s="203"/>
      <c r="D876" s="203"/>
      <c r="E876" s="203"/>
      <c r="F876" s="203"/>
      <c r="G876" s="372"/>
      <c r="H876" s="372"/>
      <c r="I876" s="372"/>
      <c r="J876" s="372"/>
      <c r="L876" s="203"/>
      <c r="M876" s="203"/>
      <c r="N876" s="203"/>
      <c r="O876" s="203"/>
      <c r="P876" s="203"/>
      <c r="Q876" s="203"/>
      <c r="R876" s="203"/>
      <c r="S876" s="203"/>
      <c r="T876" s="203"/>
      <c r="U876" s="203"/>
    </row>
    <row r="877" spans="1:21" s="15" customFormat="1" ht="14.1" customHeight="1">
      <c r="A877" s="247"/>
      <c r="B877" s="203"/>
      <c r="C877" s="203"/>
      <c r="D877" s="203"/>
      <c r="E877" s="203"/>
      <c r="F877" s="203"/>
      <c r="G877" s="372"/>
      <c r="H877" s="372"/>
      <c r="I877" s="372"/>
      <c r="J877" s="372"/>
      <c r="L877" s="203"/>
      <c r="M877" s="203"/>
      <c r="N877" s="203"/>
      <c r="O877" s="203"/>
      <c r="P877" s="203"/>
      <c r="Q877" s="203"/>
      <c r="R877" s="203"/>
      <c r="S877" s="203"/>
      <c r="T877" s="203"/>
      <c r="U877" s="203"/>
    </row>
    <row r="878" spans="1:21" s="15" customFormat="1" ht="14.1" customHeight="1">
      <c r="A878" s="247"/>
      <c r="B878" s="203"/>
      <c r="C878" s="203"/>
      <c r="D878" s="203"/>
      <c r="E878" s="203"/>
      <c r="F878" s="203"/>
      <c r="G878" s="372"/>
      <c r="H878" s="372"/>
      <c r="I878" s="372"/>
      <c r="J878" s="372"/>
      <c r="L878" s="203"/>
      <c r="M878" s="203"/>
      <c r="N878" s="203"/>
      <c r="O878" s="203"/>
      <c r="P878" s="203"/>
      <c r="Q878" s="203"/>
      <c r="R878" s="203"/>
      <c r="S878" s="203"/>
      <c r="T878" s="203"/>
      <c r="U878" s="203"/>
    </row>
    <row r="879" spans="1:21" s="15" customFormat="1" ht="14.1" customHeight="1">
      <c r="A879" s="247"/>
      <c r="B879" s="203"/>
      <c r="C879" s="203"/>
      <c r="D879" s="203"/>
      <c r="E879" s="203"/>
      <c r="F879" s="203"/>
      <c r="G879" s="372"/>
      <c r="H879" s="372"/>
      <c r="I879" s="372"/>
      <c r="J879" s="372"/>
      <c r="L879" s="203"/>
      <c r="M879" s="203"/>
      <c r="N879" s="203"/>
      <c r="O879" s="203"/>
      <c r="P879" s="203"/>
      <c r="Q879" s="203"/>
      <c r="R879" s="203"/>
      <c r="S879" s="203"/>
      <c r="T879" s="203"/>
      <c r="U879" s="203"/>
    </row>
    <row r="880" spans="1:21" s="15" customFormat="1" ht="14.1" customHeight="1">
      <c r="A880" s="247"/>
      <c r="B880" s="203"/>
      <c r="C880" s="203"/>
      <c r="D880" s="203"/>
      <c r="E880" s="203"/>
      <c r="F880" s="203"/>
      <c r="G880" s="372"/>
      <c r="H880" s="372"/>
      <c r="I880" s="372"/>
      <c r="J880" s="372"/>
      <c r="L880" s="203"/>
      <c r="M880" s="203"/>
      <c r="N880" s="203"/>
      <c r="O880" s="203"/>
      <c r="P880" s="203"/>
      <c r="Q880" s="203"/>
      <c r="R880" s="203"/>
      <c r="S880" s="203"/>
      <c r="T880" s="203"/>
      <c r="U880" s="203"/>
    </row>
    <row r="881" spans="1:21" s="15" customFormat="1" ht="14.1" customHeight="1">
      <c r="A881" s="247"/>
      <c r="B881" s="203"/>
      <c r="C881" s="203"/>
      <c r="D881" s="203"/>
      <c r="E881" s="203"/>
      <c r="F881" s="203"/>
      <c r="G881" s="372"/>
      <c r="H881" s="372"/>
      <c r="I881" s="372"/>
      <c r="J881" s="372"/>
      <c r="L881" s="203"/>
      <c r="M881" s="203"/>
      <c r="N881" s="203"/>
      <c r="O881" s="203"/>
      <c r="P881" s="203"/>
      <c r="Q881" s="203"/>
      <c r="R881" s="203"/>
      <c r="S881" s="203"/>
      <c r="T881" s="203"/>
      <c r="U881" s="203"/>
    </row>
    <row r="882" spans="1:21" s="15" customFormat="1" ht="14.1" customHeight="1">
      <c r="A882" s="247"/>
      <c r="B882" s="203"/>
      <c r="C882" s="203"/>
      <c r="D882" s="203"/>
      <c r="E882" s="203"/>
      <c r="F882" s="203"/>
      <c r="G882" s="372"/>
      <c r="H882" s="372"/>
      <c r="I882" s="372"/>
      <c r="J882" s="372"/>
      <c r="L882" s="203"/>
      <c r="M882" s="203"/>
      <c r="N882" s="203"/>
      <c r="O882" s="203"/>
      <c r="P882" s="203"/>
      <c r="Q882" s="203"/>
      <c r="R882" s="203"/>
      <c r="S882" s="203"/>
      <c r="T882" s="203"/>
      <c r="U882" s="203"/>
    </row>
    <row r="883" spans="1:21" s="15" customFormat="1" ht="14.1" customHeight="1">
      <c r="A883" s="247"/>
      <c r="B883" s="203"/>
      <c r="C883" s="203"/>
      <c r="D883" s="203"/>
      <c r="E883" s="203"/>
      <c r="F883" s="203"/>
      <c r="G883" s="372"/>
      <c r="H883" s="372"/>
      <c r="I883" s="372"/>
      <c r="J883" s="372"/>
      <c r="L883" s="203"/>
      <c r="M883" s="203"/>
      <c r="N883" s="203"/>
      <c r="O883" s="203"/>
      <c r="P883" s="203"/>
      <c r="Q883" s="203"/>
      <c r="R883" s="203"/>
      <c r="S883" s="203"/>
      <c r="T883" s="203"/>
      <c r="U883" s="203"/>
    </row>
    <row r="884" spans="1:21" s="15" customFormat="1" ht="14.1" customHeight="1">
      <c r="A884" s="247"/>
      <c r="B884" s="203"/>
      <c r="C884" s="203"/>
      <c r="D884" s="203"/>
      <c r="E884" s="203"/>
      <c r="F884" s="203"/>
      <c r="G884" s="372"/>
      <c r="H884" s="372"/>
      <c r="I884" s="372"/>
      <c r="J884" s="372"/>
      <c r="L884" s="203"/>
      <c r="M884" s="203"/>
      <c r="N884" s="203"/>
      <c r="O884" s="203"/>
      <c r="P884" s="203"/>
      <c r="Q884" s="203"/>
      <c r="R884" s="203"/>
      <c r="S884" s="203"/>
      <c r="T884" s="203"/>
      <c r="U884" s="203"/>
    </row>
    <row r="885" spans="1:21" s="15" customFormat="1" ht="14.1" customHeight="1">
      <c r="A885" s="247"/>
      <c r="B885" s="203"/>
      <c r="C885" s="203"/>
      <c r="D885" s="203"/>
      <c r="E885" s="203"/>
      <c r="F885" s="203"/>
      <c r="G885" s="372"/>
      <c r="H885" s="372"/>
      <c r="I885" s="372"/>
      <c r="J885" s="372"/>
      <c r="L885" s="203"/>
      <c r="M885" s="203"/>
      <c r="N885" s="203"/>
      <c r="O885" s="203"/>
      <c r="P885" s="203"/>
      <c r="Q885" s="203"/>
      <c r="R885" s="203"/>
      <c r="S885" s="203"/>
      <c r="T885" s="203"/>
      <c r="U885" s="203"/>
    </row>
    <row r="886" spans="1:21" s="15" customFormat="1" ht="14.1" customHeight="1">
      <c r="A886" s="247"/>
      <c r="B886" s="203"/>
      <c r="C886" s="203"/>
      <c r="D886" s="203"/>
      <c r="E886" s="203"/>
      <c r="F886" s="203"/>
      <c r="G886" s="372"/>
      <c r="H886" s="372"/>
      <c r="I886" s="372"/>
      <c r="J886" s="372"/>
      <c r="L886" s="203"/>
      <c r="M886" s="203"/>
      <c r="N886" s="203"/>
      <c r="O886" s="203"/>
      <c r="P886" s="203"/>
      <c r="Q886" s="203"/>
      <c r="R886" s="203"/>
      <c r="S886" s="203"/>
      <c r="T886" s="203"/>
      <c r="U886" s="203"/>
    </row>
    <row r="887" spans="1:21" s="15" customFormat="1" ht="14.1" customHeight="1">
      <c r="A887" s="247"/>
      <c r="B887" s="203"/>
      <c r="C887" s="203"/>
      <c r="D887" s="203"/>
      <c r="E887" s="203"/>
      <c r="F887" s="203"/>
      <c r="G887" s="372"/>
      <c r="H887" s="372"/>
      <c r="I887" s="372"/>
      <c r="J887" s="372"/>
      <c r="L887" s="203"/>
      <c r="M887" s="203"/>
      <c r="N887" s="203"/>
      <c r="O887" s="203"/>
      <c r="P887" s="203"/>
      <c r="Q887" s="203"/>
      <c r="R887" s="203"/>
      <c r="S887" s="203"/>
      <c r="T887" s="203"/>
      <c r="U887" s="203"/>
    </row>
    <row r="888" spans="1:21" s="15" customFormat="1" ht="14.1" customHeight="1">
      <c r="A888" s="247"/>
      <c r="B888" s="203"/>
      <c r="C888" s="203"/>
      <c r="D888" s="203"/>
      <c r="E888" s="203"/>
      <c r="F888" s="203"/>
      <c r="G888" s="372"/>
      <c r="H888" s="372"/>
      <c r="I888" s="372"/>
      <c r="J888" s="372"/>
      <c r="L888" s="203"/>
      <c r="M888" s="203"/>
      <c r="N888" s="203"/>
      <c r="O888" s="203"/>
      <c r="P888" s="203"/>
      <c r="Q888" s="203"/>
      <c r="R888" s="203"/>
      <c r="S888" s="203"/>
      <c r="T888" s="203"/>
      <c r="U888" s="203"/>
    </row>
    <row r="889" spans="1:21" s="15" customFormat="1" ht="14.1" customHeight="1">
      <c r="A889" s="247"/>
      <c r="B889" s="203"/>
      <c r="C889" s="203"/>
      <c r="D889" s="203"/>
      <c r="E889" s="203"/>
      <c r="F889" s="203"/>
      <c r="G889" s="372"/>
      <c r="H889" s="372"/>
      <c r="I889" s="372"/>
      <c r="J889" s="372"/>
      <c r="L889" s="203"/>
      <c r="M889" s="203"/>
      <c r="N889" s="203"/>
      <c r="O889" s="203"/>
      <c r="P889" s="203"/>
      <c r="Q889" s="203"/>
      <c r="R889" s="203"/>
      <c r="S889" s="203"/>
      <c r="T889" s="203"/>
      <c r="U889" s="203"/>
    </row>
    <row r="890" spans="1:21" s="15" customFormat="1" ht="14.1" customHeight="1">
      <c r="A890" s="247"/>
      <c r="B890" s="203"/>
      <c r="C890" s="203"/>
      <c r="D890" s="203"/>
      <c r="E890" s="203"/>
      <c r="F890" s="203"/>
      <c r="G890" s="372"/>
      <c r="H890" s="372"/>
      <c r="I890" s="372"/>
      <c r="J890" s="372"/>
      <c r="L890" s="203"/>
      <c r="M890" s="203"/>
      <c r="N890" s="203"/>
      <c r="O890" s="203"/>
      <c r="P890" s="203"/>
      <c r="Q890" s="203"/>
      <c r="R890" s="203"/>
      <c r="S890" s="203"/>
      <c r="T890" s="203"/>
      <c r="U890" s="203"/>
    </row>
    <row r="891" spans="1:21" s="15" customFormat="1" ht="14.1" customHeight="1">
      <c r="A891" s="247"/>
      <c r="B891" s="203"/>
      <c r="C891" s="203"/>
      <c r="D891" s="203"/>
      <c r="E891" s="203"/>
      <c r="F891" s="203"/>
      <c r="G891" s="372"/>
      <c r="H891" s="372"/>
      <c r="I891" s="372"/>
      <c r="J891" s="372"/>
      <c r="L891" s="203"/>
      <c r="M891" s="203"/>
      <c r="N891" s="203"/>
      <c r="O891" s="203"/>
      <c r="P891" s="203"/>
      <c r="Q891" s="203"/>
      <c r="R891" s="203"/>
      <c r="S891" s="203"/>
      <c r="T891" s="203"/>
      <c r="U891" s="203"/>
    </row>
    <row r="892" spans="1:21" s="15" customFormat="1" ht="14.1" customHeight="1">
      <c r="A892" s="247"/>
      <c r="B892" s="203"/>
      <c r="C892" s="203"/>
      <c r="D892" s="203"/>
      <c r="E892" s="203"/>
      <c r="F892" s="203"/>
      <c r="G892" s="372"/>
      <c r="H892" s="372"/>
      <c r="I892" s="372"/>
      <c r="J892" s="372"/>
      <c r="L892" s="203"/>
      <c r="M892" s="203"/>
      <c r="N892" s="203"/>
      <c r="O892" s="203"/>
      <c r="P892" s="203"/>
      <c r="Q892" s="203"/>
      <c r="R892" s="203"/>
      <c r="S892" s="203"/>
      <c r="T892" s="203"/>
      <c r="U892" s="203"/>
    </row>
    <row r="893" spans="1:21" s="15" customFormat="1" ht="14.1" customHeight="1">
      <c r="A893" s="247"/>
      <c r="B893" s="203"/>
      <c r="C893" s="203"/>
      <c r="D893" s="203"/>
      <c r="E893" s="203"/>
      <c r="F893" s="203"/>
      <c r="G893" s="372"/>
      <c r="H893" s="372"/>
      <c r="I893" s="372"/>
      <c r="J893" s="372"/>
      <c r="L893" s="203"/>
      <c r="M893" s="203"/>
      <c r="N893" s="203"/>
      <c r="O893" s="203"/>
      <c r="P893" s="203"/>
      <c r="Q893" s="203"/>
      <c r="R893" s="203"/>
      <c r="S893" s="203"/>
      <c r="T893" s="203"/>
      <c r="U893" s="203"/>
    </row>
    <row r="894" spans="1:21" s="15" customFormat="1" ht="14.1" customHeight="1">
      <c r="A894" s="247"/>
      <c r="B894" s="203"/>
      <c r="C894" s="203"/>
      <c r="D894" s="203"/>
      <c r="E894" s="203"/>
      <c r="F894" s="203"/>
      <c r="G894" s="372"/>
      <c r="H894" s="372"/>
      <c r="I894" s="372"/>
      <c r="J894" s="372"/>
      <c r="L894" s="203"/>
      <c r="M894" s="203"/>
      <c r="N894" s="203"/>
      <c r="O894" s="203"/>
      <c r="P894" s="203"/>
      <c r="Q894" s="203"/>
      <c r="R894" s="203"/>
      <c r="S894" s="203"/>
      <c r="T894" s="203"/>
      <c r="U894" s="203"/>
    </row>
    <row r="895" spans="1:21" s="15" customFormat="1" ht="14.1" customHeight="1">
      <c r="A895" s="247"/>
      <c r="B895" s="203"/>
      <c r="C895" s="203"/>
      <c r="D895" s="203"/>
      <c r="E895" s="203"/>
      <c r="F895" s="203"/>
      <c r="G895" s="372"/>
      <c r="H895" s="372"/>
      <c r="I895" s="372"/>
      <c r="J895" s="372"/>
      <c r="L895" s="203"/>
      <c r="M895" s="203"/>
      <c r="N895" s="203"/>
      <c r="O895" s="203"/>
      <c r="P895" s="203"/>
      <c r="Q895" s="203"/>
      <c r="R895" s="203"/>
      <c r="S895" s="203"/>
      <c r="T895" s="203"/>
      <c r="U895" s="203"/>
    </row>
    <row r="896" spans="1:21" s="15" customFormat="1" ht="14.1" customHeight="1">
      <c r="A896" s="247"/>
      <c r="B896" s="203"/>
      <c r="C896" s="203"/>
      <c r="D896" s="203"/>
      <c r="E896" s="203"/>
      <c r="F896" s="203"/>
      <c r="G896" s="372"/>
      <c r="H896" s="372"/>
      <c r="I896" s="372"/>
      <c r="J896" s="372"/>
      <c r="L896" s="203"/>
      <c r="M896" s="203"/>
      <c r="N896" s="203"/>
      <c r="O896" s="203"/>
      <c r="P896" s="203"/>
      <c r="Q896" s="203"/>
      <c r="R896" s="203"/>
      <c r="S896" s="203"/>
      <c r="T896" s="203"/>
      <c r="U896" s="203"/>
    </row>
    <row r="897" spans="1:21" s="15" customFormat="1" ht="14.1" customHeight="1">
      <c r="A897" s="247"/>
      <c r="B897" s="203"/>
      <c r="C897" s="203"/>
      <c r="D897" s="203"/>
      <c r="E897" s="203"/>
      <c r="F897" s="203"/>
      <c r="G897" s="372"/>
      <c r="H897" s="372"/>
      <c r="I897" s="372"/>
      <c r="J897" s="372"/>
      <c r="L897" s="203"/>
      <c r="M897" s="203"/>
      <c r="N897" s="203"/>
      <c r="O897" s="203"/>
      <c r="P897" s="203"/>
      <c r="Q897" s="203"/>
      <c r="R897" s="203"/>
      <c r="S897" s="203"/>
      <c r="T897" s="203"/>
      <c r="U897" s="203"/>
    </row>
    <row r="898" spans="1:21" s="15" customFormat="1" ht="14.1" customHeight="1">
      <c r="A898" s="247"/>
      <c r="B898" s="203"/>
      <c r="C898" s="203"/>
      <c r="D898" s="203"/>
      <c r="E898" s="203"/>
      <c r="F898" s="203"/>
      <c r="G898" s="372"/>
      <c r="H898" s="372"/>
      <c r="I898" s="372"/>
      <c r="J898" s="372"/>
      <c r="L898" s="203"/>
      <c r="M898" s="203"/>
      <c r="N898" s="203"/>
      <c r="O898" s="203"/>
      <c r="P898" s="203"/>
      <c r="Q898" s="203"/>
      <c r="R898" s="203"/>
      <c r="S898" s="203"/>
      <c r="T898" s="203"/>
      <c r="U898" s="203"/>
    </row>
    <row r="899" spans="1:21" s="15" customFormat="1" ht="14.1" customHeight="1">
      <c r="A899" s="247"/>
      <c r="B899" s="203"/>
      <c r="C899" s="203"/>
      <c r="D899" s="203"/>
      <c r="E899" s="203"/>
      <c r="F899" s="203"/>
      <c r="G899" s="372"/>
      <c r="H899" s="372"/>
      <c r="I899" s="372"/>
      <c r="J899" s="372"/>
      <c r="L899" s="203"/>
      <c r="M899" s="203"/>
      <c r="N899" s="203"/>
      <c r="O899" s="203"/>
      <c r="P899" s="203"/>
      <c r="Q899" s="203"/>
      <c r="R899" s="203"/>
      <c r="S899" s="203"/>
      <c r="T899" s="203"/>
      <c r="U899" s="203"/>
    </row>
    <row r="900" spans="1:21" s="15" customFormat="1" ht="14.1" customHeight="1">
      <c r="A900" s="247"/>
      <c r="B900" s="203"/>
      <c r="C900" s="203"/>
      <c r="D900" s="203"/>
      <c r="E900" s="203"/>
      <c r="F900" s="203"/>
      <c r="G900" s="372"/>
      <c r="H900" s="372"/>
      <c r="I900" s="372"/>
      <c r="J900" s="372"/>
      <c r="L900" s="203"/>
      <c r="M900" s="203"/>
      <c r="N900" s="203"/>
      <c r="O900" s="203"/>
      <c r="P900" s="203"/>
      <c r="Q900" s="203"/>
      <c r="R900" s="203"/>
      <c r="S900" s="203"/>
      <c r="T900" s="203"/>
      <c r="U900" s="203"/>
    </row>
    <row r="901" spans="1:21" s="15" customFormat="1" ht="14.1" customHeight="1">
      <c r="A901" s="247"/>
      <c r="B901" s="203"/>
      <c r="C901" s="203"/>
      <c r="D901" s="203"/>
      <c r="E901" s="203"/>
      <c r="F901" s="203"/>
      <c r="G901" s="372"/>
      <c r="H901" s="372"/>
      <c r="I901" s="372"/>
      <c r="J901" s="372"/>
      <c r="L901" s="203"/>
      <c r="M901" s="203"/>
      <c r="N901" s="203"/>
      <c r="O901" s="203"/>
      <c r="P901" s="203"/>
      <c r="Q901" s="203"/>
      <c r="R901" s="203"/>
      <c r="S901" s="203"/>
      <c r="T901" s="203"/>
      <c r="U901" s="203"/>
    </row>
    <row r="902" spans="1:21" s="15" customFormat="1" ht="14.1" customHeight="1">
      <c r="A902" s="247"/>
      <c r="B902" s="203"/>
      <c r="C902" s="203"/>
      <c r="D902" s="203"/>
      <c r="E902" s="203"/>
      <c r="F902" s="203"/>
      <c r="G902" s="372"/>
      <c r="H902" s="372"/>
      <c r="I902" s="372"/>
      <c r="J902" s="372"/>
      <c r="L902" s="203"/>
      <c r="M902" s="203"/>
      <c r="N902" s="203"/>
      <c r="O902" s="203"/>
      <c r="P902" s="203"/>
      <c r="Q902" s="203"/>
      <c r="R902" s="203"/>
      <c r="S902" s="203"/>
      <c r="T902" s="203"/>
      <c r="U902" s="203"/>
    </row>
    <row r="903" spans="1:21" s="15" customFormat="1" ht="14.1" customHeight="1">
      <c r="A903" s="247"/>
      <c r="B903" s="203"/>
      <c r="C903" s="203"/>
      <c r="D903" s="203"/>
      <c r="E903" s="203"/>
      <c r="F903" s="203"/>
      <c r="G903" s="372"/>
      <c r="H903" s="372"/>
      <c r="I903" s="372"/>
      <c r="J903" s="372"/>
      <c r="L903" s="203"/>
      <c r="M903" s="203"/>
      <c r="N903" s="203"/>
      <c r="O903" s="203"/>
      <c r="P903" s="203"/>
      <c r="Q903" s="203"/>
      <c r="R903" s="203"/>
      <c r="S903" s="203"/>
      <c r="T903" s="203"/>
      <c r="U903" s="203"/>
    </row>
    <row r="904" spans="1:21" s="15" customFormat="1" ht="14.1" customHeight="1">
      <c r="A904" s="247"/>
      <c r="B904" s="203"/>
      <c r="C904" s="203"/>
      <c r="D904" s="203"/>
      <c r="E904" s="203"/>
      <c r="F904" s="203"/>
      <c r="G904" s="372"/>
      <c r="H904" s="372"/>
      <c r="I904" s="372"/>
      <c r="J904" s="372"/>
      <c r="L904" s="203"/>
      <c r="M904" s="203"/>
      <c r="N904" s="203"/>
      <c r="O904" s="203"/>
      <c r="P904" s="203"/>
      <c r="Q904" s="203"/>
      <c r="R904" s="203"/>
      <c r="S904" s="203"/>
      <c r="T904" s="203"/>
      <c r="U904" s="203"/>
    </row>
    <row r="905" spans="1:21" s="15" customFormat="1" ht="14.1" customHeight="1">
      <c r="A905" s="247"/>
      <c r="B905" s="203"/>
      <c r="C905" s="203"/>
      <c r="D905" s="203"/>
      <c r="E905" s="203"/>
      <c r="F905" s="203"/>
      <c r="G905" s="372"/>
      <c r="H905" s="372"/>
      <c r="I905" s="372"/>
      <c r="J905" s="372"/>
      <c r="L905" s="203"/>
      <c r="M905" s="203"/>
      <c r="N905" s="203"/>
      <c r="O905" s="203"/>
      <c r="P905" s="203"/>
      <c r="Q905" s="203"/>
      <c r="R905" s="203"/>
      <c r="S905" s="203"/>
      <c r="T905" s="203"/>
      <c r="U905" s="203"/>
    </row>
    <row r="906" spans="1:21" s="15" customFormat="1" ht="14.1" customHeight="1">
      <c r="A906" s="247"/>
      <c r="B906" s="203"/>
      <c r="C906" s="203"/>
      <c r="D906" s="203"/>
      <c r="E906" s="203"/>
      <c r="F906" s="203"/>
      <c r="G906" s="372"/>
      <c r="H906" s="372"/>
      <c r="I906" s="372"/>
      <c r="J906" s="372"/>
      <c r="L906" s="203"/>
      <c r="M906" s="203"/>
      <c r="N906" s="203"/>
      <c r="O906" s="203"/>
      <c r="P906" s="203"/>
      <c r="Q906" s="203"/>
      <c r="R906" s="203"/>
      <c r="S906" s="203"/>
      <c r="T906" s="203"/>
      <c r="U906" s="203"/>
    </row>
    <row r="907" spans="1:21" s="15" customFormat="1" ht="14.1" customHeight="1">
      <c r="A907" s="247"/>
      <c r="B907" s="203"/>
      <c r="C907" s="203"/>
      <c r="D907" s="203"/>
      <c r="E907" s="203"/>
      <c r="F907" s="203"/>
      <c r="G907" s="372"/>
      <c r="H907" s="372"/>
      <c r="I907" s="372"/>
      <c r="J907" s="372"/>
      <c r="L907" s="203"/>
      <c r="M907" s="203"/>
      <c r="N907" s="203"/>
      <c r="O907" s="203"/>
      <c r="P907" s="203"/>
      <c r="Q907" s="203"/>
      <c r="R907" s="203"/>
      <c r="S907" s="203"/>
      <c r="T907" s="203"/>
      <c r="U907" s="203"/>
    </row>
    <row r="908" spans="1:21" s="15" customFormat="1" ht="14.1" customHeight="1">
      <c r="A908" s="247"/>
      <c r="B908" s="203"/>
      <c r="C908" s="203"/>
      <c r="D908" s="203"/>
      <c r="E908" s="203"/>
      <c r="F908" s="203"/>
      <c r="G908" s="372"/>
      <c r="H908" s="372"/>
      <c r="I908" s="372"/>
      <c r="J908" s="372"/>
      <c r="L908" s="203"/>
      <c r="M908" s="203"/>
      <c r="N908" s="203"/>
      <c r="O908" s="203"/>
      <c r="P908" s="203"/>
      <c r="Q908" s="203"/>
      <c r="R908" s="203"/>
      <c r="S908" s="203"/>
      <c r="T908" s="203"/>
      <c r="U908" s="203"/>
    </row>
    <row r="909" spans="1:21" s="15" customFormat="1" ht="14.1" customHeight="1">
      <c r="A909" s="247"/>
      <c r="B909" s="203"/>
      <c r="C909" s="203"/>
      <c r="D909" s="203"/>
      <c r="E909" s="203"/>
      <c r="F909" s="203"/>
      <c r="G909" s="372"/>
      <c r="H909" s="372"/>
      <c r="I909" s="372"/>
      <c r="J909" s="372"/>
      <c r="L909" s="203"/>
      <c r="M909" s="203"/>
      <c r="N909" s="203"/>
      <c r="O909" s="203"/>
      <c r="P909" s="203"/>
      <c r="Q909" s="203"/>
      <c r="R909" s="203"/>
      <c r="S909" s="203"/>
      <c r="T909" s="203"/>
      <c r="U909" s="203"/>
    </row>
    <row r="910" spans="1:21" s="15" customFormat="1" ht="14.1" customHeight="1">
      <c r="A910" s="247"/>
      <c r="B910" s="203"/>
      <c r="C910" s="203"/>
      <c r="D910" s="203"/>
      <c r="E910" s="203"/>
      <c r="F910" s="203"/>
      <c r="G910" s="372"/>
      <c r="H910" s="372"/>
      <c r="I910" s="372"/>
      <c r="J910" s="372"/>
      <c r="L910" s="203"/>
      <c r="M910" s="203"/>
      <c r="N910" s="203"/>
      <c r="O910" s="203"/>
      <c r="P910" s="203"/>
      <c r="Q910" s="203"/>
      <c r="R910" s="203"/>
      <c r="S910" s="203"/>
      <c r="T910" s="203"/>
      <c r="U910" s="203"/>
    </row>
    <row r="911" spans="1:21" s="15" customFormat="1" ht="14.1" customHeight="1">
      <c r="A911" s="247"/>
      <c r="B911" s="203"/>
      <c r="C911" s="203"/>
      <c r="D911" s="203"/>
      <c r="E911" s="203"/>
      <c r="F911" s="203"/>
      <c r="G911" s="372"/>
      <c r="H911" s="372"/>
      <c r="I911" s="372"/>
      <c r="J911" s="372"/>
      <c r="L911" s="203"/>
      <c r="M911" s="203"/>
      <c r="N911" s="203"/>
      <c r="O911" s="203"/>
      <c r="P911" s="203"/>
      <c r="Q911" s="203"/>
      <c r="R911" s="203"/>
      <c r="S911" s="203"/>
      <c r="T911" s="203"/>
      <c r="U911" s="203"/>
    </row>
    <row r="912" spans="1:21" s="15" customFormat="1" ht="14.1" customHeight="1">
      <c r="A912" s="247"/>
      <c r="B912" s="203"/>
      <c r="C912" s="203"/>
      <c r="D912" s="203"/>
      <c r="E912" s="203"/>
      <c r="F912" s="203"/>
      <c r="G912" s="372"/>
      <c r="H912" s="372"/>
      <c r="I912" s="372"/>
      <c r="J912" s="372"/>
      <c r="L912" s="203"/>
      <c r="M912" s="203"/>
      <c r="N912" s="203"/>
      <c r="O912" s="203"/>
      <c r="P912" s="203"/>
      <c r="Q912" s="203"/>
      <c r="R912" s="203"/>
      <c r="S912" s="203"/>
      <c r="T912" s="203"/>
      <c r="U912" s="203"/>
    </row>
    <row r="913" spans="1:21" s="15" customFormat="1" ht="14.1" customHeight="1">
      <c r="A913" s="247"/>
      <c r="B913" s="203"/>
      <c r="C913" s="203"/>
      <c r="D913" s="203"/>
      <c r="E913" s="203"/>
      <c r="F913" s="203"/>
      <c r="G913" s="372"/>
      <c r="H913" s="372"/>
      <c r="I913" s="372"/>
      <c r="J913" s="372"/>
      <c r="L913" s="203"/>
      <c r="M913" s="203"/>
      <c r="N913" s="203"/>
      <c r="O913" s="203"/>
      <c r="P913" s="203"/>
      <c r="Q913" s="203"/>
      <c r="R913" s="203"/>
      <c r="S913" s="203"/>
      <c r="T913" s="203"/>
      <c r="U913" s="203"/>
    </row>
    <row r="914" spans="1:21" s="15" customFormat="1" ht="14.1" customHeight="1">
      <c r="A914" s="247"/>
      <c r="B914" s="203"/>
      <c r="C914" s="203"/>
      <c r="D914" s="203"/>
      <c r="E914" s="203"/>
      <c r="F914" s="203"/>
      <c r="G914" s="372"/>
      <c r="H914" s="372"/>
      <c r="I914" s="372"/>
      <c r="J914" s="372"/>
      <c r="L914" s="203"/>
      <c r="M914" s="203"/>
      <c r="N914" s="203"/>
      <c r="O914" s="203"/>
      <c r="P914" s="203"/>
      <c r="Q914" s="203"/>
      <c r="R914" s="203"/>
      <c r="S914" s="203"/>
      <c r="T914" s="203"/>
      <c r="U914" s="203"/>
    </row>
    <row r="915" spans="1:21" s="15" customFormat="1" ht="14.1" customHeight="1">
      <c r="A915" s="247"/>
      <c r="B915" s="203"/>
      <c r="C915" s="203"/>
      <c r="D915" s="203"/>
      <c r="E915" s="203"/>
      <c r="F915" s="203"/>
      <c r="G915" s="372"/>
      <c r="H915" s="372"/>
      <c r="I915" s="372"/>
      <c r="J915" s="372"/>
      <c r="L915" s="203"/>
      <c r="M915" s="203"/>
      <c r="N915" s="203"/>
      <c r="O915" s="203"/>
      <c r="P915" s="203"/>
      <c r="Q915" s="203"/>
      <c r="R915" s="203"/>
      <c r="S915" s="203"/>
      <c r="T915" s="203"/>
      <c r="U915" s="203"/>
    </row>
    <row r="916" spans="1:21" s="15" customFormat="1" ht="14.1" customHeight="1">
      <c r="A916" s="247"/>
      <c r="B916" s="203"/>
      <c r="C916" s="203"/>
      <c r="D916" s="203"/>
      <c r="E916" s="203"/>
      <c r="F916" s="203"/>
      <c r="G916" s="372"/>
      <c r="H916" s="372"/>
      <c r="I916" s="372"/>
      <c r="J916" s="372"/>
      <c r="L916" s="203"/>
      <c r="M916" s="203"/>
      <c r="N916" s="203"/>
      <c r="O916" s="203"/>
      <c r="P916" s="203"/>
      <c r="Q916" s="203"/>
      <c r="R916" s="203"/>
      <c r="S916" s="203"/>
      <c r="T916" s="203"/>
      <c r="U916" s="203"/>
    </row>
    <row r="917" spans="1:21" s="15" customFormat="1" ht="14.1" customHeight="1">
      <c r="A917" s="247"/>
      <c r="B917" s="203"/>
      <c r="C917" s="203"/>
      <c r="D917" s="203"/>
      <c r="E917" s="203"/>
      <c r="F917" s="203"/>
      <c r="G917" s="372"/>
      <c r="H917" s="372"/>
      <c r="I917" s="372"/>
      <c r="J917" s="372"/>
      <c r="L917" s="203"/>
      <c r="M917" s="203"/>
      <c r="N917" s="203"/>
      <c r="O917" s="203"/>
      <c r="P917" s="203"/>
      <c r="Q917" s="203"/>
      <c r="R917" s="203"/>
      <c r="S917" s="203"/>
      <c r="T917" s="203"/>
      <c r="U917" s="203"/>
    </row>
    <row r="918" spans="1:21" s="15" customFormat="1" ht="14.1" customHeight="1">
      <c r="A918" s="247"/>
      <c r="B918" s="203"/>
      <c r="C918" s="203"/>
      <c r="D918" s="203"/>
      <c r="E918" s="203"/>
      <c r="F918" s="203"/>
      <c r="G918" s="372"/>
      <c r="H918" s="372"/>
      <c r="I918" s="372"/>
      <c r="J918" s="372"/>
      <c r="L918" s="203"/>
      <c r="M918" s="203"/>
      <c r="N918" s="203"/>
      <c r="O918" s="203"/>
      <c r="P918" s="203"/>
      <c r="Q918" s="203"/>
      <c r="R918" s="203"/>
      <c r="S918" s="203"/>
      <c r="T918" s="203"/>
      <c r="U918" s="203"/>
    </row>
    <row r="919" spans="1:21" s="15" customFormat="1" ht="14.1" customHeight="1">
      <c r="A919" s="247"/>
      <c r="B919" s="203"/>
      <c r="C919" s="203"/>
      <c r="D919" s="203"/>
      <c r="E919" s="203"/>
      <c r="F919" s="203"/>
      <c r="G919" s="372"/>
      <c r="H919" s="372"/>
      <c r="I919" s="372"/>
      <c r="J919" s="372"/>
      <c r="L919" s="203"/>
      <c r="M919" s="203"/>
      <c r="N919" s="203"/>
      <c r="O919" s="203"/>
      <c r="P919" s="203"/>
      <c r="Q919" s="203"/>
      <c r="R919" s="203"/>
      <c r="S919" s="203"/>
      <c r="T919" s="203"/>
      <c r="U919" s="203"/>
    </row>
    <row r="920" spans="1:21" s="15" customFormat="1" ht="14.1" customHeight="1">
      <c r="A920" s="247"/>
      <c r="B920" s="203"/>
      <c r="C920" s="203"/>
      <c r="D920" s="203"/>
      <c r="E920" s="203"/>
      <c r="F920" s="203"/>
      <c r="G920" s="372"/>
      <c r="H920" s="372"/>
      <c r="I920" s="372"/>
      <c r="J920" s="372"/>
      <c r="L920" s="203"/>
      <c r="M920" s="203"/>
      <c r="N920" s="203"/>
      <c r="O920" s="203"/>
      <c r="P920" s="203"/>
      <c r="Q920" s="203"/>
      <c r="R920" s="203"/>
      <c r="S920" s="203"/>
      <c r="T920" s="203"/>
      <c r="U920" s="203"/>
    </row>
    <row r="921" spans="1:21" s="15" customFormat="1" ht="14.1" customHeight="1">
      <c r="A921" s="247"/>
      <c r="B921" s="203"/>
      <c r="C921" s="203"/>
      <c r="D921" s="203"/>
      <c r="E921" s="203"/>
      <c r="F921" s="203"/>
      <c r="G921" s="372"/>
      <c r="H921" s="372"/>
      <c r="I921" s="372"/>
      <c r="J921" s="372"/>
      <c r="L921" s="203"/>
      <c r="M921" s="203"/>
      <c r="N921" s="203"/>
      <c r="O921" s="203"/>
      <c r="P921" s="203"/>
      <c r="Q921" s="203"/>
      <c r="R921" s="203"/>
      <c r="S921" s="203"/>
      <c r="T921" s="203"/>
      <c r="U921" s="203"/>
    </row>
    <row r="922" spans="1:21" s="15" customFormat="1" ht="14.1" customHeight="1">
      <c r="A922" s="247"/>
      <c r="B922" s="203"/>
      <c r="C922" s="203"/>
      <c r="D922" s="203"/>
      <c r="E922" s="203"/>
      <c r="F922" s="203"/>
      <c r="G922" s="372"/>
      <c r="H922" s="372"/>
      <c r="I922" s="372"/>
      <c r="J922" s="372"/>
      <c r="L922" s="203"/>
      <c r="M922" s="203"/>
      <c r="N922" s="203"/>
      <c r="O922" s="203"/>
      <c r="P922" s="203"/>
      <c r="Q922" s="203"/>
      <c r="R922" s="203"/>
      <c r="S922" s="203"/>
      <c r="T922" s="203"/>
      <c r="U922" s="203"/>
    </row>
    <row r="923" spans="1:21" s="15" customFormat="1" ht="14.1" customHeight="1">
      <c r="A923" s="247"/>
      <c r="B923" s="203"/>
      <c r="C923" s="203"/>
      <c r="D923" s="203"/>
      <c r="E923" s="203"/>
      <c r="F923" s="203"/>
      <c r="G923" s="372"/>
      <c r="H923" s="372"/>
      <c r="I923" s="372"/>
      <c r="J923" s="372"/>
      <c r="L923" s="203"/>
      <c r="M923" s="203"/>
      <c r="N923" s="203"/>
      <c r="O923" s="203"/>
      <c r="P923" s="203"/>
      <c r="Q923" s="203"/>
      <c r="R923" s="203"/>
      <c r="S923" s="203"/>
      <c r="T923" s="203"/>
      <c r="U923" s="203"/>
    </row>
    <row r="924" spans="1:21" s="15" customFormat="1" ht="14.1" customHeight="1">
      <c r="A924" s="247"/>
      <c r="B924" s="203"/>
      <c r="C924" s="203"/>
      <c r="D924" s="203"/>
      <c r="E924" s="203"/>
      <c r="F924" s="203"/>
      <c r="G924" s="372"/>
      <c r="H924" s="372"/>
      <c r="I924" s="372"/>
      <c r="J924" s="372"/>
      <c r="L924" s="203"/>
      <c r="M924" s="203"/>
      <c r="N924" s="203"/>
      <c r="O924" s="203"/>
      <c r="P924" s="203"/>
      <c r="Q924" s="203"/>
      <c r="R924" s="203"/>
      <c r="S924" s="203"/>
      <c r="T924" s="203"/>
      <c r="U924" s="203"/>
    </row>
    <row r="925" spans="1:21" s="15" customFormat="1" ht="14.1" customHeight="1">
      <c r="A925" s="247"/>
      <c r="B925" s="203"/>
      <c r="C925" s="203"/>
      <c r="D925" s="203"/>
      <c r="E925" s="203"/>
      <c r="F925" s="203"/>
      <c r="G925" s="372"/>
      <c r="H925" s="372"/>
      <c r="I925" s="372"/>
      <c r="J925" s="372"/>
      <c r="L925" s="203"/>
      <c r="M925" s="203"/>
      <c r="N925" s="203"/>
      <c r="O925" s="203"/>
      <c r="P925" s="203"/>
      <c r="Q925" s="203"/>
      <c r="R925" s="203"/>
      <c r="S925" s="203"/>
      <c r="T925" s="203"/>
      <c r="U925" s="203"/>
    </row>
    <row r="926" spans="1:21" s="15" customFormat="1" ht="14.1" customHeight="1">
      <c r="A926" s="247"/>
      <c r="B926" s="203"/>
      <c r="C926" s="203"/>
      <c r="D926" s="203"/>
      <c r="E926" s="203"/>
      <c r="F926" s="203"/>
      <c r="G926" s="372"/>
      <c r="H926" s="372"/>
      <c r="I926" s="372"/>
      <c r="J926" s="372"/>
      <c r="L926" s="203"/>
      <c r="M926" s="203"/>
      <c r="N926" s="203"/>
      <c r="O926" s="203"/>
      <c r="P926" s="203"/>
      <c r="Q926" s="203"/>
      <c r="R926" s="203"/>
      <c r="S926" s="203"/>
      <c r="T926" s="203"/>
      <c r="U926" s="203"/>
    </row>
    <row r="927" spans="1:21" s="15" customFormat="1" ht="14.1" customHeight="1">
      <c r="A927" s="247"/>
      <c r="B927" s="203"/>
      <c r="C927" s="203"/>
      <c r="D927" s="203"/>
      <c r="E927" s="203"/>
      <c r="F927" s="203"/>
      <c r="G927" s="372"/>
      <c r="H927" s="372"/>
      <c r="I927" s="372"/>
      <c r="J927" s="372"/>
      <c r="L927" s="203"/>
      <c r="M927" s="203"/>
      <c r="N927" s="203"/>
      <c r="O927" s="203"/>
      <c r="P927" s="203"/>
      <c r="Q927" s="203"/>
      <c r="R927" s="203"/>
      <c r="S927" s="203"/>
      <c r="T927" s="203"/>
      <c r="U927" s="203"/>
    </row>
    <row r="928" spans="1:21" s="15" customFormat="1" ht="14.1" customHeight="1">
      <c r="A928" s="247"/>
      <c r="B928" s="203"/>
      <c r="C928" s="203"/>
      <c r="D928" s="203"/>
      <c r="E928" s="203"/>
      <c r="F928" s="203"/>
      <c r="G928" s="372"/>
      <c r="H928" s="372"/>
      <c r="I928" s="372"/>
      <c r="J928" s="372"/>
      <c r="L928" s="203"/>
      <c r="M928" s="203"/>
      <c r="N928" s="203"/>
      <c r="O928" s="203"/>
      <c r="P928" s="203"/>
      <c r="Q928" s="203"/>
      <c r="R928" s="203"/>
      <c r="S928" s="203"/>
      <c r="T928" s="203"/>
      <c r="U928" s="203"/>
    </row>
    <row r="929" spans="1:21" s="15" customFormat="1" ht="14.1" customHeight="1">
      <c r="A929" s="247"/>
      <c r="B929" s="203"/>
      <c r="C929" s="203"/>
      <c r="D929" s="203"/>
      <c r="E929" s="203"/>
      <c r="F929" s="203"/>
      <c r="G929" s="372"/>
      <c r="H929" s="372"/>
      <c r="I929" s="372"/>
      <c r="J929" s="372"/>
      <c r="L929" s="203"/>
      <c r="M929" s="203"/>
      <c r="N929" s="203"/>
      <c r="O929" s="203"/>
      <c r="P929" s="203"/>
      <c r="Q929" s="203"/>
      <c r="R929" s="203"/>
      <c r="S929" s="203"/>
      <c r="T929" s="203"/>
      <c r="U929" s="203"/>
    </row>
    <row r="930" spans="1:21" s="15" customFormat="1" ht="14.1" customHeight="1">
      <c r="A930" s="247"/>
      <c r="B930" s="203"/>
      <c r="C930" s="203"/>
      <c r="D930" s="203"/>
      <c r="E930" s="203"/>
      <c r="F930" s="203"/>
      <c r="G930" s="372"/>
      <c r="H930" s="372"/>
      <c r="I930" s="372"/>
      <c r="J930" s="372"/>
      <c r="L930" s="203"/>
      <c r="M930" s="203"/>
      <c r="N930" s="203"/>
      <c r="O930" s="203"/>
      <c r="P930" s="203"/>
      <c r="Q930" s="203"/>
      <c r="R930" s="203"/>
      <c r="S930" s="203"/>
      <c r="T930" s="203"/>
      <c r="U930" s="203"/>
    </row>
    <row r="931" spans="1:21" s="15" customFormat="1" ht="14.1" customHeight="1">
      <c r="A931" s="247"/>
      <c r="B931" s="203"/>
      <c r="C931" s="203"/>
      <c r="D931" s="203"/>
      <c r="E931" s="203"/>
      <c r="F931" s="203"/>
      <c r="G931" s="372"/>
      <c r="H931" s="372"/>
      <c r="I931" s="372"/>
      <c r="J931" s="372"/>
      <c r="L931" s="203"/>
      <c r="M931" s="203"/>
      <c r="N931" s="203"/>
      <c r="O931" s="203"/>
      <c r="P931" s="203"/>
      <c r="Q931" s="203"/>
      <c r="R931" s="203"/>
      <c r="S931" s="203"/>
      <c r="T931" s="203"/>
      <c r="U931" s="203"/>
    </row>
    <row r="932" spans="1:21" s="15" customFormat="1" ht="14.1" customHeight="1">
      <c r="A932" s="247"/>
      <c r="B932" s="203"/>
      <c r="C932" s="203"/>
      <c r="D932" s="203"/>
      <c r="E932" s="203"/>
      <c r="F932" s="203"/>
      <c r="G932" s="372"/>
      <c r="H932" s="372"/>
      <c r="I932" s="372"/>
      <c r="J932" s="372"/>
      <c r="L932" s="203"/>
      <c r="M932" s="203"/>
      <c r="N932" s="203"/>
      <c r="O932" s="203"/>
      <c r="P932" s="203"/>
      <c r="Q932" s="203"/>
      <c r="R932" s="203"/>
      <c r="S932" s="203"/>
      <c r="T932" s="203"/>
      <c r="U932" s="203"/>
    </row>
    <row r="933" spans="1:21" s="15" customFormat="1" ht="14.1" customHeight="1">
      <c r="A933" s="247"/>
      <c r="B933" s="203"/>
      <c r="C933" s="203"/>
      <c r="D933" s="203"/>
      <c r="E933" s="203"/>
      <c r="F933" s="203"/>
      <c r="G933" s="372"/>
      <c r="H933" s="372"/>
      <c r="I933" s="372"/>
      <c r="J933" s="372"/>
      <c r="L933" s="203"/>
      <c r="M933" s="203"/>
      <c r="N933" s="203"/>
      <c r="O933" s="203"/>
      <c r="P933" s="203"/>
      <c r="Q933" s="203"/>
      <c r="R933" s="203"/>
      <c r="S933" s="203"/>
      <c r="T933" s="203"/>
      <c r="U933" s="203"/>
    </row>
    <row r="934" spans="1:21" s="15" customFormat="1" ht="14.1" customHeight="1">
      <c r="A934" s="247"/>
      <c r="B934" s="203"/>
      <c r="C934" s="203"/>
      <c r="D934" s="203"/>
      <c r="E934" s="203"/>
      <c r="F934" s="203"/>
      <c r="G934" s="372"/>
      <c r="H934" s="372"/>
      <c r="I934" s="372"/>
      <c r="J934" s="372"/>
      <c r="L934" s="203"/>
      <c r="M934" s="203"/>
      <c r="N934" s="203"/>
      <c r="O934" s="203"/>
      <c r="P934" s="203"/>
      <c r="Q934" s="203"/>
      <c r="R934" s="203"/>
      <c r="S934" s="203"/>
      <c r="T934" s="203"/>
      <c r="U934" s="203"/>
    </row>
  </sheetData>
  <mergeCells count="1">
    <mergeCell ref="D3:D4"/>
  </mergeCells>
  <pageMargins left="0.2" right="0.2" top="0.76" bottom="0.38" header="0.5" footer="0.22"/>
  <pageSetup scale="59" fitToHeight="13" orientation="landscape" r:id="rId1"/>
  <headerFooter alignWithMargins="0">
    <oddHeader>&amp;C&amp;12KENTUCKY POWER COMPANY
JURISDICTIONAL COST OF SERVICE 
12 MONTHS ENDED SEPTEMBER 30, 2014&amp;R&amp;12SECTION V
SCHEDULE 4
PAGE &amp;P of &amp;N</oddHeader>
    <oddFooter>&amp;L[Tab]</oddFooter>
  </headerFooter>
  <rowBreaks count="9" manualBreakCount="9">
    <brk id="56" max="10" man="1"/>
    <brk id="112" max="10" man="1"/>
    <brk id="170" max="10" man="1"/>
    <brk id="227" max="10" man="1"/>
    <brk id="277" max="10" man="1"/>
    <brk id="329" max="10" man="1"/>
    <brk id="385" max="10" man="1"/>
    <brk id="439" max="10" man="1"/>
    <brk id="492" max="10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01"/>
  <sheetViews>
    <sheetView showGridLines="0" zoomScaleNormal="100" zoomScaleSheetLayoutView="70" workbookViewId="0">
      <pane xSplit="2" ySplit="3" topLeftCell="C4" activePane="bottomRight" state="frozen"/>
      <selection activeCell="C323" sqref="C323"/>
      <selection pane="topRight" activeCell="C323" sqref="C323"/>
      <selection pane="bottomLeft" activeCell="C323" sqref="C323"/>
      <selection pane="bottomRight" activeCell="C4" sqref="C4"/>
    </sheetView>
  </sheetViews>
  <sheetFormatPr defaultColWidth="9.140625" defaultRowHeight="14.1" customHeight="1"/>
  <cols>
    <col min="1" max="1" width="4.7109375" style="247" bestFit="1" customWidth="1"/>
    <col min="2" max="2" width="57.140625" style="203" customWidth="1"/>
    <col min="3" max="3" width="15" style="203" bestFit="1" customWidth="1"/>
    <col min="4" max="4" width="15.7109375" style="203" customWidth="1"/>
    <col min="5" max="5" width="11" style="203" customWidth="1"/>
    <col min="6" max="6" width="14" style="203" customWidth="1"/>
    <col min="7" max="7" width="11.140625" style="203" customWidth="1"/>
    <col min="8" max="8" width="11.85546875" style="203" customWidth="1"/>
    <col min="9" max="9" width="13" style="203" customWidth="1"/>
    <col min="10" max="10" width="13.7109375" style="203" customWidth="1"/>
    <col min="11" max="11" width="14" style="203" customWidth="1"/>
    <col min="12" max="12" width="15.42578125" style="203" customWidth="1"/>
    <col min="13" max="13" width="13.42578125" style="203" customWidth="1"/>
    <col min="14" max="14" width="12" style="203" customWidth="1"/>
    <col min="15" max="15" width="16.140625" style="203" customWidth="1"/>
    <col min="16" max="16" width="14.42578125" style="203" customWidth="1"/>
    <col min="17" max="17" width="13.85546875" style="203" customWidth="1"/>
    <col min="18" max="18" width="12.5703125" style="203" customWidth="1"/>
    <col min="19" max="19" width="13.85546875" style="203" customWidth="1"/>
    <col min="20" max="20" width="12.5703125" style="203" customWidth="1"/>
    <col min="21" max="21" width="13.85546875" style="203" customWidth="1"/>
    <col min="22" max="22" width="12.5703125" style="203" customWidth="1"/>
    <col min="23" max="23" width="12.28515625" style="203" customWidth="1"/>
    <col min="24" max="24" width="11.85546875" style="203" customWidth="1"/>
    <col min="25" max="25" width="12.28515625" style="203" customWidth="1"/>
    <col min="26" max="26" width="12" style="203" customWidth="1"/>
    <col min="27" max="27" width="16.140625" style="203" customWidth="1"/>
    <col min="28" max="28" width="14" style="203" customWidth="1"/>
    <col min="29" max="29" width="16.140625" style="203" customWidth="1"/>
    <col min="30" max="30" width="11.7109375" style="203" customWidth="1"/>
    <col min="31" max="31" width="18.140625" style="203" customWidth="1"/>
    <col min="32" max="32" width="15.85546875" style="203" customWidth="1"/>
    <col min="33" max="33" width="15.140625" style="203" customWidth="1"/>
    <col min="34" max="34" width="13" style="203" bestFit="1" customWidth="1"/>
    <col min="35" max="35" width="14.140625" style="203" customWidth="1"/>
    <col min="36" max="36" width="16.140625" style="203" customWidth="1"/>
    <col min="37" max="37" width="13" style="203" customWidth="1"/>
    <col min="38" max="38" width="18.140625" style="203" customWidth="1"/>
    <col min="39" max="39" width="11.42578125" style="203" customWidth="1"/>
    <col min="40" max="40" width="10" style="203" customWidth="1"/>
    <col min="41" max="41" width="14" style="203" customWidth="1"/>
    <col min="42" max="42" width="14.42578125" style="203" customWidth="1"/>
    <col min="43" max="43" width="13.85546875" style="203" customWidth="1"/>
    <col min="44" max="44" width="14.28515625" style="203" customWidth="1"/>
    <col min="45" max="45" width="9" style="203" customWidth="1"/>
    <col min="46" max="46" width="11" style="203" customWidth="1"/>
    <col min="47" max="47" width="12.28515625" style="203" customWidth="1"/>
    <col min="48" max="48" width="10.85546875" style="203" customWidth="1"/>
    <col min="49" max="49" width="14.7109375" style="203" customWidth="1"/>
    <col min="50" max="50" width="15.42578125" style="203" customWidth="1"/>
    <col min="51" max="51" width="14.42578125" style="203" customWidth="1"/>
    <col min="52" max="52" width="19.7109375" style="203" bestFit="1" customWidth="1"/>
    <col min="53" max="53" width="14.42578125" style="203" customWidth="1"/>
    <col min="54" max="54" width="12.28515625" style="203" customWidth="1"/>
    <col min="55" max="55" width="15" style="203" customWidth="1"/>
    <col min="56" max="57" width="12" style="203" customWidth="1"/>
    <col min="58" max="58" width="14.28515625" style="203" customWidth="1"/>
    <col min="59" max="16384" width="9.140625" style="203"/>
  </cols>
  <sheetData>
    <row r="1" spans="1:58" ht="14.1" customHeight="1">
      <c r="N1" s="384"/>
      <c r="BA1" s="384"/>
    </row>
    <row r="2" spans="1:58" ht="14.1" customHeight="1">
      <c r="A2" s="247" t="s">
        <v>2</v>
      </c>
      <c r="D2" s="247">
        <f t="shared" ref="D2:AB2" si="0">C2+1</f>
        <v>1</v>
      </c>
      <c r="E2" s="247">
        <f t="shared" si="0"/>
        <v>2</v>
      </c>
      <c r="F2" s="247">
        <f t="shared" si="0"/>
        <v>3</v>
      </c>
      <c r="G2" s="247">
        <f t="shared" si="0"/>
        <v>4</v>
      </c>
      <c r="H2" s="247">
        <f t="shared" si="0"/>
        <v>5</v>
      </c>
      <c r="I2" s="247">
        <f t="shared" si="0"/>
        <v>6</v>
      </c>
      <c r="J2" s="247">
        <f t="shared" si="0"/>
        <v>7</v>
      </c>
      <c r="K2" s="247">
        <f t="shared" si="0"/>
        <v>8</v>
      </c>
      <c r="L2" s="247">
        <f t="shared" si="0"/>
        <v>9</v>
      </c>
      <c r="M2" s="247">
        <f t="shared" si="0"/>
        <v>10</v>
      </c>
      <c r="N2" s="247">
        <f t="shared" si="0"/>
        <v>11</v>
      </c>
      <c r="O2" s="247">
        <f t="shared" si="0"/>
        <v>12</v>
      </c>
      <c r="P2" s="247">
        <f t="shared" si="0"/>
        <v>13</v>
      </c>
      <c r="Q2" s="247">
        <f t="shared" si="0"/>
        <v>14</v>
      </c>
      <c r="R2" s="247">
        <f t="shared" si="0"/>
        <v>15</v>
      </c>
      <c r="S2" s="247">
        <f t="shared" si="0"/>
        <v>16</v>
      </c>
      <c r="T2" s="247">
        <f t="shared" si="0"/>
        <v>17</v>
      </c>
      <c r="U2" s="247">
        <f t="shared" si="0"/>
        <v>18</v>
      </c>
      <c r="V2" s="247">
        <f t="shared" si="0"/>
        <v>19</v>
      </c>
      <c r="W2" s="247">
        <f t="shared" si="0"/>
        <v>20</v>
      </c>
      <c r="X2" s="247">
        <f t="shared" si="0"/>
        <v>21</v>
      </c>
      <c r="Y2" s="247">
        <f t="shared" si="0"/>
        <v>22</v>
      </c>
      <c r="Z2" s="247">
        <f t="shared" si="0"/>
        <v>23</v>
      </c>
      <c r="AA2" s="247">
        <f t="shared" si="0"/>
        <v>24</v>
      </c>
      <c r="AB2" s="247">
        <f t="shared" si="0"/>
        <v>25</v>
      </c>
      <c r="AC2" s="385" t="s">
        <v>994</v>
      </c>
      <c r="AD2" s="247">
        <v>31</v>
      </c>
      <c r="AE2" s="247">
        <f t="shared" ref="AE2:BF2" si="1">AD2+1</f>
        <v>32</v>
      </c>
      <c r="AF2" s="247">
        <f t="shared" si="1"/>
        <v>33</v>
      </c>
      <c r="AG2" s="247">
        <f t="shared" si="1"/>
        <v>34</v>
      </c>
      <c r="AH2" s="247">
        <f t="shared" si="1"/>
        <v>35</v>
      </c>
      <c r="AI2" s="247">
        <f t="shared" si="1"/>
        <v>36</v>
      </c>
      <c r="AJ2" s="247">
        <f t="shared" si="1"/>
        <v>37</v>
      </c>
      <c r="AK2" s="247">
        <f t="shared" si="1"/>
        <v>38</v>
      </c>
      <c r="AL2" s="247">
        <f t="shared" si="1"/>
        <v>39</v>
      </c>
      <c r="AM2" s="247">
        <f t="shared" si="1"/>
        <v>40</v>
      </c>
      <c r="AN2" s="247">
        <f t="shared" si="1"/>
        <v>41</v>
      </c>
      <c r="AO2" s="247">
        <f t="shared" si="1"/>
        <v>42</v>
      </c>
      <c r="AP2" s="247">
        <f t="shared" si="1"/>
        <v>43</v>
      </c>
      <c r="AQ2" s="247">
        <f t="shared" si="1"/>
        <v>44</v>
      </c>
      <c r="AR2" s="247">
        <f t="shared" si="1"/>
        <v>45</v>
      </c>
      <c r="AS2" s="247">
        <f t="shared" si="1"/>
        <v>46</v>
      </c>
      <c r="AT2" s="247">
        <f t="shared" si="1"/>
        <v>47</v>
      </c>
      <c r="AU2" s="247">
        <f t="shared" si="1"/>
        <v>48</v>
      </c>
      <c r="AV2" s="247">
        <f t="shared" si="1"/>
        <v>49</v>
      </c>
      <c r="AW2" s="247">
        <f t="shared" si="1"/>
        <v>50</v>
      </c>
      <c r="AX2" s="247">
        <f t="shared" si="1"/>
        <v>51</v>
      </c>
      <c r="AY2" s="247">
        <f t="shared" si="1"/>
        <v>52</v>
      </c>
      <c r="AZ2" s="247">
        <f t="shared" si="1"/>
        <v>53</v>
      </c>
      <c r="BA2" s="247">
        <f t="shared" si="1"/>
        <v>54</v>
      </c>
      <c r="BB2" s="247">
        <f t="shared" si="1"/>
        <v>55</v>
      </c>
      <c r="BC2" s="247">
        <f t="shared" si="1"/>
        <v>56</v>
      </c>
      <c r="BD2" s="247">
        <f t="shared" si="1"/>
        <v>57</v>
      </c>
      <c r="BE2" s="247">
        <f t="shared" si="1"/>
        <v>58</v>
      </c>
      <c r="BF2" s="247">
        <f t="shared" si="1"/>
        <v>59</v>
      </c>
    </row>
    <row r="3" spans="1:58" ht="56.25">
      <c r="A3" s="294" t="s">
        <v>6</v>
      </c>
      <c r="B3" s="294" t="s">
        <v>7</v>
      </c>
      <c r="C3" s="294"/>
      <c r="D3" s="206" t="s">
        <v>402</v>
      </c>
      <c r="E3" s="206" t="s">
        <v>934</v>
      </c>
      <c r="F3" s="206" t="s">
        <v>971</v>
      </c>
      <c r="G3" s="209" t="s">
        <v>412</v>
      </c>
      <c r="H3" s="209" t="s">
        <v>413</v>
      </c>
      <c r="I3" s="206" t="s">
        <v>398</v>
      </c>
      <c r="J3" s="206" t="s">
        <v>424</v>
      </c>
      <c r="K3" s="206" t="s">
        <v>993</v>
      </c>
      <c r="L3" s="206" t="s">
        <v>968</v>
      </c>
      <c r="M3" s="209" t="s">
        <v>408</v>
      </c>
      <c r="N3" s="206" t="s">
        <v>396</v>
      </c>
      <c r="O3" s="206" t="s">
        <v>397</v>
      </c>
      <c r="P3" s="206" t="s">
        <v>400</v>
      </c>
      <c r="Q3" s="209" t="s">
        <v>401</v>
      </c>
      <c r="R3" s="209" t="s">
        <v>406</v>
      </c>
      <c r="S3" s="209" t="s">
        <v>407</v>
      </c>
      <c r="T3" s="209" t="s">
        <v>877</v>
      </c>
      <c r="U3" s="209" t="s">
        <v>922</v>
      </c>
      <c r="V3" s="209" t="s">
        <v>410</v>
      </c>
      <c r="W3" s="209" t="s">
        <v>414</v>
      </c>
      <c r="X3" s="206" t="s">
        <v>419</v>
      </c>
      <c r="Y3" s="206" t="s">
        <v>420</v>
      </c>
      <c r="Z3" s="206" t="s">
        <v>421</v>
      </c>
      <c r="AA3" s="206" t="s">
        <v>423</v>
      </c>
      <c r="AB3" s="206" t="s">
        <v>425</v>
      </c>
      <c r="AC3" s="206" t="s">
        <v>977</v>
      </c>
      <c r="AD3" s="206" t="s">
        <v>932</v>
      </c>
      <c r="AE3" s="209" t="s">
        <v>923</v>
      </c>
      <c r="AF3" s="210" t="s">
        <v>979</v>
      </c>
      <c r="AG3" s="209" t="s">
        <v>925</v>
      </c>
      <c r="AH3" s="206" t="s">
        <v>984</v>
      </c>
      <c r="AI3" s="206" t="s">
        <v>937</v>
      </c>
      <c r="AJ3" s="209" t="s">
        <v>978</v>
      </c>
      <c r="AK3" s="209" t="s">
        <v>876</v>
      </c>
      <c r="AL3" s="206" t="s">
        <v>924</v>
      </c>
      <c r="AM3" s="206" t="s">
        <v>929</v>
      </c>
      <c r="AN3" s="206" t="s">
        <v>938</v>
      </c>
      <c r="AO3" s="206" t="s">
        <v>988</v>
      </c>
      <c r="AP3" s="206" t="s">
        <v>933</v>
      </c>
      <c r="AQ3" s="206" t="s">
        <v>422</v>
      </c>
      <c r="AR3" s="206" t="s">
        <v>399</v>
      </c>
      <c r="AS3" s="206" t="s">
        <v>939</v>
      </c>
      <c r="AT3" s="206" t="s">
        <v>940</v>
      </c>
      <c r="AU3" s="209" t="s">
        <v>411</v>
      </c>
      <c r="AV3" s="206" t="s">
        <v>926</v>
      </c>
      <c r="AW3" s="206" t="s">
        <v>927</v>
      </c>
      <c r="AX3" s="206" t="s">
        <v>928</v>
      </c>
      <c r="AY3" s="206" t="s">
        <v>427</v>
      </c>
      <c r="AZ3" s="206" t="s">
        <v>930</v>
      </c>
      <c r="BA3" s="209" t="s">
        <v>428</v>
      </c>
      <c r="BB3" s="206" t="s">
        <v>426</v>
      </c>
      <c r="BC3" s="206" t="s">
        <v>931</v>
      </c>
      <c r="BD3" s="206" t="s">
        <v>935</v>
      </c>
      <c r="BE3" s="206" t="s">
        <v>936</v>
      </c>
      <c r="BF3" s="206" t="s">
        <v>1009</v>
      </c>
    </row>
    <row r="4" spans="1:58" s="247" customFormat="1" ht="14.1" customHeight="1"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</row>
    <row r="5" spans="1:58" s="247" customFormat="1" ht="14.1" customHeight="1"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</row>
    <row r="6" spans="1:58" ht="13.5" customHeight="1"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7" spans="1:58" ht="14.1" customHeight="1">
      <c r="A7" s="247">
        <v>1</v>
      </c>
      <c r="B7" s="203" t="s">
        <v>324</v>
      </c>
      <c r="C7" s="43">
        <f>SUM(D7:BF7)</f>
        <v>-4370496</v>
      </c>
      <c r="D7" s="11">
        <f>D252</f>
        <v>-5719968</v>
      </c>
      <c r="E7" s="11">
        <f t="shared" ref="E7:T8" si="2">E252</f>
        <v>-5929131</v>
      </c>
      <c r="F7" s="11">
        <f t="shared" si="2"/>
        <v>2812947</v>
      </c>
      <c r="G7" s="11">
        <f t="shared" si="2"/>
        <v>149766</v>
      </c>
      <c r="H7" s="11">
        <f t="shared" si="2"/>
        <v>-399403</v>
      </c>
      <c r="I7" s="11">
        <f t="shared" si="2"/>
        <v>0</v>
      </c>
      <c r="J7" s="11">
        <f t="shared" si="2"/>
        <v>-5298776</v>
      </c>
      <c r="K7" s="11">
        <f t="shared" si="2"/>
        <v>10014069</v>
      </c>
      <c r="L7" s="11">
        <f t="shared" si="2"/>
        <v>0</v>
      </c>
      <c r="M7" s="11">
        <f t="shared" si="2"/>
        <v>0</v>
      </c>
      <c r="N7" s="11">
        <f t="shared" si="2"/>
        <v>0</v>
      </c>
      <c r="O7" s="11">
        <f t="shared" si="2"/>
        <v>0</v>
      </c>
      <c r="P7" s="11">
        <f t="shared" si="2"/>
        <v>0</v>
      </c>
      <c r="Q7" s="11">
        <f t="shared" si="2"/>
        <v>0</v>
      </c>
      <c r="R7" s="11">
        <f t="shared" si="2"/>
        <v>0</v>
      </c>
      <c r="S7" s="11">
        <f t="shared" si="2"/>
        <v>0</v>
      </c>
      <c r="T7" s="11">
        <f t="shared" si="2"/>
        <v>0</v>
      </c>
      <c r="U7" s="11">
        <f t="shared" ref="U7:AJ7" si="3">U252</f>
        <v>0</v>
      </c>
      <c r="V7" s="11">
        <f t="shared" si="3"/>
        <v>0</v>
      </c>
      <c r="W7" s="11">
        <f t="shared" si="3"/>
        <v>0</v>
      </c>
      <c r="X7" s="11">
        <f t="shared" si="3"/>
        <v>0</v>
      </c>
      <c r="Y7" s="11">
        <f t="shared" si="3"/>
        <v>0</v>
      </c>
      <c r="Z7" s="11">
        <f t="shared" si="3"/>
        <v>0</v>
      </c>
      <c r="AA7" s="11">
        <f t="shared" si="3"/>
        <v>0</v>
      </c>
      <c r="AB7" s="11">
        <f t="shared" si="3"/>
        <v>0</v>
      </c>
      <c r="AC7" s="11">
        <f t="shared" si="3"/>
        <v>0</v>
      </c>
      <c r="AD7" s="11">
        <f t="shared" si="3"/>
        <v>0</v>
      </c>
      <c r="AE7" s="11">
        <f t="shared" si="3"/>
        <v>0</v>
      </c>
      <c r="AF7" s="11">
        <f t="shared" si="3"/>
        <v>0</v>
      </c>
      <c r="AG7" s="11">
        <f t="shared" si="3"/>
        <v>0</v>
      </c>
      <c r="AH7" s="11">
        <f t="shared" si="3"/>
        <v>0</v>
      </c>
      <c r="AI7" s="11">
        <f t="shared" si="3"/>
        <v>0</v>
      </c>
      <c r="AJ7" s="11">
        <f t="shared" si="3"/>
        <v>0</v>
      </c>
      <c r="AK7" s="11">
        <f t="shared" ref="AK7:AZ9" si="4">AK252</f>
        <v>0</v>
      </c>
      <c r="AL7" s="11">
        <f t="shared" si="4"/>
        <v>0</v>
      </c>
      <c r="AM7" s="11">
        <f t="shared" si="4"/>
        <v>0</v>
      </c>
      <c r="AN7" s="11">
        <f t="shared" si="4"/>
        <v>0</v>
      </c>
      <c r="AO7" s="11">
        <f t="shared" si="4"/>
        <v>0</v>
      </c>
      <c r="AP7" s="11">
        <f t="shared" si="4"/>
        <v>0</v>
      </c>
      <c r="AQ7" s="11">
        <f t="shared" si="4"/>
        <v>0</v>
      </c>
      <c r="AR7" s="11">
        <f t="shared" si="4"/>
        <v>0</v>
      </c>
      <c r="AS7" s="11">
        <f t="shared" si="4"/>
        <v>0</v>
      </c>
      <c r="AT7" s="11">
        <f t="shared" si="4"/>
        <v>0</v>
      </c>
      <c r="AU7" s="11">
        <f t="shared" si="4"/>
        <v>0</v>
      </c>
      <c r="AV7" s="11">
        <f t="shared" si="4"/>
        <v>0</v>
      </c>
      <c r="AW7" s="11">
        <f t="shared" si="4"/>
        <v>0</v>
      </c>
      <c r="AX7" s="11">
        <f t="shared" si="4"/>
        <v>0</v>
      </c>
      <c r="AY7" s="11">
        <f t="shared" si="4"/>
        <v>0</v>
      </c>
      <c r="AZ7" s="11">
        <f t="shared" si="4"/>
        <v>0</v>
      </c>
      <c r="BA7" s="11">
        <f t="shared" ref="BA7:BF9" si="5">BA252</f>
        <v>0</v>
      </c>
      <c r="BB7" s="11">
        <f t="shared" si="5"/>
        <v>0</v>
      </c>
      <c r="BC7" s="11">
        <f t="shared" si="5"/>
        <v>0</v>
      </c>
      <c r="BD7" s="11">
        <f t="shared" si="5"/>
        <v>0</v>
      </c>
      <c r="BE7" s="11">
        <f t="shared" si="5"/>
        <v>0</v>
      </c>
      <c r="BF7" s="11">
        <f t="shared" si="5"/>
        <v>0</v>
      </c>
    </row>
    <row r="8" spans="1:58" ht="14.1" customHeight="1">
      <c r="A8" s="247">
        <f>A7+1</f>
        <v>2</v>
      </c>
      <c r="B8" s="304" t="s">
        <v>17</v>
      </c>
      <c r="C8" s="43">
        <f>SUM(D8:BF8)</f>
        <v>0</v>
      </c>
      <c r="D8" s="11">
        <f>D253</f>
        <v>0</v>
      </c>
      <c r="E8" s="11">
        <f t="shared" ref="E8:K8" si="6">E253</f>
        <v>0</v>
      </c>
      <c r="F8" s="11">
        <f t="shared" si="6"/>
        <v>0</v>
      </c>
      <c r="G8" s="11">
        <f t="shared" si="6"/>
        <v>0</v>
      </c>
      <c r="H8" s="11">
        <f t="shared" si="6"/>
        <v>0</v>
      </c>
      <c r="I8" s="11">
        <f t="shared" si="6"/>
        <v>0</v>
      </c>
      <c r="J8" s="11">
        <f t="shared" si="6"/>
        <v>0</v>
      </c>
      <c r="K8" s="11">
        <f t="shared" si="6"/>
        <v>0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0</v>
      </c>
      <c r="P8" s="11">
        <f t="shared" si="2"/>
        <v>0</v>
      </c>
      <c r="Q8" s="11">
        <f t="shared" si="2"/>
        <v>0</v>
      </c>
      <c r="R8" s="11">
        <f t="shared" si="2"/>
        <v>0</v>
      </c>
      <c r="S8" s="11">
        <f t="shared" si="2"/>
        <v>0</v>
      </c>
      <c r="T8" s="11">
        <f t="shared" si="2"/>
        <v>0</v>
      </c>
      <c r="U8" s="11">
        <f t="shared" ref="U8:AG8" si="7">U253</f>
        <v>0</v>
      </c>
      <c r="V8" s="11">
        <f t="shared" si="7"/>
        <v>0</v>
      </c>
      <c r="W8" s="11">
        <f t="shared" si="7"/>
        <v>0</v>
      </c>
      <c r="X8" s="11">
        <f t="shared" si="7"/>
        <v>0</v>
      </c>
      <c r="Y8" s="11">
        <f t="shared" si="7"/>
        <v>0</v>
      </c>
      <c r="Z8" s="11">
        <f t="shared" si="7"/>
        <v>0</v>
      </c>
      <c r="AA8" s="11">
        <f t="shared" si="7"/>
        <v>0</v>
      </c>
      <c r="AB8" s="11">
        <f t="shared" si="7"/>
        <v>0</v>
      </c>
      <c r="AC8" s="11">
        <f t="shared" si="7"/>
        <v>0</v>
      </c>
      <c r="AD8" s="11">
        <f t="shared" si="7"/>
        <v>0</v>
      </c>
      <c r="AE8" s="11">
        <f t="shared" si="7"/>
        <v>0</v>
      </c>
      <c r="AF8" s="11">
        <f t="shared" si="7"/>
        <v>0</v>
      </c>
      <c r="AG8" s="11">
        <f t="shared" si="7"/>
        <v>0</v>
      </c>
      <c r="AH8" s="11">
        <f t="shared" ref="AH8:AN9" si="8">AH253</f>
        <v>0</v>
      </c>
      <c r="AI8" s="11">
        <f t="shared" si="8"/>
        <v>0</v>
      </c>
      <c r="AJ8" s="11">
        <f t="shared" si="8"/>
        <v>0</v>
      </c>
      <c r="AK8" s="11">
        <f t="shared" si="8"/>
        <v>0</v>
      </c>
      <c r="AL8" s="11">
        <f t="shared" si="8"/>
        <v>0</v>
      </c>
      <c r="AM8" s="11">
        <f t="shared" si="8"/>
        <v>0</v>
      </c>
      <c r="AN8" s="11">
        <f t="shared" si="8"/>
        <v>0</v>
      </c>
      <c r="AO8" s="11">
        <f t="shared" si="4"/>
        <v>0</v>
      </c>
      <c r="AP8" s="11">
        <f t="shared" si="4"/>
        <v>0</v>
      </c>
      <c r="AQ8" s="11">
        <f t="shared" si="4"/>
        <v>0</v>
      </c>
      <c r="AR8" s="11">
        <f t="shared" si="4"/>
        <v>0</v>
      </c>
      <c r="AS8" s="11">
        <f t="shared" si="4"/>
        <v>0</v>
      </c>
      <c r="AT8" s="11">
        <f t="shared" si="4"/>
        <v>0</v>
      </c>
      <c r="AU8" s="11">
        <f t="shared" si="4"/>
        <v>0</v>
      </c>
      <c r="AV8" s="11">
        <f t="shared" si="4"/>
        <v>0</v>
      </c>
      <c r="AW8" s="11">
        <f t="shared" si="4"/>
        <v>0</v>
      </c>
      <c r="AX8" s="11">
        <f t="shared" si="4"/>
        <v>0</v>
      </c>
      <c r="AY8" s="11">
        <f t="shared" si="4"/>
        <v>0</v>
      </c>
      <c r="AZ8" s="11">
        <f t="shared" si="4"/>
        <v>0</v>
      </c>
      <c r="BA8" s="11">
        <f t="shared" si="5"/>
        <v>0</v>
      </c>
      <c r="BB8" s="11">
        <f t="shared" si="5"/>
        <v>0</v>
      </c>
      <c r="BC8" s="11">
        <f t="shared" si="5"/>
        <v>0</v>
      </c>
      <c r="BD8" s="11">
        <f t="shared" si="5"/>
        <v>0</v>
      </c>
      <c r="BE8" s="11">
        <f t="shared" si="5"/>
        <v>0</v>
      </c>
      <c r="BF8" s="11">
        <f t="shared" si="5"/>
        <v>0</v>
      </c>
    </row>
    <row r="9" spans="1:58" ht="14.1" customHeight="1">
      <c r="A9" s="247">
        <f>A8+1</f>
        <v>3</v>
      </c>
      <c r="B9" s="203" t="s">
        <v>18</v>
      </c>
      <c r="C9" s="43">
        <f>SUM(D9:BF9)</f>
        <v>0</v>
      </c>
      <c r="D9" s="11">
        <f>D254</f>
        <v>0</v>
      </c>
      <c r="E9" s="11">
        <f t="shared" ref="E9:AG9" si="9">E254</f>
        <v>0</v>
      </c>
      <c r="F9" s="11">
        <f t="shared" si="9"/>
        <v>0</v>
      </c>
      <c r="G9" s="11">
        <f t="shared" si="9"/>
        <v>0</v>
      </c>
      <c r="H9" s="11">
        <f t="shared" si="9"/>
        <v>0</v>
      </c>
      <c r="I9" s="11">
        <f t="shared" si="9"/>
        <v>0</v>
      </c>
      <c r="J9" s="11">
        <f t="shared" si="9"/>
        <v>0</v>
      </c>
      <c r="K9" s="11">
        <f t="shared" si="9"/>
        <v>0</v>
      </c>
      <c r="L9" s="11">
        <f t="shared" si="9"/>
        <v>0</v>
      </c>
      <c r="M9" s="11">
        <f t="shared" si="9"/>
        <v>0</v>
      </c>
      <c r="N9" s="11">
        <f t="shared" si="9"/>
        <v>0</v>
      </c>
      <c r="O9" s="11">
        <f t="shared" si="9"/>
        <v>0</v>
      </c>
      <c r="P9" s="11">
        <f t="shared" si="9"/>
        <v>0</v>
      </c>
      <c r="Q9" s="11">
        <f t="shared" si="9"/>
        <v>0</v>
      </c>
      <c r="R9" s="11">
        <f t="shared" si="9"/>
        <v>0</v>
      </c>
      <c r="S9" s="11">
        <f t="shared" si="9"/>
        <v>0</v>
      </c>
      <c r="T9" s="11">
        <f t="shared" si="9"/>
        <v>0</v>
      </c>
      <c r="U9" s="11">
        <f t="shared" si="9"/>
        <v>0</v>
      </c>
      <c r="V9" s="11">
        <f t="shared" si="9"/>
        <v>0</v>
      </c>
      <c r="W9" s="11">
        <f t="shared" si="9"/>
        <v>0</v>
      </c>
      <c r="X9" s="11">
        <f t="shared" si="9"/>
        <v>0</v>
      </c>
      <c r="Y9" s="11">
        <f t="shared" si="9"/>
        <v>0</v>
      </c>
      <c r="Z9" s="11">
        <f t="shared" si="9"/>
        <v>0</v>
      </c>
      <c r="AA9" s="11">
        <f t="shared" si="9"/>
        <v>0</v>
      </c>
      <c r="AB9" s="11">
        <f t="shared" si="9"/>
        <v>0</v>
      </c>
      <c r="AC9" s="11">
        <f t="shared" si="9"/>
        <v>0</v>
      </c>
      <c r="AD9" s="11">
        <f t="shared" si="9"/>
        <v>0</v>
      </c>
      <c r="AE9" s="11">
        <f t="shared" si="9"/>
        <v>0</v>
      </c>
      <c r="AF9" s="11">
        <f t="shared" si="9"/>
        <v>0</v>
      </c>
      <c r="AG9" s="11">
        <f t="shared" si="9"/>
        <v>0</v>
      </c>
      <c r="AH9" s="11">
        <f t="shared" si="8"/>
        <v>0</v>
      </c>
      <c r="AI9" s="11">
        <f t="shared" si="8"/>
        <v>0</v>
      </c>
      <c r="AJ9" s="11">
        <f t="shared" si="8"/>
        <v>0</v>
      </c>
      <c r="AK9" s="11">
        <f t="shared" si="8"/>
        <v>0</v>
      </c>
      <c r="AL9" s="11">
        <f t="shared" si="8"/>
        <v>0</v>
      </c>
      <c r="AM9" s="11">
        <f t="shared" si="8"/>
        <v>0</v>
      </c>
      <c r="AN9" s="11">
        <f t="shared" si="8"/>
        <v>0</v>
      </c>
      <c r="AO9" s="11">
        <f t="shared" si="4"/>
        <v>0</v>
      </c>
      <c r="AP9" s="11">
        <f t="shared" si="4"/>
        <v>0</v>
      </c>
      <c r="AQ9" s="11">
        <f t="shared" si="4"/>
        <v>0</v>
      </c>
      <c r="AR9" s="11">
        <f t="shared" si="4"/>
        <v>0</v>
      </c>
      <c r="AS9" s="11">
        <f t="shared" si="4"/>
        <v>0</v>
      </c>
      <c r="AT9" s="11">
        <f t="shared" si="4"/>
        <v>0</v>
      </c>
      <c r="AU9" s="11">
        <f t="shared" si="4"/>
        <v>0</v>
      </c>
      <c r="AV9" s="11">
        <f t="shared" si="4"/>
        <v>0</v>
      </c>
      <c r="AW9" s="11">
        <f t="shared" si="4"/>
        <v>0</v>
      </c>
      <c r="AX9" s="11">
        <f t="shared" si="4"/>
        <v>0</v>
      </c>
      <c r="AY9" s="11">
        <f t="shared" si="4"/>
        <v>0</v>
      </c>
      <c r="AZ9" s="11">
        <f t="shared" si="4"/>
        <v>0</v>
      </c>
      <c r="BA9" s="11">
        <f t="shared" si="5"/>
        <v>0</v>
      </c>
      <c r="BB9" s="11">
        <f t="shared" si="5"/>
        <v>0</v>
      </c>
      <c r="BC9" s="11">
        <f t="shared" si="5"/>
        <v>0</v>
      </c>
      <c r="BD9" s="11">
        <f t="shared" si="5"/>
        <v>0</v>
      </c>
      <c r="BE9" s="11">
        <f t="shared" si="5"/>
        <v>0</v>
      </c>
      <c r="BF9" s="11">
        <f t="shared" si="5"/>
        <v>0</v>
      </c>
    </row>
    <row r="10" spans="1:58" ht="14.1" customHeight="1">
      <c r="A10" s="247">
        <f>+A9+1</f>
        <v>4</v>
      </c>
      <c r="B10" s="203" t="s">
        <v>19</v>
      </c>
      <c r="C10" s="43">
        <f>SUM(D10:BF10)</f>
        <v>251903</v>
      </c>
      <c r="D10" s="11">
        <f>D289</f>
        <v>0</v>
      </c>
      <c r="E10" s="11">
        <f t="shared" ref="E10:BA10" si="10">E289</f>
        <v>0</v>
      </c>
      <c r="F10" s="11">
        <f t="shared" si="10"/>
        <v>0</v>
      </c>
      <c r="G10" s="11">
        <f t="shared" si="10"/>
        <v>0</v>
      </c>
      <c r="H10" s="11">
        <f t="shared" si="10"/>
        <v>0</v>
      </c>
      <c r="I10" s="11">
        <f t="shared" si="10"/>
        <v>251903</v>
      </c>
      <c r="J10" s="11">
        <f t="shared" si="10"/>
        <v>0</v>
      </c>
      <c r="K10" s="11">
        <f t="shared" si="10"/>
        <v>0</v>
      </c>
      <c r="L10" s="11">
        <f t="shared" si="10"/>
        <v>0</v>
      </c>
      <c r="M10" s="11">
        <f t="shared" si="10"/>
        <v>0</v>
      </c>
      <c r="N10" s="11">
        <f t="shared" si="10"/>
        <v>0</v>
      </c>
      <c r="O10" s="11">
        <f t="shared" si="10"/>
        <v>0</v>
      </c>
      <c r="P10" s="11">
        <f t="shared" si="10"/>
        <v>0</v>
      </c>
      <c r="Q10" s="11">
        <f t="shared" si="10"/>
        <v>0</v>
      </c>
      <c r="R10" s="11">
        <f t="shared" si="10"/>
        <v>0</v>
      </c>
      <c r="S10" s="11">
        <f t="shared" si="10"/>
        <v>0</v>
      </c>
      <c r="T10" s="11">
        <f t="shared" si="10"/>
        <v>0</v>
      </c>
      <c r="U10" s="11">
        <f t="shared" si="10"/>
        <v>0</v>
      </c>
      <c r="V10" s="11">
        <f t="shared" si="10"/>
        <v>0</v>
      </c>
      <c r="W10" s="11">
        <f t="shared" si="10"/>
        <v>0</v>
      </c>
      <c r="X10" s="11">
        <f t="shared" si="10"/>
        <v>0</v>
      </c>
      <c r="Y10" s="11">
        <f t="shared" si="10"/>
        <v>0</v>
      </c>
      <c r="Z10" s="11">
        <f t="shared" si="10"/>
        <v>0</v>
      </c>
      <c r="AA10" s="11">
        <f t="shared" si="10"/>
        <v>0</v>
      </c>
      <c r="AB10" s="11">
        <f t="shared" si="10"/>
        <v>0</v>
      </c>
      <c r="AC10" s="11">
        <f t="shared" si="10"/>
        <v>0</v>
      </c>
      <c r="AD10" s="11">
        <f t="shared" si="10"/>
        <v>0</v>
      </c>
      <c r="AE10" s="11">
        <f t="shared" si="10"/>
        <v>0</v>
      </c>
      <c r="AF10" s="11">
        <f t="shared" si="10"/>
        <v>0</v>
      </c>
      <c r="AG10" s="11">
        <f t="shared" si="10"/>
        <v>0</v>
      </c>
      <c r="AH10" s="11">
        <f t="shared" si="10"/>
        <v>0</v>
      </c>
      <c r="AI10" s="11">
        <f t="shared" si="10"/>
        <v>0</v>
      </c>
      <c r="AJ10" s="11">
        <f t="shared" si="10"/>
        <v>0</v>
      </c>
      <c r="AK10" s="11">
        <f t="shared" si="10"/>
        <v>0</v>
      </c>
      <c r="AL10" s="11">
        <f t="shared" si="10"/>
        <v>0</v>
      </c>
      <c r="AM10" s="11">
        <f t="shared" si="10"/>
        <v>0</v>
      </c>
      <c r="AN10" s="11">
        <f t="shared" si="10"/>
        <v>0</v>
      </c>
      <c r="AO10" s="11">
        <f t="shared" si="10"/>
        <v>0</v>
      </c>
      <c r="AP10" s="11">
        <f t="shared" si="10"/>
        <v>0</v>
      </c>
      <c r="AQ10" s="11">
        <f t="shared" si="10"/>
        <v>0</v>
      </c>
      <c r="AR10" s="11">
        <f t="shared" si="10"/>
        <v>0</v>
      </c>
      <c r="AS10" s="11">
        <f t="shared" si="10"/>
        <v>0</v>
      </c>
      <c r="AT10" s="11">
        <f t="shared" si="10"/>
        <v>0</v>
      </c>
      <c r="AU10" s="11">
        <f t="shared" si="10"/>
        <v>0</v>
      </c>
      <c r="AV10" s="11">
        <f t="shared" si="10"/>
        <v>0</v>
      </c>
      <c r="AW10" s="11">
        <f t="shared" si="10"/>
        <v>0</v>
      </c>
      <c r="AX10" s="11">
        <f t="shared" si="10"/>
        <v>0</v>
      </c>
      <c r="AY10" s="11">
        <f t="shared" si="10"/>
        <v>0</v>
      </c>
      <c r="AZ10" s="11">
        <f t="shared" si="10"/>
        <v>0</v>
      </c>
      <c r="BA10" s="11">
        <f t="shared" si="10"/>
        <v>0</v>
      </c>
      <c r="BB10" s="11">
        <f>BB289</f>
        <v>0</v>
      </c>
      <c r="BC10" s="11">
        <f>BC289</f>
        <v>0</v>
      </c>
      <c r="BD10" s="11">
        <f>BD289</f>
        <v>0</v>
      </c>
      <c r="BE10" s="11">
        <f>BE289</f>
        <v>0</v>
      </c>
      <c r="BF10" s="11">
        <f>BF289</f>
        <v>0</v>
      </c>
    </row>
    <row r="11" spans="1:58" ht="14.1" customHeight="1">
      <c r="A11" s="247">
        <f t="shared" ref="A11:A74" si="11">+A10+1</f>
        <v>5</v>
      </c>
      <c r="B11" s="92" t="s">
        <v>20</v>
      </c>
      <c r="C11" s="386">
        <f>SUM(D11:BF11)</f>
        <v>0</v>
      </c>
      <c r="D11" s="100">
        <f>D260</f>
        <v>0</v>
      </c>
      <c r="E11" s="100">
        <f t="shared" ref="E11:BA11" si="12">E260</f>
        <v>0</v>
      </c>
      <c r="F11" s="100">
        <f t="shared" si="12"/>
        <v>0</v>
      </c>
      <c r="G11" s="100">
        <f t="shared" si="12"/>
        <v>0</v>
      </c>
      <c r="H11" s="100">
        <f t="shared" si="12"/>
        <v>0</v>
      </c>
      <c r="I11" s="100">
        <f t="shared" si="12"/>
        <v>0</v>
      </c>
      <c r="J11" s="100">
        <f t="shared" si="12"/>
        <v>0</v>
      </c>
      <c r="K11" s="100">
        <f t="shared" si="12"/>
        <v>0</v>
      </c>
      <c r="L11" s="100">
        <f t="shared" si="12"/>
        <v>0</v>
      </c>
      <c r="M11" s="100">
        <f t="shared" si="12"/>
        <v>0</v>
      </c>
      <c r="N11" s="100">
        <f t="shared" si="12"/>
        <v>0</v>
      </c>
      <c r="O11" s="100">
        <f t="shared" si="12"/>
        <v>0</v>
      </c>
      <c r="P11" s="100">
        <f t="shared" si="12"/>
        <v>0</v>
      </c>
      <c r="Q11" s="100">
        <f t="shared" si="12"/>
        <v>0</v>
      </c>
      <c r="R11" s="100">
        <f t="shared" si="12"/>
        <v>0</v>
      </c>
      <c r="S11" s="100">
        <f t="shared" si="12"/>
        <v>0</v>
      </c>
      <c r="T11" s="100">
        <f t="shared" si="12"/>
        <v>0</v>
      </c>
      <c r="U11" s="100">
        <f t="shared" si="12"/>
        <v>0</v>
      </c>
      <c r="V11" s="100">
        <f t="shared" si="12"/>
        <v>0</v>
      </c>
      <c r="W11" s="100">
        <f t="shared" si="12"/>
        <v>0</v>
      </c>
      <c r="X11" s="100">
        <f t="shared" si="12"/>
        <v>0</v>
      </c>
      <c r="Y11" s="100">
        <f t="shared" si="12"/>
        <v>0</v>
      </c>
      <c r="Z11" s="100">
        <f t="shared" si="12"/>
        <v>0</v>
      </c>
      <c r="AA11" s="100">
        <f t="shared" si="12"/>
        <v>0</v>
      </c>
      <c r="AB11" s="100">
        <f t="shared" si="12"/>
        <v>0</v>
      </c>
      <c r="AC11" s="100">
        <f t="shared" si="12"/>
        <v>0</v>
      </c>
      <c r="AD11" s="100">
        <f t="shared" si="12"/>
        <v>0</v>
      </c>
      <c r="AE11" s="100">
        <f t="shared" si="12"/>
        <v>0</v>
      </c>
      <c r="AF11" s="100">
        <f t="shared" si="12"/>
        <v>0</v>
      </c>
      <c r="AG11" s="100">
        <f t="shared" si="12"/>
        <v>0</v>
      </c>
      <c r="AH11" s="100">
        <f t="shared" si="12"/>
        <v>0</v>
      </c>
      <c r="AI11" s="100">
        <f t="shared" si="12"/>
        <v>0</v>
      </c>
      <c r="AJ11" s="100">
        <f t="shared" si="12"/>
        <v>0</v>
      </c>
      <c r="AK11" s="100">
        <f t="shared" si="12"/>
        <v>0</v>
      </c>
      <c r="AL11" s="100">
        <f t="shared" si="12"/>
        <v>0</v>
      </c>
      <c r="AM11" s="100">
        <f t="shared" si="12"/>
        <v>0</v>
      </c>
      <c r="AN11" s="100">
        <f t="shared" si="12"/>
        <v>0</v>
      </c>
      <c r="AO11" s="100">
        <f t="shared" si="12"/>
        <v>0</v>
      </c>
      <c r="AP11" s="100">
        <f t="shared" si="12"/>
        <v>0</v>
      </c>
      <c r="AQ11" s="100">
        <f t="shared" si="12"/>
        <v>0</v>
      </c>
      <c r="AR11" s="100">
        <f t="shared" si="12"/>
        <v>0</v>
      </c>
      <c r="AS11" s="100">
        <f t="shared" si="12"/>
        <v>0</v>
      </c>
      <c r="AT11" s="100">
        <f t="shared" si="12"/>
        <v>0</v>
      </c>
      <c r="AU11" s="100">
        <f t="shared" si="12"/>
        <v>0</v>
      </c>
      <c r="AV11" s="100">
        <f t="shared" si="12"/>
        <v>0</v>
      </c>
      <c r="AW11" s="100">
        <f t="shared" si="12"/>
        <v>0</v>
      </c>
      <c r="AX11" s="100">
        <f t="shared" si="12"/>
        <v>0</v>
      </c>
      <c r="AY11" s="100">
        <f t="shared" si="12"/>
        <v>0</v>
      </c>
      <c r="AZ11" s="100">
        <f t="shared" si="12"/>
        <v>0</v>
      </c>
      <c r="BA11" s="100">
        <f t="shared" si="12"/>
        <v>0</v>
      </c>
      <c r="BB11" s="100">
        <f>BB260</f>
        <v>0</v>
      </c>
      <c r="BC11" s="100">
        <f>BC260</f>
        <v>0</v>
      </c>
      <c r="BD11" s="100">
        <f>BD260</f>
        <v>0</v>
      </c>
      <c r="BE11" s="100">
        <f>BE260</f>
        <v>0</v>
      </c>
      <c r="BF11" s="100">
        <f>BF260</f>
        <v>0</v>
      </c>
    </row>
    <row r="12" spans="1:58" s="23" customFormat="1" ht="14.1" customHeight="1">
      <c r="A12" s="247">
        <f t="shared" si="11"/>
        <v>6</v>
      </c>
      <c r="B12" s="2" t="s">
        <v>21</v>
      </c>
      <c r="C12" s="17">
        <f>SUM(C7:C11)</f>
        <v>-4118593</v>
      </c>
      <c r="D12" s="17">
        <f>SUM(D7:D11)</f>
        <v>-5719968</v>
      </c>
      <c r="E12" s="17">
        <f t="shared" ref="E12:BA12" si="13">SUM(E7:E11)</f>
        <v>-5929131</v>
      </c>
      <c r="F12" s="17">
        <f t="shared" si="13"/>
        <v>2812947</v>
      </c>
      <c r="G12" s="17">
        <f t="shared" si="13"/>
        <v>149766</v>
      </c>
      <c r="H12" s="17">
        <f t="shared" si="13"/>
        <v>-399403</v>
      </c>
      <c r="I12" s="17">
        <f t="shared" si="13"/>
        <v>251903</v>
      </c>
      <c r="J12" s="17">
        <f t="shared" si="13"/>
        <v>-5298776</v>
      </c>
      <c r="K12" s="17">
        <f t="shared" si="13"/>
        <v>10014069</v>
      </c>
      <c r="L12" s="17">
        <f t="shared" si="13"/>
        <v>0</v>
      </c>
      <c r="M12" s="17">
        <f t="shared" si="13"/>
        <v>0</v>
      </c>
      <c r="N12" s="17">
        <f t="shared" si="13"/>
        <v>0</v>
      </c>
      <c r="O12" s="17">
        <f t="shared" si="13"/>
        <v>0</v>
      </c>
      <c r="P12" s="17">
        <f t="shared" si="13"/>
        <v>0</v>
      </c>
      <c r="Q12" s="17">
        <f t="shared" si="13"/>
        <v>0</v>
      </c>
      <c r="R12" s="17">
        <f t="shared" si="13"/>
        <v>0</v>
      </c>
      <c r="S12" s="17">
        <f t="shared" si="13"/>
        <v>0</v>
      </c>
      <c r="T12" s="17">
        <f t="shared" si="13"/>
        <v>0</v>
      </c>
      <c r="U12" s="17">
        <f t="shared" si="13"/>
        <v>0</v>
      </c>
      <c r="V12" s="17">
        <f t="shared" si="13"/>
        <v>0</v>
      </c>
      <c r="W12" s="17">
        <f t="shared" si="13"/>
        <v>0</v>
      </c>
      <c r="X12" s="17">
        <f t="shared" si="13"/>
        <v>0</v>
      </c>
      <c r="Y12" s="17">
        <f t="shared" si="13"/>
        <v>0</v>
      </c>
      <c r="Z12" s="17">
        <f t="shared" si="13"/>
        <v>0</v>
      </c>
      <c r="AA12" s="17">
        <f t="shared" si="13"/>
        <v>0</v>
      </c>
      <c r="AB12" s="17">
        <f t="shared" si="13"/>
        <v>0</v>
      </c>
      <c r="AC12" s="17">
        <f t="shared" si="13"/>
        <v>0</v>
      </c>
      <c r="AD12" s="17">
        <f t="shared" si="13"/>
        <v>0</v>
      </c>
      <c r="AE12" s="17">
        <f t="shared" si="13"/>
        <v>0</v>
      </c>
      <c r="AF12" s="17">
        <f t="shared" si="13"/>
        <v>0</v>
      </c>
      <c r="AG12" s="17">
        <f t="shared" si="13"/>
        <v>0</v>
      </c>
      <c r="AH12" s="17">
        <f t="shared" si="13"/>
        <v>0</v>
      </c>
      <c r="AI12" s="17">
        <f t="shared" si="13"/>
        <v>0</v>
      </c>
      <c r="AJ12" s="17">
        <f t="shared" si="13"/>
        <v>0</v>
      </c>
      <c r="AK12" s="17">
        <f t="shared" si="13"/>
        <v>0</v>
      </c>
      <c r="AL12" s="17">
        <f t="shared" si="13"/>
        <v>0</v>
      </c>
      <c r="AM12" s="17">
        <f t="shared" si="13"/>
        <v>0</v>
      </c>
      <c r="AN12" s="17">
        <f t="shared" si="13"/>
        <v>0</v>
      </c>
      <c r="AO12" s="17">
        <f t="shared" si="13"/>
        <v>0</v>
      </c>
      <c r="AP12" s="17">
        <f t="shared" si="13"/>
        <v>0</v>
      </c>
      <c r="AQ12" s="17">
        <f t="shared" si="13"/>
        <v>0</v>
      </c>
      <c r="AR12" s="17">
        <f t="shared" si="13"/>
        <v>0</v>
      </c>
      <c r="AS12" s="17">
        <f t="shared" si="13"/>
        <v>0</v>
      </c>
      <c r="AT12" s="17">
        <f t="shared" si="13"/>
        <v>0</v>
      </c>
      <c r="AU12" s="17">
        <f t="shared" si="13"/>
        <v>0</v>
      </c>
      <c r="AV12" s="17">
        <f t="shared" si="13"/>
        <v>0</v>
      </c>
      <c r="AW12" s="17">
        <f t="shared" si="13"/>
        <v>0</v>
      </c>
      <c r="AX12" s="17">
        <f t="shared" si="13"/>
        <v>0</v>
      </c>
      <c r="AY12" s="17">
        <f t="shared" si="13"/>
        <v>0</v>
      </c>
      <c r="AZ12" s="17">
        <f t="shared" si="13"/>
        <v>0</v>
      </c>
      <c r="BA12" s="17">
        <f t="shared" si="13"/>
        <v>0</v>
      </c>
      <c r="BB12" s="17">
        <f>SUM(BB7:BB11)</f>
        <v>0</v>
      </c>
      <c r="BC12" s="17">
        <f>SUM(BC7:BC11)</f>
        <v>0</v>
      </c>
      <c r="BD12" s="17">
        <f>SUM(BD7:BD11)</f>
        <v>0</v>
      </c>
      <c r="BE12" s="17">
        <f>SUM(BE7:BE11)</f>
        <v>0</v>
      </c>
      <c r="BF12" s="17">
        <f>SUM(BF7:BF11)</f>
        <v>0</v>
      </c>
    </row>
    <row r="13" spans="1:58" s="23" customFormat="1" ht="14.1" customHeight="1">
      <c r="A13" s="247">
        <f t="shared" si="11"/>
        <v>7</v>
      </c>
      <c r="B13" s="7"/>
      <c r="C13" s="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ht="14.1" customHeight="1">
      <c r="A14" s="247">
        <f t="shared" si="11"/>
        <v>8</v>
      </c>
      <c r="B14" s="3" t="s">
        <v>22</v>
      </c>
      <c r="C14" s="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</row>
    <row r="15" spans="1:58" ht="14.1" customHeight="1">
      <c r="A15" s="247">
        <f t="shared" si="11"/>
        <v>9</v>
      </c>
      <c r="B15" s="203" t="s">
        <v>23</v>
      </c>
      <c r="C15" s="43">
        <f t="shared" ref="C15:C22" si="14">SUM(D15:BF15)</f>
        <v>14467214</v>
      </c>
      <c r="D15" s="11">
        <f>D325</f>
        <v>0</v>
      </c>
      <c r="E15" s="11">
        <f t="shared" ref="E15:BA15" si="15">E325</f>
        <v>-3548711</v>
      </c>
      <c r="F15" s="11">
        <f t="shared" si="15"/>
        <v>0</v>
      </c>
      <c r="G15" s="11">
        <f t="shared" si="15"/>
        <v>0</v>
      </c>
      <c r="H15" s="11">
        <f t="shared" si="15"/>
        <v>-239052</v>
      </c>
      <c r="I15" s="11">
        <f t="shared" si="15"/>
        <v>0</v>
      </c>
      <c r="J15" s="11">
        <f t="shared" si="15"/>
        <v>0</v>
      </c>
      <c r="K15" s="11">
        <f t="shared" si="15"/>
        <v>0</v>
      </c>
      <c r="L15" s="11">
        <f t="shared" si="15"/>
        <v>-10480841</v>
      </c>
      <c r="M15" s="11">
        <f t="shared" si="15"/>
        <v>60722845</v>
      </c>
      <c r="N15" s="11">
        <f t="shared" si="15"/>
        <v>0</v>
      </c>
      <c r="O15" s="11">
        <f t="shared" si="15"/>
        <v>0</v>
      </c>
      <c r="P15" s="11">
        <f t="shared" si="15"/>
        <v>0</v>
      </c>
      <c r="Q15" s="11">
        <f t="shared" si="15"/>
        <v>0</v>
      </c>
      <c r="R15" s="11">
        <f t="shared" si="15"/>
        <v>0</v>
      </c>
      <c r="S15" s="11">
        <f t="shared" si="15"/>
        <v>0</v>
      </c>
      <c r="T15" s="11">
        <f t="shared" si="15"/>
        <v>0</v>
      </c>
      <c r="U15" s="11">
        <f t="shared" si="15"/>
        <v>0</v>
      </c>
      <c r="V15" s="11">
        <f t="shared" si="15"/>
        <v>0</v>
      </c>
      <c r="W15" s="11">
        <f t="shared" si="15"/>
        <v>0</v>
      </c>
      <c r="X15" s="11">
        <f t="shared" si="15"/>
        <v>52505</v>
      </c>
      <c r="Y15" s="11">
        <f t="shared" si="15"/>
        <v>34425</v>
      </c>
      <c r="Z15" s="11">
        <f t="shared" si="15"/>
        <v>103330</v>
      </c>
      <c r="AA15" s="11">
        <f t="shared" si="15"/>
        <v>1105293</v>
      </c>
      <c r="AB15" s="11">
        <f t="shared" si="15"/>
        <v>0</v>
      </c>
      <c r="AC15" s="11">
        <f t="shared" si="15"/>
        <v>0</v>
      </c>
      <c r="AD15" s="11">
        <f t="shared" si="15"/>
        <v>-37167136</v>
      </c>
      <c r="AE15" s="11">
        <f t="shared" si="15"/>
        <v>7584302</v>
      </c>
      <c r="AF15" s="11">
        <f t="shared" si="15"/>
        <v>7886100</v>
      </c>
      <c r="AG15" s="11">
        <f t="shared" si="15"/>
        <v>3223809</v>
      </c>
      <c r="AH15" s="11">
        <f t="shared" si="15"/>
        <v>-14879350</v>
      </c>
      <c r="AI15" s="11">
        <f t="shared" si="15"/>
        <v>69695</v>
      </c>
      <c r="AJ15" s="11">
        <f t="shared" si="15"/>
        <v>0</v>
      </c>
      <c r="AK15" s="11">
        <f t="shared" si="15"/>
        <v>0</v>
      </c>
      <c r="AL15" s="11">
        <f t="shared" si="15"/>
        <v>0</v>
      </c>
      <c r="AM15" s="11">
        <f t="shared" si="15"/>
        <v>0</v>
      </c>
      <c r="AN15" s="11">
        <f t="shared" si="15"/>
        <v>0</v>
      </c>
      <c r="AO15" s="11">
        <f t="shared" si="15"/>
        <v>0</v>
      </c>
      <c r="AP15" s="11">
        <f t="shared" si="15"/>
        <v>0</v>
      </c>
      <c r="AQ15" s="11">
        <f t="shared" si="15"/>
        <v>0</v>
      </c>
      <c r="AR15" s="11">
        <f t="shared" si="15"/>
        <v>0</v>
      </c>
      <c r="AS15" s="11">
        <f t="shared" si="15"/>
        <v>0</v>
      </c>
      <c r="AT15" s="11">
        <f t="shared" si="15"/>
        <v>0</v>
      </c>
      <c r="AU15" s="11">
        <f t="shared" si="15"/>
        <v>0</v>
      </c>
      <c r="AV15" s="11">
        <f t="shared" si="15"/>
        <v>0</v>
      </c>
      <c r="AW15" s="11">
        <f t="shared" si="15"/>
        <v>0</v>
      </c>
      <c r="AX15" s="11">
        <f t="shared" si="15"/>
        <v>0</v>
      </c>
      <c r="AY15" s="11">
        <f t="shared" si="15"/>
        <v>0</v>
      </c>
      <c r="AZ15" s="11">
        <f t="shared" si="15"/>
        <v>0</v>
      </c>
      <c r="BA15" s="11">
        <f t="shared" si="15"/>
        <v>0</v>
      </c>
      <c r="BB15" s="11">
        <f>BB325</f>
        <v>0</v>
      </c>
      <c r="BC15" s="11">
        <f>BC325</f>
        <v>0</v>
      </c>
      <c r="BD15" s="11">
        <f>BD325</f>
        <v>0</v>
      </c>
      <c r="BE15" s="11">
        <f>BE325</f>
        <v>0</v>
      </c>
      <c r="BF15" s="11">
        <f>BF325</f>
        <v>0</v>
      </c>
    </row>
    <row r="16" spans="1:58" ht="14.1" customHeight="1">
      <c r="A16" s="247">
        <f t="shared" si="11"/>
        <v>10</v>
      </c>
      <c r="B16" s="203" t="s">
        <v>24</v>
      </c>
      <c r="C16" s="43">
        <f t="shared" si="14"/>
        <v>0</v>
      </c>
      <c r="D16" s="11">
        <f>D351</f>
        <v>0</v>
      </c>
      <c r="E16" s="11">
        <f t="shared" ref="E16:BA16" si="16">E351</f>
        <v>0</v>
      </c>
      <c r="F16" s="11">
        <f t="shared" si="16"/>
        <v>0</v>
      </c>
      <c r="G16" s="11">
        <f t="shared" si="16"/>
        <v>0</v>
      </c>
      <c r="H16" s="11">
        <f t="shared" si="16"/>
        <v>0</v>
      </c>
      <c r="I16" s="11">
        <f t="shared" si="16"/>
        <v>0</v>
      </c>
      <c r="J16" s="11">
        <f t="shared" si="16"/>
        <v>0</v>
      </c>
      <c r="K16" s="11">
        <f t="shared" si="16"/>
        <v>0</v>
      </c>
      <c r="L16" s="11">
        <f t="shared" si="16"/>
        <v>0</v>
      </c>
      <c r="M16" s="11">
        <f t="shared" si="16"/>
        <v>0</v>
      </c>
      <c r="N16" s="11">
        <f t="shared" si="16"/>
        <v>0</v>
      </c>
      <c r="O16" s="11">
        <f t="shared" si="16"/>
        <v>0</v>
      </c>
      <c r="P16" s="11">
        <f t="shared" si="16"/>
        <v>0</v>
      </c>
      <c r="Q16" s="11">
        <f t="shared" si="16"/>
        <v>0</v>
      </c>
      <c r="R16" s="11">
        <f t="shared" si="16"/>
        <v>0</v>
      </c>
      <c r="S16" s="11">
        <f t="shared" si="16"/>
        <v>0</v>
      </c>
      <c r="T16" s="11">
        <f t="shared" si="16"/>
        <v>0</v>
      </c>
      <c r="U16" s="11">
        <f t="shared" si="16"/>
        <v>0</v>
      </c>
      <c r="V16" s="11">
        <f t="shared" si="16"/>
        <v>0</v>
      </c>
      <c r="W16" s="11">
        <f t="shared" si="16"/>
        <v>0</v>
      </c>
      <c r="X16" s="11">
        <f t="shared" si="16"/>
        <v>0</v>
      </c>
      <c r="Y16" s="11">
        <f t="shared" si="16"/>
        <v>0</v>
      </c>
      <c r="Z16" s="11">
        <f t="shared" si="16"/>
        <v>0</v>
      </c>
      <c r="AA16" s="11">
        <f t="shared" si="16"/>
        <v>0</v>
      </c>
      <c r="AB16" s="11">
        <f t="shared" si="16"/>
        <v>0</v>
      </c>
      <c r="AC16" s="11">
        <f t="shared" si="16"/>
        <v>0</v>
      </c>
      <c r="AD16" s="11">
        <f t="shared" si="16"/>
        <v>0</v>
      </c>
      <c r="AE16" s="11">
        <f t="shared" si="16"/>
        <v>0</v>
      </c>
      <c r="AF16" s="11">
        <f t="shared" si="16"/>
        <v>0</v>
      </c>
      <c r="AG16" s="11">
        <f t="shared" si="16"/>
        <v>0</v>
      </c>
      <c r="AH16" s="11">
        <f t="shared" si="16"/>
        <v>0</v>
      </c>
      <c r="AI16" s="11">
        <f t="shared" si="16"/>
        <v>0</v>
      </c>
      <c r="AJ16" s="11">
        <f t="shared" si="16"/>
        <v>0</v>
      </c>
      <c r="AK16" s="11">
        <f t="shared" si="16"/>
        <v>0</v>
      </c>
      <c r="AL16" s="11">
        <f t="shared" si="16"/>
        <v>0</v>
      </c>
      <c r="AM16" s="11">
        <f t="shared" si="16"/>
        <v>0</v>
      </c>
      <c r="AN16" s="11">
        <f t="shared" si="16"/>
        <v>0</v>
      </c>
      <c r="AO16" s="11">
        <f t="shared" si="16"/>
        <v>0</v>
      </c>
      <c r="AP16" s="11">
        <f t="shared" si="16"/>
        <v>0</v>
      </c>
      <c r="AQ16" s="11">
        <f t="shared" si="16"/>
        <v>0</v>
      </c>
      <c r="AR16" s="11">
        <f t="shared" si="16"/>
        <v>0</v>
      </c>
      <c r="AS16" s="11">
        <f t="shared" si="16"/>
        <v>0</v>
      </c>
      <c r="AT16" s="11">
        <f t="shared" si="16"/>
        <v>0</v>
      </c>
      <c r="AU16" s="11">
        <f t="shared" si="16"/>
        <v>0</v>
      </c>
      <c r="AV16" s="11">
        <f t="shared" si="16"/>
        <v>0</v>
      </c>
      <c r="AW16" s="11">
        <f t="shared" si="16"/>
        <v>0</v>
      </c>
      <c r="AX16" s="11">
        <f t="shared" si="16"/>
        <v>0</v>
      </c>
      <c r="AY16" s="11">
        <f t="shared" si="16"/>
        <v>0</v>
      </c>
      <c r="AZ16" s="11">
        <f t="shared" si="16"/>
        <v>0</v>
      </c>
      <c r="BA16" s="11">
        <f t="shared" si="16"/>
        <v>0</v>
      </c>
      <c r="BB16" s="11">
        <f>BB351</f>
        <v>0</v>
      </c>
      <c r="BC16" s="11">
        <f>BC351</f>
        <v>0</v>
      </c>
      <c r="BD16" s="11">
        <f>BD351</f>
        <v>0</v>
      </c>
      <c r="BE16" s="11">
        <f>BE351</f>
        <v>0</v>
      </c>
      <c r="BF16" s="11">
        <f>BF351</f>
        <v>0</v>
      </c>
    </row>
    <row r="17" spans="1:58" ht="14.1" customHeight="1">
      <c r="A17" s="247">
        <f t="shared" si="11"/>
        <v>11</v>
      </c>
      <c r="B17" s="203" t="s">
        <v>25</v>
      </c>
      <c r="C17" s="43">
        <f t="shared" si="14"/>
        <v>7843636</v>
      </c>
      <c r="D17" s="11">
        <f>D379</f>
        <v>0</v>
      </c>
      <c r="E17" s="11">
        <f t="shared" ref="E17:BA17" si="17">E379</f>
        <v>0</v>
      </c>
      <c r="F17" s="11">
        <f t="shared" si="17"/>
        <v>0</v>
      </c>
      <c r="G17" s="11">
        <f t="shared" si="17"/>
        <v>0</v>
      </c>
      <c r="H17" s="11">
        <f t="shared" si="17"/>
        <v>0</v>
      </c>
      <c r="I17" s="11">
        <f t="shared" si="17"/>
        <v>0</v>
      </c>
      <c r="J17" s="11">
        <f t="shared" si="17"/>
        <v>0</v>
      </c>
      <c r="K17" s="11">
        <f t="shared" si="17"/>
        <v>0</v>
      </c>
      <c r="L17" s="11">
        <f t="shared" si="17"/>
        <v>0</v>
      </c>
      <c r="M17" s="11">
        <f t="shared" si="17"/>
        <v>0</v>
      </c>
      <c r="N17" s="11">
        <f t="shared" si="17"/>
        <v>0</v>
      </c>
      <c r="O17" s="11">
        <f t="shared" si="17"/>
        <v>0</v>
      </c>
      <c r="P17" s="11">
        <f t="shared" si="17"/>
        <v>-647763</v>
      </c>
      <c r="Q17" s="11">
        <f t="shared" si="17"/>
        <v>-2237475</v>
      </c>
      <c r="R17" s="11">
        <f t="shared" si="17"/>
        <v>0</v>
      </c>
      <c r="S17" s="11">
        <f t="shared" si="17"/>
        <v>0</v>
      </c>
      <c r="T17" s="11">
        <f t="shared" si="17"/>
        <v>0</v>
      </c>
      <c r="U17" s="11">
        <f t="shared" si="17"/>
        <v>72974</v>
      </c>
      <c r="V17" s="11">
        <f t="shared" si="17"/>
        <v>10655900</v>
      </c>
      <c r="W17" s="11">
        <f t="shared" si="17"/>
        <v>0</v>
      </c>
      <c r="X17" s="11">
        <f t="shared" si="17"/>
        <v>0</v>
      </c>
      <c r="Y17" s="11">
        <f t="shared" si="17"/>
        <v>0</v>
      </c>
      <c r="Z17" s="11">
        <f t="shared" si="17"/>
        <v>0</v>
      </c>
      <c r="AA17" s="11">
        <f t="shared" si="17"/>
        <v>0</v>
      </c>
      <c r="AB17" s="11">
        <f t="shared" si="17"/>
        <v>0</v>
      </c>
      <c r="AC17" s="11">
        <f t="shared" si="17"/>
        <v>0</v>
      </c>
      <c r="AD17" s="11">
        <f t="shared" si="17"/>
        <v>0</v>
      </c>
      <c r="AE17" s="11">
        <f t="shared" si="17"/>
        <v>0</v>
      </c>
      <c r="AF17" s="11">
        <f t="shared" si="17"/>
        <v>0</v>
      </c>
      <c r="AG17" s="11">
        <f t="shared" si="17"/>
        <v>0</v>
      </c>
      <c r="AH17" s="11">
        <f t="shared" si="17"/>
        <v>0</v>
      </c>
      <c r="AI17" s="11">
        <f t="shared" si="17"/>
        <v>0</v>
      </c>
      <c r="AJ17" s="11">
        <f t="shared" si="17"/>
        <v>0</v>
      </c>
      <c r="AK17" s="11">
        <f t="shared" si="17"/>
        <v>0</v>
      </c>
      <c r="AL17" s="11">
        <f t="shared" si="17"/>
        <v>0</v>
      </c>
      <c r="AM17" s="11">
        <f t="shared" si="17"/>
        <v>0</v>
      </c>
      <c r="AN17" s="11">
        <f t="shared" si="17"/>
        <v>0</v>
      </c>
      <c r="AO17" s="11">
        <f t="shared" si="17"/>
        <v>0</v>
      </c>
      <c r="AP17" s="11">
        <f t="shared" si="17"/>
        <v>0</v>
      </c>
      <c r="AQ17" s="11">
        <f t="shared" si="17"/>
        <v>0</v>
      </c>
      <c r="AR17" s="11">
        <f t="shared" si="17"/>
        <v>0</v>
      </c>
      <c r="AS17" s="11">
        <f t="shared" si="17"/>
        <v>0</v>
      </c>
      <c r="AT17" s="11">
        <f t="shared" si="17"/>
        <v>0</v>
      </c>
      <c r="AU17" s="11">
        <f t="shared" si="17"/>
        <v>0</v>
      </c>
      <c r="AV17" s="11">
        <f t="shared" si="17"/>
        <v>0</v>
      </c>
      <c r="AW17" s="11">
        <f t="shared" si="17"/>
        <v>0</v>
      </c>
      <c r="AX17" s="11">
        <f t="shared" si="17"/>
        <v>0</v>
      </c>
      <c r="AY17" s="11">
        <f t="shared" si="17"/>
        <v>0</v>
      </c>
      <c r="AZ17" s="11">
        <f t="shared" si="17"/>
        <v>0</v>
      </c>
      <c r="BA17" s="11">
        <f t="shared" si="17"/>
        <v>0</v>
      </c>
      <c r="BB17" s="11">
        <f>BB379</f>
        <v>0</v>
      </c>
      <c r="BC17" s="11">
        <f>BC379</f>
        <v>0</v>
      </c>
      <c r="BD17" s="11">
        <f>BD379</f>
        <v>0</v>
      </c>
      <c r="BE17" s="11">
        <f>BE379</f>
        <v>0</v>
      </c>
      <c r="BF17" s="11">
        <f>BF379</f>
        <v>0</v>
      </c>
    </row>
    <row r="18" spans="1:58" ht="14.1" customHeight="1">
      <c r="A18" s="247">
        <f t="shared" si="11"/>
        <v>12</v>
      </c>
      <c r="B18" s="203" t="s">
        <v>26</v>
      </c>
      <c r="C18" s="43">
        <f t="shared" si="14"/>
        <v>0</v>
      </c>
      <c r="D18" s="11">
        <f>D388</f>
        <v>0</v>
      </c>
      <c r="E18" s="11">
        <f t="shared" ref="E18:BA18" si="18">E388</f>
        <v>0</v>
      </c>
      <c r="F18" s="11">
        <f t="shared" si="18"/>
        <v>0</v>
      </c>
      <c r="G18" s="11">
        <f t="shared" si="18"/>
        <v>0</v>
      </c>
      <c r="H18" s="11">
        <f t="shared" si="18"/>
        <v>0</v>
      </c>
      <c r="I18" s="11">
        <f t="shared" si="18"/>
        <v>0</v>
      </c>
      <c r="J18" s="11">
        <f t="shared" si="18"/>
        <v>0</v>
      </c>
      <c r="K18" s="11">
        <f t="shared" si="18"/>
        <v>0</v>
      </c>
      <c r="L18" s="11">
        <f t="shared" si="18"/>
        <v>0</v>
      </c>
      <c r="M18" s="11">
        <f t="shared" si="18"/>
        <v>0</v>
      </c>
      <c r="N18" s="11">
        <f t="shared" si="18"/>
        <v>0</v>
      </c>
      <c r="O18" s="11">
        <f t="shared" si="18"/>
        <v>0</v>
      </c>
      <c r="P18" s="11">
        <f t="shared" si="18"/>
        <v>0</v>
      </c>
      <c r="Q18" s="11">
        <f t="shared" si="18"/>
        <v>0</v>
      </c>
      <c r="R18" s="11">
        <f t="shared" si="18"/>
        <v>0</v>
      </c>
      <c r="S18" s="11">
        <f t="shared" si="18"/>
        <v>0</v>
      </c>
      <c r="T18" s="11">
        <f t="shared" si="18"/>
        <v>0</v>
      </c>
      <c r="U18" s="11">
        <f t="shared" si="18"/>
        <v>0</v>
      </c>
      <c r="V18" s="11">
        <f t="shared" si="18"/>
        <v>0</v>
      </c>
      <c r="W18" s="11">
        <f t="shared" si="18"/>
        <v>0</v>
      </c>
      <c r="X18" s="11">
        <f t="shared" si="18"/>
        <v>0</v>
      </c>
      <c r="Y18" s="11">
        <f t="shared" si="18"/>
        <v>0</v>
      </c>
      <c r="Z18" s="11">
        <f t="shared" si="18"/>
        <v>0</v>
      </c>
      <c r="AA18" s="11">
        <f t="shared" si="18"/>
        <v>0</v>
      </c>
      <c r="AB18" s="11">
        <f t="shared" si="18"/>
        <v>0</v>
      </c>
      <c r="AC18" s="11">
        <f t="shared" si="18"/>
        <v>0</v>
      </c>
      <c r="AD18" s="11">
        <f t="shared" si="18"/>
        <v>0</v>
      </c>
      <c r="AE18" s="11">
        <f t="shared" si="18"/>
        <v>0</v>
      </c>
      <c r="AF18" s="11">
        <f t="shared" si="18"/>
        <v>0</v>
      </c>
      <c r="AG18" s="11">
        <f t="shared" si="18"/>
        <v>0</v>
      </c>
      <c r="AH18" s="11">
        <f t="shared" si="18"/>
        <v>0</v>
      </c>
      <c r="AI18" s="11">
        <f t="shared" si="18"/>
        <v>0</v>
      </c>
      <c r="AJ18" s="11">
        <f t="shared" si="18"/>
        <v>0</v>
      </c>
      <c r="AK18" s="11">
        <f t="shared" si="18"/>
        <v>0</v>
      </c>
      <c r="AL18" s="11">
        <f t="shared" si="18"/>
        <v>0</v>
      </c>
      <c r="AM18" s="11">
        <f t="shared" si="18"/>
        <v>0</v>
      </c>
      <c r="AN18" s="11">
        <f t="shared" si="18"/>
        <v>0</v>
      </c>
      <c r="AO18" s="11">
        <f t="shared" si="18"/>
        <v>0</v>
      </c>
      <c r="AP18" s="11">
        <f t="shared" si="18"/>
        <v>0</v>
      </c>
      <c r="AQ18" s="11">
        <f t="shared" si="18"/>
        <v>0</v>
      </c>
      <c r="AR18" s="11">
        <f t="shared" si="18"/>
        <v>0</v>
      </c>
      <c r="AS18" s="11">
        <f t="shared" si="18"/>
        <v>0</v>
      </c>
      <c r="AT18" s="11">
        <f t="shared" si="18"/>
        <v>0</v>
      </c>
      <c r="AU18" s="11">
        <f t="shared" si="18"/>
        <v>0</v>
      </c>
      <c r="AV18" s="11">
        <f t="shared" si="18"/>
        <v>0</v>
      </c>
      <c r="AW18" s="11">
        <f t="shared" si="18"/>
        <v>0</v>
      </c>
      <c r="AX18" s="11">
        <f t="shared" si="18"/>
        <v>0</v>
      </c>
      <c r="AY18" s="11">
        <f t="shared" si="18"/>
        <v>0</v>
      </c>
      <c r="AZ18" s="11">
        <f t="shared" si="18"/>
        <v>0</v>
      </c>
      <c r="BA18" s="11">
        <f t="shared" si="18"/>
        <v>0</v>
      </c>
      <c r="BB18" s="11">
        <f>BB388</f>
        <v>0</v>
      </c>
      <c r="BC18" s="11">
        <f>BC388</f>
        <v>0</v>
      </c>
      <c r="BD18" s="11">
        <f>BD388</f>
        <v>0</v>
      </c>
      <c r="BE18" s="11">
        <f>BE388</f>
        <v>0</v>
      </c>
      <c r="BF18" s="11">
        <f>BF388</f>
        <v>0</v>
      </c>
    </row>
    <row r="19" spans="1:58" ht="14.1" customHeight="1">
      <c r="A19" s="247">
        <f t="shared" si="11"/>
        <v>13</v>
      </c>
      <c r="B19" s="203" t="s">
        <v>27</v>
      </c>
      <c r="C19" s="43">
        <f t="shared" si="14"/>
        <v>0</v>
      </c>
      <c r="D19" s="11">
        <f>D402</f>
        <v>0</v>
      </c>
      <c r="E19" s="11">
        <f t="shared" ref="E19:BA19" si="19">E402</f>
        <v>0</v>
      </c>
      <c r="F19" s="11">
        <f t="shared" si="19"/>
        <v>0</v>
      </c>
      <c r="G19" s="11">
        <f t="shared" si="19"/>
        <v>0</v>
      </c>
      <c r="H19" s="11">
        <f t="shared" si="19"/>
        <v>0</v>
      </c>
      <c r="I19" s="11">
        <f t="shared" si="19"/>
        <v>0</v>
      </c>
      <c r="J19" s="11">
        <f t="shared" si="19"/>
        <v>0</v>
      </c>
      <c r="K19" s="11">
        <f t="shared" si="19"/>
        <v>0</v>
      </c>
      <c r="L19" s="11">
        <f t="shared" si="19"/>
        <v>0</v>
      </c>
      <c r="M19" s="11">
        <f t="shared" si="19"/>
        <v>0</v>
      </c>
      <c r="N19" s="11">
        <f t="shared" si="19"/>
        <v>0</v>
      </c>
      <c r="O19" s="11">
        <f t="shared" si="19"/>
        <v>0</v>
      </c>
      <c r="P19" s="11">
        <f t="shared" si="19"/>
        <v>0</v>
      </c>
      <c r="Q19" s="11">
        <f t="shared" si="19"/>
        <v>0</v>
      </c>
      <c r="R19" s="11">
        <f t="shared" si="19"/>
        <v>0</v>
      </c>
      <c r="S19" s="11">
        <f t="shared" si="19"/>
        <v>0</v>
      </c>
      <c r="T19" s="11">
        <f t="shared" si="19"/>
        <v>0</v>
      </c>
      <c r="U19" s="11">
        <f t="shared" si="19"/>
        <v>0</v>
      </c>
      <c r="V19" s="11">
        <f t="shared" si="19"/>
        <v>0</v>
      </c>
      <c r="W19" s="11">
        <f t="shared" si="19"/>
        <v>0</v>
      </c>
      <c r="X19" s="11">
        <f t="shared" si="19"/>
        <v>0</v>
      </c>
      <c r="Y19" s="11">
        <f t="shared" si="19"/>
        <v>0</v>
      </c>
      <c r="Z19" s="11">
        <f t="shared" si="19"/>
        <v>0</v>
      </c>
      <c r="AA19" s="11">
        <f t="shared" si="19"/>
        <v>0</v>
      </c>
      <c r="AB19" s="11">
        <f t="shared" si="19"/>
        <v>0</v>
      </c>
      <c r="AC19" s="11">
        <f t="shared" si="19"/>
        <v>0</v>
      </c>
      <c r="AD19" s="11">
        <f t="shared" si="19"/>
        <v>0</v>
      </c>
      <c r="AE19" s="11">
        <f t="shared" si="19"/>
        <v>0</v>
      </c>
      <c r="AF19" s="11">
        <f t="shared" si="19"/>
        <v>0</v>
      </c>
      <c r="AG19" s="11">
        <f t="shared" si="19"/>
        <v>0</v>
      </c>
      <c r="AH19" s="11">
        <f t="shared" si="19"/>
        <v>0</v>
      </c>
      <c r="AI19" s="11">
        <f t="shared" si="19"/>
        <v>0</v>
      </c>
      <c r="AJ19" s="11">
        <f t="shared" si="19"/>
        <v>0</v>
      </c>
      <c r="AK19" s="11">
        <f t="shared" si="19"/>
        <v>0</v>
      </c>
      <c r="AL19" s="11">
        <f t="shared" si="19"/>
        <v>0</v>
      </c>
      <c r="AM19" s="11">
        <f t="shared" si="19"/>
        <v>0</v>
      </c>
      <c r="AN19" s="11">
        <f t="shared" si="19"/>
        <v>0</v>
      </c>
      <c r="AO19" s="11">
        <f t="shared" si="19"/>
        <v>0</v>
      </c>
      <c r="AP19" s="11">
        <f t="shared" si="19"/>
        <v>0</v>
      </c>
      <c r="AQ19" s="11">
        <f t="shared" si="19"/>
        <v>0</v>
      </c>
      <c r="AR19" s="11">
        <f t="shared" si="19"/>
        <v>0</v>
      </c>
      <c r="AS19" s="11">
        <f t="shared" si="19"/>
        <v>0</v>
      </c>
      <c r="AT19" s="11">
        <f t="shared" si="19"/>
        <v>0</v>
      </c>
      <c r="AU19" s="11">
        <f t="shared" si="19"/>
        <v>0</v>
      </c>
      <c r="AV19" s="11">
        <f t="shared" si="19"/>
        <v>0</v>
      </c>
      <c r="AW19" s="11">
        <f t="shared" si="19"/>
        <v>0</v>
      </c>
      <c r="AX19" s="11">
        <f t="shared" si="19"/>
        <v>0</v>
      </c>
      <c r="AY19" s="11">
        <f t="shared" si="19"/>
        <v>0</v>
      </c>
      <c r="AZ19" s="11">
        <f t="shared" si="19"/>
        <v>0</v>
      </c>
      <c r="BA19" s="11">
        <f t="shared" si="19"/>
        <v>0</v>
      </c>
      <c r="BB19" s="11">
        <f>BB402</f>
        <v>0</v>
      </c>
      <c r="BC19" s="11">
        <f>BC402</f>
        <v>0</v>
      </c>
      <c r="BD19" s="11">
        <f>BD402</f>
        <v>0</v>
      </c>
      <c r="BE19" s="11">
        <f>BE402</f>
        <v>0</v>
      </c>
      <c r="BF19" s="11">
        <f>BF402</f>
        <v>0</v>
      </c>
    </row>
    <row r="20" spans="1:58" ht="14.1" customHeight="1">
      <c r="A20" s="247">
        <f t="shared" si="11"/>
        <v>14</v>
      </c>
      <c r="B20" s="203" t="s">
        <v>28</v>
      </c>
      <c r="C20" s="43">
        <f t="shared" si="14"/>
        <v>0</v>
      </c>
      <c r="D20" s="11">
        <f>D395</f>
        <v>0</v>
      </c>
      <c r="E20" s="11">
        <f t="shared" ref="E20:BA20" si="20">E395</f>
        <v>0</v>
      </c>
      <c r="F20" s="11">
        <f t="shared" si="20"/>
        <v>0</v>
      </c>
      <c r="G20" s="11">
        <f t="shared" si="20"/>
        <v>0</v>
      </c>
      <c r="H20" s="11">
        <f t="shared" si="20"/>
        <v>0</v>
      </c>
      <c r="I20" s="11">
        <f t="shared" si="20"/>
        <v>0</v>
      </c>
      <c r="J20" s="11">
        <f t="shared" si="20"/>
        <v>0</v>
      </c>
      <c r="K20" s="11">
        <f t="shared" si="20"/>
        <v>0</v>
      </c>
      <c r="L20" s="11">
        <f t="shared" si="20"/>
        <v>0</v>
      </c>
      <c r="M20" s="11">
        <f t="shared" si="20"/>
        <v>0</v>
      </c>
      <c r="N20" s="11">
        <f t="shared" si="20"/>
        <v>0</v>
      </c>
      <c r="O20" s="11">
        <f t="shared" si="20"/>
        <v>0</v>
      </c>
      <c r="P20" s="11">
        <f t="shared" si="20"/>
        <v>0</v>
      </c>
      <c r="Q20" s="11">
        <f t="shared" si="20"/>
        <v>0</v>
      </c>
      <c r="R20" s="11">
        <f t="shared" si="20"/>
        <v>0</v>
      </c>
      <c r="S20" s="11">
        <f t="shared" si="20"/>
        <v>0</v>
      </c>
      <c r="T20" s="11">
        <f t="shared" si="20"/>
        <v>0</v>
      </c>
      <c r="U20" s="11">
        <f t="shared" si="20"/>
        <v>0</v>
      </c>
      <c r="V20" s="11">
        <f t="shared" si="20"/>
        <v>0</v>
      </c>
      <c r="W20" s="11">
        <f t="shared" si="20"/>
        <v>0</v>
      </c>
      <c r="X20" s="11">
        <f t="shared" si="20"/>
        <v>0</v>
      </c>
      <c r="Y20" s="11">
        <f t="shared" si="20"/>
        <v>0</v>
      </c>
      <c r="Z20" s="11">
        <f t="shared" si="20"/>
        <v>0</v>
      </c>
      <c r="AA20" s="11">
        <f t="shared" si="20"/>
        <v>0</v>
      </c>
      <c r="AB20" s="11">
        <f t="shared" si="20"/>
        <v>0</v>
      </c>
      <c r="AC20" s="11">
        <f t="shared" si="20"/>
        <v>0</v>
      </c>
      <c r="AD20" s="11">
        <f t="shared" si="20"/>
        <v>0</v>
      </c>
      <c r="AE20" s="11">
        <f t="shared" si="20"/>
        <v>0</v>
      </c>
      <c r="AF20" s="11">
        <f t="shared" si="20"/>
        <v>0</v>
      </c>
      <c r="AG20" s="11">
        <f t="shared" si="20"/>
        <v>0</v>
      </c>
      <c r="AH20" s="11">
        <f t="shared" si="20"/>
        <v>0</v>
      </c>
      <c r="AI20" s="11">
        <f t="shared" si="20"/>
        <v>0</v>
      </c>
      <c r="AJ20" s="11">
        <f t="shared" si="20"/>
        <v>0</v>
      </c>
      <c r="AK20" s="11">
        <f t="shared" si="20"/>
        <v>0</v>
      </c>
      <c r="AL20" s="11">
        <f t="shared" si="20"/>
        <v>0</v>
      </c>
      <c r="AM20" s="11">
        <f t="shared" si="20"/>
        <v>0</v>
      </c>
      <c r="AN20" s="11">
        <f t="shared" si="20"/>
        <v>0</v>
      </c>
      <c r="AO20" s="11">
        <f t="shared" si="20"/>
        <v>0</v>
      </c>
      <c r="AP20" s="11">
        <f t="shared" si="20"/>
        <v>0</v>
      </c>
      <c r="AQ20" s="11">
        <f t="shared" si="20"/>
        <v>0</v>
      </c>
      <c r="AR20" s="11">
        <f t="shared" si="20"/>
        <v>0</v>
      </c>
      <c r="AS20" s="11">
        <f t="shared" si="20"/>
        <v>0</v>
      </c>
      <c r="AT20" s="11">
        <f t="shared" si="20"/>
        <v>0</v>
      </c>
      <c r="AU20" s="11">
        <f t="shared" si="20"/>
        <v>0</v>
      </c>
      <c r="AV20" s="11">
        <f t="shared" si="20"/>
        <v>0</v>
      </c>
      <c r="AW20" s="11">
        <f t="shared" si="20"/>
        <v>0</v>
      </c>
      <c r="AX20" s="11">
        <f t="shared" si="20"/>
        <v>0</v>
      </c>
      <c r="AY20" s="11">
        <f t="shared" si="20"/>
        <v>0</v>
      </c>
      <c r="AZ20" s="11">
        <f t="shared" si="20"/>
        <v>0</v>
      </c>
      <c r="BA20" s="11">
        <f t="shared" si="20"/>
        <v>0</v>
      </c>
      <c r="BB20" s="11">
        <f>BB395</f>
        <v>0</v>
      </c>
      <c r="BC20" s="11">
        <f>BC395</f>
        <v>0</v>
      </c>
      <c r="BD20" s="11">
        <f>BD395</f>
        <v>0</v>
      </c>
      <c r="BE20" s="11">
        <f>BE395</f>
        <v>0</v>
      </c>
      <c r="BF20" s="11">
        <f>BF395</f>
        <v>0</v>
      </c>
    </row>
    <row r="21" spans="1:58" ht="14.1" customHeight="1">
      <c r="A21" s="247">
        <f t="shared" si="11"/>
        <v>15</v>
      </c>
      <c r="B21" s="203" t="s">
        <v>29</v>
      </c>
      <c r="C21" s="43">
        <f t="shared" si="14"/>
        <v>-5422453</v>
      </c>
      <c r="D21" s="11">
        <f>D423</f>
        <v>0</v>
      </c>
      <c r="E21" s="11">
        <f t="shared" ref="E21:BA21" si="21">E423</f>
        <v>0</v>
      </c>
      <c r="F21" s="11">
        <f t="shared" si="21"/>
        <v>0</v>
      </c>
      <c r="G21" s="11">
        <f t="shared" si="21"/>
        <v>0</v>
      </c>
      <c r="H21" s="11">
        <f t="shared" si="21"/>
        <v>0</v>
      </c>
      <c r="I21" s="11">
        <f t="shared" si="21"/>
        <v>0</v>
      </c>
      <c r="J21" s="11">
        <f t="shared" si="21"/>
        <v>0</v>
      </c>
      <c r="K21" s="11">
        <f t="shared" si="21"/>
        <v>0</v>
      </c>
      <c r="L21" s="11">
        <f t="shared" si="21"/>
        <v>0</v>
      </c>
      <c r="M21" s="11">
        <f t="shared" si="21"/>
        <v>0</v>
      </c>
      <c r="N21" s="11">
        <f t="shared" si="21"/>
        <v>0</v>
      </c>
      <c r="O21" s="11">
        <f t="shared" si="21"/>
        <v>84864</v>
      </c>
      <c r="P21" s="11">
        <f t="shared" si="21"/>
        <v>0</v>
      </c>
      <c r="Q21" s="11">
        <f t="shared" si="21"/>
        <v>0</v>
      </c>
      <c r="R21" s="11">
        <f t="shared" si="21"/>
        <v>258037</v>
      </c>
      <c r="S21" s="11">
        <f t="shared" si="21"/>
        <v>12219</v>
      </c>
      <c r="T21" s="11">
        <f t="shared" si="21"/>
        <v>-30610</v>
      </c>
      <c r="U21" s="11">
        <f t="shared" si="21"/>
        <v>0</v>
      </c>
      <c r="V21" s="11">
        <f t="shared" si="21"/>
        <v>0</v>
      </c>
      <c r="W21" s="11">
        <f t="shared" si="21"/>
        <v>-206580</v>
      </c>
      <c r="X21" s="11">
        <f t="shared" si="21"/>
        <v>0</v>
      </c>
      <c r="Y21" s="11">
        <f t="shared" si="21"/>
        <v>0</v>
      </c>
      <c r="Z21" s="11">
        <f t="shared" si="21"/>
        <v>0</v>
      </c>
      <c r="AA21" s="11">
        <f t="shared" si="21"/>
        <v>0</v>
      </c>
      <c r="AB21" s="11">
        <f t="shared" si="21"/>
        <v>-973508</v>
      </c>
      <c r="AC21" s="11">
        <f t="shared" si="21"/>
        <v>29576</v>
      </c>
      <c r="AD21" s="11">
        <f t="shared" si="21"/>
        <v>-5550201</v>
      </c>
      <c r="AE21" s="11">
        <f t="shared" si="21"/>
        <v>0</v>
      </c>
      <c r="AF21" s="11">
        <f t="shared" si="21"/>
        <v>953750</v>
      </c>
      <c r="AG21" s="11">
        <f t="shared" si="21"/>
        <v>0</v>
      </c>
      <c r="AH21" s="11">
        <f t="shared" si="21"/>
        <v>0</v>
      </c>
      <c r="AI21" s="11">
        <f t="shared" si="21"/>
        <v>0</v>
      </c>
      <c r="AJ21" s="11">
        <f t="shared" si="21"/>
        <v>0</v>
      </c>
      <c r="AK21" s="11">
        <f t="shared" si="21"/>
        <v>0</v>
      </c>
      <c r="AL21" s="11">
        <f t="shared" si="21"/>
        <v>0</v>
      </c>
      <c r="AM21" s="11">
        <f t="shared" si="21"/>
        <v>0</v>
      </c>
      <c r="AN21" s="11">
        <f t="shared" si="21"/>
        <v>0</v>
      </c>
      <c r="AO21" s="11">
        <f t="shared" si="21"/>
        <v>0</v>
      </c>
      <c r="AP21" s="11">
        <f t="shared" si="21"/>
        <v>0</v>
      </c>
      <c r="AQ21" s="11">
        <f t="shared" si="21"/>
        <v>0</v>
      </c>
      <c r="AR21" s="11">
        <f t="shared" si="21"/>
        <v>0</v>
      </c>
      <c r="AS21" s="11">
        <f t="shared" si="21"/>
        <v>0</v>
      </c>
      <c r="AT21" s="11">
        <f t="shared" si="21"/>
        <v>0</v>
      </c>
      <c r="AU21" s="11">
        <f t="shared" si="21"/>
        <v>0</v>
      </c>
      <c r="AV21" s="11">
        <f t="shared" si="21"/>
        <v>0</v>
      </c>
      <c r="AW21" s="11">
        <f t="shared" si="21"/>
        <v>0</v>
      </c>
      <c r="AX21" s="11">
        <f t="shared" si="21"/>
        <v>0</v>
      </c>
      <c r="AY21" s="11">
        <f t="shared" si="21"/>
        <v>0</v>
      </c>
      <c r="AZ21" s="11">
        <f t="shared" si="21"/>
        <v>0</v>
      </c>
      <c r="BA21" s="11">
        <f t="shared" si="21"/>
        <v>0</v>
      </c>
      <c r="BB21" s="11">
        <f>BB423</f>
        <v>0</v>
      </c>
      <c r="BC21" s="11">
        <f>BC423</f>
        <v>0</v>
      </c>
      <c r="BD21" s="11">
        <f>BD423</f>
        <v>0</v>
      </c>
      <c r="BE21" s="11">
        <f>BE423</f>
        <v>0</v>
      </c>
      <c r="BF21" s="11">
        <f>BF423</f>
        <v>0</v>
      </c>
    </row>
    <row r="22" spans="1:58" ht="14.1" customHeight="1">
      <c r="A22" s="247">
        <f t="shared" si="11"/>
        <v>16</v>
      </c>
      <c r="B22" s="92" t="s">
        <v>30</v>
      </c>
      <c r="C22" s="386">
        <f t="shared" si="14"/>
        <v>0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0</v>
      </c>
      <c r="U22" s="100">
        <v>0</v>
      </c>
      <c r="V22" s="100">
        <v>0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0">
        <v>0</v>
      </c>
      <c r="AD22" s="100">
        <v>0</v>
      </c>
      <c r="AE22" s="100">
        <v>0</v>
      </c>
      <c r="AF22" s="100">
        <v>0</v>
      </c>
      <c r="AG22" s="100">
        <v>0</v>
      </c>
      <c r="AH22" s="100">
        <v>0</v>
      </c>
      <c r="AI22" s="100">
        <v>0</v>
      </c>
      <c r="AJ22" s="100">
        <v>0</v>
      </c>
      <c r="AK22" s="100">
        <v>0</v>
      </c>
      <c r="AL22" s="100">
        <v>0</v>
      </c>
      <c r="AM22" s="100">
        <v>0</v>
      </c>
      <c r="AN22" s="100">
        <v>0</v>
      </c>
      <c r="AO22" s="100">
        <v>0</v>
      </c>
      <c r="AP22" s="100">
        <v>0</v>
      </c>
      <c r="AQ22" s="100">
        <v>0</v>
      </c>
      <c r="AR22" s="100">
        <v>0</v>
      </c>
      <c r="AS22" s="100">
        <v>0</v>
      </c>
      <c r="AT22" s="100">
        <v>0</v>
      </c>
      <c r="AU22" s="100">
        <v>0</v>
      </c>
      <c r="AV22" s="100">
        <v>0</v>
      </c>
      <c r="AW22" s="100">
        <v>0</v>
      </c>
      <c r="AX22" s="100">
        <v>0</v>
      </c>
      <c r="AY22" s="100">
        <v>0</v>
      </c>
      <c r="AZ22" s="100">
        <v>0</v>
      </c>
      <c r="BA22" s="100">
        <v>0</v>
      </c>
      <c r="BB22" s="100">
        <v>0</v>
      </c>
      <c r="BC22" s="100">
        <v>0</v>
      </c>
      <c r="BD22" s="100">
        <v>0</v>
      </c>
      <c r="BE22" s="100">
        <v>0</v>
      </c>
      <c r="BF22" s="100">
        <v>0</v>
      </c>
    </row>
    <row r="23" spans="1:58" s="23" customFormat="1" ht="14.1" customHeight="1">
      <c r="A23" s="247">
        <f t="shared" si="11"/>
        <v>17</v>
      </c>
      <c r="B23" s="2" t="s">
        <v>31</v>
      </c>
      <c r="C23" s="17">
        <f>SUM(C15:C22)</f>
        <v>16888397</v>
      </c>
      <c r="D23" s="17">
        <f>SUM(D15:D22)</f>
        <v>0</v>
      </c>
      <c r="E23" s="17">
        <f t="shared" ref="E23:BA23" si="22">SUM(E15:E22)</f>
        <v>-3548711</v>
      </c>
      <c r="F23" s="17">
        <f t="shared" si="22"/>
        <v>0</v>
      </c>
      <c r="G23" s="17">
        <f t="shared" si="22"/>
        <v>0</v>
      </c>
      <c r="H23" s="17">
        <f t="shared" si="22"/>
        <v>-239052</v>
      </c>
      <c r="I23" s="17">
        <f t="shared" si="22"/>
        <v>0</v>
      </c>
      <c r="J23" s="17">
        <f t="shared" si="22"/>
        <v>0</v>
      </c>
      <c r="K23" s="17">
        <f t="shared" si="22"/>
        <v>0</v>
      </c>
      <c r="L23" s="17">
        <f t="shared" si="22"/>
        <v>-10480841</v>
      </c>
      <c r="M23" s="17">
        <f t="shared" si="22"/>
        <v>60722845</v>
      </c>
      <c r="N23" s="17">
        <f t="shared" si="22"/>
        <v>0</v>
      </c>
      <c r="O23" s="17">
        <f t="shared" si="22"/>
        <v>84864</v>
      </c>
      <c r="P23" s="17">
        <f t="shared" si="22"/>
        <v>-647763</v>
      </c>
      <c r="Q23" s="17">
        <f t="shared" si="22"/>
        <v>-2237475</v>
      </c>
      <c r="R23" s="17">
        <f t="shared" si="22"/>
        <v>258037</v>
      </c>
      <c r="S23" s="17">
        <f t="shared" si="22"/>
        <v>12219</v>
      </c>
      <c r="T23" s="17">
        <f t="shared" si="22"/>
        <v>-30610</v>
      </c>
      <c r="U23" s="17">
        <f t="shared" si="22"/>
        <v>72974</v>
      </c>
      <c r="V23" s="17">
        <f t="shared" si="22"/>
        <v>10655900</v>
      </c>
      <c r="W23" s="17">
        <f t="shared" si="22"/>
        <v>-206580</v>
      </c>
      <c r="X23" s="17">
        <f t="shared" si="22"/>
        <v>52505</v>
      </c>
      <c r="Y23" s="17">
        <f t="shared" si="22"/>
        <v>34425</v>
      </c>
      <c r="Z23" s="17">
        <f t="shared" si="22"/>
        <v>103330</v>
      </c>
      <c r="AA23" s="17">
        <f t="shared" si="22"/>
        <v>1105293</v>
      </c>
      <c r="AB23" s="17">
        <f t="shared" si="22"/>
        <v>-973508</v>
      </c>
      <c r="AC23" s="17">
        <f t="shared" si="22"/>
        <v>29576</v>
      </c>
      <c r="AD23" s="17">
        <f t="shared" si="22"/>
        <v>-42717337</v>
      </c>
      <c r="AE23" s="17">
        <f t="shared" si="22"/>
        <v>7584302</v>
      </c>
      <c r="AF23" s="17">
        <f t="shared" si="22"/>
        <v>8839850</v>
      </c>
      <c r="AG23" s="17">
        <f t="shared" si="22"/>
        <v>3223809</v>
      </c>
      <c r="AH23" s="17">
        <f t="shared" si="22"/>
        <v>-14879350</v>
      </c>
      <c r="AI23" s="17">
        <f t="shared" si="22"/>
        <v>69695</v>
      </c>
      <c r="AJ23" s="17">
        <f t="shared" si="22"/>
        <v>0</v>
      </c>
      <c r="AK23" s="17">
        <f t="shared" si="22"/>
        <v>0</v>
      </c>
      <c r="AL23" s="17">
        <f t="shared" si="22"/>
        <v>0</v>
      </c>
      <c r="AM23" s="17">
        <f t="shared" si="22"/>
        <v>0</v>
      </c>
      <c r="AN23" s="17">
        <f t="shared" si="22"/>
        <v>0</v>
      </c>
      <c r="AO23" s="17">
        <f t="shared" si="22"/>
        <v>0</v>
      </c>
      <c r="AP23" s="17">
        <f t="shared" si="22"/>
        <v>0</v>
      </c>
      <c r="AQ23" s="17">
        <f t="shared" si="22"/>
        <v>0</v>
      </c>
      <c r="AR23" s="17">
        <f t="shared" si="22"/>
        <v>0</v>
      </c>
      <c r="AS23" s="17">
        <f t="shared" si="22"/>
        <v>0</v>
      </c>
      <c r="AT23" s="17">
        <f t="shared" si="22"/>
        <v>0</v>
      </c>
      <c r="AU23" s="17">
        <f t="shared" si="22"/>
        <v>0</v>
      </c>
      <c r="AV23" s="17">
        <f t="shared" si="22"/>
        <v>0</v>
      </c>
      <c r="AW23" s="17">
        <f t="shared" si="22"/>
        <v>0</v>
      </c>
      <c r="AX23" s="17">
        <f t="shared" si="22"/>
        <v>0</v>
      </c>
      <c r="AY23" s="17">
        <f t="shared" si="22"/>
        <v>0</v>
      </c>
      <c r="AZ23" s="17">
        <f t="shared" si="22"/>
        <v>0</v>
      </c>
      <c r="BA23" s="17">
        <f t="shared" si="22"/>
        <v>0</v>
      </c>
      <c r="BB23" s="17">
        <f>SUM(BB15:BB22)</f>
        <v>0</v>
      </c>
      <c r="BC23" s="17">
        <f>SUM(BC15:BC22)</f>
        <v>0</v>
      </c>
      <c r="BD23" s="17">
        <f>SUM(BD15:BD22)</f>
        <v>0</v>
      </c>
      <c r="BE23" s="17">
        <f>SUM(BE15:BE22)</f>
        <v>0</v>
      </c>
      <c r="BF23" s="17">
        <f>SUM(BF15:BF22)</f>
        <v>0</v>
      </c>
    </row>
    <row r="24" spans="1:58" s="23" customFormat="1" ht="14.1" customHeight="1">
      <c r="A24" s="247">
        <f t="shared" si="11"/>
        <v>18</v>
      </c>
      <c r="B24" s="7"/>
      <c r="C24" s="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</row>
    <row r="25" spans="1:58" ht="14.1" customHeight="1">
      <c r="A25" s="247">
        <f t="shared" si="11"/>
        <v>19</v>
      </c>
      <c r="B25" s="203" t="s">
        <v>32</v>
      </c>
      <c r="C25" s="43">
        <f>SUM(D25:BF25)</f>
        <v>-379320.48799999803</v>
      </c>
      <c r="D25" s="11">
        <f>D456</f>
        <v>0</v>
      </c>
      <c r="E25" s="11">
        <f t="shared" ref="E25:BA25" si="23">E456</f>
        <v>0</v>
      </c>
      <c r="F25" s="11">
        <f t="shared" si="23"/>
        <v>0</v>
      </c>
      <c r="G25" s="11">
        <f t="shared" si="23"/>
        <v>0</v>
      </c>
      <c r="H25" s="11">
        <f t="shared" si="23"/>
        <v>0</v>
      </c>
      <c r="I25" s="11">
        <f t="shared" si="23"/>
        <v>0</v>
      </c>
      <c r="J25" s="11">
        <f t="shared" si="23"/>
        <v>0</v>
      </c>
      <c r="K25" s="11">
        <f t="shared" si="23"/>
        <v>0</v>
      </c>
      <c r="L25" s="11">
        <f t="shared" si="23"/>
        <v>0</v>
      </c>
      <c r="M25" s="11">
        <f t="shared" si="23"/>
        <v>0</v>
      </c>
      <c r="N25" s="11">
        <f t="shared" si="23"/>
        <v>0</v>
      </c>
      <c r="O25" s="11">
        <f t="shared" si="23"/>
        <v>0</v>
      </c>
      <c r="P25" s="11">
        <f t="shared" si="23"/>
        <v>0</v>
      </c>
      <c r="Q25" s="11">
        <f t="shared" si="23"/>
        <v>0</v>
      </c>
      <c r="R25" s="11">
        <f t="shared" si="23"/>
        <v>0</v>
      </c>
      <c r="S25" s="11">
        <f t="shared" si="23"/>
        <v>0</v>
      </c>
      <c r="T25" s="11">
        <f t="shared" si="23"/>
        <v>0</v>
      </c>
      <c r="U25" s="11">
        <f t="shared" si="23"/>
        <v>0</v>
      </c>
      <c r="V25" s="11">
        <f t="shared" si="23"/>
        <v>0</v>
      </c>
      <c r="W25" s="11">
        <f t="shared" si="23"/>
        <v>0</v>
      </c>
      <c r="X25" s="11">
        <f t="shared" si="23"/>
        <v>0</v>
      </c>
      <c r="Y25" s="11">
        <f t="shared" si="23"/>
        <v>0</v>
      </c>
      <c r="Z25" s="11">
        <f t="shared" si="23"/>
        <v>0</v>
      </c>
      <c r="AA25" s="11">
        <f t="shared" si="23"/>
        <v>0</v>
      </c>
      <c r="AB25" s="11">
        <f t="shared" si="23"/>
        <v>0</v>
      </c>
      <c r="AC25" s="11">
        <f t="shared" si="23"/>
        <v>0</v>
      </c>
      <c r="AD25" s="11">
        <f t="shared" si="23"/>
        <v>0</v>
      </c>
      <c r="AE25" s="11">
        <f t="shared" si="23"/>
        <v>0</v>
      </c>
      <c r="AF25" s="11">
        <f t="shared" si="23"/>
        <v>0</v>
      </c>
      <c r="AG25" s="11">
        <f t="shared" si="23"/>
        <v>0</v>
      </c>
      <c r="AH25" s="11">
        <f t="shared" si="23"/>
        <v>0</v>
      </c>
      <c r="AI25" s="11">
        <f t="shared" si="23"/>
        <v>0</v>
      </c>
      <c r="AJ25" s="11">
        <f t="shared" si="23"/>
        <v>12771260.623</v>
      </c>
      <c r="AK25" s="11">
        <f t="shared" si="23"/>
        <v>209475</v>
      </c>
      <c r="AL25" s="11">
        <f t="shared" si="23"/>
        <v>3764718</v>
      </c>
      <c r="AM25" s="11">
        <f t="shared" si="23"/>
        <v>-17212456.110999998</v>
      </c>
      <c r="AN25" s="11">
        <f t="shared" si="23"/>
        <v>237400</v>
      </c>
      <c r="AO25" s="11">
        <f t="shared" si="23"/>
        <v>-149718</v>
      </c>
      <c r="AP25" s="11">
        <f t="shared" si="23"/>
        <v>0</v>
      </c>
      <c r="AQ25" s="11">
        <f t="shared" si="23"/>
        <v>0</v>
      </c>
      <c r="AR25" s="11">
        <f t="shared" si="23"/>
        <v>0</v>
      </c>
      <c r="AS25" s="11">
        <f t="shared" si="23"/>
        <v>0</v>
      </c>
      <c r="AT25" s="11">
        <f t="shared" si="23"/>
        <v>0</v>
      </c>
      <c r="AU25" s="11">
        <f t="shared" si="23"/>
        <v>0</v>
      </c>
      <c r="AV25" s="11">
        <f t="shared" si="23"/>
        <v>0</v>
      </c>
      <c r="AW25" s="11">
        <f t="shared" si="23"/>
        <v>0</v>
      </c>
      <c r="AX25" s="11">
        <f t="shared" si="23"/>
        <v>0</v>
      </c>
      <c r="AY25" s="11">
        <f t="shared" si="23"/>
        <v>0</v>
      </c>
      <c r="AZ25" s="11">
        <f t="shared" si="23"/>
        <v>0</v>
      </c>
      <c r="BA25" s="11">
        <f t="shared" si="23"/>
        <v>0</v>
      </c>
      <c r="BB25" s="11">
        <f>BB456</f>
        <v>0</v>
      </c>
      <c r="BC25" s="11">
        <f>BC456</f>
        <v>0</v>
      </c>
      <c r="BD25" s="11">
        <f>BD456</f>
        <v>0</v>
      </c>
      <c r="BE25" s="11">
        <f>BE456</f>
        <v>0</v>
      </c>
      <c r="BF25" s="11">
        <f>BF456</f>
        <v>0</v>
      </c>
    </row>
    <row r="26" spans="1:58" ht="14.1" customHeight="1">
      <c r="A26" s="247">
        <f t="shared" si="11"/>
        <v>20</v>
      </c>
      <c r="B26" s="203" t="s">
        <v>33</v>
      </c>
      <c r="C26" s="43">
        <f>SUM(D26:BF26)</f>
        <v>716914</v>
      </c>
      <c r="D26" s="11">
        <f>D475</f>
        <v>0</v>
      </c>
      <c r="E26" s="11">
        <f t="shared" ref="E26:BA26" si="24">E475</f>
        <v>0</v>
      </c>
      <c r="F26" s="11">
        <f t="shared" si="24"/>
        <v>0</v>
      </c>
      <c r="G26" s="11">
        <f t="shared" si="24"/>
        <v>0</v>
      </c>
      <c r="H26" s="11">
        <f t="shared" si="24"/>
        <v>0</v>
      </c>
      <c r="I26" s="11">
        <f t="shared" si="24"/>
        <v>0</v>
      </c>
      <c r="J26" s="11">
        <f t="shared" si="24"/>
        <v>0</v>
      </c>
      <c r="K26" s="11">
        <f t="shared" si="24"/>
        <v>0</v>
      </c>
      <c r="L26" s="11">
        <f t="shared" si="24"/>
        <v>0</v>
      </c>
      <c r="M26" s="11">
        <f t="shared" si="24"/>
        <v>0</v>
      </c>
      <c r="N26" s="11">
        <f t="shared" si="24"/>
        <v>0</v>
      </c>
      <c r="O26" s="11">
        <f t="shared" si="24"/>
        <v>0</v>
      </c>
      <c r="P26" s="11">
        <f t="shared" si="24"/>
        <v>0</v>
      </c>
      <c r="Q26" s="11">
        <f t="shared" si="24"/>
        <v>0</v>
      </c>
      <c r="R26" s="11">
        <f t="shared" si="24"/>
        <v>0</v>
      </c>
      <c r="S26" s="11">
        <f t="shared" si="24"/>
        <v>0</v>
      </c>
      <c r="T26" s="11">
        <f t="shared" si="24"/>
        <v>0</v>
      </c>
      <c r="U26" s="11">
        <f t="shared" si="24"/>
        <v>0</v>
      </c>
      <c r="V26" s="11">
        <f t="shared" si="24"/>
        <v>0</v>
      </c>
      <c r="W26" s="11">
        <f t="shared" si="24"/>
        <v>0</v>
      </c>
      <c r="X26" s="11">
        <f t="shared" si="24"/>
        <v>0</v>
      </c>
      <c r="Y26" s="11">
        <f t="shared" si="24"/>
        <v>0</v>
      </c>
      <c r="Z26" s="11">
        <f t="shared" si="24"/>
        <v>0</v>
      </c>
      <c r="AA26" s="11">
        <f t="shared" si="24"/>
        <v>0</v>
      </c>
      <c r="AB26" s="11">
        <f t="shared" si="24"/>
        <v>0</v>
      </c>
      <c r="AC26" s="11">
        <f t="shared" si="24"/>
        <v>7011</v>
      </c>
      <c r="AD26" s="11">
        <f t="shared" si="24"/>
        <v>-1695263</v>
      </c>
      <c r="AE26" s="11">
        <f t="shared" si="24"/>
        <v>0</v>
      </c>
      <c r="AF26" s="11">
        <f t="shared" si="24"/>
        <v>1872710</v>
      </c>
      <c r="AG26" s="11">
        <f t="shared" si="24"/>
        <v>0</v>
      </c>
      <c r="AH26" s="11">
        <f t="shared" si="24"/>
        <v>0</v>
      </c>
      <c r="AI26" s="11">
        <f t="shared" si="24"/>
        <v>0</v>
      </c>
      <c r="AJ26" s="11">
        <f t="shared" si="24"/>
        <v>0</v>
      </c>
      <c r="AK26" s="11">
        <f t="shared" si="24"/>
        <v>0</v>
      </c>
      <c r="AL26" s="11">
        <f t="shared" si="24"/>
        <v>0</v>
      </c>
      <c r="AM26" s="11">
        <f t="shared" si="24"/>
        <v>0</v>
      </c>
      <c r="AN26" s="11">
        <f t="shared" si="24"/>
        <v>0</v>
      </c>
      <c r="AO26" s="11">
        <f t="shared" si="24"/>
        <v>0</v>
      </c>
      <c r="AP26" s="11">
        <f t="shared" si="24"/>
        <v>0</v>
      </c>
      <c r="AQ26" s="11">
        <f t="shared" si="24"/>
        <v>314531</v>
      </c>
      <c r="AR26" s="11">
        <f t="shared" si="24"/>
        <v>92475</v>
      </c>
      <c r="AS26" s="11">
        <f t="shared" si="24"/>
        <v>116430</v>
      </c>
      <c r="AT26" s="11">
        <f t="shared" si="24"/>
        <v>9020</v>
      </c>
      <c r="AU26" s="11">
        <f t="shared" si="24"/>
        <v>0</v>
      </c>
      <c r="AV26" s="11">
        <f t="shared" si="24"/>
        <v>0</v>
      </c>
      <c r="AW26" s="11">
        <f t="shared" si="24"/>
        <v>0</v>
      </c>
      <c r="AX26" s="11">
        <f t="shared" si="24"/>
        <v>0</v>
      </c>
      <c r="AY26" s="11">
        <f t="shared" si="24"/>
        <v>0</v>
      </c>
      <c r="AZ26" s="11">
        <f t="shared" si="24"/>
        <v>0</v>
      </c>
      <c r="BA26" s="11">
        <f t="shared" si="24"/>
        <v>0</v>
      </c>
      <c r="BB26" s="11">
        <f>BB475</f>
        <v>0</v>
      </c>
      <c r="BC26" s="11">
        <f>BC475</f>
        <v>0</v>
      </c>
      <c r="BD26" s="11">
        <f>BD475</f>
        <v>0</v>
      </c>
      <c r="BE26" s="11">
        <f>BE475</f>
        <v>0</v>
      </c>
      <c r="BF26" s="11">
        <f>BF475</f>
        <v>0</v>
      </c>
    </row>
    <row r="27" spans="1:58" ht="14.1" customHeight="1">
      <c r="A27" s="247">
        <f t="shared" si="11"/>
        <v>21</v>
      </c>
      <c r="B27" s="203" t="s">
        <v>34</v>
      </c>
      <c r="C27" s="43">
        <f>SUM(D27:BF27)</f>
        <v>-1095822</v>
      </c>
      <c r="D27" s="11">
        <f>D496</f>
        <v>-328029</v>
      </c>
      <c r="E27" s="11">
        <f t="shared" ref="E27:BA27" si="25">E496</f>
        <v>-136512</v>
      </c>
      <c r="F27" s="11">
        <f t="shared" si="25"/>
        <v>161317</v>
      </c>
      <c r="G27" s="11">
        <f t="shared" si="25"/>
        <v>8589</v>
      </c>
      <c r="H27" s="11">
        <f t="shared" si="25"/>
        <v>-9196</v>
      </c>
      <c r="I27" s="11">
        <f t="shared" si="25"/>
        <v>14446</v>
      </c>
      <c r="J27" s="11">
        <f t="shared" si="25"/>
        <v>0</v>
      </c>
      <c r="K27" s="11">
        <f t="shared" si="25"/>
        <v>574287</v>
      </c>
      <c r="L27" s="11">
        <f t="shared" si="25"/>
        <v>601055</v>
      </c>
      <c r="M27" s="11">
        <f t="shared" si="25"/>
        <v>-3482334</v>
      </c>
      <c r="N27" s="11">
        <f t="shared" si="25"/>
        <v>139</v>
      </c>
      <c r="O27" s="11">
        <f t="shared" si="25"/>
        <v>-4867</v>
      </c>
      <c r="P27" s="11">
        <f t="shared" si="25"/>
        <v>37148</v>
      </c>
      <c r="Q27" s="11">
        <f t="shared" si="25"/>
        <v>0</v>
      </c>
      <c r="R27" s="11">
        <f t="shared" si="25"/>
        <v>-14798</v>
      </c>
      <c r="S27" s="11">
        <f t="shared" si="25"/>
        <v>-701</v>
      </c>
      <c r="T27" s="11">
        <f t="shared" si="25"/>
        <v>1755</v>
      </c>
      <c r="U27" s="11">
        <f t="shared" si="25"/>
        <v>-4185</v>
      </c>
      <c r="V27" s="11">
        <f t="shared" si="25"/>
        <v>-611095</v>
      </c>
      <c r="W27" s="11">
        <f t="shared" si="25"/>
        <v>-1158</v>
      </c>
      <c r="X27" s="11">
        <f t="shared" si="25"/>
        <v>0</v>
      </c>
      <c r="Y27" s="11">
        <f t="shared" si="25"/>
        <v>0</v>
      </c>
      <c r="Z27" s="11">
        <f t="shared" si="25"/>
        <v>0</v>
      </c>
      <c r="AA27" s="11">
        <f t="shared" si="25"/>
        <v>0</v>
      </c>
      <c r="AB27" s="11">
        <f t="shared" si="25"/>
        <v>59670</v>
      </c>
      <c r="AC27" s="11">
        <f t="shared" si="25"/>
        <v>-2098</v>
      </c>
      <c r="AD27" s="11">
        <f t="shared" si="25"/>
        <v>2546974</v>
      </c>
      <c r="AE27" s="11">
        <f t="shared" si="25"/>
        <v>-434945</v>
      </c>
      <c r="AF27" s="11">
        <f t="shared" si="25"/>
        <v>-614344</v>
      </c>
      <c r="AG27" s="11">
        <f t="shared" si="25"/>
        <v>-184879</v>
      </c>
      <c r="AH27" s="11">
        <f t="shared" si="25"/>
        <v>853301</v>
      </c>
      <c r="AI27" s="11">
        <f t="shared" si="25"/>
        <v>-3997</v>
      </c>
      <c r="AJ27" s="11">
        <f t="shared" si="25"/>
        <v>0</v>
      </c>
      <c r="AK27" s="11">
        <f t="shared" si="25"/>
        <v>0</v>
      </c>
      <c r="AL27" s="11">
        <f t="shared" si="25"/>
        <v>0</v>
      </c>
      <c r="AM27" s="11">
        <f t="shared" si="25"/>
        <v>0</v>
      </c>
      <c r="AN27" s="11">
        <f t="shared" si="25"/>
        <v>0</v>
      </c>
      <c r="AO27" s="11">
        <f t="shared" si="25"/>
        <v>0</v>
      </c>
      <c r="AP27" s="11">
        <f t="shared" si="25"/>
        <v>0</v>
      </c>
      <c r="AQ27" s="11">
        <f t="shared" si="25"/>
        <v>-18038</v>
      </c>
      <c r="AR27" s="11">
        <f t="shared" si="25"/>
        <v>-5303</v>
      </c>
      <c r="AS27" s="11">
        <f t="shared" si="25"/>
        <v>-6677</v>
      </c>
      <c r="AT27" s="11">
        <f t="shared" si="25"/>
        <v>-517</v>
      </c>
      <c r="AU27" s="11">
        <f t="shared" si="25"/>
        <v>311143</v>
      </c>
      <c r="AV27" s="11">
        <f t="shared" si="25"/>
        <v>18712</v>
      </c>
      <c r="AW27" s="11">
        <f t="shared" si="25"/>
        <v>0</v>
      </c>
      <c r="AX27" s="11">
        <f t="shared" si="25"/>
        <v>-223239</v>
      </c>
      <c r="AY27" s="11">
        <f t="shared" si="25"/>
        <v>0</v>
      </c>
      <c r="AZ27" s="11">
        <f t="shared" si="25"/>
        <v>0</v>
      </c>
      <c r="BA27" s="11">
        <f t="shared" si="25"/>
        <v>0</v>
      </c>
      <c r="BB27" s="11">
        <f>BB496</f>
        <v>0</v>
      </c>
      <c r="BC27" s="11">
        <f>BC496</f>
        <v>0</v>
      </c>
      <c r="BD27" s="11">
        <f>BD496</f>
        <v>0</v>
      </c>
      <c r="BE27" s="11">
        <f>BE496</f>
        <v>0</v>
      </c>
      <c r="BF27" s="11">
        <f>BF496</f>
        <v>-197446</v>
      </c>
    </row>
    <row r="28" spans="1:58" ht="14.1" customHeight="1">
      <c r="A28" s="247">
        <f t="shared" si="11"/>
        <v>22</v>
      </c>
      <c r="B28" s="203" t="s">
        <v>35</v>
      </c>
      <c r="C28" s="43">
        <f>SUM(D28:BF28)</f>
        <v>-2422</v>
      </c>
      <c r="D28" s="11">
        <f>D481</f>
        <v>0</v>
      </c>
      <c r="E28" s="11">
        <f t="shared" ref="E28:M28" si="26">E481</f>
        <v>0</v>
      </c>
      <c r="F28" s="11">
        <f t="shared" si="26"/>
        <v>0</v>
      </c>
      <c r="G28" s="11">
        <f t="shared" si="26"/>
        <v>0</v>
      </c>
      <c r="H28" s="11">
        <f t="shared" si="26"/>
        <v>0</v>
      </c>
      <c r="I28" s="11">
        <f t="shared" si="26"/>
        <v>0</v>
      </c>
      <c r="J28" s="11">
        <f t="shared" si="26"/>
        <v>0</v>
      </c>
      <c r="K28" s="11">
        <f t="shared" si="26"/>
        <v>0</v>
      </c>
      <c r="L28" s="11">
        <f t="shared" si="26"/>
        <v>0</v>
      </c>
      <c r="M28" s="11">
        <f t="shared" si="26"/>
        <v>0</v>
      </c>
      <c r="N28" s="11">
        <f>N481</f>
        <v>-2422</v>
      </c>
      <c r="O28" s="11">
        <f t="shared" ref="O28:BA28" si="27">O481</f>
        <v>0</v>
      </c>
      <c r="P28" s="11">
        <f t="shared" si="27"/>
        <v>0</v>
      </c>
      <c r="Q28" s="11">
        <f t="shared" si="27"/>
        <v>0</v>
      </c>
      <c r="R28" s="11">
        <f t="shared" si="27"/>
        <v>0</v>
      </c>
      <c r="S28" s="11">
        <f t="shared" si="27"/>
        <v>0</v>
      </c>
      <c r="T28" s="11">
        <f t="shared" si="27"/>
        <v>0</v>
      </c>
      <c r="U28" s="11">
        <f t="shared" si="27"/>
        <v>0</v>
      </c>
      <c r="V28" s="11">
        <f t="shared" si="27"/>
        <v>0</v>
      </c>
      <c r="W28" s="11">
        <f t="shared" si="27"/>
        <v>0</v>
      </c>
      <c r="X28" s="11">
        <f t="shared" si="27"/>
        <v>0</v>
      </c>
      <c r="Y28" s="11">
        <f t="shared" si="27"/>
        <v>0</v>
      </c>
      <c r="Z28" s="11">
        <f t="shared" si="27"/>
        <v>0</v>
      </c>
      <c r="AA28" s="11">
        <f t="shared" si="27"/>
        <v>0</v>
      </c>
      <c r="AB28" s="11">
        <f t="shared" si="27"/>
        <v>0</v>
      </c>
      <c r="AC28" s="11">
        <f t="shared" si="27"/>
        <v>0</v>
      </c>
      <c r="AD28" s="11">
        <f t="shared" si="27"/>
        <v>0</v>
      </c>
      <c r="AE28" s="11">
        <f t="shared" si="27"/>
        <v>0</v>
      </c>
      <c r="AF28" s="11">
        <f t="shared" si="27"/>
        <v>0</v>
      </c>
      <c r="AG28" s="11">
        <f t="shared" si="27"/>
        <v>0</v>
      </c>
      <c r="AH28" s="11">
        <f t="shared" si="27"/>
        <v>0</v>
      </c>
      <c r="AI28" s="11">
        <f t="shared" si="27"/>
        <v>0</v>
      </c>
      <c r="AJ28" s="11">
        <f t="shared" si="27"/>
        <v>0</v>
      </c>
      <c r="AK28" s="11">
        <f t="shared" si="27"/>
        <v>0</v>
      </c>
      <c r="AL28" s="11">
        <f t="shared" si="27"/>
        <v>0</v>
      </c>
      <c r="AM28" s="11">
        <f t="shared" si="27"/>
        <v>0</v>
      </c>
      <c r="AN28" s="11">
        <f t="shared" si="27"/>
        <v>0</v>
      </c>
      <c r="AO28" s="11">
        <f t="shared" si="27"/>
        <v>0</v>
      </c>
      <c r="AP28" s="11">
        <f t="shared" si="27"/>
        <v>0</v>
      </c>
      <c r="AQ28" s="11">
        <f t="shared" si="27"/>
        <v>0</v>
      </c>
      <c r="AR28" s="11">
        <f t="shared" si="27"/>
        <v>0</v>
      </c>
      <c r="AS28" s="11">
        <f t="shared" si="27"/>
        <v>0</v>
      </c>
      <c r="AT28" s="11">
        <f t="shared" si="27"/>
        <v>0</v>
      </c>
      <c r="AU28" s="11">
        <f t="shared" si="27"/>
        <v>0</v>
      </c>
      <c r="AV28" s="11">
        <f t="shared" si="27"/>
        <v>0</v>
      </c>
      <c r="AW28" s="11">
        <f t="shared" si="27"/>
        <v>0</v>
      </c>
      <c r="AX28" s="11">
        <f t="shared" si="27"/>
        <v>0</v>
      </c>
      <c r="AY28" s="11">
        <f t="shared" si="27"/>
        <v>0</v>
      </c>
      <c r="AZ28" s="11">
        <f t="shared" si="27"/>
        <v>0</v>
      </c>
      <c r="BA28" s="11">
        <f t="shared" si="27"/>
        <v>0</v>
      </c>
      <c r="BB28" s="11">
        <f>BB481</f>
        <v>0</v>
      </c>
      <c r="BC28" s="11">
        <f>BC481</f>
        <v>0</v>
      </c>
      <c r="BD28" s="11">
        <f>BD481</f>
        <v>0</v>
      </c>
      <c r="BE28" s="11">
        <f>BE481</f>
        <v>0</v>
      </c>
      <c r="BF28" s="11">
        <f>BF481</f>
        <v>0</v>
      </c>
    </row>
    <row r="29" spans="1:58" ht="14.1" customHeight="1">
      <c r="A29" s="247">
        <f t="shared" si="11"/>
        <v>23</v>
      </c>
      <c r="B29" s="92" t="s">
        <v>36</v>
      </c>
      <c r="C29" s="386">
        <f>SUM(D29:BF29)</f>
        <v>363539</v>
      </c>
      <c r="D29" s="100">
        <f>D492</f>
        <v>0</v>
      </c>
      <c r="E29" s="100">
        <f t="shared" ref="E29:BA29" si="28">E492</f>
        <v>0</v>
      </c>
      <c r="F29" s="100">
        <f t="shared" si="28"/>
        <v>0</v>
      </c>
      <c r="G29" s="100">
        <f t="shared" si="28"/>
        <v>0</v>
      </c>
      <c r="H29" s="100">
        <f t="shared" si="28"/>
        <v>0</v>
      </c>
      <c r="I29" s="100">
        <f t="shared" si="28"/>
        <v>0</v>
      </c>
      <c r="J29" s="100">
        <f t="shared" si="28"/>
        <v>0</v>
      </c>
      <c r="K29" s="100">
        <f t="shared" si="28"/>
        <v>0</v>
      </c>
      <c r="L29" s="100">
        <f t="shared" si="28"/>
        <v>0</v>
      </c>
      <c r="M29" s="100">
        <f t="shared" si="28"/>
        <v>0</v>
      </c>
      <c r="N29" s="100">
        <f t="shared" si="28"/>
        <v>0</v>
      </c>
      <c r="O29" s="100">
        <f t="shared" si="28"/>
        <v>0</v>
      </c>
      <c r="P29" s="100">
        <f t="shared" si="28"/>
        <v>0</v>
      </c>
      <c r="Q29" s="100">
        <f t="shared" si="28"/>
        <v>0</v>
      </c>
      <c r="R29" s="100">
        <f t="shared" si="28"/>
        <v>0</v>
      </c>
      <c r="S29" s="100">
        <f t="shared" si="28"/>
        <v>0</v>
      </c>
      <c r="T29" s="100">
        <f t="shared" si="28"/>
        <v>0</v>
      </c>
      <c r="U29" s="100">
        <f t="shared" si="28"/>
        <v>0</v>
      </c>
      <c r="V29" s="100">
        <f t="shared" si="28"/>
        <v>0</v>
      </c>
      <c r="W29" s="100">
        <f t="shared" si="28"/>
        <v>0</v>
      </c>
      <c r="X29" s="100">
        <f t="shared" si="28"/>
        <v>0</v>
      </c>
      <c r="Y29" s="100">
        <f t="shared" si="28"/>
        <v>0</v>
      </c>
      <c r="Z29" s="100">
        <f t="shared" si="28"/>
        <v>0</v>
      </c>
      <c r="AA29" s="100">
        <f t="shared" si="28"/>
        <v>0</v>
      </c>
      <c r="AB29" s="100">
        <f t="shared" si="28"/>
        <v>0</v>
      </c>
      <c r="AC29" s="100">
        <f t="shared" si="28"/>
        <v>0</v>
      </c>
      <c r="AD29" s="100">
        <f t="shared" si="28"/>
        <v>0</v>
      </c>
      <c r="AE29" s="100">
        <f t="shared" si="28"/>
        <v>0</v>
      </c>
      <c r="AF29" s="100">
        <f t="shared" si="28"/>
        <v>0</v>
      </c>
      <c r="AG29" s="100">
        <f t="shared" si="28"/>
        <v>0</v>
      </c>
      <c r="AH29" s="100">
        <f t="shared" si="28"/>
        <v>0</v>
      </c>
      <c r="AI29" s="100">
        <f t="shared" si="28"/>
        <v>0</v>
      </c>
      <c r="AJ29" s="100">
        <f t="shared" si="28"/>
        <v>0</v>
      </c>
      <c r="AK29" s="100">
        <f t="shared" si="28"/>
        <v>0</v>
      </c>
      <c r="AL29" s="100">
        <f t="shared" si="28"/>
        <v>0</v>
      </c>
      <c r="AM29" s="100">
        <f t="shared" si="28"/>
        <v>0</v>
      </c>
      <c r="AN29" s="100">
        <f t="shared" si="28"/>
        <v>0</v>
      </c>
      <c r="AO29" s="100">
        <f t="shared" si="28"/>
        <v>0</v>
      </c>
      <c r="AP29" s="100">
        <f t="shared" si="28"/>
        <v>363539</v>
      </c>
      <c r="AQ29" s="100">
        <f t="shared" si="28"/>
        <v>0</v>
      </c>
      <c r="AR29" s="100">
        <f t="shared" si="28"/>
        <v>0</v>
      </c>
      <c r="AS29" s="100">
        <f t="shared" si="28"/>
        <v>0</v>
      </c>
      <c r="AT29" s="100">
        <f t="shared" si="28"/>
        <v>0</v>
      </c>
      <c r="AU29" s="100">
        <f t="shared" si="28"/>
        <v>0</v>
      </c>
      <c r="AV29" s="100">
        <f t="shared" si="28"/>
        <v>0</v>
      </c>
      <c r="AW29" s="100">
        <f t="shared" si="28"/>
        <v>0</v>
      </c>
      <c r="AX29" s="100">
        <f t="shared" si="28"/>
        <v>0</v>
      </c>
      <c r="AY29" s="100">
        <f t="shared" si="28"/>
        <v>0</v>
      </c>
      <c r="AZ29" s="100">
        <f t="shared" si="28"/>
        <v>0</v>
      </c>
      <c r="BA29" s="100">
        <f t="shared" si="28"/>
        <v>0</v>
      </c>
      <c r="BB29" s="100">
        <f>BB492</f>
        <v>0</v>
      </c>
      <c r="BC29" s="100">
        <f>BC492</f>
        <v>0</v>
      </c>
      <c r="BD29" s="100">
        <f>BD492</f>
        <v>0</v>
      </c>
      <c r="BE29" s="100">
        <f>BE492</f>
        <v>0</v>
      </c>
      <c r="BF29" s="100">
        <f>BF492</f>
        <v>0</v>
      </c>
    </row>
    <row r="30" spans="1:58" s="23" customFormat="1" ht="14.1" customHeight="1">
      <c r="A30" s="247">
        <f t="shared" si="11"/>
        <v>24</v>
      </c>
      <c r="B30" s="2" t="s">
        <v>37</v>
      </c>
      <c r="C30" s="17">
        <f t="shared" ref="C30:P30" si="29">SUM(C12)-SUM(C23:C29)</f>
        <v>-20609878.512000002</v>
      </c>
      <c r="D30" s="17">
        <f t="shared" si="29"/>
        <v>-5391939</v>
      </c>
      <c r="E30" s="17">
        <f t="shared" si="29"/>
        <v>-2243908</v>
      </c>
      <c r="F30" s="17">
        <f t="shared" si="29"/>
        <v>2651630</v>
      </c>
      <c r="G30" s="17">
        <f t="shared" si="29"/>
        <v>141177</v>
      </c>
      <c r="H30" s="17">
        <f t="shared" si="29"/>
        <v>-151155</v>
      </c>
      <c r="I30" s="17">
        <f t="shared" si="29"/>
        <v>237457</v>
      </c>
      <c r="J30" s="17">
        <f t="shared" si="29"/>
        <v>-5298776</v>
      </c>
      <c r="K30" s="17">
        <f t="shared" si="29"/>
        <v>9439782</v>
      </c>
      <c r="L30" s="17">
        <f t="shared" si="29"/>
        <v>9879786</v>
      </c>
      <c r="M30" s="17">
        <f t="shared" si="29"/>
        <v>-57240511</v>
      </c>
      <c r="N30" s="17">
        <f t="shared" si="29"/>
        <v>2283</v>
      </c>
      <c r="O30" s="17">
        <f t="shared" si="29"/>
        <v>-79997</v>
      </c>
      <c r="P30" s="17">
        <f t="shared" si="29"/>
        <v>610615</v>
      </c>
      <c r="Q30" s="17">
        <f t="shared" ref="Q30:AG30" si="30">SUM(Q12)-SUM(Q23:Q29)</f>
        <v>2237475</v>
      </c>
      <c r="R30" s="17">
        <f t="shared" si="30"/>
        <v>-243239</v>
      </c>
      <c r="S30" s="17">
        <f t="shared" si="30"/>
        <v>-11518</v>
      </c>
      <c r="T30" s="17">
        <f t="shared" si="30"/>
        <v>28855</v>
      </c>
      <c r="U30" s="17">
        <f t="shared" si="30"/>
        <v>-68789</v>
      </c>
      <c r="V30" s="17">
        <f t="shared" si="30"/>
        <v>-10044805</v>
      </c>
      <c r="W30" s="17">
        <f t="shared" si="30"/>
        <v>207738</v>
      </c>
      <c r="X30" s="17">
        <f t="shared" si="30"/>
        <v>-52505</v>
      </c>
      <c r="Y30" s="17">
        <f t="shared" si="30"/>
        <v>-34425</v>
      </c>
      <c r="Z30" s="17">
        <f t="shared" si="30"/>
        <v>-103330</v>
      </c>
      <c r="AA30" s="17">
        <f t="shared" si="30"/>
        <v>-1105293</v>
      </c>
      <c r="AB30" s="17">
        <f t="shared" si="30"/>
        <v>913838</v>
      </c>
      <c r="AC30" s="17">
        <f t="shared" si="30"/>
        <v>-34489</v>
      </c>
      <c r="AD30" s="17">
        <f t="shared" si="30"/>
        <v>41865626</v>
      </c>
      <c r="AE30" s="17">
        <f t="shared" si="30"/>
        <v>-7149357</v>
      </c>
      <c r="AF30" s="17">
        <f t="shared" si="30"/>
        <v>-10098216</v>
      </c>
      <c r="AG30" s="17">
        <f t="shared" si="30"/>
        <v>-3038930</v>
      </c>
      <c r="AH30" s="17">
        <f>SUM(AH12)-SUM(AH23:AH29)</f>
        <v>14026049</v>
      </c>
      <c r="AI30" s="17">
        <f t="shared" ref="AI30:AN30" si="31">SUM(AI12)-SUM(AI23:AI29)</f>
        <v>-65698</v>
      </c>
      <c r="AJ30" s="17">
        <f t="shared" si="31"/>
        <v>-12771260.623</v>
      </c>
      <c r="AK30" s="17">
        <f t="shared" si="31"/>
        <v>-209475</v>
      </c>
      <c r="AL30" s="17">
        <f t="shared" si="31"/>
        <v>-3764718</v>
      </c>
      <c r="AM30" s="17">
        <f t="shared" si="31"/>
        <v>17212456.110999998</v>
      </c>
      <c r="AN30" s="17">
        <f t="shared" si="31"/>
        <v>-237400</v>
      </c>
      <c r="AO30" s="17">
        <f>SUM(AO12)-SUM(AO23:AO29)</f>
        <v>149718</v>
      </c>
      <c r="AP30" s="17">
        <f>SUM(AP12)-SUM(AP23:AP29)</f>
        <v>-363539</v>
      </c>
      <c r="AQ30" s="17">
        <f>SUM(AQ12)-SUM(AQ23:AQ29)</f>
        <v>-296493</v>
      </c>
      <c r="AR30" s="17">
        <f>SUM(AR12)-SUM(AR23:AR29)</f>
        <v>-87172</v>
      </c>
      <c r="AS30" s="17">
        <f t="shared" ref="AS30:BA30" si="32">SUM(AS12)-SUM(AS23:AS29)</f>
        <v>-109753</v>
      </c>
      <c r="AT30" s="17">
        <f t="shared" si="32"/>
        <v>-8503</v>
      </c>
      <c r="AU30" s="17">
        <f t="shared" si="32"/>
        <v>-311143</v>
      </c>
      <c r="AV30" s="17">
        <f t="shared" si="32"/>
        <v>-18712</v>
      </c>
      <c r="AW30" s="17">
        <f t="shared" si="32"/>
        <v>0</v>
      </c>
      <c r="AX30" s="17">
        <f t="shared" si="32"/>
        <v>223239</v>
      </c>
      <c r="AY30" s="17">
        <f t="shared" si="32"/>
        <v>0</v>
      </c>
      <c r="AZ30" s="17">
        <f t="shared" si="32"/>
        <v>0</v>
      </c>
      <c r="BA30" s="17">
        <f t="shared" si="32"/>
        <v>0</v>
      </c>
      <c r="BB30" s="17">
        <f>SUM(BB12)-SUM(BB23:BB29)</f>
        <v>0</v>
      </c>
      <c r="BC30" s="17">
        <f>SUM(BC12)-SUM(BC23:BC29)</f>
        <v>0</v>
      </c>
      <c r="BD30" s="17">
        <f>SUM(BD12)-SUM(BD23:BD29)</f>
        <v>0</v>
      </c>
      <c r="BE30" s="17">
        <f>SUM(BE12)-SUM(BE23:BE29)</f>
        <v>0</v>
      </c>
      <c r="BF30" s="17">
        <f>SUM(BF12)-SUM(BF23:BF29)</f>
        <v>197446</v>
      </c>
    </row>
    <row r="31" spans="1:58" s="23" customFormat="1" ht="14.1" customHeight="1">
      <c r="A31" s="247">
        <f t="shared" si="11"/>
        <v>25</v>
      </c>
      <c r="B31" s="7"/>
      <c r="C31" s="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ht="14.1" customHeight="1">
      <c r="A32" s="247">
        <f t="shared" si="11"/>
        <v>26</v>
      </c>
      <c r="B32" s="3" t="s">
        <v>38</v>
      </c>
      <c r="C32" s="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</row>
    <row r="33" spans="1:58" ht="14.1" customHeight="1">
      <c r="A33" s="247">
        <f t="shared" si="11"/>
        <v>27</v>
      </c>
      <c r="B33" s="203" t="s">
        <v>39</v>
      </c>
      <c r="C33" s="43">
        <f>SUM(D33:BF33)</f>
        <v>-5209435</v>
      </c>
      <c r="D33" s="11">
        <f t="shared" ref="D33:AH33" si="33">D497</f>
        <v>-1887179</v>
      </c>
      <c r="E33" s="11">
        <f t="shared" si="33"/>
        <v>-785368</v>
      </c>
      <c r="F33" s="11">
        <f t="shared" si="33"/>
        <v>928071</v>
      </c>
      <c r="G33" s="11">
        <f t="shared" si="33"/>
        <v>49412</v>
      </c>
      <c r="H33" s="11">
        <f t="shared" si="33"/>
        <v>-52904</v>
      </c>
      <c r="I33" s="11">
        <f t="shared" si="33"/>
        <v>83110</v>
      </c>
      <c r="J33" s="11">
        <f t="shared" si="33"/>
        <v>0</v>
      </c>
      <c r="K33" s="11">
        <f t="shared" si="33"/>
        <v>3303924</v>
      </c>
      <c r="L33" s="11">
        <f t="shared" si="33"/>
        <v>3457925</v>
      </c>
      <c r="M33" s="11">
        <f t="shared" si="33"/>
        <v>-20034179</v>
      </c>
      <c r="N33" s="11">
        <f t="shared" si="33"/>
        <v>799</v>
      </c>
      <c r="O33" s="11">
        <f t="shared" si="33"/>
        <v>-27999</v>
      </c>
      <c r="P33" s="11">
        <f t="shared" si="33"/>
        <v>213715</v>
      </c>
      <c r="Q33" s="11">
        <f t="shared" si="33"/>
        <v>0</v>
      </c>
      <c r="R33" s="11">
        <f t="shared" si="33"/>
        <v>-85134</v>
      </c>
      <c r="S33" s="11">
        <f t="shared" si="33"/>
        <v>-4031</v>
      </c>
      <c r="T33" s="11">
        <f t="shared" si="33"/>
        <v>10099</v>
      </c>
      <c r="U33" s="11">
        <f t="shared" si="33"/>
        <v>-24076</v>
      </c>
      <c r="V33" s="11">
        <f t="shared" si="33"/>
        <v>-3515682</v>
      </c>
      <c r="W33" s="11">
        <f t="shared" si="33"/>
        <v>-6665</v>
      </c>
      <c r="X33" s="11">
        <f t="shared" si="33"/>
        <v>0</v>
      </c>
      <c r="Y33" s="11">
        <f t="shared" si="33"/>
        <v>0</v>
      </c>
      <c r="Z33" s="11">
        <f t="shared" si="33"/>
        <v>0</v>
      </c>
      <c r="AA33" s="11">
        <f t="shared" si="33"/>
        <v>0</v>
      </c>
      <c r="AB33" s="11">
        <f t="shared" si="33"/>
        <v>343287</v>
      </c>
      <c r="AC33" s="11">
        <f t="shared" si="33"/>
        <v>-12071</v>
      </c>
      <c r="AD33" s="11">
        <f t="shared" si="33"/>
        <v>14652969</v>
      </c>
      <c r="AE33" s="11">
        <f t="shared" si="33"/>
        <v>-2502275</v>
      </c>
      <c r="AF33" s="11">
        <f t="shared" si="33"/>
        <v>-3534376</v>
      </c>
      <c r="AG33" s="11">
        <f t="shared" si="33"/>
        <v>-1063626</v>
      </c>
      <c r="AH33" s="11">
        <f t="shared" si="33"/>
        <v>4909117</v>
      </c>
      <c r="AI33" s="11">
        <f t="shared" ref="AI33:AX36" si="34">AI497</f>
        <v>-22994</v>
      </c>
      <c r="AJ33" s="11">
        <f t="shared" si="34"/>
        <v>0</v>
      </c>
      <c r="AK33" s="11">
        <f t="shared" si="34"/>
        <v>0</v>
      </c>
      <c r="AL33" s="11">
        <f t="shared" si="34"/>
        <v>0</v>
      </c>
      <c r="AM33" s="11">
        <f t="shared" si="34"/>
        <v>0</v>
      </c>
      <c r="AN33" s="11">
        <f t="shared" si="34"/>
        <v>0</v>
      </c>
      <c r="AO33" s="11">
        <f t="shared" si="34"/>
        <v>0</v>
      </c>
      <c r="AP33" s="11">
        <f t="shared" si="34"/>
        <v>0</v>
      </c>
      <c r="AQ33" s="11">
        <f t="shared" si="34"/>
        <v>-103773</v>
      </c>
      <c r="AR33" s="11">
        <f t="shared" si="34"/>
        <v>-30510</v>
      </c>
      <c r="AS33" s="11">
        <f t="shared" si="34"/>
        <v>-38414</v>
      </c>
      <c r="AT33" s="11">
        <f t="shared" si="34"/>
        <v>-2976</v>
      </c>
      <c r="AU33" s="11">
        <f t="shared" si="34"/>
        <v>1790035</v>
      </c>
      <c r="AV33" s="11">
        <f t="shared" si="34"/>
        <v>107649</v>
      </c>
      <c r="AW33" s="11">
        <f t="shared" si="34"/>
        <v>-41002</v>
      </c>
      <c r="AX33" s="11">
        <f t="shared" si="34"/>
        <v>-1284313</v>
      </c>
      <c r="AY33" s="11">
        <f t="shared" ref="AY33:BA36" si="35">AY497</f>
        <v>0</v>
      </c>
      <c r="AZ33" s="11">
        <f t="shared" si="35"/>
        <v>0</v>
      </c>
      <c r="BA33" s="11">
        <f t="shared" si="35"/>
        <v>0</v>
      </c>
      <c r="BB33" s="11">
        <f t="shared" ref="BB33:BD34" si="36">BB497</f>
        <v>0</v>
      </c>
      <c r="BC33" s="11">
        <f t="shared" si="36"/>
        <v>0</v>
      </c>
      <c r="BD33" s="11">
        <f t="shared" si="36"/>
        <v>0</v>
      </c>
      <c r="BE33" s="11">
        <f t="shared" ref="BE33:BF36" si="37">BE497</f>
        <v>0</v>
      </c>
      <c r="BF33" s="11">
        <f t="shared" si="37"/>
        <v>0</v>
      </c>
    </row>
    <row r="34" spans="1:58" ht="14.1" customHeight="1">
      <c r="A34" s="247">
        <f t="shared" si="11"/>
        <v>28</v>
      </c>
      <c r="B34" s="203" t="s">
        <v>40</v>
      </c>
      <c r="C34" s="43">
        <f>SUM(D34:BF34)</f>
        <v>-683026</v>
      </c>
      <c r="D34" s="11">
        <f>D498</f>
        <v>0</v>
      </c>
      <c r="E34" s="11">
        <f t="shared" ref="E34:T36" si="38">E498</f>
        <v>0</v>
      </c>
      <c r="F34" s="11">
        <f t="shared" si="38"/>
        <v>0</v>
      </c>
      <c r="G34" s="11">
        <f t="shared" si="38"/>
        <v>0</v>
      </c>
      <c r="H34" s="11">
        <f t="shared" si="38"/>
        <v>0</v>
      </c>
      <c r="I34" s="11">
        <f t="shared" si="38"/>
        <v>0</v>
      </c>
      <c r="J34" s="11">
        <f t="shared" si="38"/>
        <v>-1854572</v>
      </c>
      <c r="K34" s="11">
        <f t="shared" si="38"/>
        <v>0</v>
      </c>
      <c r="L34" s="11">
        <f t="shared" si="38"/>
        <v>0</v>
      </c>
      <c r="M34" s="11">
        <f t="shared" si="38"/>
        <v>0</v>
      </c>
      <c r="N34" s="11">
        <f t="shared" si="38"/>
        <v>0</v>
      </c>
      <c r="O34" s="11">
        <f t="shared" si="38"/>
        <v>0</v>
      </c>
      <c r="P34" s="11">
        <f t="shared" si="38"/>
        <v>0</v>
      </c>
      <c r="Q34" s="11">
        <f t="shared" si="38"/>
        <v>783116</v>
      </c>
      <c r="R34" s="11">
        <f t="shared" si="38"/>
        <v>0</v>
      </c>
      <c r="S34" s="11">
        <f t="shared" si="38"/>
        <v>0</v>
      </c>
      <c r="T34" s="11">
        <f t="shared" si="38"/>
        <v>0</v>
      </c>
      <c r="U34" s="11">
        <f t="shared" ref="U34:AG34" si="39">U498</f>
        <v>0</v>
      </c>
      <c r="V34" s="11">
        <f t="shared" si="39"/>
        <v>0</v>
      </c>
      <c r="W34" s="11">
        <f t="shared" si="39"/>
        <v>79373</v>
      </c>
      <c r="X34" s="11">
        <f t="shared" si="39"/>
        <v>-18377</v>
      </c>
      <c r="Y34" s="11">
        <f t="shared" si="39"/>
        <v>-12049</v>
      </c>
      <c r="Z34" s="11">
        <f t="shared" si="39"/>
        <v>-36166</v>
      </c>
      <c r="AA34" s="11">
        <f t="shared" si="39"/>
        <v>-386853</v>
      </c>
      <c r="AB34" s="11">
        <f t="shared" si="39"/>
        <v>-23444</v>
      </c>
      <c r="AC34" s="11">
        <f t="shared" si="39"/>
        <v>0</v>
      </c>
      <c r="AD34" s="11">
        <f t="shared" si="39"/>
        <v>0</v>
      </c>
      <c r="AE34" s="11">
        <f t="shared" si="39"/>
        <v>0</v>
      </c>
      <c r="AF34" s="11">
        <f t="shared" si="39"/>
        <v>0</v>
      </c>
      <c r="AG34" s="11">
        <f t="shared" si="39"/>
        <v>0</v>
      </c>
      <c r="AH34" s="11">
        <f>AH498</f>
        <v>0</v>
      </c>
      <c r="AI34" s="11">
        <f t="shared" ref="AI34:AN34" si="40">AI498</f>
        <v>0</v>
      </c>
      <c r="AJ34" s="11">
        <f t="shared" si="40"/>
        <v>-3698393</v>
      </c>
      <c r="AK34" s="11">
        <f t="shared" si="40"/>
        <v>-73316</v>
      </c>
      <c r="AL34" s="11">
        <f t="shared" si="40"/>
        <v>-1317651</v>
      </c>
      <c r="AM34" s="11">
        <f t="shared" si="40"/>
        <v>4511643</v>
      </c>
      <c r="AN34" s="11">
        <f t="shared" si="40"/>
        <v>-83090</v>
      </c>
      <c r="AO34" s="11">
        <f t="shared" si="34"/>
        <v>52401</v>
      </c>
      <c r="AP34" s="11">
        <f t="shared" si="34"/>
        <v>-127239</v>
      </c>
      <c r="AQ34" s="11">
        <f t="shared" si="34"/>
        <v>0</v>
      </c>
      <c r="AR34" s="11">
        <f t="shared" si="34"/>
        <v>0</v>
      </c>
      <c r="AS34" s="11">
        <f t="shared" si="34"/>
        <v>0</v>
      </c>
      <c r="AT34" s="11">
        <f t="shared" si="34"/>
        <v>0</v>
      </c>
      <c r="AU34" s="11">
        <f t="shared" si="34"/>
        <v>0</v>
      </c>
      <c r="AV34" s="11">
        <f t="shared" si="34"/>
        <v>0</v>
      </c>
      <c r="AW34" s="11">
        <f t="shared" si="34"/>
        <v>0</v>
      </c>
      <c r="AX34" s="11">
        <f t="shared" si="34"/>
        <v>1362446</v>
      </c>
      <c r="AY34" s="11">
        <f t="shared" si="35"/>
        <v>90039</v>
      </c>
      <c r="AZ34" s="11">
        <f t="shared" si="35"/>
        <v>0</v>
      </c>
      <c r="BA34" s="11">
        <f t="shared" si="35"/>
        <v>0</v>
      </c>
      <c r="BB34" s="11">
        <f t="shared" si="36"/>
        <v>0</v>
      </c>
      <c r="BC34" s="11">
        <f t="shared" si="36"/>
        <v>0</v>
      </c>
      <c r="BD34" s="11">
        <f t="shared" si="36"/>
        <v>0</v>
      </c>
      <c r="BE34" s="11">
        <f t="shared" si="37"/>
        <v>0</v>
      </c>
      <c r="BF34" s="11">
        <f t="shared" si="37"/>
        <v>69106</v>
      </c>
    </row>
    <row r="35" spans="1:58" s="27" customFormat="1" ht="14.1" customHeight="1">
      <c r="A35" s="247">
        <f t="shared" si="11"/>
        <v>29</v>
      </c>
      <c r="B35" s="27" t="s">
        <v>41</v>
      </c>
      <c r="C35" s="43">
        <f>SUM(D35:BF35)</f>
        <v>0</v>
      </c>
      <c r="D35" s="48">
        <f>D499</f>
        <v>0</v>
      </c>
      <c r="E35" s="48">
        <f t="shared" ref="E35:K35" si="41">E499</f>
        <v>0</v>
      </c>
      <c r="F35" s="48">
        <f t="shared" si="41"/>
        <v>0</v>
      </c>
      <c r="G35" s="48">
        <f t="shared" si="41"/>
        <v>0</v>
      </c>
      <c r="H35" s="48">
        <f t="shared" si="41"/>
        <v>0</v>
      </c>
      <c r="I35" s="48">
        <f t="shared" si="41"/>
        <v>0</v>
      </c>
      <c r="J35" s="48">
        <f t="shared" si="41"/>
        <v>0</v>
      </c>
      <c r="K35" s="48">
        <f t="shared" si="41"/>
        <v>0</v>
      </c>
      <c r="L35" s="48">
        <f t="shared" si="38"/>
        <v>0</v>
      </c>
      <c r="M35" s="48">
        <f t="shared" si="38"/>
        <v>0</v>
      </c>
      <c r="N35" s="48">
        <f t="shared" si="38"/>
        <v>0</v>
      </c>
      <c r="O35" s="48">
        <f t="shared" si="38"/>
        <v>0</v>
      </c>
      <c r="P35" s="48">
        <f t="shared" si="38"/>
        <v>0</v>
      </c>
      <c r="Q35" s="48">
        <f t="shared" si="38"/>
        <v>0</v>
      </c>
      <c r="R35" s="48">
        <f t="shared" si="38"/>
        <v>0</v>
      </c>
      <c r="S35" s="48">
        <f t="shared" si="38"/>
        <v>0</v>
      </c>
      <c r="T35" s="48">
        <f t="shared" si="38"/>
        <v>0</v>
      </c>
      <c r="U35" s="48">
        <f t="shared" ref="U35:AG35" si="42">U499</f>
        <v>0</v>
      </c>
      <c r="V35" s="48">
        <f t="shared" si="42"/>
        <v>0</v>
      </c>
      <c r="W35" s="48">
        <f t="shared" si="42"/>
        <v>0</v>
      </c>
      <c r="X35" s="48">
        <f t="shared" si="42"/>
        <v>0</v>
      </c>
      <c r="Y35" s="48">
        <f t="shared" si="42"/>
        <v>0</v>
      </c>
      <c r="Z35" s="48">
        <f t="shared" si="42"/>
        <v>0</v>
      </c>
      <c r="AA35" s="48">
        <f t="shared" si="42"/>
        <v>0</v>
      </c>
      <c r="AB35" s="48">
        <f t="shared" si="42"/>
        <v>0</v>
      </c>
      <c r="AC35" s="48">
        <f t="shared" si="42"/>
        <v>0</v>
      </c>
      <c r="AD35" s="48">
        <f t="shared" si="42"/>
        <v>0</v>
      </c>
      <c r="AE35" s="48">
        <f t="shared" si="42"/>
        <v>0</v>
      </c>
      <c r="AF35" s="48">
        <f t="shared" si="42"/>
        <v>0</v>
      </c>
      <c r="AG35" s="48">
        <f t="shared" si="42"/>
        <v>0</v>
      </c>
      <c r="AH35" s="48">
        <f>AH499</f>
        <v>0</v>
      </c>
      <c r="AI35" s="48">
        <f t="shared" ref="AI35:AN35" si="43">AI499</f>
        <v>0</v>
      </c>
      <c r="AJ35" s="48">
        <f t="shared" si="43"/>
        <v>0</v>
      </c>
      <c r="AK35" s="48">
        <f t="shared" si="43"/>
        <v>0</v>
      </c>
      <c r="AL35" s="48">
        <f t="shared" si="43"/>
        <v>0</v>
      </c>
      <c r="AM35" s="48">
        <f t="shared" si="43"/>
        <v>0</v>
      </c>
      <c r="AN35" s="48">
        <f t="shared" si="43"/>
        <v>0</v>
      </c>
      <c r="AO35" s="48">
        <f t="shared" si="34"/>
        <v>0</v>
      </c>
      <c r="AP35" s="48">
        <f t="shared" si="34"/>
        <v>0</v>
      </c>
      <c r="AQ35" s="48">
        <f t="shared" si="34"/>
        <v>0</v>
      </c>
      <c r="AR35" s="48">
        <f t="shared" si="34"/>
        <v>0</v>
      </c>
      <c r="AS35" s="48">
        <f t="shared" si="34"/>
        <v>0</v>
      </c>
      <c r="AT35" s="48">
        <f t="shared" si="34"/>
        <v>0</v>
      </c>
      <c r="AU35" s="48">
        <f t="shared" si="34"/>
        <v>0</v>
      </c>
      <c r="AV35" s="48">
        <f t="shared" si="34"/>
        <v>0</v>
      </c>
      <c r="AW35" s="48">
        <f t="shared" si="34"/>
        <v>0</v>
      </c>
      <c r="AX35" s="48">
        <f t="shared" si="34"/>
        <v>0</v>
      </c>
      <c r="AY35" s="48">
        <f t="shared" si="35"/>
        <v>0</v>
      </c>
      <c r="AZ35" s="48">
        <f t="shared" si="35"/>
        <v>0</v>
      </c>
      <c r="BA35" s="48">
        <f t="shared" si="35"/>
        <v>0</v>
      </c>
      <c r="BB35" s="48">
        <f t="shared" ref="BB35:BD36" si="44">BB499</f>
        <v>0</v>
      </c>
      <c r="BC35" s="48">
        <f t="shared" si="44"/>
        <v>0</v>
      </c>
      <c r="BD35" s="48">
        <f t="shared" si="44"/>
        <v>0</v>
      </c>
      <c r="BE35" s="48">
        <f t="shared" si="37"/>
        <v>0</v>
      </c>
      <c r="BF35" s="48">
        <f t="shared" si="37"/>
        <v>0</v>
      </c>
    </row>
    <row r="36" spans="1:58" s="27" customFormat="1" ht="14.1" customHeight="1">
      <c r="A36" s="247">
        <f t="shared" si="11"/>
        <v>30</v>
      </c>
      <c r="B36" s="92" t="s">
        <v>409</v>
      </c>
      <c r="C36" s="43">
        <f>SUM(D36:BF36)</f>
        <v>0</v>
      </c>
      <c r="D36" s="48">
        <f>D500</f>
        <v>0</v>
      </c>
      <c r="E36" s="48">
        <f t="shared" ref="E36:K36" si="45">E500</f>
        <v>0</v>
      </c>
      <c r="F36" s="48">
        <f t="shared" si="45"/>
        <v>0</v>
      </c>
      <c r="G36" s="48">
        <f t="shared" si="45"/>
        <v>0</v>
      </c>
      <c r="H36" s="48">
        <f t="shared" si="45"/>
        <v>0</v>
      </c>
      <c r="I36" s="48">
        <f t="shared" si="45"/>
        <v>0</v>
      </c>
      <c r="J36" s="48">
        <f t="shared" si="45"/>
        <v>0</v>
      </c>
      <c r="K36" s="48">
        <f t="shared" si="45"/>
        <v>0</v>
      </c>
      <c r="L36" s="48">
        <f t="shared" si="38"/>
        <v>0</v>
      </c>
      <c r="M36" s="48">
        <f t="shared" si="38"/>
        <v>0</v>
      </c>
      <c r="N36" s="48">
        <f t="shared" si="38"/>
        <v>0</v>
      </c>
      <c r="O36" s="48">
        <f t="shared" si="38"/>
        <v>0</v>
      </c>
      <c r="P36" s="48">
        <f t="shared" si="38"/>
        <v>0</v>
      </c>
      <c r="Q36" s="48">
        <f t="shared" si="38"/>
        <v>0</v>
      </c>
      <c r="R36" s="48">
        <f t="shared" si="38"/>
        <v>0</v>
      </c>
      <c r="S36" s="48">
        <f t="shared" si="38"/>
        <v>0</v>
      </c>
      <c r="T36" s="48">
        <f t="shared" si="38"/>
        <v>0</v>
      </c>
      <c r="U36" s="48">
        <f t="shared" ref="U36:AG36" si="46">U500</f>
        <v>0</v>
      </c>
      <c r="V36" s="48">
        <f t="shared" si="46"/>
        <v>0</v>
      </c>
      <c r="W36" s="48">
        <f t="shared" si="46"/>
        <v>0</v>
      </c>
      <c r="X36" s="48">
        <f t="shared" si="46"/>
        <v>0</v>
      </c>
      <c r="Y36" s="48">
        <f t="shared" si="46"/>
        <v>0</v>
      </c>
      <c r="Z36" s="48">
        <f t="shared" si="46"/>
        <v>0</v>
      </c>
      <c r="AA36" s="48">
        <f t="shared" si="46"/>
        <v>0</v>
      </c>
      <c r="AB36" s="48">
        <f t="shared" si="46"/>
        <v>0</v>
      </c>
      <c r="AC36" s="48">
        <f t="shared" si="46"/>
        <v>0</v>
      </c>
      <c r="AD36" s="48">
        <f t="shared" si="46"/>
        <v>0</v>
      </c>
      <c r="AE36" s="48">
        <f t="shared" si="46"/>
        <v>0</v>
      </c>
      <c r="AF36" s="48">
        <f t="shared" si="46"/>
        <v>0</v>
      </c>
      <c r="AG36" s="48">
        <f t="shared" si="46"/>
        <v>0</v>
      </c>
      <c r="AH36" s="48">
        <f>AH500</f>
        <v>0</v>
      </c>
      <c r="AI36" s="48">
        <f t="shared" ref="AI36:AN36" si="47">AI500</f>
        <v>0</v>
      </c>
      <c r="AJ36" s="48">
        <f t="shared" si="47"/>
        <v>0</v>
      </c>
      <c r="AK36" s="48">
        <f t="shared" si="47"/>
        <v>0</v>
      </c>
      <c r="AL36" s="48">
        <f t="shared" si="47"/>
        <v>0</v>
      </c>
      <c r="AM36" s="48">
        <f t="shared" si="47"/>
        <v>0</v>
      </c>
      <c r="AN36" s="48">
        <f t="shared" si="47"/>
        <v>0</v>
      </c>
      <c r="AO36" s="48">
        <f t="shared" si="34"/>
        <v>0</v>
      </c>
      <c r="AP36" s="48">
        <f t="shared" si="34"/>
        <v>0</v>
      </c>
      <c r="AQ36" s="48">
        <f t="shared" si="34"/>
        <v>0</v>
      </c>
      <c r="AR36" s="48">
        <f t="shared" si="34"/>
        <v>0</v>
      </c>
      <c r="AS36" s="48">
        <f t="shared" si="34"/>
        <v>0</v>
      </c>
      <c r="AT36" s="48">
        <f t="shared" si="34"/>
        <v>0</v>
      </c>
      <c r="AU36" s="48">
        <f t="shared" si="34"/>
        <v>0</v>
      </c>
      <c r="AV36" s="48">
        <f t="shared" si="34"/>
        <v>0</v>
      </c>
      <c r="AW36" s="48">
        <f t="shared" si="34"/>
        <v>0</v>
      </c>
      <c r="AX36" s="48">
        <f t="shared" si="34"/>
        <v>0</v>
      </c>
      <c r="AY36" s="48">
        <f t="shared" si="35"/>
        <v>0</v>
      </c>
      <c r="AZ36" s="48">
        <f t="shared" si="35"/>
        <v>0</v>
      </c>
      <c r="BA36" s="48">
        <f t="shared" si="35"/>
        <v>0</v>
      </c>
      <c r="BB36" s="48">
        <f t="shared" si="44"/>
        <v>0</v>
      </c>
      <c r="BC36" s="48">
        <f t="shared" si="44"/>
        <v>0</v>
      </c>
      <c r="BD36" s="48">
        <f t="shared" si="44"/>
        <v>0</v>
      </c>
      <c r="BE36" s="48">
        <f t="shared" si="37"/>
        <v>0</v>
      </c>
      <c r="BF36" s="48">
        <f t="shared" si="37"/>
        <v>0</v>
      </c>
    </row>
    <row r="37" spans="1:58" s="309" customFormat="1" ht="14.1" customHeight="1">
      <c r="A37" s="247">
        <f t="shared" si="11"/>
        <v>31</v>
      </c>
      <c r="B37" s="2" t="s">
        <v>42</v>
      </c>
      <c r="C37" s="189">
        <f>SUM(C32:C36)</f>
        <v>-5892461</v>
      </c>
      <c r="D37" s="189">
        <f>SUM(D32:D36)</f>
        <v>-1887179</v>
      </c>
      <c r="E37" s="189">
        <f t="shared" ref="E37:BA37" si="48">SUM(E32:E36)</f>
        <v>-785368</v>
      </c>
      <c r="F37" s="189">
        <f t="shared" si="48"/>
        <v>928071</v>
      </c>
      <c r="G37" s="189">
        <f t="shared" si="48"/>
        <v>49412</v>
      </c>
      <c r="H37" s="189">
        <f t="shared" si="48"/>
        <v>-52904</v>
      </c>
      <c r="I37" s="189">
        <f t="shared" si="48"/>
        <v>83110</v>
      </c>
      <c r="J37" s="189">
        <f t="shared" si="48"/>
        <v>-1854572</v>
      </c>
      <c r="K37" s="189">
        <f t="shared" si="48"/>
        <v>3303924</v>
      </c>
      <c r="L37" s="189">
        <f t="shared" si="48"/>
        <v>3457925</v>
      </c>
      <c r="M37" s="189">
        <f t="shared" si="48"/>
        <v>-20034179</v>
      </c>
      <c r="N37" s="189">
        <f t="shared" si="48"/>
        <v>799</v>
      </c>
      <c r="O37" s="189">
        <f t="shared" si="48"/>
        <v>-27999</v>
      </c>
      <c r="P37" s="189">
        <f t="shared" si="48"/>
        <v>213715</v>
      </c>
      <c r="Q37" s="189">
        <f t="shared" si="48"/>
        <v>783116</v>
      </c>
      <c r="R37" s="189">
        <f t="shared" si="48"/>
        <v>-85134</v>
      </c>
      <c r="S37" s="189">
        <f t="shared" si="48"/>
        <v>-4031</v>
      </c>
      <c r="T37" s="189">
        <f t="shared" si="48"/>
        <v>10099</v>
      </c>
      <c r="U37" s="189">
        <f t="shared" si="48"/>
        <v>-24076</v>
      </c>
      <c r="V37" s="189">
        <f t="shared" si="48"/>
        <v>-3515682</v>
      </c>
      <c r="W37" s="189">
        <f t="shared" si="48"/>
        <v>72708</v>
      </c>
      <c r="X37" s="189">
        <f t="shared" si="48"/>
        <v>-18377</v>
      </c>
      <c r="Y37" s="189">
        <f t="shared" si="48"/>
        <v>-12049</v>
      </c>
      <c r="Z37" s="189">
        <f t="shared" si="48"/>
        <v>-36166</v>
      </c>
      <c r="AA37" s="189">
        <f t="shared" si="48"/>
        <v>-386853</v>
      </c>
      <c r="AB37" s="189">
        <f t="shared" si="48"/>
        <v>319843</v>
      </c>
      <c r="AC37" s="189">
        <f t="shared" si="48"/>
        <v>-12071</v>
      </c>
      <c r="AD37" s="189">
        <f t="shared" si="48"/>
        <v>14652969</v>
      </c>
      <c r="AE37" s="189">
        <f t="shared" si="48"/>
        <v>-2502275</v>
      </c>
      <c r="AF37" s="189">
        <f t="shared" si="48"/>
        <v>-3534376</v>
      </c>
      <c r="AG37" s="189">
        <f t="shared" si="48"/>
        <v>-1063626</v>
      </c>
      <c r="AH37" s="189">
        <f t="shared" si="48"/>
        <v>4909117</v>
      </c>
      <c r="AI37" s="189">
        <f t="shared" si="48"/>
        <v>-22994</v>
      </c>
      <c r="AJ37" s="189">
        <f t="shared" si="48"/>
        <v>-3698393</v>
      </c>
      <c r="AK37" s="189">
        <f t="shared" si="48"/>
        <v>-73316</v>
      </c>
      <c r="AL37" s="189">
        <f t="shared" si="48"/>
        <v>-1317651</v>
      </c>
      <c r="AM37" s="189">
        <f t="shared" si="48"/>
        <v>4511643</v>
      </c>
      <c r="AN37" s="189">
        <f t="shared" si="48"/>
        <v>-83090</v>
      </c>
      <c r="AO37" s="189">
        <f t="shared" si="48"/>
        <v>52401</v>
      </c>
      <c r="AP37" s="189">
        <f t="shared" si="48"/>
        <v>-127239</v>
      </c>
      <c r="AQ37" s="189">
        <f t="shared" si="48"/>
        <v>-103773</v>
      </c>
      <c r="AR37" s="189">
        <f t="shared" si="48"/>
        <v>-30510</v>
      </c>
      <c r="AS37" s="189">
        <f t="shared" si="48"/>
        <v>-38414</v>
      </c>
      <c r="AT37" s="189">
        <f t="shared" si="48"/>
        <v>-2976</v>
      </c>
      <c r="AU37" s="189">
        <f t="shared" si="48"/>
        <v>1790035</v>
      </c>
      <c r="AV37" s="189">
        <f t="shared" si="48"/>
        <v>107649</v>
      </c>
      <c r="AW37" s="189">
        <f t="shared" si="48"/>
        <v>-41002</v>
      </c>
      <c r="AX37" s="189">
        <f t="shared" si="48"/>
        <v>78133</v>
      </c>
      <c r="AY37" s="189">
        <f t="shared" si="48"/>
        <v>90039</v>
      </c>
      <c r="AZ37" s="189">
        <f t="shared" si="48"/>
        <v>0</v>
      </c>
      <c r="BA37" s="189">
        <f t="shared" si="48"/>
        <v>0</v>
      </c>
      <c r="BB37" s="189">
        <f>SUM(BB32:BB36)</f>
        <v>0</v>
      </c>
      <c r="BC37" s="189">
        <f>SUM(BC32:BC36)</f>
        <v>0</v>
      </c>
      <c r="BD37" s="189">
        <f>SUM(BD32:BD36)</f>
        <v>0</v>
      </c>
      <c r="BE37" s="189">
        <f>SUM(BE32:BE36)</f>
        <v>0</v>
      </c>
      <c r="BF37" s="189">
        <f>SUM(BF32:BF36)</f>
        <v>69106</v>
      </c>
    </row>
    <row r="38" spans="1:58" s="23" customFormat="1" ht="14.1" customHeight="1">
      <c r="A38" s="247">
        <f t="shared" si="11"/>
        <v>32</v>
      </c>
      <c r="B38" s="7"/>
      <c r="C38" s="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</row>
    <row r="39" spans="1:58" s="247" customFormat="1" ht="14.1" customHeight="1">
      <c r="A39" s="247">
        <f t="shared" si="11"/>
        <v>33</v>
      </c>
      <c r="B39" s="264" t="s">
        <v>43</v>
      </c>
      <c r="C39" s="43">
        <f>SUM(D39:BF39)</f>
        <v>-14717417.512000002</v>
      </c>
      <c r="D39" s="48">
        <f>D30-D37</f>
        <v>-3504760</v>
      </c>
      <c r="E39" s="48">
        <f t="shared" ref="E39:BA39" si="49">E30-E37</f>
        <v>-1458540</v>
      </c>
      <c r="F39" s="48">
        <f t="shared" si="49"/>
        <v>1723559</v>
      </c>
      <c r="G39" s="48">
        <f t="shared" si="49"/>
        <v>91765</v>
      </c>
      <c r="H39" s="48">
        <f t="shared" si="49"/>
        <v>-98251</v>
      </c>
      <c r="I39" s="48">
        <f t="shared" si="49"/>
        <v>154347</v>
      </c>
      <c r="J39" s="48">
        <f t="shared" si="49"/>
        <v>-3444204</v>
      </c>
      <c r="K39" s="48">
        <f t="shared" si="49"/>
        <v>6135858</v>
      </c>
      <c r="L39" s="48">
        <f t="shared" si="49"/>
        <v>6421861</v>
      </c>
      <c r="M39" s="48">
        <f t="shared" si="49"/>
        <v>-37206332</v>
      </c>
      <c r="N39" s="48">
        <f t="shared" si="49"/>
        <v>1484</v>
      </c>
      <c r="O39" s="48">
        <f t="shared" si="49"/>
        <v>-51998</v>
      </c>
      <c r="P39" s="48">
        <f t="shared" si="49"/>
        <v>396900</v>
      </c>
      <c r="Q39" s="48">
        <f t="shared" si="49"/>
        <v>1454359</v>
      </c>
      <c r="R39" s="48">
        <f t="shared" si="49"/>
        <v>-158105</v>
      </c>
      <c r="S39" s="48">
        <f t="shared" si="49"/>
        <v>-7487</v>
      </c>
      <c r="T39" s="48">
        <f t="shared" si="49"/>
        <v>18756</v>
      </c>
      <c r="U39" s="48">
        <f t="shared" si="49"/>
        <v>-44713</v>
      </c>
      <c r="V39" s="48">
        <f t="shared" si="49"/>
        <v>-6529123</v>
      </c>
      <c r="W39" s="48">
        <f t="shared" si="49"/>
        <v>135030</v>
      </c>
      <c r="X39" s="48">
        <f t="shared" si="49"/>
        <v>-34128</v>
      </c>
      <c r="Y39" s="48">
        <f t="shared" si="49"/>
        <v>-22376</v>
      </c>
      <c r="Z39" s="48">
        <f t="shared" si="49"/>
        <v>-67164</v>
      </c>
      <c r="AA39" s="48">
        <f t="shared" si="49"/>
        <v>-718440</v>
      </c>
      <c r="AB39" s="48">
        <f t="shared" si="49"/>
        <v>593995</v>
      </c>
      <c r="AC39" s="48">
        <f t="shared" si="49"/>
        <v>-22418</v>
      </c>
      <c r="AD39" s="48">
        <f t="shared" si="49"/>
        <v>27212657</v>
      </c>
      <c r="AE39" s="48">
        <f t="shared" si="49"/>
        <v>-4647082</v>
      </c>
      <c r="AF39" s="48">
        <f t="shared" si="49"/>
        <v>-6563840</v>
      </c>
      <c r="AG39" s="48">
        <f t="shared" si="49"/>
        <v>-1975304</v>
      </c>
      <c r="AH39" s="48">
        <f t="shared" si="49"/>
        <v>9116932</v>
      </c>
      <c r="AI39" s="48">
        <f t="shared" si="49"/>
        <v>-42704</v>
      </c>
      <c r="AJ39" s="48">
        <f t="shared" si="49"/>
        <v>-9072867.6229999997</v>
      </c>
      <c r="AK39" s="48">
        <f t="shared" si="49"/>
        <v>-136159</v>
      </c>
      <c r="AL39" s="48">
        <f t="shared" si="49"/>
        <v>-2447067</v>
      </c>
      <c r="AM39" s="48">
        <f t="shared" si="49"/>
        <v>12700813.110999998</v>
      </c>
      <c r="AN39" s="48">
        <f t="shared" si="49"/>
        <v>-154310</v>
      </c>
      <c r="AO39" s="48">
        <f t="shared" si="49"/>
        <v>97317</v>
      </c>
      <c r="AP39" s="48">
        <f t="shared" si="49"/>
        <v>-236300</v>
      </c>
      <c r="AQ39" s="48">
        <f t="shared" si="49"/>
        <v>-192720</v>
      </c>
      <c r="AR39" s="48">
        <f t="shared" si="49"/>
        <v>-56662</v>
      </c>
      <c r="AS39" s="48">
        <f t="shared" si="49"/>
        <v>-71339</v>
      </c>
      <c r="AT39" s="48">
        <f t="shared" si="49"/>
        <v>-5527</v>
      </c>
      <c r="AU39" s="48">
        <f t="shared" si="49"/>
        <v>-2101178</v>
      </c>
      <c r="AV39" s="48">
        <f t="shared" si="49"/>
        <v>-126361</v>
      </c>
      <c r="AW39" s="48">
        <f t="shared" si="49"/>
        <v>41002</v>
      </c>
      <c r="AX39" s="48">
        <f t="shared" si="49"/>
        <v>145106</v>
      </c>
      <c r="AY39" s="48">
        <f t="shared" si="49"/>
        <v>-90039</v>
      </c>
      <c r="AZ39" s="48">
        <f t="shared" si="49"/>
        <v>0</v>
      </c>
      <c r="BA39" s="48">
        <f t="shared" si="49"/>
        <v>0</v>
      </c>
      <c r="BB39" s="48">
        <f>BB30-BB37</f>
        <v>0</v>
      </c>
      <c r="BC39" s="48">
        <f>BC30-BC37</f>
        <v>0</v>
      </c>
      <c r="BD39" s="48">
        <f>BD30-BD37</f>
        <v>0</v>
      </c>
      <c r="BE39" s="48">
        <f>BE30-BE37</f>
        <v>0</v>
      </c>
      <c r="BF39" s="48">
        <f>BF30-BF37</f>
        <v>128340</v>
      </c>
    </row>
    <row r="40" spans="1:58" s="247" customFormat="1" ht="14.1" customHeight="1">
      <c r="A40" s="247">
        <f t="shared" si="11"/>
        <v>34</v>
      </c>
      <c r="B40" s="310" t="s">
        <v>335</v>
      </c>
      <c r="C40" s="43">
        <f>SUM(D40:BF40)</f>
        <v>250424</v>
      </c>
      <c r="D40" s="100">
        <f>-D477</f>
        <v>0</v>
      </c>
      <c r="E40" s="100">
        <f t="shared" ref="E40:BA40" si="50">-E477</f>
        <v>0</v>
      </c>
      <c r="F40" s="100">
        <f t="shared" si="50"/>
        <v>0</v>
      </c>
      <c r="G40" s="100">
        <f t="shared" si="50"/>
        <v>0</v>
      </c>
      <c r="H40" s="100">
        <f t="shared" si="50"/>
        <v>0</v>
      </c>
      <c r="I40" s="100">
        <f t="shared" si="50"/>
        <v>0</v>
      </c>
      <c r="J40" s="100">
        <f t="shared" si="50"/>
        <v>0</v>
      </c>
      <c r="K40" s="100">
        <f t="shared" si="50"/>
        <v>0</v>
      </c>
      <c r="L40" s="100">
        <f t="shared" si="50"/>
        <v>0</v>
      </c>
      <c r="M40" s="100">
        <f t="shared" si="50"/>
        <v>0</v>
      </c>
      <c r="N40" s="100">
        <f t="shared" si="50"/>
        <v>0</v>
      </c>
      <c r="O40" s="100">
        <f t="shared" si="50"/>
        <v>0</v>
      </c>
      <c r="P40" s="100">
        <f t="shared" si="50"/>
        <v>0</v>
      </c>
      <c r="Q40" s="100">
        <f t="shared" si="50"/>
        <v>0</v>
      </c>
      <c r="R40" s="100">
        <f t="shared" si="50"/>
        <v>0</v>
      </c>
      <c r="S40" s="100">
        <f t="shared" si="50"/>
        <v>0</v>
      </c>
      <c r="T40" s="100">
        <f t="shared" si="50"/>
        <v>0</v>
      </c>
      <c r="U40" s="100">
        <f t="shared" si="50"/>
        <v>0</v>
      </c>
      <c r="V40" s="100">
        <f t="shared" si="50"/>
        <v>0</v>
      </c>
      <c r="W40" s="100">
        <f t="shared" si="50"/>
        <v>0</v>
      </c>
      <c r="X40" s="100">
        <f t="shared" si="50"/>
        <v>0</v>
      </c>
      <c r="Y40" s="100">
        <f t="shared" si="50"/>
        <v>0</v>
      </c>
      <c r="Z40" s="100">
        <f t="shared" si="50"/>
        <v>0</v>
      </c>
      <c r="AA40" s="100">
        <f t="shared" si="50"/>
        <v>0</v>
      </c>
      <c r="AB40" s="100">
        <f t="shared" si="50"/>
        <v>0</v>
      </c>
      <c r="AC40" s="100">
        <f t="shared" si="50"/>
        <v>0</v>
      </c>
      <c r="AD40" s="100">
        <f t="shared" si="50"/>
        <v>0</v>
      </c>
      <c r="AE40" s="100">
        <f t="shared" si="50"/>
        <v>0</v>
      </c>
      <c r="AF40" s="100">
        <f t="shared" si="50"/>
        <v>0</v>
      </c>
      <c r="AG40" s="100">
        <f t="shared" si="50"/>
        <v>0</v>
      </c>
      <c r="AH40" s="100">
        <f t="shared" si="50"/>
        <v>0</v>
      </c>
      <c r="AI40" s="100">
        <f t="shared" si="50"/>
        <v>0</v>
      </c>
      <c r="AJ40" s="100">
        <f t="shared" si="50"/>
        <v>0</v>
      </c>
      <c r="AK40" s="100">
        <f t="shared" si="50"/>
        <v>0</v>
      </c>
      <c r="AL40" s="100">
        <f t="shared" si="50"/>
        <v>0</v>
      </c>
      <c r="AM40" s="100">
        <f t="shared" si="50"/>
        <v>0</v>
      </c>
      <c r="AN40" s="100">
        <f t="shared" si="50"/>
        <v>0</v>
      </c>
      <c r="AO40" s="100">
        <f t="shared" si="50"/>
        <v>0</v>
      </c>
      <c r="AP40" s="100">
        <f t="shared" si="50"/>
        <v>0</v>
      </c>
      <c r="AQ40" s="100">
        <f t="shared" si="50"/>
        <v>0</v>
      </c>
      <c r="AR40" s="100">
        <f t="shared" si="50"/>
        <v>0</v>
      </c>
      <c r="AS40" s="100">
        <f t="shared" si="50"/>
        <v>0</v>
      </c>
      <c r="AT40" s="100">
        <f t="shared" si="50"/>
        <v>0</v>
      </c>
      <c r="AU40" s="100">
        <f t="shared" si="50"/>
        <v>0</v>
      </c>
      <c r="AV40" s="100">
        <f t="shared" si="50"/>
        <v>0</v>
      </c>
      <c r="AW40" s="100">
        <f t="shared" si="50"/>
        <v>0</v>
      </c>
      <c r="AX40" s="100">
        <f t="shared" si="50"/>
        <v>0</v>
      </c>
      <c r="AY40" s="100">
        <f t="shared" si="50"/>
        <v>250424</v>
      </c>
      <c r="AZ40" s="100">
        <f t="shared" si="50"/>
        <v>0</v>
      </c>
      <c r="BA40" s="100">
        <f t="shared" si="50"/>
        <v>0</v>
      </c>
      <c r="BB40" s="100">
        <f>-BB477</f>
        <v>0</v>
      </c>
      <c r="BC40" s="100">
        <f>-BC477</f>
        <v>0</v>
      </c>
      <c r="BD40" s="100">
        <f>-BD477</f>
        <v>0</v>
      </c>
      <c r="BE40" s="100">
        <f>-BE477</f>
        <v>0</v>
      </c>
      <c r="BF40" s="100">
        <f>-BF477</f>
        <v>0</v>
      </c>
    </row>
    <row r="41" spans="1:58" s="247" customFormat="1" ht="14.1" customHeight="1" thickBot="1">
      <c r="A41" s="247">
        <f t="shared" si="11"/>
        <v>35</v>
      </c>
      <c r="B41" s="4" t="s">
        <v>44</v>
      </c>
      <c r="C41" s="311">
        <f>C40+C39</f>
        <v>-14466993.512000002</v>
      </c>
      <c r="D41" s="311">
        <f>D40+D39</f>
        <v>-3504760</v>
      </c>
      <c r="E41" s="311">
        <f t="shared" ref="E41:BA41" si="51">E40+E39</f>
        <v>-1458540</v>
      </c>
      <c r="F41" s="311">
        <f t="shared" si="51"/>
        <v>1723559</v>
      </c>
      <c r="G41" s="311">
        <f t="shared" si="51"/>
        <v>91765</v>
      </c>
      <c r="H41" s="311">
        <f t="shared" si="51"/>
        <v>-98251</v>
      </c>
      <c r="I41" s="311">
        <f t="shared" si="51"/>
        <v>154347</v>
      </c>
      <c r="J41" s="311">
        <f t="shared" si="51"/>
        <v>-3444204</v>
      </c>
      <c r="K41" s="311">
        <f t="shared" si="51"/>
        <v>6135858</v>
      </c>
      <c r="L41" s="311">
        <f t="shared" si="51"/>
        <v>6421861</v>
      </c>
      <c r="M41" s="311">
        <f t="shared" si="51"/>
        <v>-37206332</v>
      </c>
      <c r="N41" s="311">
        <f t="shared" si="51"/>
        <v>1484</v>
      </c>
      <c r="O41" s="311">
        <f t="shared" si="51"/>
        <v>-51998</v>
      </c>
      <c r="P41" s="311">
        <f t="shared" si="51"/>
        <v>396900</v>
      </c>
      <c r="Q41" s="311">
        <f t="shared" si="51"/>
        <v>1454359</v>
      </c>
      <c r="R41" s="311">
        <f t="shared" si="51"/>
        <v>-158105</v>
      </c>
      <c r="S41" s="311">
        <f t="shared" si="51"/>
        <v>-7487</v>
      </c>
      <c r="T41" s="311">
        <f t="shared" si="51"/>
        <v>18756</v>
      </c>
      <c r="U41" s="311">
        <f t="shared" si="51"/>
        <v>-44713</v>
      </c>
      <c r="V41" s="311">
        <f t="shared" si="51"/>
        <v>-6529123</v>
      </c>
      <c r="W41" s="311">
        <f t="shared" si="51"/>
        <v>135030</v>
      </c>
      <c r="X41" s="311">
        <f t="shared" si="51"/>
        <v>-34128</v>
      </c>
      <c r="Y41" s="311">
        <f t="shared" si="51"/>
        <v>-22376</v>
      </c>
      <c r="Z41" s="311">
        <f t="shared" si="51"/>
        <v>-67164</v>
      </c>
      <c r="AA41" s="311">
        <f t="shared" si="51"/>
        <v>-718440</v>
      </c>
      <c r="AB41" s="311">
        <f t="shared" si="51"/>
        <v>593995</v>
      </c>
      <c r="AC41" s="311">
        <f t="shared" si="51"/>
        <v>-22418</v>
      </c>
      <c r="AD41" s="311">
        <f t="shared" si="51"/>
        <v>27212657</v>
      </c>
      <c r="AE41" s="311">
        <f t="shared" si="51"/>
        <v>-4647082</v>
      </c>
      <c r="AF41" s="311">
        <f t="shared" si="51"/>
        <v>-6563840</v>
      </c>
      <c r="AG41" s="311">
        <f t="shared" si="51"/>
        <v>-1975304</v>
      </c>
      <c r="AH41" s="311">
        <f t="shared" si="51"/>
        <v>9116932</v>
      </c>
      <c r="AI41" s="311">
        <f t="shared" si="51"/>
        <v>-42704</v>
      </c>
      <c r="AJ41" s="311">
        <f t="shared" si="51"/>
        <v>-9072867.6229999997</v>
      </c>
      <c r="AK41" s="311">
        <f t="shared" si="51"/>
        <v>-136159</v>
      </c>
      <c r="AL41" s="311">
        <f t="shared" si="51"/>
        <v>-2447067</v>
      </c>
      <c r="AM41" s="311">
        <f t="shared" si="51"/>
        <v>12700813.110999998</v>
      </c>
      <c r="AN41" s="311">
        <f t="shared" si="51"/>
        <v>-154310</v>
      </c>
      <c r="AO41" s="311">
        <f t="shared" si="51"/>
        <v>97317</v>
      </c>
      <c r="AP41" s="311">
        <f t="shared" si="51"/>
        <v>-236300</v>
      </c>
      <c r="AQ41" s="311">
        <f t="shared" si="51"/>
        <v>-192720</v>
      </c>
      <c r="AR41" s="311">
        <f t="shared" si="51"/>
        <v>-56662</v>
      </c>
      <c r="AS41" s="311">
        <f t="shared" si="51"/>
        <v>-71339</v>
      </c>
      <c r="AT41" s="311">
        <f t="shared" si="51"/>
        <v>-5527</v>
      </c>
      <c r="AU41" s="311">
        <f t="shared" si="51"/>
        <v>-2101178</v>
      </c>
      <c r="AV41" s="311">
        <f t="shared" si="51"/>
        <v>-126361</v>
      </c>
      <c r="AW41" s="311">
        <f t="shared" si="51"/>
        <v>41002</v>
      </c>
      <c r="AX41" s="311">
        <f t="shared" si="51"/>
        <v>145106</v>
      </c>
      <c r="AY41" s="311">
        <f t="shared" si="51"/>
        <v>160385</v>
      </c>
      <c r="AZ41" s="311">
        <f t="shared" si="51"/>
        <v>0</v>
      </c>
      <c r="BA41" s="311">
        <f t="shared" si="51"/>
        <v>0</v>
      </c>
      <c r="BB41" s="311">
        <f>BB40+BB39</f>
        <v>0</v>
      </c>
      <c r="BC41" s="311">
        <f>BC40+BC39</f>
        <v>0</v>
      </c>
      <c r="BD41" s="311">
        <f>BD40+BD39</f>
        <v>0</v>
      </c>
      <c r="BE41" s="311">
        <f>BE40+BE39</f>
        <v>0</v>
      </c>
      <c r="BF41" s="311">
        <f>BF40+BF39</f>
        <v>128340</v>
      </c>
    </row>
    <row r="42" spans="1:58" s="247" customFormat="1" ht="14.1" customHeight="1" thickTop="1">
      <c r="A42" s="247">
        <f t="shared" si="11"/>
        <v>36</v>
      </c>
      <c r="B42" s="264"/>
      <c r="C42" s="264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</row>
    <row r="43" spans="1:58" ht="14.1" customHeight="1">
      <c r="A43" s="247">
        <f t="shared" si="11"/>
        <v>37</v>
      </c>
      <c r="B43" s="203" t="s">
        <v>45</v>
      </c>
      <c r="C43" s="43">
        <f t="shared" ref="C43:C52" si="52">SUM(D43:BF43)</f>
        <v>-776202944.47210002</v>
      </c>
      <c r="D43" s="48">
        <f>D169</f>
        <v>0</v>
      </c>
      <c r="E43" s="48">
        <f t="shared" ref="E43:BA43" si="53">E169</f>
        <v>0</v>
      </c>
      <c r="F43" s="48">
        <f t="shared" si="53"/>
        <v>0</v>
      </c>
      <c r="G43" s="48">
        <f t="shared" si="53"/>
        <v>0</v>
      </c>
      <c r="H43" s="48">
        <f t="shared" si="53"/>
        <v>0</v>
      </c>
      <c r="I43" s="48">
        <f t="shared" si="53"/>
        <v>0</v>
      </c>
      <c r="J43" s="48">
        <f t="shared" si="53"/>
        <v>0</v>
      </c>
      <c r="K43" s="48">
        <f t="shared" si="53"/>
        <v>0</v>
      </c>
      <c r="L43" s="48">
        <f t="shared" si="53"/>
        <v>0</v>
      </c>
      <c r="M43" s="48">
        <f t="shared" si="53"/>
        <v>0</v>
      </c>
      <c r="N43" s="48">
        <f t="shared" si="53"/>
        <v>0</v>
      </c>
      <c r="O43" s="48">
        <f t="shared" si="53"/>
        <v>0</v>
      </c>
      <c r="P43" s="48">
        <f t="shared" si="53"/>
        <v>0</v>
      </c>
      <c r="Q43" s="48">
        <f t="shared" si="53"/>
        <v>0</v>
      </c>
      <c r="R43" s="48">
        <f t="shared" si="53"/>
        <v>0</v>
      </c>
      <c r="S43" s="48">
        <f t="shared" si="53"/>
        <v>0</v>
      </c>
      <c r="T43" s="48">
        <f t="shared" si="53"/>
        <v>0</v>
      </c>
      <c r="U43" s="48">
        <f t="shared" si="53"/>
        <v>0</v>
      </c>
      <c r="V43" s="48">
        <f t="shared" si="53"/>
        <v>0</v>
      </c>
      <c r="W43" s="48">
        <f t="shared" si="53"/>
        <v>0</v>
      </c>
      <c r="X43" s="48">
        <f t="shared" si="53"/>
        <v>0</v>
      </c>
      <c r="Y43" s="48">
        <f t="shared" si="53"/>
        <v>0</v>
      </c>
      <c r="Z43" s="48">
        <f t="shared" si="53"/>
        <v>0</v>
      </c>
      <c r="AA43" s="48">
        <f t="shared" si="53"/>
        <v>0</v>
      </c>
      <c r="AB43" s="48">
        <f t="shared" si="53"/>
        <v>0</v>
      </c>
      <c r="AC43" s="48">
        <f t="shared" si="53"/>
        <v>0</v>
      </c>
      <c r="AD43" s="48">
        <f t="shared" si="53"/>
        <v>0</v>
      </c>
      <c r="AE43" s="48">
        <f t="shared" si="53"/>
        <v>0</v>
      </c>
      <c r="AF43" s="48">
        <f t="shared" si="53"/>
        <v>0</v>
      </c>
      <c r="AG43" s="48">
        <f t="shared" si="53"/>
        <v>0</v>
      </c>
      <c r="AH43" s="48">
        <f t="shared" si="53"/>
        <v>0</v>
      </c>
      <c r="AI43" s="48">
        <f t="shared" si="53"/>
        <v>0</v>
      </c>
      <c r="AJ43" s="48">
        <f t="shared" si="53"/>
        <v>0</v>
      </c>
      <c r="AK43" s="48">
        <f t="shared" si="53"/>
        <v>0</v>
      </c>
      <c r="AL43" s="48">
        <f t="shared" si="53"/>
        <v>0</v>
      </c>
      <c r="AM43" s="48">
        <f t="shared" si="53"/>
        <v>0</v>
      </c>
      <c r="AN43" s="48">
        <f t="shared" si="53"/>
        <v>0</v>
      </c>
      <c r="AO43" s="48">
        <f t="shared" si="53"/>
        <v>0</v>
      </c>
      <c r="AP43" s="48">
        <f t="shared" si="53"/>
        <v>0</v>
      </c>
      <c r="AQ43" s="48">
        <f t="shared" si="53"/>
        <v>0</v>
      </c>
      <c r="AR43" s="48">
        <f t="shared" si="53"/>
        <v>0</v>
      </c>
      <c r="AS43" s="48">
        <f t="shared" si="53"/>
        <v>0</v>
      </c>
      <c r="AT43" s="48">
        <f t="shared" si="53"/>
        <v>0</v>
      </c>
      <c r="AU43" s="48">
        <f t="shared" si="53"/>
        <v>0</v>
      </c>
      <c r="AV43" s="48">
        <f t="shared" si="53"/>
        <v>0</v>
      </c>
      <c r="AW43" s="48">
        <f t="shared" si="53"/>
        <v>0</v>
      </c>
      <c r="AX43" s="48">
        <f t="shared" si="53"/>
        <v>0</v>
      </c>
      <c r="AY43" s="48">
        <f t="shared" si="53"/>
        <v>0</v>
      </c>
      <c r="AZ43" s="48">
        <f t="shared" si="53"/>
        <v>-322612704</v>
      </c>
      <c r="BA43" s="48">
        <f t="shared" si="53"/>
        <v>0</v>
      </c>
      <c r="BB43" s="48">
        <f>BB169</f>
        <v>0</v>
      </c>
      <c r="BC43" s="48">
        <f>BC169</f>
        <v>-453590240.47210002</v>
      </c>
      <c r="BD43" s="48">
        <f>BD169</f>
        <v>0</v>
      </c>
      <c r="BE43" s="48">
        <f>BE169</f>
        <v>0</v>
      </c>
      <c r="BF43" s="48">
        <f>BF169</f>
        <v>0</v>
      </c>
    </row>
    <row r="44" spans="1:58" ht="14.1" customHeight="1">
      <c r="A44" s="247">
        <f t="shared" si="11"/>
        <v>38</v>
      </c>
      <c r="B44" s="203" t="s">
        <v>46</v>
      </c>
      <c r="C44" s="43">
        <f t="shared" si="52"/>
        <v>319573451.11357999</v>
      </c>
      <c r="D44" s="48">
        <f>-D176-D184-D187</f>
        <v>0</v>
      </c>
      <c r="E44" s="48">
        <f t="shared" ref="E44:BA44" si="54">-E176-E184-E187</f>
        <v>0</v>
      </c>
      <c r="F44" s="48">
        <f t="shared" si="54"/>
        <v>0</v>
      </c>
      <c r="G44" s="48">
        <f t="shared" si="54"/>
        <v>0</v>
      </c>
      <c r="H44" s="48">
        <f t="shared" si="54"/>
        <v>0</v>
      </c>
      <c r="I44" s="48">
        <f t="shared" si="54"/>
        <v>0</v>
      </c>
      <c r="J44" s="48">
        <f t="shared" si="54"/>
        <v>0</v>
      </c>
      <c r="K44" s="48">
        <f t="shared" si="54"/>
        <v>0</v>
      </c>
      <c r="L44" s="48">
        <f t="shared" si="54"/>
        <v>0</v>
      </c>
      <c r="M44" s="48">
        <f t="shared" si="54"/>
        <v>0</v>
      </c>
      <c r="N44" s="48">
        <f t="shared" si="54"/>
        <v>0</v>
      </c>
      <c r="O44" s="48">
        <f t="shared" si="54"/>
        <v>0</v>
      </c>
      <c r="P44" s="48">
        <f t="shared" si="54"/>
        <v>0</v>
      </c>
      <c r="Q44" s="48">
        <f t="shared" si="54"/>
        <v>0</v>
      </c>
      <c r="R44" s="48">
        <f t="shared" si="54"/>
        <v>0</v>
      </c>
      <c r="S44" s="48">
        <f t="shared" si="54"/>
        <v>0</v>
      </c>
      <c r="T44" s="48">
        <f t="shared" si="54"/>
        <v>0</v>
      </c>
      <c r="U44" s="48">
        <f t="shared" si="54"/>
        <v>0</v>
      </c>
      <c r="V44" s="48">
        <f t="shared" si="54"/>
        <v>0</v>
      </c>
      <c r="W44" s="48">
        <f t="shared" si="54"/>
        <v>0</v>
      </c>
      <c r="X44" s="48">
        <f t="shared" si="54"/>
        <v>0</v>
      </c>
      <c r="Y44" s="48">
        <f t="shared" si="54"/>
        <v>0</v>
      </c>
      <c r="Z44" s="48">
        <f t="shared" si="54"/>
        <v>0</v>
      </c>
      <c r="AA44" s="48">
        <f t="shared" si="54"/>
        <v>0</v>
      </c>
      <c r="AB44" s="48">
        <f t="shared" si="54"/>
        <v>0</v>
      </c>
      <c r="AC44" s="48">
        <f t="shared" si="54"/>
        <v>0</v>
      </c>
      <c r="AD44" s="48">
        <f t="shared" si="54"/>
        <v>0</v>
      </c>
      <c r="AE44" s="48">
        <f t="shared" si="54"/>
        <v>0</v>
      </c>
      <c r="AF44" s="48">
        <f t="shared" si="54"/>
        <v>0</v>
      </c>
      <c r="AG44" s="48">
        <f t="shared" si="54"/>
        <v>0</v>
      </c>
      <c r="AH44" s="48">
        <f t="shared" si="54"/>
        <v>0</v>
      </c>
      <c r="AI44" s="48">
        <f t="shared" si="54"/>
        <v>-69695</v>
      </c>
      <c r="AJ44" s="48">
        <f t="shared" si="54"/>
        <v>0</v>
      </c>
      <c r="AK44" s="48">
        <f t="shared" si="54"/>
        <v>0</v>
      </c>
      <c r="AL44" s="48">
        <f t="shared" si="54"/>
        <v>0</v>
      </c>
      <c r="AM44" s="48">
        <f t="shared" si="54"/>
        <v>0</v>
      </c>
      <c r="AN44" s="48">
        <f t="shared" si="54"/>
        <v>0</v>
      </c>
      <c r="AO44" s="48">
        <f t="shared" si="54"/>
        <v>0</v>
      </c>
      <c r="AP44" s="48">
        <f t="shared" si="54"/>
        <v>0</v>
      </c>
      <c r="AQ44" s="48">
        <f t="shared" si="54"/>
        <v>0</v>
      </c>
      <c r="AR44" s="48">
        <f t="shared" si="54"/>
        <v>0</v>
      </c>
      <c r="AS44" s="48">
        <f t="shared" si="54"/>
        <v>0</v>
      </c>
      <c r="AT44" s="48">
        <f t="shared" si="54"/>
        <v>0</v>
      </c>
      <c r="AU44" s="48">
        <f t="shared" si="54"/>
        <v>0</v>
      </c>
      <c r="AV44" s="48">
        <f t="shared" si="54"/>
        <v>0</v>
      </c>
      <c r="AW44" s="48">
        <f t="shared" si="54"/>
        <v>0</v>
      </c>
      <c r="AX44" s="48">
        <f t="shared" si="54"/>
        <v>0</v>
      </c>
      <c r="AY44" s="48">
        <f t="shared" si="54"/>
        <v>0</v>
      </c>
      <c r="AZ44" s="48">
        <f t="shared" si="54"/>
        <v>75047400</v>
      </c>
      <c r="BA44" s="48">
        <f t="shared" si="54"/>
        <v>0</v>
      </c>
      <c r="BB44" s="48">
        <f>-BB176-BB184-BB187</f>
        <v>0</v>
      </c>
      <c r="BC44" s="48">
        <f>-BC176-BC184-BC187</f>
        <v>248316699.11357999</v>
      </c>
      <c r="BD44" s="48">
        <f>-BD176-BD184-BD187</f>
        <v>0</v>
      </c>
      <c r="BE44" s="48">
        <f>-BE176-BE184-BE187</f>
        <v>-3720953</v>
      </c>
      <c r="BF44" s="48">
        <f>-BF176-BF184-BF187</f>
        <v>0</v>
      </c>
    </row>
    <row r="45" spans="1:58" ht="14.1" customHeight="1">
      <c r="A45" s="247">
        <f t="shared" si="11"/>
        <v>39</v>
      </c>
      <c r="B45" s="14" t="s">
        <v>382</v>
      </c>
      <c r="C45" s="43">
        <f t="shared" si="52"/>
        <v>-456629493.35852003</v>
      </c>
      <c r="D45" s="43">
        <f t="shared" ref="D45:K45" si="55">SUM(D43:D44)</f>
        <v>0</v>
      </c>
      <c r="E45" s="43">
        <f t="shared" si="55"/>
        <v>0</v>
      </c>
      <c r="F45" s="43">
        <f t="shared" si="55"/>
        <v>0</v>
      </c>
      <c r="G45" s="43">
        <f t="shared" si="55"/>
        <v>0</v>
      </c>
      <c r="H45" s="43">
        <f t="shared" si="55"/>
        <v>0</v>
      </c>
      <c r="I45" s="43">
        <f t="shared" si="55"/>
        <v>0</v>
      </c>
      <c r="J45" s="43">
        <f t="shared" si="55"/>
        <v>0</v>
      </c>
      <c r="K45" s="43">
        <f t="shared" si="55"/>
        <v>0</v>
      </c>
      <c r="L45" s="43">
        <f t="shared" ref="L45:AB45" si="56">SUM(L43:L44)</f>
        <v>0</v>
      </c>
      <c r="M45" s="43">
        <f t="shared" si="56"/>
        <v>0</v>
      </c>
      <c r="N45" s="43">
        <f t="shared" si="56"/>
        <v>0</v>
      </c>
      <c r="O45" s="43">
        <f t="shared" si="56"/>
        <v>0</v>
      </c>
      <c r="P45" s="43">
        <f t="shared" si="56"/>
        <v>0</v>
      </c>
      <c r="Q45" s="43">
        <f t="shared" si="56"/>
        <v>0</v>
      </c>
      <c r="R45" s="43">
        <f t="shared" si="56"/>
        <v>0</v>
      </c>
      <c r="S45" s="43">
        <f t="shared" si="56"/>
        <v>0</v>
      </c>
      <c r="T45" s="43">
        <f t="shared" si="56"/>
        <v>0</v>
      </c>
      <c r="U45" s="43">
        <f t="shared" si="56"/>
        <v>0</v>
      </c>
      <c r="V45" s="43">
        <f t="shared" si="56"/>
        <v>0</v>
      </c>
      <c r="W45" s="43">
        <f t="shared" si="56"/>
        <v>0</v>
      </c>
      <c r="X45" s="43">
        <f t="shared" si="56"/>
        <v>0</v>
      </c>
      <c r="Y45" s="43">
        <f t="shared" si="56"/>
        <v>0</v>
      </c>
      <c r="Z45" s="43">
        <f t="shared" si="56"/>
        <v>0</v>
      </c>
      <c r="AA45" s="43">
        <f t="shared" si="56"/>
        <v>0</v>
      </c>
      <c r="AB45" s="43">
        <f t="shared" si="56"/>
        <v>0</v>
      </c>
      <c r="AC45" s="43">
        <f t="shared" ref="AC45:AJ45" si="57">SUM(AC43:AC44)</f>
        <v>0</v>
      </c>
      <c r="AD45" s="43">
        <f t="shared" si="57"/>
        <v>0</v>
      </c>
      <c r="AE45" s="43">
        <f t="shared" si="57"/>
        <v>0</v>
      </c>
      <c r="AF45" s="43">
        <f t="shared" si="57"/>
        <v>0</v>
      </c>
      <c r="AG45" s="43">
        <f t="shared" si="57"/>
        <v>0</v>
      </c>
      <c r="AH45" s="43">
        <f t="shared" si="57"/>
        <v>0</v>
      </c>
      <c r="AI45" s="43">
        <f t="shared" si="57"/>
        <v>-69695</v>
      </c>
      <c r="AJ45" s="43">
        <f t="shared" si="57"/>
        <v>0</v>
      </c>
      <c r="AK45" s="43">
        <f t="shared" ref="AK45:AU45" si="58">SUM(AK43:AK44)</f>
        <v>0</v>
      </c>
      <c r="AL45" s="43">
        <f t="shared" si="58"/>
        <v>0</v>
      </c>
      <c r="AM45" s="43">
        <f t="shared" si="58"/>
        <v>0</v>
      </c>
      <c r="AN45" s="43">
        <f t="shared" si="58"/>
        <v>0</v>
      </c>
      <c r="AO45" s="43">
        <f t="shared" si="58"/>
        <v>0</v>
      </c>
      <c r="AP45" s="43">
        <f t="shared" si="58"/>
        <v>0</v>
      </c>
      <c r="AQ45" s="43">
        <f t="shared" si="58"/>
        <v>0</v>
      </c>
      <c r="AR45" s="43">
        <f t="shared" si="58"/>
        <v>0</v>
      </c>
      <c r="AS45" s="43">
        <f t="shared" si="58"/>
        <v>0</v>
      </c>
      <c r="AT45" s="43">
        <f t="shared" si="58"/>
        <v>0</v>
      </c>
      <c r="AU45" s="43">
        <f t="shared" si="58"/>
        <v>0</v>
      </c>
      <c r="AV45" s="43">
        <f t="shared" ref="AV45:BA45" si="59">SUM(AV43:AV44)</f>
        <v>0</v>
      </c>
      <c r="AW45" s="43">
        <f t="shared" si="59"/>
        <v>0</v>
      </c>
      <c r="AX45" s="43">
        <f t="shared" si="59"/>
        <v>0</v>
      </c>
      <c r="AY45" s="43">
        <f t="shared" si="59"/>
        <v>0</v>
      </c>
      <c r="AZ45" s="43">
        <f t="shared" si="59"/>
        <v>-247565304</v>
      </c>
      <c r="BA45" s="43">
        <f t="shared" si="59"/>
        <v>0</v>
      </c>
      <c r="BB45" s="43">
        <f>SUM(BB43:BB44)</f>
        <v>0</v>
      </c>
      <c r="BC45" s="43">
        <f>SUM(BC43:BC44)</f>
        <v>-205273541.35852003</v>
      </c>
      <c r="BD45" s="43">
        <f>SUM(BD43:BD44)</f>
        <v>0</v>
      </c>
      <c r="BE45" s="43">
        <f>SUM(BE43:BE44)</f>
        <v>-3720953</v>
      </c>
      <c r="BF45" s="43">
        <f>SUM(BF43:BF44)</f>
        <v>0</v>
      </c>
    </row>
    <row r="46" spans="1:58" ht="14.1" customHeight="1">
      <c r="A46" s="247">
        <f t="shared" si="11"/>
        <v>40</v>
      </c>
      <c r="B46" s="203" t="s">
        <v>48</v>
      </c>
      <c r="C46" s="43">
        <f t="shared" si="52"/>
        <v>0</v>
      </c>
      <c r="D46" s="48">
        <f>D221</f>
        <v>0</v>
      </c>
      <c r="E46" s="48">
        <f t="shared" ref="E46:BA46" si="60">E221</f>
        <v>0</v>
      </c>
      <c r="F46" s="48">
        <f t="shared" si="60"/>
        <v>0</v>
      </c>
      <c r="G46" s="48">
        <f t="shared" si="60"/>
        <v>0</v>
      </c>
      <c r="H46" s="48">
        <f t="shared" si="60"/>
        <v>0</v>
      </c>
      <c r="I46" s="48">
        <f t="shared" si="60"/>
        <v>0</v>
      </c>
      <c r="J46" s="48">
        <f t="shared" si="60"/>
        <v>0</v>
      </c>
      <c r="K46" s="48">
        <f t="shared" si="60"/>
        <v>0</v>
      </c>
      <c r="L46" s="48">
        <f t="shared" si="60"/>
        <v>0</v>
      </c>
      <c r="M46" s="48">
        <f t="shared" si="60"/>
        <v>0</v>
      </c>
      <c r="N46" s="48">
        <f t="shared" si="60"/>
        <v>0</v>
      </c>
      <c r="O46" s="48">
        <f t="shared" si="60"/>
        <v>0</v>
      </c>
      <c r="P46" s="48">
        <f t="shared" si="60"/>
        <v>0</v>
      </c>
      <c r="Q46" s="48">
        <f t="shared" si="60"/>
        <v>0</v>
      </c>
      <c r="R46" s="48">
        <f t="shared" si="60"/>
        <v>0</v>
      </c>
      <c r="S46" s="48">
        <f t="shared" si="60"/>
        <v>0</v>
      </c>
      <c r="T46" s="48">
        <f t="shared" si="60"/>
        <v>0</v>
      </c>
      <c r="U46" s="48">
        <f t="shared" si="60"/>
        <v>0</v>
      </c>
      <c r="V46" s="48">
        <f t="shared" si="60"/>
        <v>0</v>
      </c>
      <c r="W46" s="48">
        <f t="shared" si="60"/>
        <v>0</v>
      </c>
      <c r="X46" s="48">
        <f t="shared" si="60"/>
        <v>0</v>
      </c>
      <c r="Y46" s="48">
        <f t="shared" si="60"/>
        <v>0</v>
      </c>
      <c r="Z46" s="48">
        <f t="shared" si="60"/>
        <v>0</v>
      </c>
      <c r="AA46" s="48">
        <f t="shared" si="60"/>
        <v>0</v>
      </c>
      <c r="AB46" s="48">
        <f t="shared" si="60"/>
        <v>0</v>
      </c>
      <c r="AC46" s="48">
        <f t="shared" si="60"/>
        <v>0</v>
      </c>
      <c r="AD46" s="48">
        <f t="shared" si="60"/>
        <v>0</v>
      </c>
      <c r="AE46" s="48">
        <f t="shared" si="60"/>
        <v>0</v>
      </c>
      <c r="AF46" s="48">
        <f t="shared" si="60"/>
        <v>0</v>
      </c>
      <c r="AG46" s="48">
        <f t="shared" si="60"/>
        <v>0</v>
      </c>
      <c r="AH46" s="48">
        <f t="shared" si="60"/>
        <v>0</v>
      </c>
      <c r="AI46" s="48">
        <f t="shared" si="60"/>
        <v>0</v>
      </c>
      <c r="AJ46" s="48">
        <f t="shared" si="60"/>
        <v>0</v>
      </c>
      <c r="AK46" s="48">
        <f t="shared" si="60"/>
        <v>0</v>
      </c>
      <c r="AL46" s="48">
        <f t="shared" si="60"/>
        <v>0</v>
      </c>
      <c r="AM46" s="48">
        <f t="shared" si="60"/>
        <v>0</v>
      </c>
      <c r="AN46" s="48">
        <f t="shared" si="60"/>
        <v>0</v>
      </c>
      <c r="AO46" s="48">
        <f t="shared" si="60"/>
        <v>0</v>
      </c>
      <c r="AP46" s="48">
        <f t="shared" si="60"/>
        <v>0</v>
      </c>
      <c r="AQ46" s="48">
        <f t="shared" si="60"/>
        <v>0</v>
      </c>
      <c r="AR46" s="48">
        <f t="shared" si="60"/>
        <v>0</v>
      </c>
      <c r="AS46" s="48">
        <f t="shared" si="60"/>
        <v>0</v>
      </c>
      <c r="AT46" s="48">
        <f t="shared" si="60"/>
        <v>0</v>
      </c>
      <c r="AU46" s="48">
        <f t="shared" si="60"/>
        <v>0</v>
      </c>
      <c r="AV46" s="48">
        <f t="shared" si="60"/>
        <v>0</v>
      </c>
      <c r="AW46" s="48">
        <f t="shared" si="60"/>
        <v>0</v>
      </c>
      <c r="AX46" s="48">
        <f t="shared" si="60"/>
        <v>0</v>
      </c>
      <c r="AY46" s="48">
        <f t="shared" si="60"/>
        <v>0</v>
      </c>
      <c r="AZ46" s="48">
        <f t="shared" si="60"/>
        <v>0</v>
      </c>
      <c r="BA46" s="48">
        <f t="shared" si="60"/>
        <v>0</v>
      </c>
      <c r="BB46" s="48">
        <f>BB221</f>
        <v>0</v>
      </c>
      <c r="BC46" s="48">
        <f>BC221</f>
        <v>0</v>
      </c>
      <c r="BD46" s="48">
        <f>BD221</f>
        <v>0</v>
      </c>
      <c r="BE46" s="48">
        <f>BE221</f>
        <v>0</v>
      </c>
      <c r="BF46" s="48">
        <f>BF221</f>
        <v>0</v>
      </c>
    </row>
    <row r="47" spans="1:58" ht="14.1" customHeight="1">
      <c r="A47" s="247">
        <f t="shared" si="11"/>
        <v>41</v>
      </c>
      <c r="B47" s="203" t="s">
        <v>383</v>
      </c>
      <c r="C47" s="43">
        <f t="shared" si="52"/>
        <v>0</v>
      </c>
      <c r="D47" s="48">
        <f>D232+D233</f>
        <v>0</v>
      </c>
      <c r="E47" s="48">
        <f t="shared" ref="E47:BA47" si="61">E232+E233</f>
        <v>0</v>
      </c>
      <c r="F47" s="48">
        <f t="shared" si="61"/>
        <v>0</v>
      </c>
      <c r="G47" s="48">
        <f t="shared" si="61"/>
        <v>0</v>
      </c>
      <c r="H47" s="48">
        <f t="shared" si="61"/>
        <v>0</v>
      </c>
      <c r="I47" s="48">
        <f t="shared" si="61"/>
        <v>0</v>
      </c>
      <c r="J47" s="48">
        <f t="shared" si="61"/>
        <v>0</v>
      </c>
      <c r="K47" s="48">
        <f t="shared" si="61"/>
        <v>0</v>
      </c>
      <c r="L47" s="48">
        <f t="shared" si="61"/>
        <v>0</v>
      </c>
      <c r="M47" s="48">
        <f t="shared" si="61"/>
        <v>0</v>
      </c>
      <c r="N47" s="48">
        <f t="shared" si="61"/>
        <v>0</v>
      </c>
      <c r="O47" s="48">
        <f t="shared" si="61"/>
        <v>0</v>
      </c>
      <c r="P47" s="48">
        <f t="shared" si="61"/>
        <v>0</v>
      </c>
      <c r="Q47" s="48">
        <f t="shared" si="61"/>
        <v>0</v>
      </c>
      <c r="R47" s="48">
        <f t="shared" si="61"/>
        <v>0</v>
      </c>
      <c r="S47" s="48">
        <f t="shared" si="61"/>
        <v>0</v>
      </c>
      <c r="T47" s="48">
        <f t="shared" si="61"/>
        <v>0</v>
      </c>
      <c r="U47" s="48">
        <f t="shared" si="61"/>
        <v>0</v>
      </c>
      <c r="V47" s="48">
        <f t="shared" si="61"/>
        <v>0</v>
      </c>
      <c r="W47" s="48">
        <f t="shared" si="61"/>
        <v>0</v>
      </c>
      <c r="X47" s="48">
        <f t="shared" si="61"/>
        <v>0</v>
      </c>
      <c r="Y47" s="48">
        <f t="shared" si="61"/>
        <v>0</v>
      </c>
      <c r="Z47" s="48">
        <f t="shared" si="61"/>
        <v>0</v>
      </c>
      <c r="AA47" s="48">
        <f t="shared" si="61"/>
        <v>0</v>
      </c>
      <c r="AB47" s="48">
        <f t="shared" si="61"/>
        <v>0</v>
      </c>
      <c r="AC47" s="48">
        <f t="shared" si="61"/>
        <v>0</v>
      </c>
      <c r="AD47" s="48">
        <f t="shared" si="61"/>
        <v>0</v>
      </c>
      <c r="AE47" s="48">
        <f t="shared" si="61"/>
        <v>0</v>
      </c>
      <c r="AF47" s="48">
        <f t="shared" si="61"/>
        <v>0</v>
      </c>
      <c r="AG47" s="48">
        <f t="shared" si="61"/>
        <v>0</v>
      </c>
      <c r="AH47" s="48">
        <f t="shared" si="61"/>
        <v>0</v>
      </c>
      <c r="AI47" s="48">
        <f t="shared" si="61"/>
        <v>0</v>
      </c>
      <c r="AJ47" s="48">
        <f t="shared" si="61"/>
        <v>0</v>
      </c>
      <c r="AK47" s="48">
        <f t="shared" si="61"/>
        <v>0</v>
      </c>
      <c r="AL47" s="48">
        <f t="shared" si="61"/>
        <v>0</v>
      </c>
      <c r="AM47" s="48">
        <f t="shared" si="61"/>
        <v>0</v>
      </c>
      <c r="AN47" s="48">
        <f t="shared" si="61"/>
        <v>0</v>
      </c>
      <c r="AO47" s="48">
        <f t="shared" si="61"/>
        <v>0</v>
      </c>
      <c r="AP47" s="48">
        <f t="shared" si="61"/>
        <v>0</v>
      </c>
      <c r="AQ47" s="48">
        <f t="shared" si="61"/>
        <v>0</v>
      </c>
      <c r="AR47" s="48">
        <f t="shared" si="61"/>
        <v>0</v>
      </c>
      <c r="AS47" s="48">
        <f t="shared" si="61"/>
        <v>0</v>
      </c>
      <c r="AT47" s="48">
        <f t="shared" si="61"/>
        <v>0</v>
      </c>
      <c r="AU47" s="48">
        <f t="shared" si="61"/>
        <v>0</v>
      </c>
      <c r="AV47" s="48">
        <f t="shared" si="61"/>
        <v>0</v>
      </c>
      <c r="AW47" s="48">
        <f t="shared" si="61"/>
        <v>0</v>
      </c>
      <c r="AX47" s="48">
        <f t="shared" si="61"/>
        <v>0</v>
      </c>
      <c r="AY47" s="48">
        <f t="shared" si="61"/>
        <v>0</v>
      </c>
      <c r="AZ47" s="48">
        <f t="shared" si="61"/>
        <v>0</v>
      </c>
      <c r="BA47" s="48">
        <f t="shared" si="61"/>
        <v>0</v>
      </c>
      <c r="BB47" s="48">
        <f>BB232+BB233</f>
        <v>0</v>
      </c>
      <c r="BC47" s="48">
        <f>BC232+BC233</f>
        <v>0</v>
      </c>
      <c r="BD47" s="48">
        <f>BD232+BD233</f>
        <v>0</v>
      </c>
      <c r="BE47" s="48">
        <f>BE232+BE233</f>
        <v>0</v>
      </c>
      <c r="BF47" s="48">
        <f>BF232+BF233</f>
        <v>0</v>
      </c>
    </row>
    <row r="48" spans="1:58" ht="14.1" customHeight="1">
      <c r="A48" s="247">
        <f t="shared" si="11"/>
        <v>42</v>
      </c>
      <c r="B48" s="203" t="s">
        <v>384</v>
      </c>
      <c r="C48" s="43">
        <f t="shared" si="52"/>
        <v>-24313539</v>
      </c>
      <c r="D48" s="48">
        <f>SUM(D224:D228)</f>
        <v>0</v>
      </c>
      <c r="E48" s="48">
        <f t="shared" ref="E48:BA48" si="62">SUM(E224:E228)</f>
        <v>0</v>
      </c>
      <c r="F48" s="48">
        <f t="shared" si="62"/>
        <v>0</v>
      </c>
      <c r="G48" s="48">
        <f t="shared" si="62"/>
        <v>0</v>
      </c>
      <c r="H48" s="48">
        <f t="shared" si="62"/>
        <v>0</v>
      </c>
      <c r="I48" s="48">
        <f t="shared" si="62"/>
        <v>0</v>
      </c>
      <c r="J48" s="48">
        <f t="shared" si="62"/>
        <v>0</v>
      </c>
      <c r="K48" s="48">
        <f t="shared" si="62"/>
        <v>0</v>
      </c>
      <c r="L48" s="48">
        <f t="shared" si="62"/>
        <v>0</v>
      </c>
      <c r="M48" s="48">
        <f t="shared" si="62"/>
        <v>0</v>
      </c>
      <c r="N48" s="48">
        <f t="shared" si="62"/>
        <v>0</v>
      </c>
      <c r="O48" s="48">
        <f t="shared" si="62"/>
        <v>0</v>
      </c>
      <c r="P48" s="48">
        <f t="shared" si="62"/>
        <v>0</v>
      </c>
      <c r="Q48" s="48">
        <f t="shared" si="62"/>
        <v>0</v>
      </c>
      <c r="R48" s="48">
        <f t="shared" si="62"/>
        <v>0</v>
      </c>
      <c r="S48" s="48">
        <f t="shared" si="62"/>
        <v>0</v>
      </c>
      <c r="T48" s="48">
        <f t="shared" si="62"/>
        <v>0</v>
      </c>
      <c r="U48" s="48">
        <f t="shared" si="62"/>
        <v>0</v>
      </c>
      <c r="V48" s="48">
        <f t="shared" si="62"/>
        <v>0</v>
      </c>
      <c r="W48" s="48">
        <f t="shared" si="62"/>
        <v>0</v>
      </c>
      <c r="X48" s="48">
        <f t="shared" si="62"/>
        <v>0</v>
      </c>
      <c r="Y48" s="48">
        <f t="shared" si="62"/>
        <v>0</v>
      </c>
      <c r="Z48" s="48">
        <f t="shared" si="62"/>
        <v>0</v>
      </c>
      <c r="AA48" s="48">
        <f t="shared" si="62"/>
        <v>0</v>
      </c>
      <c r="AB48" s="48">
        <f t="shared" si="62"/>
        <v>0</v>
      </c>
      <c r="AC48" s="48">
        <f t="shared" si="62"/>
        <v>0</v>
      </c>
      <c r="AD48" s="48">
        <f t="shared" si="62"/>
        <v>0</v>
      </c>
      <c r="AE48" s="48">
        <f t="shared" si="62"/>
        <v>0</v>
      </c>
      <c r="AF48" s="48">
        <f t="shared" si="62"/>
        <v>0</v>
      </c>
      <c r="AG48" s="48">
        <f t="shared" si="62"/>
        <v>0</v>
      </c>
      <c r="AH48" s="48">
        <f t="shared" si="62"/>
        <v>0</v>
      </c>
      <c r="AI48" s="48">
        <f t="shared" si="62"/>
        <v>0</v>
      </c>
      <c r="AJ48" s="48">
        <f t="shared" si="62"/>
        <v>0</v>
      </c>
      <c r="AK48" s="48">
        <f t="shared" si="62"/>
        <v>0</v>
      </c>
      <c r="AL48" s="48">
        <f t="shared" si="62"/>
        <v>0</v>
      </c>
      <c r="AM48" s="48">
        <f t="shared" si="62"/>
        <v>0</v>
      </c>
      <c r="AN48" s="48">
        <f t="shared" si="62"/>
        <v>0</v>
      </c>
      <c r="AO48" s="48">
        <f t="shared" si="62"/>
        <v>0</v>
      </c>
      <c r="AP48" s="48">
        <f t="shared" si="62"/>
        <v>0</v>
      </c>
      <c r="AQ48" s="48">
        <f t="shared" si="62"/>
        <v>0</v>
      </c>
      <c r="AR48" s="48">
        <f t="shared" si="62"/>
        <v>0</v>
      </c>
      <c r="AS48" s="48">
        <f t="shared" si="62"/>
        <v>0</v>
      </c>
      <c r="AT48" s="48">
        <f t="shared" si="62"/>
        <v>0</v>
      </c>
      <c r="AU48" s="48">
        <f t="shared" si="62"/>
        <v>0</v>
      </c>
      <c r="AV48" s="48">
        <f t="shared" si="62"/>
        <v>0</v>
      </c>
      <c r="AW48" s="48">
        <f t="shared" si="62"/>
        <v>0</v>
      </c>
      <c r="AX48" s="48">
        <f t="shared" si="62"/>
        <v>0</v>
      </c>
      <c r="AY48" s="48">
        <f t="shared" si="62"/>
        <v>0</v>
      </c>
      <c r="AZ48" s="48">
        <f t="shared" si="62"/>
        <v>0</v>
      </c>
      <c r="BA48" s="48">
        <f t="shared" si="62"/>
        <v>664080</v>
      </c>
      <c r="BB48" s="48">
        <f>SUM(BB224:BB228)</f>
        <v>-18709274</v>
      </c>
      <c r="BC48" s="48">
        <f>SUM(BC224:BC228)</f>
        <v>0</v>
      </c>
      <c r="BD48" s="48">
        <f>SUM(BD224:BD228)</f>
        <v>-6268345</v>
      </c>
      <c r="BE48" s="48">
        <f>SUM(BE224:BE228)</f>
        <v>0</v>
      </c>
      <c r="BF48" s="48">
        <f>SUM(BF224:BF228)</f>
        <v>0</v>
      </c>
    </row>
    <row r="49" spans="1:58" ht="14.1" customHeight="1">
      <c r="A49" s="247">
        <f t="shared" si="11"/>
        <v>43</v>
      </c>
      <c r="B49" s="203" t="s">
        <v>385</v>
      </c>
      <c r="C49" s="43">
        <f t="shared" si="52"/>
        <v>2100138.875</v>
      </c>
      <c r="D49" s="48">
        <f>D434</f>
        <v>0</v>
      </c>
      <c r="E49" s="48">
        <f t="shared" ref="E49:BA49" si="63">E434</f>
        <v>-443588.875</v>
      </c>
      <c r="F49" s="48">
        <f t="shared" si="63"/>
        <v>0</v>
      </c>
      <c r="G49" s="48">
        <f t="shared" si="63"/>
        <v>0</v>
      </c>
      <c r="H49" s="48">
        <f t="shared" si="63"/>
        <v>-29881.5</v>
      </c>
      <c r="I49" s="48">
        <f t="shared" si="63"/>
        <v>0</v>
      </c>
      <c r="J49" s="48">
        <f t="shared" si="63"/>
        <v>0</v>
      </c>
      <c r="K49" s="48">
        <f t="shared" si="63"/>
        <v>0</v>
      </c>
      <c r="L49" s="48">
        <f t="shared" si="63"/>
        <v>-1310105.125</v>
      </c>
      <c r="M49" s="48">
        <f t="shared" si="63"/>
        <v>7590355.625</v>
      </c>
      <c r="N49" s="48">
        <f t="shared" si="63"/>
        <v>-302.75</v>
      </c>
      <c r="O49" s="48">
        <f t="shared" si="63"/>
        <v>0</v>
      </c>
      <c r="P49" s="48">
        <f t="shared" si="63"/>
        <v>-80970.375</v>
      </c>
      <c r="Q49" s="48">
        <f t="shared" si="63"/>
        <v>-279684.375</v>
      </c>
      <c r="R49" s="48">
        <f t="shared" si="63"/>
        <v>32254.625</v>
      </c>
      <c r="S49" s="48">
        <f t="shared" si="63"/>
        <v>1527.375</v>
      </c>
      <c r="T49" s="48">
        <f t="shared" si="63"/>
        <v>-3826.25</v>
      </c>
      <c r="U49" s="48">
        <f t="shared" si="63"/>
        <v>9121.75</v>
      </c>
      <c r="V49" s="48">
        <f t="shared" si="63"/>
        <v>1331987.5</v>
      </c>
      <c r="W49" s="48">
        <f t="shared" si="63"/>
        <v>-25822.5</v>
      </c>
      <c r="X49" s="48">
        <f t="shared" si="63"/>
        <v>6563.125</v>
      </c>
      <c r="Y49" s="48">
        <f t="shared" si="63"/>
        <v>4303.125</v>
      </c>
      <c r="Z49" s="48">
        <f t="shared" si="63"/>
        <v>12916.25</v>
      </c>
      <c r="AA49" s="48">
        <f t="shared" si="63"/>
        <v>138161.625</v>
      </c>
      <c r="AB49" s="48">
        <f t="shared" si="63"/>
        <v>-121688.5</v>
      </c>
      <c r="AC49" s="48">
        <f t="shared" si="63"/>
        <v>3697</v>
      </c>
      <c r="AD49" s="48">
        <f t="shared" si="63"/>
        <v>-5339667.125</v>
      </c>
      <c r="AE49" s="48">
        <f t="shared" si="63"/>
        <v>948037.75</v>
      </c>
      <c r="AF49" s="48">
        <f t="shared" si="63"/>
        <v>1104981.25</v>
      </c>
      <c r="AG49" s="48">
        <f t="shared" si="63"/>
        <v>402976.125</v>
      </c>
      <c r="AH49" s="48">
        <f t="shared" si="63"/>
        <v>-1859918.75</v>
      </c>
      <c r="AI49" s="48">
        <f t="shared" si="63"/>
        <v>8711.875</v>
      </c>
      <c r="AJ49" s="48">
        <f t="shared" si="63"/>
        <v>0</v>
      </c>
      <c r="AK49" s="48">
        <f t="shared" si="63"/>
        <v>0</v>
      </c>
      <c r="AL49" s="48">
        <f t="shared" si="63"/>
        <v>0</v>
      </c>
      <c r="AM49" s="48">
        <f t="shared" si="63"/>
        <v>0</v>
      </c>
      <c r="AN49" s="48">
        <f t="shared" si="63"/>
        <v>0</v>
      </c>
      <c r="AO49" s="48">
        <f t="shared" si="63"/>
        <v>0</v>
      </c>
      <c r="AP49" s="48">
        <f t="shared" si="63"/>
        <v>0</v>
      </c>
      <c r="AQ49" s="48">
        <f t="shared" si="63"/>
        <v>0</v>
      </c>
      <c r="AR49" s="48">
        <f t="shared" si="63"/>
        <v>0</v>
      </c>
      <c r="AS49" s="48">
        <f t="shared" si="63"/>
        <v>0</v>
      </c>
      <c r="AT49" s="48">
        <f t="shared" si="63"/>
        <v>0</v>
      </c>
      <c r="AU49" s="48">
        <f t="shared" si="63"/>
        <v>0</v>
      </c>
      <c r="AV49" s="48">
        <f t="shared" si="63"/>
        <v>0</v>
      </c>
      <c r="AW49" s="48">
        <f t="shared" si="63"/>
        <v>0</v>
      </c>
      <c r="AX49" s="48">
        <f t="shared" si="63"/>
        <v>0</v>
      </c>
      <c r="AY49" s="48">
        <f t="shared" si="63"/>
        <v>0</v>
      </c>
      <c r="AZ49" s="48">
        <f t="shared" si="63"/>
        <v>0</v>
      </c>
      <c r="BA49" s="48">
        <f t="shared" si="63"/>
        <v>0</v>
      </c>
      <c r="BB49" s="48">
        <f>BB434</f>
        <v>0</v>
      </c>
      <c r="BC49" s="48">
        <f>BC434</f>
        <v>0</v>
      </c>
      <c r="BD49" s="48">
        <f>BD434</f>
        <v>0</v>
      </c>
      <c r="BE49" s="48">
        <f>BE434</f>
        <v>0</v>
      </c>
      <c r="BF49" s="48">
        <f>BF434</f>
        <v>0</v>
      </c>
    </row>
    <row r="50" spans="1:58" ht="14.1" customHeight="1">
      <c r="A50" s="247">
        <f t="shared" si="11"/>
        <v>44</v>
      </c>
      <c r="B50" s="203" t="s">
        <v>47</v>
      </c>
      <c r="C50" s="43">
        <f t="shared" si="52"/>
        <v>-1584601</v>
      </c>
      <c r="D50" s="48">
        <f>D198+D202+D206+D210</f>
        <v>0</v>
      </c>
      <c r="E50" s="48">
        <f t="shared" ref="E50:BA50" si="64">E198+E202+E206+E210</f>
        <v>0</v>
      </c>
      <c r="F50" s="48">
        <f t="shared" si="64"/>
        <v>0</v>
      </c>
      <c r="G50" s="48">
        <f t="shared" si="64"/>
        <v>0</v>
      </c>
      <c r="H50" s="48">
        <f t="shared" si="64"/>
        <v>0</v>
      </c>
      <c r="I50" s="48">
        <f t="shared" si="64"/>
        <v>0</v>
      </c>
      <c r="J50" s="48">
        <f t="shared" si="64"/>
        <v>0</v>
      </c>
      <c r="K50" s="48">
        <f t="shared" si="64"/>
        <v>0</v>
      </c>
      <c r="L50" s="48">
        <f t="shared" si="64"/>
        <v>0</v>
      </c>
      <c r="M50" s="48">
        <f t="shared" si="64"/>
        <v>0</v>
      </c>
      <c r="N50" s="48">
        <f t="shared" si="64"/>
        <v>0</v>
      </c>
      <c r="O50" s="48">
        <f t="shared" si="64"/>
        <v>0</v>
      </c>
      <c r="P50" s="48">
        <f t="shared" si="64"/>
        <v>0</v>
      </c>
      <c r="Q50" s="48">
        <f t="shared" si="64"/>
        <v>0</v>
      </c>
      <c r="R50" s="48">
        <f t="shared" si="64"/>
        <v>0</v>
      </c>
      <c r="S50" s="48">
        <f t="shared" si="64"/>
        <v>0</v>
      </c>
      <c r="T50" s="48">
        <f t="shared" si="64"/>
        <v>0</v>
      </c>
      <c r="U50" s="48">
        <f t="shared" si="64"/>
        <v>0</v>
      </c>
      <c r="V50" s="48">
        <f t="shared" si="64"/>
        <v>0</v>
      </c>
      <c r="W50" s="48">
        <f t="shared" si="64"/>
        <v>0</v>
      </c>
      <c r="X50" s="48">
        <f t="shared" si="64"/>
        <v>0</v>
      </c>
      <c r="Y50" s="48">
        <f t="shared" si="64"/>
        <v>0</v>
      </c>
      <c r="Z50" s="48">
        <f t="shared" si="64"/>
        <v>0</v>
      </c>
      <c r="AA50" s="48">
        <f t="shared" si="64"/>
        <v>0</v>
      </c>
      <c r="AB50" s="48">
        <f t="shared" si="64"/>
        <v>0</v>
      </c>
      <c r="AC50" s="48">
        <f t="shared" si="64"/>
        <v>0</v>
      </c>
      <c r="AD50" s="48">
        <f t="shared" si="64"/>
        <v>0</v>
      </c>
      <c r="AE50" s="48">
        <f t="shared" si="64"/>
        <v>0</v>
      </c>
      <c r="AF50" s="48">
        <f t="shared" si="64"/>
        <v>0</v>
      </c>
      <c r="AG50" s="48">
        <f t="shared" si="64"/>
        <v>0</v>
      </c>
      <c r="AH50" s="48">
        <f t="shared" si="64"/>
        <v>0</v>
      </c>
      <c r="AI50" s="48">
        <f t="shared" si="64"/>
        <v>0</v>
      </c>
      <c r="AJ50" s="48">
        <f t="shared" si="64"/>
        <v>0</v>
      </c>
      <c r="AK50" s="48">
        <f t="shared" si="64"/>
        <v>0</v>
      </c>
      <c r="AL50" s="48">
        <f t="shared" si="64"/>
        <v>0</v>
      </c>
      <c r="AM50" s="48">
        <f t="shared" si="64"/>
        <v>0</v>
      </c>
      <c r="AN50" s="48">
        <f t="shared" si="64"/>
        <v>0</v>
      </c>
      <c r="AO50" s="48">
        <f t="shared" si="64"/>
        <v>0</v>
      </c>
      <c r="AP50" s="48">
        <f t="shared" si="64"/>
        <v>0</v>
      </c>
      <c r="AQ50" s="48">
        <f t="shared" si="64"/>
        <v>0</v>
      </c>
      <c r="AR50" s="48">
        <f t="shared" si="64"/>
        <v>0</v>
      </c>
      <c r="AS50" s="48">
        <f t="shared" si="64"/>
        <v>0</v>
      </c>
      <c r="AT50" s="48">
        <f t="shared" si="64"/>
        <v>0</v>
      </c>
      <c r="AU50" s="48">
        <f t="shared" si="64"/>
        <v>0</v>
      </c>
      <c r="AV50" s="48">
        <f t="shared" si="64"/>
        <v>0</v>
      </c>
      <c r="AW50" s="48">
        <f t="shared" si="64"/>
        <v>0</v>
      </c>
      <c r="AX50" s="48">
        <f t="shared" si="64"/>
        <v>0</v>
      </c>
      <c r="AY50" s="48">
        <f t="shared" si="64"/>
        <v>0</v>
      </c>
      <c r="AZ50" s="48">
        <f t="shared" si="64"/>
        <v>0</v>
      </c>
      <c r="BA50" s="48">
        <f t="shared" si="64"/>
        <v>0</v>
      </c>
      <c r="BB50" s="48">
        <f>BB198+BB202+BB206+BB210</f>
        <v>0</v>
      </c>
      <c r="BC50" s="48">
        <f>BC198+BC202+BC206+BC210</f>
        <v>0</v>
      </c>
      <c r="BD50" s="48">
        <f>BD198+BD202+BD206+BD210</f>
        <v>0</v>
      </c>
      <c r="BE50" s="48">
        <f>BE198+BE202+BE206+BE210</f>
        <v>-1584601</v>
      </c>
      <c r="BF50" s="48">
        <f>BF198+BF202+BF206+BF210</f>
        <v>0</v>
      </c>
    </row>
    <row r="51" spans="1:58" ht="14.1" customHeight="1">
      <c r="A51" s="247">
        <f t="shared" si="11"/>
        <v>45</v>
      </c>
      <c r="B51" s="203" t="s">
        <v>387</v>
      </c>
      <c r="C51" s="43">
        <f t="shared" si="52"/>
        <v>0</v>
      </c>
      <c r="D51" s="48">
        <f>(D244+D245)</f>
        <v>0</v>
      </c>
      <c r="E51" s="48">
        <f t="shared" ref="E51:M51" si="65">(E244+E245)</f>
        <v>0</v>
      </c>
      <c r="F51" s="48">
        <f t="shared" si="65"/>
        <v>0</v>
      </c>
      <c r="G51" s="48">
        <f t="shared" si="65"/>
        <v>0</v>
      </c>
      <c r="H51" s="48">
        <f t="shared" si="65"/>
        <v>0</v>
      </c>
      <c r="I51" s="48">
        <f t="shared" si="65"/>
        <v>0</v>
      </c>
      <c r="J51" s="48">
        <f t="shared" si="65"/>
        <v>0</v>
      </c>
      <c r="K51" s="48">
        <f t="shared" si="65"/>
        <v>0</v>
      </c>
      <c r="L51" s="48">
        <f t="shared" si="65"/>
        <v>0</v>
      </c>
      <c r="M51" s="48">
        <f t="shared" si="65"/>
        <v>0</v>
      </c>
      <c r="N51" s="48">
        <f>(N244+N245)</f>
        <v>0</v>
      </c>
      <c r="O51" s="48">
        <f t="shared" ref="O51:BA51" si="66">(O244+O245)</f>
        <v>0</v>
      </c>
      <c r="P51" s="48">
        <f t="shared" si="66"/>
        <v>0</v>
      </c>
      <c r="Q51" s="48">
        <f t="shared" si="66"/>
        <v>0</v>
      </c>
      <c r="R51" s="48">
        <f t="shared" si="66"/>
        <v>0</v>
      </c>
      <c r="S51" s="48">
        <f t="shared" si="66"/>
        <v>0</v>
      </c>
      <c r="T51" s="48">
        <f t="shared" si="66"/>
        <v>0</v>
      </c>
      <c r="U51" s="48">
        <f t="shared" si="66"/>
        <v>0</v>
      </c>
      <c r="V51" s="48">
        <f t="shared" si="66"/>
        <v>0</v>
      </c>
      <c r="W51" s="48">
        <f t="shared" si="66"/>
        <v>0</v>
      </c>
      <c r="X51" s="48">
        <f t="shared" si="66"/>
        <v>0</v>
      </c>
      <c r="Y51" s="48">
        <f t="shared" si="66"/>
        <v>0</v>
      </c>
      <c r="Z51" s="48">
        <f t="shared" si="66"/>
        <v>0</v>
      </c>
      <c r="AA51" s="48">
        <f t="shared" si="66"/>
        <v>0</v>
      </c>
      <c r="AB51" s="48">
        <f t="shared" si="66"/>
        <v>0</v>
      </c>
      <c r="AC51" s="48">
        <f t="shared" si="66"/>
        <v>0</v>
      </c>
      <c r="AD51" s="48">
        <f t="shared" si="66"/>
        <v>0</v>
      </c>
      <c r="AE51" s="48">
        <f t="shared" si="66"/>
        <v>0</v>
      </c>
      <c r="AF51" s="48">
        <f t="shared" si="66"/>
        <v>0</v>
      </c>
      <c r="AG51" s="48">
        <f t="shared" si="66"/>
        <v>0</v>
      </c>
      <c r="AH51" s="48">
        <f t="shared" si="66"/>
        <v>0</v>
      </c>
      <c r="AI51" s="48">
        <f t="shared" si="66"/>
        <v>0</v>
      </c>
      <c r="AJ51" s="48">
        <f t="shared" si="66"/>
        <v>0</v>
      </c>
      <c r="AK51" s="48">
        <f t="shared" si="66"/>
        <v>0</v>
      </c>
      <c r="AL51" s="48">
        <f t="shared" si="66"/>
        <v>0</v>
      </c>
      <c r="AM51" s="48">
        <f t="shared" si="66"/>
        <v>0</v>
      </c>
      <c r="AN51" s="48">
        <f t="shared" si="66"/>
        <v>0</v>
      </c>
      <c r="AO51" s="48">
        <f t="shared" si="66"/>
        <v>0</v>
      </c>
      <c r="AP51" s="48">
        <f t="shared" si="66"/>
        <v>0</v>
      </c>
      <c r="AQ51" s="48">
        <f t="shared" si="66"/>
        <v>0</v>
      </c>
      <c r="AR51" s="48">
        <f t="shared" si="66"/>
        <v>0</v>
      </c>
      <c r="AS51" s="48">
        <f t="shared" si="66"/>
        <v>0</v>
      </c>
      <c r="AT51" s="48">
        <f t="shared" si="66"/>
        <v>0</v>
      </c>
      <c r="AU51" s="48">
        <f t="shared" si="66"/>
        <v>0</v>
      </c>
      <c r="AV51" s="48">
        <f t="shared" si="66"/>
        <v>0</v>
      </c>
      <c r="AW51" s="48">
        <f t="shared" si="66"/>
        <v>0</v>
      </c>
      <c r="AX51" s="48">
        <f t="shared" si="66"/>
        <v>0</v>
      </c>
      <c r="AY51" s="48">
        <f t="shared" si="66"/>
        <v>0</v>
      </c>
      <c r="AZ51" s="48">
        <f t="shared" si="66"/>
        <v>0</v>
      </c>
      <c r="BA51" s="48">
        <f t="shared" si="66"/>
        <v>0</v>
      </c>
      <c r="BB51" s="48">
        <f>(BB244+BB245)</f>
        <v>0</v>
      </c>
      <c r="BC51" s="48">
        <f>(BC244+BC245)</f>
        <v>0</v>
      </c>
      <c r="BD51" s="48">
        <f>(BD244+BD245)</f>
        <v>0</v>
      </c>
      <c r="BE51" s="48">
        <f>(BE244+BE245)</f>
        <v>0</v>
      </c>
      <c r="BF51" s="48">
        <f>(BF244+BF245)</f>
        <v>0</v>
      </c>
    </row>
    <row r="52" spans="1:58" ht="14.1" customHeight="1">
      <c r="A52" s="247">
        <f t="shared" si="11"/>
        <v>46</v>
      </c>
      <c r="B52" s="92" t="s">
        <v>49</v>
      </c>
      <c r="C52" s="386">
        <f t="shared" si="52"/>
        <v>81691374</v>
      </c>
      <c r="D52" s="100">
        <f>D241</f>
        <v>0</v>
      </c>
      <c r="E52" s="100">
        <f t="shared" ref="E52:M52" si="67">E241</f>
        <v>0</v>
      </c>
      <c r="F52" s="100">
        <f t="shared" si="67"/>
        <v>0</v>
      </c>
      <c r="G52" s="100">
        <f t="shared" si="67"/>
        <v>0</v>
      </c>
      <c r="H52" s="100">
        <f t="shared" si="67"/>
        <v>0</v>
      </c>
      <c r="I52" s="100">
        <f t="shared" si="67"/>
        <v>0</v>
      </c>
      <c r="J52" s="100">
        <f t="shared" si="67"/>
        <v>0</v>
      </c>
      <c r="K52" s="100">
        <f t="shared" si="67"/>
        <v>0</v>
      </c>
      <c r="L52" s="100">
        <f t="shared" si="67"/>
        <v>0</v>
      </c>
      <c r="M52" s="100">
        <f t="shared" si="67"/>
        <v>0</v>
      </c>
      <c r="N52" s="100">
        <f>N241</f>
        <v>0</v>
      </c>
      <c r="O52" s="100">
        <f t="shared" ref="O52:BA52" si="68">O241</f>
        <v>0</v>
      </c>
      <c r="P52" s="100">
        <f t="shared" si="68"/>
        <v>0</v>
      </c>
      <c r="Q52" s="100">
        <f t="shared" si="68"/>
        <v>0</v>
      </c>
      <c r="R52" s="100">
        <f t="shared" si="68"/>
        <v>0</v>
      </c>
      <c r="S52" s="100">
        <f t="shared" si="68"/>
        <v>0</v>
      </c>
      <c r="T52" s="100">
        <f t="shared" si="68"/>
        <v>0</v>
      </c>
      <c r="U52" s="100">
        <f t="shared" si="68"/>
        <v>0</v>
      </c>
      <c r="V52" s="100">
        <f t="shared" si="68"/>
        <v>0</v>
      </c>
      <c r="W52" s="100">
        <f t="shared" si="68"/>
        <v>0</v>
      </c>
      <c r="X52" s="100">
        <f t="shared" si="68"/>
        <v>0</v>
      </c>
      <c r="Y52" s="100">
        <f t="shared" si="68"/>
        <v>0</v>
      </c>
      <c r="Z52" s="100">
        <f t="shared" si="68"/>
        <v>0</v>
      </c>
      <c r="AA52" s="100">
        <f t="shared" si="68"/>
        <v>0</v>
      </c>
      <c r="AB52" s="100">
        <f t="shared" si="68"/>
        <v>0</v>
      </c>
      <c r="AC52" s="100">
        <f t="shared" si="68"/>
        <v>0</v>
      </c>
      <c r="AD52" s="100">
        <f t="shared" si="68"/>
        <v>0</v>
      </c>
      <c r="AE52" s="100">
        <f t="shared" si="68"/>
        <v>0</v>
      </c>
      <c r="AF52" s="100">
        <f t="shared" si="68"/>
        <v>0</v>
      </c>
      <c r="AG52" s="100">
        <f t="shared" si="68"/>
        <v>0</v>
      </c>
      <c r="AH52" s="100">
        <f t="shared" si="68"/>
        <v>0</v>
      </c>
      <c r="AI52" s="100">
        <f t="shared" si="68"/>
        <v>0</v>
      </c>
      <c r="AJ52" s="100">
        <f t="shared" si="68"/>
        <v>0</v>
      </c>
      <c r="AK52" s="100">
        <f t="shared" si="68"/>
        <v>0</v>
      </c>
      <c r="AL52" s="100">
        <f t="shared" si="68"/>
        <v>0</v>
      </c>
      <c r="AM52" s="100">
        <f t="shared" si="68"/>
        <v>0</v>
      </c>
      <c r="AN52" s="100">
        <f t="shared" si="68"/>
        <v>0</v>
      </c>
      <c r="AO52" s="100">
        <f t="shared" si="68"/>
        <v>0</v>
      </c>
      <c r="AP52" s="100">
        <f t="shared" si="68"/>
        <v>0</v>
      </c>
      <c r="AQ52" s="100">
        <f t="shared" si="68"/>
        <v>0</v>
      </c>
      <c r="AR52" s="100">
        <f t="shared" si="68"/>
        <v>0</v>
      </c>
      <c r="AS52" s="100">
        <f t="shared" si="68"/>
        <v>0</v>
      </c>
      <c r="AT52" s="100">
        <f t="shared" si="68"/>
        <v>0</v>
      </c>
      <c r="AU52" s="100">
        <f t="shared" si="68"/>
        <v>0</v>
      </c>
      <c r="AV52" s="100">
        <f t="shared" si="68"/>
        <v>0</v>
      </c>
      <c r="AW52" s="100">
        <f t="shared" si="68"/>
        <v>0</v>
      </c>
      <c r="AX52" s="100">
        <f t="shared" si="68"/>
        <v>0</v>
      </c>
      <c r="AY52" s="100">
        <f t="shared" si="68"/>
        <v>0</v>
      </c>
      <c r="AZ52" s="100">
        <f t="shared" si="68"/>
        <v>24400898</v>
      </c>
      <c r="BA52" s="100">
        <f t="shared" si="68"/>
        <v>0</v>
      </c>
      <c r="BB52" s="100">
        <f>BB241</f>
        <v>0</v>
      </c>
      <c r="BC52" s="100">
        <f>BC241</f>
        <v>57290476</v>
      </c>
      <c r="BD52" s="100">
        <f>BD241</f>
        <v>0</v>
      </c>
      <c r="BE52" s="100">
        <f>BE241</f>
        <v>0</v>
      </c>
      <c r="BF52" s="100">
        <f>BF241</f>
        <v>0</v>
      </c>
    </row>
    <row r="53" spans="1:58" s="23" customFormat="1" ht="18" customHeight="1" thickBot="1">
      <c r="A53" s="247">
        <f t="shared" si="11"/>
        <v>47</v>
      </c>
      <c r="B53" s="6" t="s">
        <v>50</v>
      </c>
      <c r="C53" s="313">
        <f>SUM(C45:C52)</f>
        <v>-398736120.48352003</v>
      </c>
      <c r="D53" s="313">
        <f>SUM(D45:D52)</f>
        <v>0</v>
      </c>
      <c r="E53" s="313">
        <f t="shared" ref="E53:BA53" si="69">SUM(E45:E52)</f>
        <v>-443588.875</v>
      </c>
      <c r="F53" s="313">
        <f t="shared" si="69"/>
        <v>0</v>
      </c>
      <c r="G53" s="313">
        <f t="shared" si="69"/>
        <v>0</v>
      </c>
      <c r="H53" s="313">
        <f t="shared" si="69"/>
        <v>-29881.5</v>
      </c>
      <c r="I53" s="313">
        <f t="shared" si="69"/>
        <v>0</v>
      </c>
      <c r="J53" s="313">
        <f t="shared" si="69"/>
        <v>0</v>
      </c>
      <c r="K53" s="313">
        <f t="shared" si="69"/>
        <v>0</v>
      </c>
      <c r="L53" s="313">
        <f t="shared" si="69"/>
        <v>-1310105.125</v>
      </c>
      <c r="M53" s="313">
        <f t="shared" si="69"/>
        <v>7590355.625</v>
      </c>
      <c r="N53" s="313">
        <f t="shared" si="69"/>
        <v>-302.75</v>
      </c>
      <c r="O53" s="313">
        <f t="shared" si="69"/>
        <v>0</v>
      </c>
      <c r="P53" s="313">
        <f t="shared" si="69"/>
        <v>-80970.375</v>
      </c>
      <c r="Q53" s="313">
        <f t="shared" si="69"/>
        <v>-279684.375</v>
      </c>
      <c r="R53" s="313">
        <f t="shared" si="69"/>
        <v>32254.625</v>
      </c>
      <c r="S53" s="313">
        <f t="shared" si="69"/>
        <v>1527.375</v>
      </c>
      <c r="T53" s="313">
        <f t="shared" si="69"/>
        <v>-3826.25</v>
      </c>
      <c r="U53" s="313">
        <f t="shared" si="69"/>
        <v>9121.75</v>
      </c>
      <c r="V53" s="313">
        <f t="shared" si="69"/>
        <v>1331987.5</v>
      </c>
      <c r="W53" s="313">
        <f t="shared" si="69"/>
        <v>-25822.5</v>
      </c>
      <c r="X53" s="313">
        <f t="shared" si="69"/>
        <v>6563.125</v>
      </c>
      <c r="Y53" s="313">
        <f t="shared" si="69"/>
        <v>4303.125</v>
      </c>
      <c r="Z53" s="313">
        <f t="shared" si="69"/>
        <v>12916.25</v>
      </c>
      <c r="AA53" s="313">
        <f t="shared" si="69"/>
        <v>138161.625</v>
      </c>
      <c r="AB53" s="313">
        <f t="shared" si="69"/>
        <v>-121688.5</v>
      </c>
      <c r="AC53" s="313">
        <f t="shared" si="69"/>
        <v>3697</v>
      </c>
      <c r="AD53" s="313">
        <f t="shared" si="69"/>
        <v>-5339667.125</v>
      </c>
      <c r="AE53" s="313">
        <f t="shared" si="69"/>
        <v>948037.75</v>
      </c>
      <c r="AF53" s="313">
        <f t="shared" si="69"/>
        <v>1104981.25</v>
      </c>
      <c r="AG53" s="313">
        <f t="shared" si="69"/>
        <v>402976.125</v>
      </c>
      <c r="AH53" s="313">
        <f t="shared" si="69"/>
        <v>-1859918.75</v>
      </c>
      <c r="AI53" s="313">
        <f t="shared" si="69"/>
        <v>-60983.125</v>
      </c>
      <c r="AJ53" s="313">
        <f t="shared" si="69"/>
        <v>0</v>
      </c>
      <c r="AK53" s="313">
        <f t="shared" si="69"/>
        <v>0</v>
      </c>
      <c r="AL53" s="313">
        <f t="shared" si="69"/>
        <v>0</v>
      </c>
      <c r="AM53" s="313">
        <f t="shared" si="69"/>
        <v>0</v>
      </c>
      <c r="AN53" s="313">
        <f t="shared" si="69"/>
        <v>0</v>
      </c>
      <c r="AO53" s="313">
        <f t="shared" si="69"/>
        <v>0</v>
      </c>
      <c r="AP53" s="313">
        <f t="shared" si="69"/>
        <v>0</v>
      </c>
      <c r="AQ53" s="313">
        <f t="shared" si="69"/>
        <v>0</v>
      </c>
      <c r="AR53" s="313">
        <f t="shared" si="69"/>
        <v>0</v>
      </c>
      <c r="AS53" s="313">
        <f t="shared" si="69"/>
        <v>0</v>
      </c>
      <c r="AT53" s="313">
        <f t="shared" si="69"/>
        <v>0</v>
      </c>
      <c r="AU53" s="313">
        <f t="shared" si="69"/>
        <v>0</v>
      </c>
      <c r="AV53" s="313">
        <f t="shared" si="69"/>
        <v>0</v>
      </c>
      <c r="AW53" s="313">
        <f t="shared" si="69"/>
        <v>0</v>
      </c>
      <c r="AX53" s="313">
        <f t="shared" si="69"/>
        <v>0</v>
      </c>
      <c r="AY53" s="313">
        <f t="shared" si="69"/>
        <v>0</v>
      </c>
      <c r="AZ53" s="313">
        <f t="shared" si="69"/>
        <v>-223164406</v>
      </c>
      <c r="BA53" s="313">
        <f t="shared" si="69"/>
        <v>664080</v>
      </c>
      <c r="BB53" s="313">
        <f>SUM(BB45:BB52)</f>
        <v>-18709274</v>
      </c>
      <c r="BC53" s="313">
        <f>SUM(BC45:BC52)</f>
        <v>-147983065.35852003</v>
      </c>
      <c r="BD53" s="313">
        <f>SUM(BD45:BD52)</f>
        <v>-6268345</v>
      </c>
      <c r="BE53" s="313">
        <f>SUM(BE45:BE52)</f>
        <v>-5305554</v>
      </c>
      <c r="BF53" s="313">
        <f>SUM(BF45:BF52)</f>
        <v>0</v>
      </c>
    </row>
    <row r="54" spans="1:58" s="23" customFormat="1" ht="14.1" customHeight="1" thickTop="1">
      <c r="A54" s="247">
        <f t="shared" si="11"/>
        <v>48</v>
      </c>
      <c r="B54" s="7"/>
      <c r="C54" s="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</row>
    <row r="55" spans="1:58" s="23" customFormat="1" ht="14.1" customHeight="1">
      <c r="A55" s="247">
        <f t="shared" si="11"/>
        <v>49</v>
      </c>
      <c r="B55" s="2"/>
      <c r="C55" s="2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5"/>
      <c r="BE55" s="315"/>
      <c r="BF55" s="315"/>
    </row>
    <row r="56" spans="1:58" s="23" customFormat="1" ht="14.1" customHeight="1">
      <c r="A56" s="247">
        <f t="shared" si="11"/>
        <v>50</v>
      </c>
      <c r="B56" s="7"/>
      <c r="C56" s="7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8"/>
      <c r="BE56" s="318"/>
      <c r="BF56" s="318"/>
    </row>
    <row r="57" spans="1:58" ht="13.5" customHeight="1">
      <c r="A57" s="247">
        <f t="shared" si="11"/>
        <v>51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</row>
    <row r="58" spans="1:58" s="26" customFormat="1" ht="14.1" customHeight="1">
      <c r="A58" s="247">
        <f t="shared" si="11"/>
        <v>52</v>
      </c>
      <c r="B58" s="89" t="s">
        <v>53</v>
      </c>
      <c r="C58" s="8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</row>
    <row r="59" spans="1:58" ht="14.1" customHeight="1">
      <c r="A59" s="247">
        <f t="shared" si="11"/>
        <v>53</v>
      </c>
      <c r="B59" s="9" t="s">
        <v>54</v>
      </c>
      <c r="C59" s="9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</row>
    <row r="60" spans="1:58" ht="14.1" customHeight="1">
      <c r="A60" s="247">
        <f t="shared" si="11"/>
        <v>54</v>
      </c>
      <c r="B60" s="203" t="s">
        <v>55</v>
      </c>
      <c r="C60" s="43">
        <f>SUM(D60:BF60)</f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  <c r="AV60" s="11">
        <v>0</v>
      </c>
      <c r="AW60" s="11">
        <v>0</v>
      </c>
      <c r="AX60" s="11">
        <v>0</v>
      </c>
      <c r="AY60" s="11">
        <v>0</v>
      </c>
      <c r="AZ60" s="11">
        <v>0</v>
      </c>
      <c r="BA60" s="11">
        <v>0</v>
      </c>
      <c r="BB60" s="11">
        <v>0</v>
      </c>
      <c r="BC60" s="11">
        <v>0</v>
      </c>
      <c r="BD60" s="11">
        <v>0</v>
      </c>
      <c r="BE60" s="11">
        <v>0</v>
      </c>
      <c r="BF60" s="11">
        <v>0</v>
      </c>
    </row>
    <row r="61" spans="1:58" ht="14.1" customHeight="1">
      <c r="A61" s="247">
        <f t="shared" si="11"/>
        <v>55</v>
      </c>
      <c r="B61" s="92" t="s">
        <v>56</v>
      </c>
      <c r="C61" s="43">
        <f>SUM(D61:BF61)</f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  <c r="AV61" s="11">
        <v>0</v>
      </c>
      <c r="AW61" s="11">
        <v>0</v>
      </c>
      <c r="AX61" s="11">
        <v>0</v>
      </c>
      <c r="AY61" s="11">
        <v>0</v>
      </c>
      <c r="AZ61" s="11">
        <v>0</v>
      </c>
      <c r="BA61" s="11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</row>
    <row r="62" spans="1:58" ht="14.1" customHeight="1">
      <c r="A62" s="247">
        <f t="shared" si="11"/>
        <v>56</v>
      </c>
      <c r="B62" s="3" t="s">
        <v>570</v>
      </c>
      <c r="C62" s="83">
        <f>SUM(C60:C61)</f>
        <v>0</v>
      </c>
      <c r="D62" s="83">
        <f>SUM(D60:D61)</f>
        <v>0</v>
      </c>
      <c r="E62" s="83">
        <f t="shared" ref="E62:BA62" si="70">SUM(E60:E61)</f>
        <v>0</v>
      </c>
      <c r="F62" s="83">
        <f t="shared" si="70"/>
        <v>0</v>
      </c>
      <c r="G62" s="83">
        <f t="shared" si="70"/>
        <v>0</v>
      </c>
      <c r="H62" s="83">
        <f t="shared" si="70"/>
        <v>0</v>
      </c>
      <c r="I62" s="83">
        <f t="shared" si="70"/>
        <v>0</v>
      </c>
      <c r="J62" s="83">
        <f t="shared" si="70"/>
        <v>0</v>
      </c>
      <c r="K62" s="83">
        <f t="shared" si="70"/>
        <v>0</v>
      </c>
      <c r="L62" s="83">
        <f t="shared" si="70"/>
        <v>0</v>
      </c>
      <c r="M62" s="83">
        <f t="shared" si="70"/>
        <v>0</v>
      </c>
      <c r="N62" s="83">
        <f t="shared" si="70"/>
        <v>0</v>
      </c>
      <c r="O62" s="83">
        <f t="shared" si="70"/>
        <v>0</v>
      </c>
      <c r="P62" s="83">
        <f t="shared" si="70"/>
        <v>0</v>
      </c>
      <c r="Q62" s="83">
        <f t="shared" si="70"/>
        <v>0</v>
      </c>
      <c r="R62" s="83">
        <f t="shared" si="70"/>
        <v>0</v>
      </c>
      <c r="S62" s="83">
        <f t="shared" si="70"/>
        <v>0</v>
      </c>
      <c r="T62" s="83">
        <f t="shared" si="70"/>
        <v>0</v>
      </c>
      <c r="U62" s="83">
        <f t="shared" si="70"/>
        <v>0</v>
      </c>
      <c r="V62" s="83">
        <f t="shared" si="70"/>
        <v>0</v>
      </c>
      <c r="W62" s="83">
        <f t="shared" si="70"/>
        <v>0</v>
      </c>
      <c r="X62" s="83">
        <f t="shared" si="70"/>
        <v>0</v>
      </c>
      <c r="Y62" s="83">
        <f t="shared" si="70"/>
        <v>0</v>
      </c>
      <c r="Z62" s="83">
        <f t="shared" si="70"/>
        <v>0</v>
      </c>
      <c r="AA62" s="83">
        <f t="shared" si="70"/>
        <v>0</v>
      </c>
      <c r="AB62" s="83">
        <f t="shared" si="70"/>
        <v>0</v>
      </c>
      <c r="AC62" s="83">
        <f t="shared" si="70"/>
        <v>0</v>
      </c>
      <c r="AD62" s="83">
        <f t="shared" si="70"/>
        <v>0</v>
      </c>
      <c r="AE62" s="83">
        <f t="shared" si="70"/>
        <v>0</v>
      </c>
      <c r="AF62" s="83">
        <f t="shared" si="70"/>
        <v>0</v>
      </c>
      <c r="AG62" s="83">
        <f t="shared" si="70"/>
        <v>0</v>
      </c>
      <c r="AH62" s="83">
        <f t="shared" si="70"/>
        <v>0</v>
      </c>
      <c r="AI62" s="83">
        <f t="shared" si="70"/>
        <v>0</v>
      </c>
      <c r="AJ62" s="83">
        <f t="shared" si="70"/>
        <v>0</v>
      </c>
      <c r="AK62" s="83">
        <f t="shared" si="70"/>
        <v>0</v>
      </c>
      <c r="AL62" s="83">
        <f t="shared" si="70"/>
        <v>0</v>
      </c>
      <c r="AM62" s="83">
        <f t="shared" si="70"/>
        <v>0</v>
      </c>
      <c r="AN62" s="83">
        <f t="shared" si="70"/>
        <v>0</v>
      </c>
      <c r="AO62" s="83">
        <f t="shared" si="70"/>
        <v>0</v>
      </c>
      <c r="AP62" s="83">
        <f t="shared" si="70"/>
        <v>0</v>
      </c>
      <c r="AQ62" s="83">
        <f t="shared" si="70"/>
        <v>0</v>
      </c>
      <c r="AR62" s="83">
        <f t="shared" si="70"/>
        <v>0</v>
      </c>
      <c r="AS62" s="83">
        <f t="shared" si="70"/>
        <v>0</v>
      </c>
      <c r="AT62" s="83">
        <f t="shared" si="70"/>
        <v>0</v>
      </c>
      <c r="AU62" s="83">
        <f t="shared" si="70"/>
        <v>0</v>
      </c>
      <c r="AV62" s="83">
        <f t="shared" si="70"/>
        <v>0</v>
      </c>
      <c r="AW62" s="83">
        <f t="shared" si="70"/>
        <v>0</v>
      </c>
      <c r="AX62" s="83">
        <f t="shared" si="70"/>
        <v>0</v>
      </c>
      <c r="AY62" s="83">
        <f t="shared" si="70"/>
        <v>0</v>
      </c>
      <c r="AZ62" s="83">
        <f t="shared" si="70"/>
        <v>0</v>
      </c>
      <c r="BA62" s="83">
        <f t="shared" si="70"/>
        <v>0</v>
      </c>
      <c r="BB62" s="83">
        <f>SUM(BB60:BB61)</f>
        <v>0</v>
      </c>
      <c r="BC62" s="83">
        <f>SUM(BC60:BC61)</f>
        <v>0</v>
      </c>
      <c r="BD62" s="83">
        <f>SUM(BD60:BD61)</f>
        <v>0</v>
      </c>
      <c r="BE62" s="83">
        <f>SUM(BE60:BE61)</f>
        <v>0</v>
      </c>
      <c r="BF62" s="83">
        <f>SUM(BF60:BF61)</f>
        <v>0</v>
      </c>
    </row>
    <row r="63" spans="1:58" ht="14.1" customHeight="1">
      <c r="A63" s="247">
        <f t="shared" si="11"/>
        <v>57</v>
      </c>
      <c r="C63" s="2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</row>
    <row r="64" spans="1:58" ht="14.1" customHeight="1">
      <c r="A64" s="247">
        <f t="shared" si="11"/>
        <v>58</v>
      </c>
      <c r="B64" s="3" t="s">
        <v>59</v>
      </c>
      <c r="C64" s="14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</row>
    <row r="65" spans="1:58" ht="14.1" customHeight="1">
      <c r="A65" s="247">
        <f t="shared" si="11"/>
        <v>59</v>
      </c>
      <c r="B65" s="3" t="s">
        <v>60</v>
      </c>
      <c r="C65" s="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</row>
    <row r="66" spans="1:58" ht="14.1" customHeight="1">
      <c r="A66" s="247">
        <f t="shared" si="11"/>
        <v>60</v>
      </c>
      <c r="B66" s="203" t="s">
        <v>61</v>
      </c>
      <c r="C66" s="43">
        <f t="shared" ref="C66:C73" si="71">SUM(D66:BF66)</f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</row>
    <row r="67" spans="1:58" ht="14.1" customHeight="1">
      <c r="A67" s="247">
        <f t="shared" si="11"/>
        <v>61</v>
      </c>
      <c r="B67" s="203" t="s">
        <v>63</v>
      </c>
      <c r="C67" s="43">
        <f t="shared" si="71"/>
        <v>-34844224.94258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11">
        <v>0</v>
      </c>
      <c r="AW67" s="11">
        <v>0</v>
      </c>
      <c r="AX67" s="11">
        <v>0</v>
      </c>
      <c r="AY67" s="11">
        <v>0</v>
      </c>
      <c r="AZ67" s="11">
        <v>0</v>
      </c>
      <c r="BA67" s="11">
        <v>0</v>
      </c>
      <c r="BB67" s="11">
        <v>0</v>
      </c>
      <c r="BC67" s="11">
        <f>-35338970.53*'Allocation Factors'!$G$10</f>
        <v>-34844224.94258</v>
      </c>
      <c r="BD67" s="11">
        <v>0</v>
      </c>
      <c r="BE67" s="11">
        <v>0</v>
      </c>
      <c r="BF67" s="11">
        <v>0</v>
      </c>
    </row>
    <row r="68" spans="1:58" ht="14.1" customHeight="1">
      <c r="A68" s="247">
        <f t="shared" si="11"/>
        <v>62</v>
      </c>
      <c r="B68" s="203" t="s">
        <v>64</v>
      </c>
      <c r="C68" s="43">
        <f t="shared" si="71"/>
        <v>-663493997.22192001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  <c r="AV68" s="11">
        <v>0</v>
      </c>
      <c r="AW68" s="11">
        <v>0</v>
      </c>
      <c r="AX68" s="11">
        <v>0</v>
      </c>
      <c r="AY68" s="11">
        <v>0</v>
      </c>
      <c r="AZ68" s="11">
        <v>-322612704</v>
      </c>
      <c r="BA68" s="11">
        <v>0</v>
      </c>
      <c r="BB68" s="11">
        <v>0</v>
      </c>
      <c r="BC68" s="11">
        <f>-345721392.72*'Allocation Factors'!$G$10</f>
        <v>-340881293.22192001</v>
      </c>
      <c r="BD68" s="11">
        <v>0</v>
      </c>
      <c r="BE68" s="11">
        <v>0</v>
      </c>
      <c r="BF68" s="11">
        <v>0</v>
      </c>
    </row>
    <row r="69" spans="1:58" ht="14.1" customHeight="1">
      <c r="A69" s="247">
        <f t="shared" si="11"/>
        <v>63</v>
      </c>
      <c r="B69" s="203" t="s">
        <v>65</v>
      </c>
      <c r="C69" s="43">
        <f t="shared" si="71"/>
        <v>-8033555.1638200004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  <c r="AV69" s="11">
        <v>0</v>
      </c>
      <c r="AW69" s="11">
        <v>0</v>
      </c>
      <c r="AX69" s="11">
        <v>0</v>
      </c>
      <c r="AY69" s="11">
        <v>0</v>
      </c>
      <c r="AZ69" s="11">
        <v>0</v>
      </c>
      <c r="BA69" s="11">
        <v>0</v>
      </c>
      <c r="BB69" s="11">
        <v>0</v>
      </c>
      <c r="BC69" s="11">
        <f>-8147621.87*'Allocation Factors'!$G$10</f>
        <v>-8033555.1638200004</v>
      </c>
      <c r="BD69" s="11">
        <v>0</v>
      </c>
      <c r="BE69" s="11">
        <v>0</v>
      </c>
      <c r="BF69" s="11">
        <v>0</v>
      </c>
    </row>
    <row r="70" spans="1:58" ht="14.1" customHeight="1">
      <c r="A70" s="247">
        <f t="shared" si="11"/>
        <v>64</v>
      </c>
      <c r="B70" s="203" t="s">
        <v>66</v>
      </c>
      <c r="C70" s="43">
        <f t="shared" si="71"/>
        <v>-49960050.77234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f>-50669422.69*'Allocation Factors'!$G$10</f>
        <v>-49960050.77234</v>
      </c>
      <c r="BD70" s="11">
        <v>0</v>
      </c>
      <c r="BE70" s="11">
        <v>0</v>
      </c>
      <c r="BF70" s="11">
        <v>0</v>
      </c>
    </row>
    <row r="71" spans="1:58" ht="14.1" customHeight="1">
      <c r="A71" s="247">
        <f t="shared" si="11"/>
        <v>65</v>
      </c>
      <c r="B71" s="203" t="s">
        <v>67</v>
      </c>
      <c r="C71" s="43">
        <f t="shared" si="71"/>
        <v>-12693449.643479999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  <c r="AV71" s="11">
        <v>0</v>
      </c>
      <c r="AW71" s="11">
        <v>0</v>
      </c>
      <c r="AX71" s="11">
        <v>0</v>
      </c>
      <c r="AY71" s="11">
        <v>0</v>
      </c>
      <c r="AZ71" s="11">
        <v>0</v>
      </c>
      <c r="BA71" s="11">
        <v>0</v>
      </c>
      <c r="BB71" s="11">
        <v>0</v>
      </c>
      <c r="BC71" s="11">
        <f>-12873681.18*'Allocation Factors'!$G$10</f>
        <v>-12693449.643479999</v>
      </c>
      <c r="BD71" s="11">
        <v>0</v>
      </c>
      <c r="BE71" s="11">
        <v>0</v>
      </c>
      <c r="BF71" s="11">
        <v>0</v>
      </c>
    </row>
    <row r="72" spans="1:58" ht="14.1" customHeight="1">
      <c r="A72" s="247">
        <f t="shared" si="11"/>
        <v>66</v>
      </c>
      <c r="B72" s="203" t="s">
        <v>68</v>
      </c>
      <c r="C72" s="43">
        <f t="shared" si="71"/>
        <v>-6159002.24388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  <c r="AV72" s="11">
        <v>0</v>
      </c>
      <c r="AW72" s="11">
        <v>0</v>
      </c>
      <c r="AX72" s="11">
        <v>0</v>
      </c>
      <c r="AY72" s="11">
        <v>0</v>
      </c>
      <c r="AZ72" s="11">
        <v>0</v>
      </c>
      <c r="BA72" s="11">
        <v>0</v>
      </c>
      <c r="BB72" s="11">
        <v>0</v>
      </c>
      <c r="BC72" s="11">
        <f>-6246452.58*'Allocation Factors'!$G$10</f>
        <v>-6159002.24388</v>
      </c>
      <c r="BD72" s="11">
        <v>0</v>
      </c>
      <c r="BE72" s="11">
        <v>0</v>
      </c>
      <c r="BF72" s="11">
        <v>0</v>
      </c>
    </row>
    <row r="73" spans="1:58" ht="14.1" customHeight="1">
      <c r="A73" s="247">
        <f t="shared" si="11"/>
        <v>67</v>
      </c>
      <c r="B73" s="92" t="s">
        <v>69</v>
      </c>
      <c r="C73" s="43">
        <f t="shared" si="71"/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  <c r="AV73" s="11">
        <v>0</v>
      </c>
      <c r="AW73" s="11">
        <v>0</v>
      </c>
      <c r="AX73" s="11">
        <v>0</v>
      </c>
      <c r="AY73" s="11">
        <v>0</v>
      </c>
      <c r="AZ73" s="11">
        <v>0</v>
      </c>
      <c r="BA73" s="11">
        <v>0</v>
      </c>
      <c r="BB73" s="11">
        <v>0</v>
      </c>
      <c r="BC73" s="11">
        <v>0</v>
      </c>
      <c r="BD73" s="11">
        <v>0</v>
      </c>
      <c r="BE73" s="11">
        <v>0</v>
      </c>
      <c r="BF73" s="11">
        <v>0</v>
      </c>
    </row>
    <row r="74" spans="1:58" s="23" customFormat="1" ht="14.1" customHeight="1">
      <c r="A74" s="247">
        <f t="shared" si="11"/>
        <v>68</v>
      </c>
      <c r="B74" s="2" t="s">
        <v>571</v>
      </c>
      <c r="C74" s="189">
        <f t="shared" ref="C74:P74" si="72">SUM(C66:C73)</f>
        <v>-775184279.98802006</v>
      </c>
      <c r="D74" s="189">
        <f t="shared" si="72"/>
        <v>0</v>
      </c>
      <c r="E74" s="189">
        <f t="shared" si="72"/>
        <v>0</v>
      </c>
      <c r="F74" s="189">
        <f t="shared" si="72"/>
        <v>0</v>
      </c>
      <c r="G74" s="189">
        <f t="shared" si="72"/>
        <v>0</v>
      </c>
      <c r="H74" s="189">
        <f t="shared" si="72"/>
        <v>0</v>
      </c>
      <c r="I74" s="189">
        <f t="shared" si="72"/>
        <v>0</v>
      </c>
      <c r="J74" s="189">
        <f t="shared" si="72"/>
        <v>0</v>
      </c>
      <c r="K74" s="189">
        <f t="shared" si="72"/>
        <v>0</v>
      </c>
      <c r="L74" s="189">
        <f t="shared" si="72"/>
        <v>0</v>
      </c>
      <c r="M74" s="189">
        <f t="shared" si="72"/>
        <v>0</v>
      </c>
      <c r="N74" s="189">
        <f t="shared" si="72"/>
        <v>0</v>
      </c>
      <c r="O74" s="189">
        <f t="shared" si="72"/>
        <v>0</v>
      </c>
      <c r="P74" s="189">
        <f t="shared" si="72"/>
        <v>0</v>
      </c>
      <c r="Q74" s="189">
        <f t="shared" ref="Q74:AQ74" si="73">SUM(Q66:Q73)</f>
        <v>0</v>
      </c>
      <c r="R74" s="189">
        <f t="shared" si="73"/>
        <v>0</v>
      </c>
      <c r="S74" s="189">
        <f t="shared" si="73"/>
        <v>0</v>
      </c>
      <c r="T74" s="189">
        <f t="shared" si="73"/>
        <v>0</v>
      </c>
      <c r="U74" s="189">
        <f t="shared" si="73"/>
        <v>0</v>
      </c>
      <c r="V74" s="189">
        <f t="shared" si="73"/>
        <v>0</v>
      </c>
      <c r="W74" s="189">
        <f t="shared" si="73"/>
        <v>0</v>
      </c>
      <c r="X74" s="189">
        <f t="shared" si="73"/>
        <v>0</v>
      </c>
      <c r="Y74" s="189">
        <f t="shared" si="73"/>
        <v>0</v>
      </c>
      <c r="Z74" s="189">
        <f t="shared" si="73"/>
        <v>0</v>
      </c>
      <c r="AA74" s="189">
        <f t="shared" si="73"/>
        <v>0</v>
      </c>
      <c r="AB74" s="189">
        <f t="shared" si="73"/>
        <v>0</v>
      </c>
      <c r="AC74" s="189">
        <f t="shared" si="73"/>
        <v>0</v>
      </c>
      <c r="AD74" s="189">
        <f t="shared" si="73"/>
        <v>0</v>
      </c>
      <c r="AE74" s="189">
        <f t="shared" si="73"/>
        <v>0</v>
      </c>
      <c r="AF74" s="189">
        <f t="shared" si="73"/>
        <v>0</v>
      </c>
      <c r="AG74" s="189">
        <f t="shared" si="73"/>
        <v>0</v>
      </c>
      <c r="AH74" s="189">
        <f t="shared" si="73"/>
        <v>0</v>
      </c>
      <c r="AI74" s="189">
        <f t="shared" si="73"/>
        <v>0</v>
      </c>
      <c r="AJ74" s="189">
        <f t="shared" si="73"/>
        <v>0</v>
      </c>
      <c r="AK74" s="189">
        <f t="shared" si="73"/>
        <v>0</v>
      </c>
      <c r="AL74" s="189">
        <f t="shared" si="73"/>
        <v>0</v>
      </c>
      <c r="AM74" s="189">
        <f t="shared" si="73"/>
        <v>0</v>
      </c>
      <c r="AN74" s="189">
        <f t="shared" si="73"/>
        <v>0</v>
      </c>
      <c r="AO74" s="189">
        <f t="shared" si="73"/>
        <v>0</v>
      </c>
      <c r="AP74" s="189">
        <f t="shared" si="73"/>
        <v>0</v>
      </c>
      <c r="AQ74" s="189">
        <f t="shared" si="73"/>
        <v>0</v>
      </c>
      <c r="AR74" s="189">
        <f>SUM(AR66:AR73)</f>
        <v>0</v>
      </c>
      <c r="AS74" s="189">
        <f t="shared" ref="AS74:BA74" si="74">SUM(AS66:AS73)</f>
        <v>0</v>
      </c>
      <c r="AT74" s="189">
        <f t="shared" si="74"/>
        <v>0</v>
      </c>
      <c r="AU74" s="189">
        <f t="shared" si="74"/>
        <v>0</v>
      </c>
      <c r="AV74" s="189">
        <f t="shared" si="74"/>
        <v>0</v>
      </c>
      <c r="AW74" s="189">
        <f t="shared" si="74"/>
        <v>0</v>
      </c>
      <c r="AX74" s="189">
        <f t="shared" si="74"/>
        <v>0</v>
      </c>
      <c r="AY74" s="189">
        <f t="shared" si="74"/>
        <v>0</v>
      </c>
      <c r="AZ74" s="189">
        <f t="shared" si="74"/>
        <v>-322612704</v>
      </c>
      <c r="BA74" s="189">
        <f t="shared" si="74"/>
        <v>0</v>
      </c>
      <c r="BB74" s="189">
        <f>SUM(BB66:BB73)</f>
        <v>0</v>
      </c>
      <c r="BC74" s="189">
        <f>SUM(BC66:BC73)</f>
        <v>-452571575.98802</v>
      </c>
      <c r="BD74" s="189">
        <f>SUM(BD66:BD73)</f>
        <v>0</v>
      </c>
      <c r="BE74" s="189">
        <f>SUM(BE66:BE73)</f>
        <v>0</v>
      </c>
      <c r="BF74" s="189">
        <f>SUM(BF66:BF73)</f>
        <v>0</v>
      </c>
    </row>
    <row r="75" spans="1:58" s="23" customFormat="1" ht="14.1" customHeight="1">
      <c r="A75" s="247">
        <f t="shared" ref="A75:A138" si="75">+A74+1</f>
        <v>69</v>
      </c>
      <c r="B75" s="7"/>
      <c r="C75" s="30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</row>
    <row r="76" spans="1:58" ht="14.1" customHeight="1">
      <c r="A76" s="247">
        <f t="shared" si="75"/>
        <v>70</v>
      </c>
      <c r="B76" s="3" t="s">
        <v>70</v>
      </c>
      <c r="C76" s="14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</row>
    <row r="77" spans="1:58" ht="14.1" customHeight="1">
      <c r="A77" s="247">
        <f t="shared" si="75"/>
        <v>71</v>
      </c>
      <c r="B77" s="203" t="s">
        <v>71</v>
      </c>
      <c r="C77" s="43">
        <f t="shared" ref="C77:C82" si="76">SUM(D77:BF77)</f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  <c r="AV77" s="11">
        <v>0</v>
      </c>
      <c r="AW77" s="11">
        <v>0</v>
      </c>
      <c r="AX77" s="11">
        <v>0</v>
      </c>
      <c r="AY77" s="11">
        <v>0</v>
      </c>
      <c r="AZ77" s="11">
        <v>0</v>
      </c>
      <c r="BA77" s="11">
        <v>0</v>
      </c>
      <c r="BB77" s="11">
        <v>0</v>
      </c>
      <c r="BC77" s="11">
        <v>0</v>
      </c>
      <c r="BD77" s="11">
        <v>0</v>
      </c>
      <c r="BE77" s="11">
        <v>0</v>
      </c>
      <c r="BF77" s="11">
        <v>0</v>
      </c>
    </row>
    <row r="78" spans="1:58" ht="14.1" customHeight="1">
      <c r="A78" s="247">
        <f t="shared" si="75"/>
        <v>72</v>
      </c>
      <c r="B78" s="203" t="s">
        <v>72</v>
      </c>
      <c r="C78" s="43">
        <f t="shared" si="76"/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  <c r="AV78" s="11">
        <v>0</v>
      </c>
      <c r="AW78" s="11">
        <v>0</v>
      </c>
      <c r="AX78" s="11">
        <v>0</v>
      </c>
      <c r="AY78" s="11">
        <v>0</v>
      </c>
      <c r="AZ78" s="11">
        <v>0</v>
      </c>
      <c r="BA78" s="11">
        <v>0</v>
      </c>
      <c r="BB78" s="11">
        <v>0</v>
      </c>
      <c r="BC78" s="11">
        <v>0</v>
      </c>
      <c r="BD78" s="11">
        <v>0</v>
      </c>
      <c r="BE78" s="11">
        <v>0</v>
      </c>
      <c r="BF78" s="11">
        <v>0</v>
      </c>
    </row>
    <row r="79" spans="1:58" ht="14.1" customHeight="1">
      <c r="A79" s="247">
        <f t="shared" si="75"/>
        <v>73</v>
      </c>
      <c r="B79" s="203" t="s">
        <v>73</v>
      </c>
      <c r="C79" s="43">
        <f t="shared" si="76"/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>
        <v>0</v>
      </c>
      <c r="AU79" s="11">
        <v>0</v>
      </c>
      <c r="AV79" s="11">
        <v>0</v>
      </c>
      <c r="AW79" s="11">
        <v>0</v>
      </c>
      <c r="AX79" s="11">
        <v>0</v>
      </c>
      <c r="AY79" s="11">
        <v>0</v>
      </c>
      <c r="AZ79" s="11">
        <v>0</v>
      </c>
      <c r="BA79" s="11">
        <v>0</v>
      </c>
      <c r="BB79" s="11">
        <v>0</v>
      </c>
      <c r="BC79" s="11">
        <v>0</v>
      </c>
      <c r="BD79" s="11">
        <v>0</v>
      </c>
      <c r="BE79" s="11">
        <v>0</v>
      </c>
      <c r="BF79" s="11">
        <v>0</v>
      </c>
    </row>
    <row r="80" spans="1:58" ht="14.1" customHeight="1">
      <c r="A80" s="247">
        <f t="shared" si="75"/>
        <v>74</v>
      </c>
      <c r="B80" s="203" t="s">
        <v>74</v>
      </c>
      <c r="C80" s="43">
        <f t="shared" si="76"/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1">
        <v>0</v>
      </c>
      <c r="AV80" s="11">
        <v>0</v>
      </c>
      <c r="AW80" s="11">
        <v>0</v>
      </c>
      <c r="AX80" s="11">
        <v>0</v>
      </c>
      <c r="AY80" s="11">
        <v>0</v>
      </c>
      <c r="AZ80" s="11">
        <v>0</v>
      </c>
      <c r="BA80" s="11">
        <v>0</v>
      </c>
      <c r="BB80" s="11">
        <v>0</v>
      </c>
      <c r="BC80" s="11">
        <v>0</v>
      </c>
      <c r="BD80" s="11">
        <v>0</v>
      </c>
      <c r="BE80" s="11">
        <v>0</v>
      </c>
      <c r="BF80" s="11">
        <v>0</v>
      </c>
    </row>
    <row r="81" spans="1:58" ht="14.1" customHeight="1">
      <c r="A81" s="247">
        <f t="shared" si="75"/>
        <v>75</v>
      </c>
      <c r="B81" s="203" t="s">
        <v>75</v>
      </c>
      <c r="C81" s="43">
        <f t="shared" si="76"/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  <c r="AV81" s="11">
        <v>0</v>
      </c>
      <c r="AW81" s="11">
        <v>0</v>
      </c>
      <c r="AX81" s="11">
        <v>0</v>
      </c>
      <c r="AY81" s="11">
        <v>0</v>
      </c>
      <c r="AZ81" s="11">
        <v>0</v>
      </c>
      <c r="BA81" s="11">
        <v>0</v>
      </c>
      <c r="BB81" s="11">
        <v>0</v>
      </c>
      <c r="BC81" s="11">
        <v>0</v>
      </c>
      <c r="BD81" s="11">
        <v>0</v>
      </c>
      <c r="BE81" s="11">
        <v>0</v>
      </c>
      <c r="BF81" s="11">
        <v>0</v>
      </c>
    </row>
    <row r="82" spans="1:58" ht="14.1" customHeight="1">
      <c r="A82" s="247">
        <f t="shared" si="75"/>
        <v>76</v>
      </c>
      <c r="B82" s="92" t="s">
        <v>76</v>
      </c>
      <c r="C82" s="43">
        <f t="shared" si="76"/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  <c r="AV82" s="11">
        <v>0</v>
      </c>
      <c r="AW82" s="11">
        <v>0</v>
      </c>
      <c r="AX82" s="11">
        <v>0</v>
      </c>
      <c r="AY82" s="11">
        <v>0</v>
      </c>
      <c r="AZ82" s="11">
        <v>0</v>
      </c>
      <c r="BA82" s="11">
        <v>0</v>
      </c>
      <c r="BB82" s="11">
        <v>0</v>
      </c>
      <c r="BC82" s="11">
        <v>0</v>
      </c>
      <c r="BD82" s="11">
        <v>0</v>
      </c>
      <c r="BE82" s="11">
        <v>0</v>
      </c>
      <c r="BF82" s="11">
        <v>0</v>
      </c>
    </row>
    <row r="83" spans="1:58" s="23" customFormat="1" ht="14.1" customHeight="1">
      <c r="A83" s="247">
        <f t="shared" si="75"/>
        <v>77</v>
      </c>
      <c r="B83" s="2" t="s">
        <v>572</v>
      </c>
      <c r="C83" s="189">
        <f>SUM(C77:C82)</f>
        <v>0</v>
      </c>
      <c r="D83" s="189">
        <f>SUM(D77:D82)</f>
        <v>0</v>
      </c>
      <c r="E83" s="189">
        <f t="shared" ref="E83:BA83" si="77">SUM(E77:E82)</f>
        <v>0</v>
      </c>
      <c r="F83" s="189">
        <f t="shared" si="77"/>
        <v>0</v>
      </c>
      <c r="G83" s="189">
        <f t="shared" si="77"/>
        <v>0</v>
      </c>
      <c r="H83" s="189">
        <f t="shared" si="77"/>
        <v>0</v>
      </c>
      <c r="I83" s="189">
        <f t="shared" si="77"/>
        <v>0</v>
      </c>
      <c r="J83" s="189">
        <f t="shared" si="77"/>
        <v>0</v>
      </c>
      <c r="K83" s="189">
        <f t="shared" si="77"/>
        <v>0</v>
      </c>
      <c r="L83" s="189">
        <f t="shared" si="77"/>
        <v>0</v>
      </c>
      <c r="M83" s="189">
        <f t="shared" si="77"/>
        <v>0</v>
      </c>
      <c r="N83" s="189">
        <f t="shared" si="77"/>
        <v>0</v>
      </c>
      <c r="O83" s="189">
        <f t="shared" si="77"/>
        <v>0</v>
      </c>
      <c r="P83" s="189">
        <f t="shared" si="77"/>
        <v>0</v>
      </c>
      <c r="Q83" s="189">
        <f t="shared" si="77"/>
        <v>0</v>
      </c>
      <c r="R83" s="189">
        <f t="shared" si="77"/>
        <v>0</v>
      </c>
      <c r="S83" s="189">
        <f t="shared" si="77"/>
        <v>0</v>
      </c>
      <c r="T83" s="189">
        <f t="shared" si="77"/>
        <v>0</v>
      </c>
      <c r="U83" s="189">
        <f t="shared" si="77"/>
        <v>0</v>
      </c>
      <c r="V83" s="189">
        <f t="shared" si="77"/>
        <v>0</v>
      </c>
      <c r="W83" s="189">
        <f t="shared" si="77"/>
        <v>0</v>
      </c>
      <c r="X83" s="189">
        <f t="shared" si="77"/>
        <v>0</v>
      </c>
      <c r="Y83" s="189">
        <f t="shared" si="77"/>
        <v>0</v>
      </c>
      <c r="Z83" s="189">
        <f t="shared" si="77"/>
        <v>0</v>
      </c>
      <c r="AA83" s="189">
        <f t="shared" si="77"/>
        <v>0</v>
      </c>
      <c r="AB83" s="189">
        <f t="shared" si="77"/>
        <v>0</v>
      </c>
      <c r="AC83" s="189">
        <f t="shared" si="77"/>
        <v>0</v>
      </c>
      <c r="AD83" s="189">
        <f t="shared" si="77"/>
        <v>0</v>
      </c>
      <c r="AE83" s="189">
        <f t="shared" si="77"/>
        <v>0</v>
      </c>
      <c r="AF83" s="189">
        <f t="shared" si="77"/>
        <v>0</v>
      </c>
      <c r="AG83" s="189">
        <f t="shared" si="77"/>
        <v>0</v>
      </c>
      <c r="AH83" s="189">
        <f t="shared" si="77"/>
        <v>0</v>
      </c>
      <c r="AI83" s="189">
        <f t="shared" si="77"/>
        <v>0</v>
      </c>
      <c r="AJ83" s="189">
        <f t="shared" si="77"/>
        <v>0</v>
      </c>
      <c r="AK83" s="189">
        <f t="shared" si="77"/>
        <v>0</v>
      </c>
      <c r="AL83" s="189">
        <f t="shared" si="77"/>
        <v>0</v>
      </c>
      <c r="AM83" s="189">
        <f t="shared" si="77"/>
        <v>0</v>
      </c>
      <c r="AN83" s="189">
        <f t="shared" si="77"/>
        <v>0</v>
      </c>
      <c r="AO83" s="189">
        <f t="shared" si="77"/>
        <v>0</v>
      </c>
      <c r="AP83" s="189">
        <f t="shared" si="77"/>
        <v>0</v>
      </c>
      <c r="AQ83" s="189">
        <f t="shared" si="77"/>
        <v>0</v>
      </c>
      <c r="AR83" s="189">
        <f t="shared" si="77"/>
        <v>0</v>
      </c>
      <c r="AS83" s="189">
        <f t="shared" si="77"/>
        <v>0</v>
      </c>
      <c r="AT83" s="189">
        <f t="shared" si="77"/>
        <v>0</v>
      </c>
      <c r="AU83" s="189">
        <f t="shared" si="77"/>
        <v>0</v>
      </c>
      <c r="AV83" s="189">
        <f t="shared" si="77"/>
        <v>0</v>
      </c>
      <c r="AW83" s="189">
        <f t="shared" si="77"/>
        <v>0</v>
      </c>
      <c r="AX83" s="189">
        <f t="shared" si="77"/>
        <v>0</v>
      </c>
      <c r="AY83" s="189">
        <f t="shared" si="77"/>
        <v>0</v>
      </c>
      <c r="AZ83" s="189">
        <f t="shared" si="77"/>
        <v>0</v>
      </c>
      <c r="BA83" s="189">
        <f t="shared" si="77"/>
        <v>0</v>
      </c>
      <c r="BB83" s="189">
        <f>SUM(BB77:BB82)</f>
        <v>0</v>
      </c>
      <c r="BC83" s="189">
        <f>SUM(BC77:BC82)</f>
        <v>0</v>
      </c>
      <c r="BD83" s="189">
        <f>SUM(BD77:BD82)</f>
        <v>0</v>
      </c>
      <c r="BE83" s="189">
        <f>SUM(BE77:BE82)</f>
        <v>0</v>
      </c>
      <c r="BF83" s="189">
        <f>SUM(BF77:BF82)</f>
        <v>0</v>
      </c>
    </row>
    <row r="84" spans="1:58" s="23" customFormat="1" ht="14.1" customHeight="1">
      <c r="A84" s="247">
        <f t="shared" si="75"/>
        <v>78</v>
      </c>
      <c r="B84" s="7"/>
      <c r="C84" s="30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</row>
    <row r="85" spans="1:58" ht="14.1" customHeight="1">
      <c r="A85" s="247">
        <f t="shared" si="75"/>
        <v>79</v>
      </c>
      <c r="B85" s="3" t="s">
        <v>77</v>
      </c>
      <c r="C85" s="14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</row>
    <row r="86" spans="1:58" ht="14.1" customHeight="1">
      <c r="A86" s="247">
        <f t="shared" si="75"/>
        <v>80</v>
      </c>
      <c r="B86" s="203" t="s">
        <v>78</v>
      </c>
      <c r="C86" s="43">
        <f t="shared" ref="C86:C93" si="78">SUM(D86:BF86)</f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48">
        <v>0</v>
      </c>
      <c r="AE86" s="48">
        <v>0</v>
      </c>
      <c r="AF86" s="48">
        <v>0</v>
      </c>
      <c r="AG86" s="48">
        <v>0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0</v>
      </c>
      <c r="AQ86" s="48">
        <v>0</v>
      </c>
      <c r="AR86" s="48">
        <v>0</v>
      </c>
      <c r="AS86" s="48">
        <v>0</v>
      </c>
      <c r="AT86" s="48">
        <v>0</v>
      </c>
      <c r="AU86" s="48">
        <v>0</v>
      </c>
      <c r="AV86" s="48">
        <v>0</v>
      </c>
      <c r="AW86" s="48">
        <v>0</v>
      </c>
      <c r="AX86" s="48">
        <v>0</v>
      </c>
      <c r="AY86" s="48">
        <v>0</v>
      </c>
      <c r="AZ86" s="48">
        <v>0</v>
      </c>
      <c r="BA86" s="48">
        <v>0</v>
      </c>
      <c r="BB86" s="48">
        <v>0</v>
      </c>
      <c r="BC86" s="48">
        <v>0</v>
      </c>
      <c r="BD86" s="48">
        <v>0</v>
      </c>
      <c r="BE86" s="48">
        <v>0</v>
      </c>
      <c r="BF86" s="48">
        <v>0</v>
      </c>
    </row>
    <row r="87" spans="1:58" ht="14.1" customHeight="1">
      <c r="A87" s="247">
        <f t="shared" si="75"/>
        <v>81</v>
      </c>
      <c r="B87" s="203" t="s">
        <v>79</v>
      </c>
      <c r="C87" s="43">
        <f t="shared" si="78"/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>
        <v>0</v>
      </c>
      <c r="AU87" s="11">
        <v>0</v>
      </c>
      <c r="AV87" s="11">
        <v>0</v>
      </c>
      <c r="AW87" s="11">
        <v>0</v>
      </c>
      <c r="AX87" s="11">
        <v>0</v>
      </c>
      <c r="AY87" s="11">
        <v>0</v>
      </c>
      <c r="AZ87" s="11">
        <v>0</v>
      </c>
      <c r="BA87" s="11">
        <v>0</v>
      </c>
      <c r="BB87" s="11">
        <v>0</v>
      </c>
      <c r="BC87" s="11">
        <v>0</v>
      </c>
      <c r="BD87" s="11">
        <v>0</v>
      </c>
      <c r="BE87" s="11">
        <v>0</v>
      </c>
      <c r="BF87" s="11">
        <v>0</v>
      </c>
    </row>
    <row r="88" spans="1:58" ht="14.1" customHeight="1">
      <c r="A88" s="247">
        <f t="shared" si="75"/>
        <v>82</v>
      </c>
      <c r="B88" s="203" t="s">
        <v>80</v>
      </c>
      <c r="C88" s="43">
        <f t="shared" si="78"/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  <c r="AV88" s="11">
        <v>0</v>
      </c>
      <c r="AW88" s="11">
        <v>0</v>
      </c>
      <c r="AX88" s="11">
        <v>0</v>
      </c>
      <c r="AY88" s="11">
        <v>0</v>
      </c>
      <c r="AZ88" s="11">
        <v>0</v>
      </c>
      <c r="BA88" s="11">
        <v>0</v>
      </c>
      <c r="BB88" s="11">
        <v>0</v>
      </c>
      <c r="BC88" s="11">
        <v>0</v>
      </c>
      <c r="BD88" s="11">
        <v>0</v>
      </c>
      <c r="BE88" s="11">
        <v>0</v>
      </c>
      <c r="BF88" s="11">
        <v>0</v>
      </c>
    </row>
    <row r="89" spans="1:58" ht="14.1" customHeight="1">
      <c r="A89" s="247">
        <f t="shared" si="75"/>
        <v>83</v>
      </c>
      <c r="B89" s="203" t="s">
        <v>81</v>
      </c>
      <c r="C89" s="43">
        <f t="shared" si="78"/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>
        <v>0</v>
      </c>
      <c r="AU89" s="11">
        <v>0</v>
      </c>
      <c r="AV89" s="11">
        <v>0</v>
      </c>
      <c r="AW89" s="11">
        <v>0</v>
      </c>
      <c r="AX89" s="11">
        <v>0</v>
      </c>
      <c r="AY89" s="11">
        <v>0</v>
      </c>
      <c r="AZ89" s="11">
        <v>0</v>
      </c>
      <c r="BA89" s="11">
        <v>0</v>
      </c>
      <c r="BB89" s="11">
        <v>0</v>
      </c>
      <c r="BC89" s="11">
        <v>0</v>
      </c>
      <c r="BD89" s="11">
        <v>0</v>
      </c>
      <c r="BE89" s="11">
        <v>0</v>
      </c>
      <c r="BF89" s="11">
        <v>0</v>
      </c>
    </row>
    <row r="90" spans="1:58" ht="14.1" customHeight="1">
      <c r="A90" s="247">
        <f t="shared" si="75"/>
        <v>84</v>
      </c>
      <c r="B90" s="203" t="s">
        <v>82</v>
      </c>
      <c r="C90" s="43">
        <f t="shared" si="78"/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  <c r="AV90" s="11">
        <v>0</v>
      </c>
      <c r="AW90" s="11">
        <v>0</v>
      </c>
      <c r="AX90" s="11">
        <v>0</v>
      </c>
      <c r="AY90" s="11">
        <v>0</v>
      </c>
      <c r="AZ90" s="11">
        <v>0</v>
      </c>
      <c r="BA90" s="11">
        <v>0</v>
      </c>
      <c r="BB90" s="11">
        <v>0</v>
      </c>
      <c r="BC90" s="11">
        <v>0</v>
      </c>
      <c r="BD90" s="11">
        <v>0</v>
      </c>
      <c r="BE90" s="11">
        <v>0</v>
      </c>
      <c r="BF90" s="11">
        <v>0</v>
      </c>
    </row>
    <row r="91" spans="1:58" ht="14.1" customHeight="1">
      <c r="A91" s="247">
        <f t="shared" si="75"/>
        <v>85</v>
      </c>
      <c r="B91" s="203" t="s">
        <v>83</v>
      </c>
      <c r="C91" s="43">
        <f t="shared" si="78"/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  <c r="AV91" s="11">
        <v>0</v>
      </c>
      <c r="AW91" s="11">
        <v>0</v>
      </c>
      <c r="AX91" s="11">
        <v>0</v>
      </c>
      <c r="AY91" s="11">
        <v>0</v>
      </c>
      <c r="AZ91" s="11">
        <v>0</v>
      </c>
      <c r="BA91" s="11">
        <v>0</v>
      </c>
      <c r="BB91" s="11">
        <v>0</v>
      </c>
      <c r="BC91" s="11">
        <v>0</v>
      </c>
      <c r="BD91" s="11">
        <v>0</v>
      </c>
      <c r="BE91" s="11">
        <v>0</v>
      </c>
      <c r="BF91" s="11">
        <v>0</v>
      </c>
    </row>
    <row r="92" spans="1:58" ht="14.1" customHeight="1">
      <c r="A92" s="247">
        <f t="shared" si="75"/>
        <v>86</v>
      </c>
      <c r="B92" s="203" t="s">
        <v>84</v>
      </c>
      <c r="C92" s="43">
        <f t="shared" si="78"/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0</v>
      </c>
      <c r="AU92" s="11">
        <v>0</v>
      </c>
      <c r="AV92" s="11">
        <v>0</v>
      </c>
      <c r="AW92" s="11">
        <v>0</v>
      </c>
      <c r="AX92" s="11">
        <v>0</v>
      </c>
      <c r="AY92" s="11">
        <v>0</v>
      </c>
      <c r="AZ92" s="11">
        <v>0</v>
      </c>
      <c r="BA92" s="11">
        <v>0</v>
      </c>
      <c r="BB92" s="11">
        <v>0</v>
      </c>
      <c r="BC92" s="11">
        <v>0</v>
      </c>
      <c r="BD92" s="11">
        <v>0</v>
      </c>
      <c r="BE92" s="11">
        <v>0</v>
      </c>
      <c r="BF92" s="11">
        <v>0</v>
      </c>
    </row>
    <row r="93" spans="1:58" ht="13.5" customHeight="1">
      <c r="A93" s="247">
        <f t="shared" si="75"/>
        <v>87</v>
      </c>
      <c r="B93" s="92" t="s">
        <v>85</v>
      </c>
      <c r="C93" s="43">
        <f t="shared" si="78"/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0</v>
      </c>
      <c r="AU93" s="11">
        <v>0</v>
      </c>
      <c r="AV93" s="11">
        <v>0</v>
      </c>
      <c r="AW93" s="11">
        <v>0</v>
      </c>
      <c r="AX93" s="11">
        <v>0</v>
      </c>
      <c r="AY93" s="11">
        <v>0</v>
      </c>
      <c r="AZ93" s="11">
        <v>0</v>
      </c>
      <c r="BA93" s="11">
        <v>0</v>
      </c>
      <c r="BB93" s="11">
        <v>0</v>
      </c>
      <c r="BC93" s="11">
        <v>0</v>
      </c>
      <c r="BD93" s="11">
        <v>0</v>
      </c>
      <c r="BE93" s="11">
        <v>0</v>
      </c>
      <c r="BF93" s="11">
        <v>0</v>
      </c>
    </row>
    <row r="94" spans="1:58" s="23" customFormat="1" ht="14.1" customHeight="1">
      <c r="A94" s="247">
        <f t="shared" si="75"/>
        <v>88</v>
      </c>
      <c r="B94" s="2" t="s">
        <v>573</v>
      </c>
      <c r="C94" s="189">
        <f>SUM(C86:C93)</f>
        <v>0</v>
      </c>
      <c r="D94" s="189">
        <f>SUM(D86:D93)</f>
        <v>0</v>
      </c>
      <c r="E94" s="189">
        <f t="shared" ref="E94:BA94" si="79">SUM(E86:E93)</f>
        <v>0</v>
      </c>
      <c r="F94" s="189">
        <f t="shared" si="79"/>
        <v>0</v>
      </c>
      <c r="G94" s="189">
        <f t="shared" si="79"/>
        <v>0</v>
      </c>
      <c r="H94" s="189">
        <f t="shared" si="79"/>
        <v>0</v>
      </c>
      <c r="I94" s="189">
        <f t="shared" si="79"/>
        <v>0</v>
      </c>
      <c r="J94" s="189">
        <f t="shared" si="79"/>
        <v>0</v>
      </c>
      <c r="K94" s="189">
        <f t="shared" si="79"/>
        <v>0</v>
      </c>
      <c r="L94" s="189">
        <f t="shared" si="79"/>
        <v>0</v>
      </c>
      <c r="M94" s="189">
        <f t="shared" si="79"/>
        <v>0</v>
      </c>
      <c r="N94" s="189">
        <f t="shared" si="79"/>
        <v>0</v>
      </c>
      <c r="O94" s="189">
        <f t="shared" si="79"/>
        <v>0</v>
      </c>
      <c r="P94" s="189">
        <f t="shared" si="79"/>
        <v>0</v>
      </c>
      <c r="Q94" s="189">
        <f t="shared" si="79"/>
        <v>0</v>
      </c>
      <c r="R94" s="189">
        <f t="shared" si="79"/>
        <v>0</v>
      </c>
      <c r="S94" s="189">
        <f t="shared" si="79"/>
        <v>0</v>
      </c>
      <c r="T94" s="189">
        <f t="shared" si="79"/>
        <v>0</v>
      </c>
      <c r="U94" s="189">
        <f t="shared" si="79"/>
        <v>0</v>
      </c>
      <c r="V94" s="189">
        <f t="shared" si="79"/>
        <v>0</v>
      </c>
      <c r="W94" s="189">
        <f t="shared" si="79"/>
        <v>0</v>
      </c>
      <c r="X94" s="189">
        <f t="shared" si="79"/>
        <v>0</v>
      </c>
      <c r="Y94" s="189">
        <f t="shared" si="79"/>
        <v>0</v>
      </c>
      <c r="Z94" s="189">
        <f t="shared" si="79"/>
        <v>0</v>
      </c>
      <c r="AA94" s="189">
        <f t="shared" si="79"/>
        <v>0</v>
      </c>
      <c r="AB94" s="189">
        <f t="shared" si="79"/>
        <v>0</v>
      </c>
      <c r="AC94" s="189">
        <f t="shared" si="79"/>
        <v>0</v>
      </c>
      <c r="AD94" s="189">
        <f t="shared" si="79"/>
        <v>0</v>
      </c>
      <c r="AE94" s="189">
        <f t="shared" si="79"/>
        <v>0</v>
      </c>
      <c r="AF94" s="189">
        <f t="shared" si="79"/>
        <v>0</v>
      </c>
      <c r="AG94" s="189">
        <f t="shared" si="79"/>
        <v>0</v>
      </c>
      <c r="AH94" s="189">
        <f t="shared" si="79"/>
        <v>0</v>
      </c>
      <c r="AI94" s="189">
        <f t="shared" si="79"/>
        <v>0</v>
      </c>
      <c r="AJ94" s="189">
        <f t="shared" si="79"/>
        <v>0</v>
      </c>
      <c r="AK94" s="189">
        <f t="shared" si="79"/>
        <v>0</v>
      </c>
      <c r="AL94" s="189">
        <f t="shared" si="79"/>
        <v>0</v>
      </c>
      <c r="AM94" s="189">
        <f t="shared" si="79"/>
        <v>0</v>
      </c>
      <c r="AN94" s="189">
        <f t="shared" si="79"/>
        <v>0</v>
      </c>
      <c r="AO94" s="189">
        <f t="shared" si="79"/>
        <v>0</v>
      </c>
      <c r="AP94" s="189">
        <f t="shared" si="79"/>
        <v>0</v>
      </c>
      <c r="AQ94" s="189">
        <f t="shared" si="79"/>
        <v>0</v>
      </c>
      <c r="AR94" s="189">
        <f t="shared" si="79"/>
        <v>0</v>
      </c>
      <c r="AS94" s="189">
        <f t="shared" si="79"/>
        <v>0</v>
      </c>
      <c r="AT94" s="189">
        <f t="shared" si="79"/>
        <v>0</v>
      </c>
      <c r="AU94" s="189">
        <f t="shared" si="79"/>
        <v>0</v>
      </c>
      <c r="AV94" s="189">
        <f t="shared" si="79"/>
        <v>0</v>
      </c>
      <c r="AW94" s="189">
        <f t="shared" si="79"/>
        <v>0</v>
      </c>
      <c r="AX94" s="189">
        <f t="shared" si="79"/>
        <v>0</v>
      </c>
      <c r="AY94" s="189">
        <f t="shared" si="79"/>
        <v>0</v>
      </c>
      <c r="AZ94" s="189">
        <f t="shared" si="79"/>
        <v>0</v>
      </c>
      <c r="BA94" s="189">
        <f t="shared" si="79"/>
        <v>0</v>
      </c>
      <c r="BB94" s="189">
        <f>SUM(BB86:BB93)</f>
        <v>0</v>
      </c>
      <c r="BC94" s="189">
        <f>SUM(BC86:BC93)</f>
        <v>0</v>
      </c>
      <c r="BD94" s="189">
        <f>SUM(BD86:BD93)</f>
        <v>0</v>
      </c>
      <c r="BE94" s="189">
        <f>SUM(BE86:BE93)</f>
        <v>0</v>
      </c>
      <c r="BF94" s="189">
        <f>SUM(BF86:BF93)</f>
        <v>0</v>
      </c>
    </row>
    <row r="95" spans="1:58" s="23" customFormat="1" ht="14.1" customHeight="1">
      <c r="A95" s="247">
        <f t="shared" si="75"/>
        <v>89</v>
      </c>
      <c r="B95" s="7"/>
      <c r="C95" s="30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</row>
    <row r="96" spans="1:58" ht="14.1" customHeight="1">
      <c r="A96" s="247">
        <f t="shared" si="75"/>
        <v>90</v>
      </c>
      <c r="B96" s="3" t="s">
        <v>86</v>
      </c>
      <c r="C96" s="14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</row>
    <row r="97" spans="1:58" ht="14.1" customHeight="1">
      <c r="A97" s="247">
        <f t="shared" si="75"/>
        <v>91</v>
      </c>
      <c r="B97" s="203" t="s">
        <v>87</v>
      </c>
      <c r="C97" s="43">
        <f t="shared" ref="C97:C103" si="80">SUM(D97:BF97)</f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  <c r="AV97" s="11">
        <v>0</v>
      </c>
      <c r="AW97" s="11">
        <v>0</v>
      </c>
      <c r="AX97" s="11">
        <v>0</v>
      </c>
      <c r="AY97" s="11">
        <v>0</v>
      </c>
      <c r="AZ97" s="11">
        <v>0</v>
      </c>
      <c r="BA97" s="11">
        <v>0</v>
      </c>
      <c r="BB97" s="11">
        <v>0</v>
      </c>
      <c r="BC97" s="11">
        <v>0</v>
      </c>
      <c r="BD97" s="11">
        <v>0</v>
      </c>
      <c r="BE97" s="11">
        <v>0</v>
      </c>
      <c r="BF97" s="11">
        <v>0</v>
      </c>
    </row>
    <row r="98" spans="1:58" ht="14.1" customHeight="1">
      <c r="A98" s="247">
        <f t="shared" si="75"/>
        <v>92</v>
      </c>
      <c r="B98" s="203" t="s">
        <v>88</v>
      </c>
      <c r="C98" s="43">
        <f t="shared" si="80"/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>
        <v>0</v>
      </c>
      <c r="AV98" s="11">
        <v>0</v>
      </c>
      <c r="AW98" s="11">
        <v>0</v>
      </c>
      <c r="AX98" s="11">
        <v>0</v>
      </c>
      <c r="AY98" s="11">
        <v>0</v>
      </c>
      <c r="AZ98" s="11">
        <v>0</v>
      </c>
      <c r="BA98" s="11">
        <v>0</v>
      </c>
      <c r="BB98" s="11">
        <v>0</v>
      </c>
      <c r="BC98" s="11">
        <v>0</v>
      </c>
      <c r="BD98" s="11">
        <v>0</v>
      </c>
      <c r="BE98" s="11">
        <v>0</v>
      </c>
      <c r="BF98" s="11">
        <v>0</v>
      </c>
    </row>
    <row r="99" spans="1:58" ht="14.1" customHeight="1">
      <c r="A99" s="247">
        <f t="shared" si="75"/>
        <v>93</v>
      </c>
      <c r="B99" s="203" t="s">
        <v>89</v>
      </c>
      <c r="C99" s="43">
        <f t="shared" si="80"/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  <c r="AV99" s="11">
        <v>0</v>
      </c>
      <c r="AW99" s="11">
        <v>0</v>
      </c>
      <c r="AX99" s="11">
        <v>0</v>
      </c>
      <c r="AY99" s="11">
        <v>0</v>
      </c>
      <c r="AZ99" s="11">
        <v>0</v>
      </c>
      <c r="BA99" s="11">
        <v>0</v>
      </c>
      <c r="BB99" s="11">
        <v>0</v>
      </c>
      <c r="BC99" s="11">
        <v>0</v>
      </c>
      <c r="BD99" s="11">
        <v>0</v>
      </c>
      <c r="BE99" s="11">
        <v>0</v>
      </c>
      <c r="BF99" s="11">
        <v>0</v>
      </c>
    </row>
    <row r="100" spans="1:58" ht="14.1" customHeight="1">
      <c r="A100" s="247">
        <f t="shared" si="75"/>
        <v>94</v>
      </c>
      <c r="B100" s="203" t="s">
        <v>90</v>
      </c>
      <c r="C100" s="43">
        <f t="shared" si="80"/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>
        <v>0</v>
      </c>
      <c r="AW100" s="11">
        <v>0</v>
      </c>
      <c r="AX100" s="11">
        <v>0</v>
      </c>
      <c r="AY100" s="11">
        <v>0</v>
      </c>
      <c r="AZ100" s="11">
        <v>0</v>
      </c>
      <c r="BA100" s="11">
        <v>0</v>
      </c>
      <c r="BB100" s="11">
        <v>0</v>
      </c>
      <c r="BC100" s="11">
        <v>0</v>
      </c>
      <c r="BD100" s="11">
        <v>0</v>
      </c>
      <c r="BE100" s="11">
        <v>0</v>
      </c>
      <c r="BF100" s="11">
        <v>0</v>
      </c>
    </row>
    <row r="101" spans="1:58" ht="14.1" customHeight="1">
      <c r="A101" s="247">
        <f t="shared" si="75"/>
        <v>95</v>
      </c>
      <c r="B101" s="203" t="s">
        <v>91</v>
      </c>
      <c r="C101" s="43">
        <f t="shared" si="80"/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>
        <v>0</v>
      </c>
      <c r="AU101" s="11">
        <v>0</v>
      </c>
      <c r="AV101" s="11">
        <v>0</v>
      </c>
      <c r="AW101" s="11">
        <v>0</v>
      </c>
      <c r="AX101" s="11">
        <v>0</v>
      </c>
      <c r="AY101" s="11">
        <v>0</v>
      </c>
      <c r="AZ101" s="11">
        <v>0</v>
      </c>
      <c r="BA101" s="11">
        <v>0</v>
      </c>
      <c r="BB101" s="11">
        <v>0</v>
      </c>
      <c r="BC101" s="11">
        <v>0</v>
      </c>
      <c r="BD101" s="11">
        <v>0</v>
      </c>
      <c r="BE101" s="11">
        <v>0</v>
      </c>
      <c r="BF101" s="11">
        <v>0</v>
      </c>
    </row>
    <row r="102" spans="1:58" ht="14.1" customHeight="1">
      <c r="A102" s="247">
        <f t="shared" si="75"/>
        <v>96</v>
      </c>
      <c r="B102" s="203" t="s">
        <v>92</v>
      </c>
      <c r="C102" s="43">
        <f t="shared" si="80"/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>
        <v>0</v>
      </c>
      <c r="AV102" s="11">
        <v>0</v>
      </c>
      <c r="AW102" s="11">
        <v>0</v>
      </c>
      <c r="AX102" s="11">
        <v>0</v>
      </c>
      <c r="AY102" s="11">
        <v>0</v>
      </c>
      <c r="AZ102" s="11">
        <v>0</v>
      </c>
      <c r="BA102" s="11">
        <v>0</v>
      </c>
      <c r="BB102" s="11">
        <v>0</v>
      </c>
      <c r="BC102" s="11">
        <v>0</v>
      </c>
      <c r="BD102" s="11">
        <v>0</v>
      </c>
      <c r="BE102" s="11">
        <v>0</v>
      </c>
      <c r="BF102" s="11">
        <v>0</v>
      </c>
    </row>
    <row r="103" spans="1:58" ht="14.1" customHeight="1">
      <c r="A103" s="247">
        <f t="shared" si="75"/>
        <v>97</v>
      </c>
      <c r="B103" s="92" t="s">
        <v>93</v>
      </c>
      <c r="C103" s="43">
        <f t="shared" si="80"/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>
        <v>0</v>
      </c>
      <c r="AU103" s="11">
        <v>0</v>
      </c>
      <c r="AV103" s="11">
        <v>0</v>
      </c>
      <c r="AW103" s="11">
        <v>0</v>
      </c>
      <c r="AX103" s="11">
        <v>0</v>
      </c>
      <c r="AY103" s="11">
        <v>0</v>
      </c>
      <c r="AZ103" s="11">
        <v>0</v>
      </c>
      <c r="BA103" s="11">
        <v>0</v>
      </c>
      <c r="BB103" s="11">
        <v>0</v>
      </c>
      <c r="BC103" s="11">
        <v>0</v>
      </c>
      <c r="BD103" s="11">
        <v>0</v>
      </c>
      <c r="BE103" s="11">
        <v>0</v>
      </c>
      <c r="BF103" s="11">
        <v>0</v>
      </c>
    </row>
    <row r="104" spans="1:58" s="23" customFormat="1" ht="14.1" customHeight="1">
      <c r="A104" s="247">
        <f t="shared" si="75"/>
        <v>98</v>
      </c>
      <c r="B104" s="2" t="s">
        <v>574</v>
      </c>
      <c r="C104" s="189">
        <f>SUM(C96:C103)</f>
        <v>0</v>
      </c>
      <c r="D104" s="189">
        <f>SUM(D96:D103)</f>
        <v>0</v>
      </c>
      <c r="E104" s="189">
        <f t="shared" ref="E104:BA104" si="81">SUM(E96:E103)</f>
        <v>0</v>
      </c>
      <c r="F104" s="189">
        <f t="shared" si="81"/>
        <v>0</v>
      </c>
      <c r="G104" s="189">
        <f t="shared" si="81"/>
        <v>0</v>
      </c>
      <c r="H104" s="189">
        <f t="shared" si="81"/>
        <v>0</v>
      </c>
      <c r="I104" s="189">
        <f t="shared" si="81"/>
        <v>0</v>
      </c>
      <c r="J104" s="189">
        <f t="shared" si="81"/>
        <v>0</v>
      </c>
      <c r="K104" s="189">
        <f t="shared" si="81"/>
        <v>0</v>
      </c>
      <c r="L104" s="189">
        <f t="shared" si="81"/>
        <v>0</v>
      </c>
      <c r="M104" s="189">
        <f t="shared" si="81"/>
        <v>0</v>
      </c>
      <c r="N104" s="189">
        <f t="shared" si="81"/>
        <v>0</v>
      </c>
      <c r="O104" s="189">
        <f t="shared" si="81"/>
        <v>0</v>
      </c>
      <c r="P104" s="189">
        <f t="shared" si="81"/>
        <v>0</v>
      </c>
      <c r="Q104" s="189">
        <f t="shared" si="81"/>
        <v>0</v>
      </c>
      <c r="R104" s="189">
        <f t="shared" si="81"/>
        <v>0</v>
      </c>
      <c r="S104" s="189">
        <f t="shared" si="81"/>
        <v>0</v>
      </c>
      <c r="T104" s="189">
        <f t="shared" si="81"/>
        <v>0</v>
      </c>
      <c r="U104" s="189">
        <f t="shared" si="81"/>
        <v>0</v>
      </c>
      <c r="V104" s="189">
        <f t="shared" si="81"/>
        <v>0</v>
      </c>
      <c r="W104" s="189">
        <f t="shared" si="81"/>
        <v>0</v>
      </c>
      <c r="X104" s="189">
        <f t="shared" si="81"/>
        <v>0</v>
      </c>
      <c r="Y104" s="189">
        <f t="shared" si="81"/>
        <v>0</v>
      </c>
      <c r="Z104" s="189">
        <f t="shared" si="81"/>
        <v>0</v>
      </c>
      <c r="AA104" s="189">
        <f t="shared" si="81"/>
        <v>0</v>
      </c>
      <c r="AB104" s="189">
        <f t="shared" si="81"/>
        <v>0</v>
      </c>
      <c r="AC104" s="189">
        <f t="shared" si="81"/>
        <v>0</v>
      </c>
      <c r="AD104" s="189">
        <f t="shared" si="81"/>
        <v>0</v>
      </c>
      <c r="AE104" s="189">
        <f t="shared" si="81"/>
        <v>0</v>
      </c>
      <c r="AF104" s="189">
        <f t="shared" si="81"/>
        <v>0</v>
      </c>
      <c r="AG104" s="189">
        <f t="shared" si="81"/>
        <v>0</v>
      </c>
      <c r="AH104" s="189">
        <f t="shared" si="81"/>
        <v>0</v>
      </c>
      <c r="AI104" s="189">
        <f t="shared" si="81"/>
        <v>0</v>
      </c>
      <c r="AJ104" s="189">
        <f t="shared" si="81"/>
        <v>0</v>
      </c>
      <c r="AK104" s="189">
        <f t="shared" si="81"/>
        <v>0</v>
      </c>
      <c r="AL104" s="189">
        <f t="shared" si="81"/>
        <v>0</v>
      </c>
      <c r="AM104" s="189">
        <f t="shared" si="81"/>
        <v>0</v>
      </c>
      <c r="AN104" s="189">
        <f t="shared" si="81"/>
        <v>0</v>
      </c>
      <c r="AO104" s="189">
        <f t="shared" si="81"/>
        <v>0</v>
      </c>
      <c r="AP104" s="189">
        <f t="shared" si="81"/>
        <v>0</v>
      </c>
      <c r="AQ104" s="189">
        <f t="shared" si="81"/>
        <v>0</v>
      </c>
      <c r="AR104" s="189">
        <f t="shared" si="81"/>
        <v>0</v>
      </c>
      <c r="AS104" s="189">
        <f t="shared" si="81"/>
        <v>0</v>
      </c>
      <c r="AT104" s="189">
        <f t="shared" si="81"/>
        <v>0</v>
      </c>
      <c r="AU104" s="189">
        <f t="shared" si="81"/>
        <v>0</v>
      </c>
      <c r="AV104" s="189">
        <f t="shared" si="81"/>
        <v>0</v>
      </c>
      <c r="AW104" s="189">
        <f t="shared" si="81"/>
        <v>0</v>
      </c>
      <c r="AX104" s="189">
        <f t="shared" si="81"/>
        <v>0</v>
      </c>
      <c r="AY104" s="189">
        <f t="shared" si="81"/>
        <v>0</v>
      </c>
      <c r="AZ104" s="189">
        <f t="shared" si="81"/>
        <v>0</v>
      </c>
      <c r="BA104" s="189">
        <f t="shared" si="81"/>
        <v>0</v>
      </c>
      <c r="BB104" s="189">
        <f>SUM(BB96:BB103)</f>
        <v>0</v>
      </c>
      <c r="BC104" s="189">
        <f>SUM(BC96:BC103)</f>
        <v>0</v>
      </c>
      <c r="BD104" s="189">
        <f>SUM(BD96:BD103)</f>
        <v>0</v>
      </c>
      <c r="BE104" s="189">
        <f>SUM(BE96:BE103)</f>
        <v>0</v>
      </c>
      <c r="BF104" s="189">
        <f>SUM(BF96:BF103)</f>
        <v>0</v>
      </c>
    </row>
    <row r="105" spans="1:58" s="23" customFormat="1" ht="14.1" customHeight="1">
      <c r="A105" s="247">
        <f t="shared" si="75"/>
        <v>99</v>
      </c>
      <c r="B105" s="7"/>
      <c r="C105" s="30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</row>
    <row r="106" spans="1:58" ht="14.1" customHeight="1">
      <c r="A106" s="247">
        <f t="shared" si="75"/>
        <v>100</v>
      </c>
      <c r="B106" s="203" t="s">
        <v>94</v>
      </c>
      <c r="C106" s="43">
        <f>SUM(D106:BF106)</f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48">
        <v>0</v>
      </c>
      <c r="AC106" s="48">
        <v>0</v>
      </c>
      <c r="AD106" s="48">
        <v>0</v>
      </c>
      <c r="AE106" s="48">
        <v>0</v>
      </c>
      <c r="AF106" s="48">
        <v>0</v>
      </c>
      <c r="AG106" s="48">
        <v>0</v>
      </c>
      <c r="AH106" s="48">
        <v>0</v>
      </c>
      <c r="AI106" s="48">
        <v>0</v>
      </c>
      <c r="AJ106" s="48">
        <v>0</v>
      </c>
      <c r="AK106" s="48">
        <v>0</v>
      </c>
      <c r="AL106" s="48">
        <v>0</v>
      </c>
      <c r="AM106" s="48">
        <v>0</v>
      </c>
      <c r="AN106" s="48">
        <v>0</v>
      </c>
      <c r="AO106" s="48">
        <v>0</v>
      </c>
      <c r="AP106" s="48">
        <v>0</v>
      </c>
      <c r="AQ106" s="48">
        <v>0</v>
      </c>
      <c r="AR106" s="48">
        <v>0</v>
      </c>
      <c r="AS106" s="48">
        <v>0</v>
      </c>
      <c r="AT106" s="48">
        <v>0</v>
      </c>
      <c r="AU106" s="48">
        <v>0</v>
      </c>
      <c r="AV106" s="48">
        <v>0</v>
      </c>
      <c r="AW106" s="48">
        <v>0</v>
      </c>
      <c r="AX106" s="48">
        <v>0</v>
      </c>
      <c r="AY106" s="48">
        <v>0</v>
      </c>
      <c r="AZ106" s="48">
        <v>0</v>
      </c>
      <c r="BA106" s="48">
        <v>0</v>
      </c>
      <c r="BB106" s="48">
        <v>0</v>
      </c>
      <c r="BC106" s="48">
        <v>0</v>
      </c>
      <c r="BD106" s="48">
        <v>0</v>
      </c>
      <c r="BE106" s="48">
        <v>0</v>
      </c>
      <c r="BF106" s="48">
        <v>0</v>
      </c>
    </row>
    <row r="107" spans="1:58" ht="14.1" customHeight="1">
      <c r="A107" s="247">
        <f t="shared" si="75"/>
        <v>101</v>
      </c>
      <c r="B107" s="92" t="s">
        <v>95</v>
      </c>
      <c r="C107" s="43">
        <f>SUM(D107:BF107)</f>
        <v>0</v>
      </c>
      <c r="D107" s="100">
        <v>0</v>
      </c>
      <c r="E107" s="100">
        <v>0</v>
      </c>
      <c r="F107" s="100">
        <v>0</v>
      </c>
      <c r="G107" s="100">
        <v>0</v>
      </c>
      <c r="H107" s="100">
        <v>0</v>
      </c>
      <c r="I107" s="100">
        <v>0</v>
      </c>
      <c r="J107" s="100">
        <v>0</v>
      </c>
      <c r="K107" s="100">
        <v>0</v>
      </c>
      <c r="L107" s="100">
        <v>0</v>
      </c>
      <c r="M107" s="100">
        <v>0</v>
      </c>
      <c r="N107" s="100">
        <v>0</v>
      </c>
      <c r="O107" s="100">
        <v>0</v>
      </c>
      <c r="P107" s="100">
        <v>0</v>
      </c>
      <c r="Q107" s="100">
        <v>0</v>
      </c>
      <c r="R107" s="100">
        <v>0</v>
      </c>
      <c r="S107" s="100">
        <v>0</v>
      </c>
      <c r="T107" s="100">
        <v>0</v>
      </c>
      <c r="U107" s="100">
        <v>0</v>
      </c>
      <c r="V107" s="100">
        <v>0</v>
      </c>
      <c r="W107" s="100">
        <v>0</v>
      </c>
      <c r="X107" s="100">
        <v>0</v>
      </c>
      <c r="Y107" s="100">
        <v>0</v>
      </c>
      <c r="Z107" s="100">
        <v>0</v>
      </c>
      <c r="AA107" s="100">
        <v>0</v>
      </c>
      <c r="AB107" s="100">
        <v>0</v>
      </c>
      <c r="AC107" s="100">
        <v>0</v>
      </c>
      <c r="AD107" s="100">
        <v>0</v>
      </c>
      <c r="AE107" s="100">
        <v>0</v>
      </c>
      <c r="AF107" s="100">
        <v>0</v>
      </c>
      <c r="AG107" s="100">
        <v>0</v>
      </c>
      <c r="AH107" s="100">
        <v>0</v>
      </c>
      <c r="AI107" s="100">
        <v>0</v>
      </c>
      <c r="AJ107" s="100">
        <v>0</v>
      </c>
      <c r="AK107" s="100">
        <v>0</v>
      </c>
      <c r="AL107" s="100">
        <v>0</v>
      </c>
      <c r="AM107" s="100">
        <v>0</v>
      </c>
      <c r="AN107" s="100">
        <v>0</v>
      </c>
      <c r="AO107" s="100">
        <v>0</v>
      </c>
      <c r="AP107" s="100">
        <v>0</v>
      </c>
      <c r="AQ107" s="100">
        <v>0</v>
      </c>
      <c r="AR107" s="100">
        <v>0</v>
      </c>
      <c r="AS107" s="100">
        <v>0</v>
      </c>
      <c r="AT107" s="100">
        <v>0</v>
      </c>
      <c r="AU107" s="100">
        <v>0</v>
      </c>
      <c r="AV107" s="100">
        <v>0</v>
      </c>
      <c r="AW107" s="100">
        <v>0</v>
      </c>
      <c r="AX107" s="100">
        <v>0</v>
      </c>
      <c r="AY107" s="100">
        <v>0</v>
      </c>
      <c r="AZ107" s="100">
        <v>0</v>
      </c>
      <c r="BA107" s="100">
        <v>0</v>
      </c>
      <c r="BB107" s="100">
        <v>0</v>
      </c>
      <c r="BC107" s="100">
        <v>0</v>
      </c>
      <c r="BD107" s="100">
        <v>0</v>
      </c>
      <c r="BE107" s="100">
        <v>0</v>
      </c>
      <c r="BF107" s="100">
        <v>0</v>
      </c>
    </row>
    <row r="108" spans="1:58" s="23" customFormat="1" ht="14.1" customHeight="1">
      <c r="A108" s="247">
        <f t="shared" si="75"/>
        <v>102</v>
      </c>
      <c r="B108" s="2" t="s">
        <v>534</v>
      </c>
      <c r="C108" s="83">
        <f>C107+C106+C104+C94+C83+C74</f>
        <v>-775184279.98802006</v>
      </c>
      <c r="D108" s="83">
        <f>D107+D106+D104+D94+D83+D74</f>
        <v>0</v>
      </c>
      <c r="E108" s="83">
        <f t="shared" ref="E108:BA108" si="82">E107+E106+E104+E94+E83+E74</f>
        <v>0</v>
      </c>
      <c r="F108" s="83">
        <f t="shared" si="82"/>
        <v>0</v>
      </c>
      <c r="G108" s="83">
        <f t="shared" si="82"/>
        <v>0</v>
      </c>
      <c r="H108" s="83">
        <f t="shared" si="82"/>
        <v>0</v>
      </c>
      <c r="I108" s="83">
        <f t="shared" si="82"/>
        <v>0</v>
      </c>
      <c r="J108" s="83">
        <f t="shared" si="82"/>
        <v>0</v>
      </c>
      <c r="K108" s="83">
        <f t="shared" si="82"/>
        <v>0</v>
      </c>
      <c r="L108" s="83">
        <f t="shared" si="82"/>
        <v>0</v>
      </c>
      <c r="M108" s="83">
        <f t="shared" si="82"/>
        <v>0</v>
      </c>
      <c r="N108" s="83">
        <f t="shared" si="82"/>
        <v>0</v>
      </c>
      <c r="O108" s="83">
        <f t="shared" si="82"/>
        <v>0</v>
      </c>
      <c r="P108" s="83">
        <f t="shared" si="82"/>
        <v>0</v>
      </c>
      <c r="Q108" s="83">
        <f t="shared" si="82"/>
        <v>0</v>
      </c>
      <c r="R108" s="83">
        <f t="shared" si="82"/>
        <v>0</v>
      </c>
      <c r="S108" s="83">
        <f t="shared" si="82"/>
        <v>0</v>
      </c>
      <c r="T108" s="83">
        <f t="shared" si="82"/>
        <v>0</v>
      </c>
      <c r="U108" s="83">
        <f t="shared" si="82"/>
        <v>0</v>
      </c>
      <c r="V108" s="83">
        <f t="shared" si="82"/>
        <v>0</v>
      </c>
      <c r="W108" s="83">
        <f t="shared" si="82"/>
        <v>0</v>
      </c>
      <c r="X108" s="83">
        <f t="shared" si="82"/>
        <v>0</v>
      </c>
      <c r="Y108" s="83">
        <f t="shared" si="82"/>
        <v>0</v>
      </c>
      <c r="Z108" s="83">
        <f t="shared" si="82"/>
        <v>0</v>
      </c>
      <c r="AA108" s="83">
        <f t="shared" si="82"/>
        <v>0</v>
      </c>
      <c r="AB108" s="83">
        <f t="shared" si="82"/>
        <v>0</v>
      </c>
      <c r="AC108" s="83">
        <f t="shared" si="82"/>
        <v>0</v>
      </c>
      <c r="AD108" s="83">
        <f t="shared" si="82"/>
        <v>0</v>
      </c>
      <c r="AE108" s="83">
        <f t="shared" si="82"/>
        <v>0</v>
      </c>
      <c r="AF108" s="83">
        <f t="shared" si="82"/>
        <v>0</v>
      </c>
      <c r="AG108" s="83">
        <f t="shared" si="82"/>
        <v>0</v>
      </c>
      <c r="AH108" s="83">
        <f t="shared" si="82"/>
        <v>0</v>
      </c>
      <c r="AI108" s="83">
        <f t="shared" si="82"/>
        <v>0</v>
      </c>
      <c r="AJ108" s="83">
        <f t="shared" si="82"/>
        <v>0</v>
      </c>
      <c r="AK108" s="83">
        <f t="shared" si="82"/>
        <v>0</v>
      </c>
      <c r="AL108" s="83">
        <f t="shared" si="82"/>
        <v>0</v>
      </c>
      <c r="AM108" s="83">
        <f t="shared" si="82"/>
        <v>0</v>
      </c>
      <c r="AN108" s="83">
        <f t="shared" si="82"/>
        <v>0</v>
      </c>
      <c r="AO108" s="83">
        <f t="shared" si="82"/>
        <v>0</v>
      </c>
      <c r="AP108" s="83">
        <f t="shared" si="82"/>
        <v>0</v>
      </c>
      <c r="AQ108" s="83">
        <f t="shared" si="82"/>
        <v>0</v>
      </c>
      <c r="AR108" s="83">
        <f t="shared" si="82"/>
        <v>0</v>
      </c>
      <c r="AS108" s="83">
        <f t="shared" si="82"/>
        <v>0</v>
      </c>
      <c r="AT108" s="83">
        <f t="shared" si="82"/>
        <v>0</v>
      </c>
      <c r="AU108" s="83">
        <f t="shared" si="82"/>
        <v>0</v>
      </c>
      <c r="AV108" s="83">
        <f t="shared" si="82"/>
        <v>0</v>
      </c>
      <c r="AW108" s="83">
        <f t="shared" si="82"/>
        <v>0</v>
      </c>
      <c r="AX108" s="83">
        <f t="shared" si="82"/>
        <v>0</v>
      </c>
      <c r="AY108" s="83">
        <f t="shared" si="82"/>
        <v>0</v>
      </c>
      <c r="AZ108" s="83">
        <f t="shared" si="82"/>
        <v>-322612704</v>
      </c>
      <c r="BA108" s="83">
        <f t="shared" si="82"/>
        <v>0</v>
      </c>
      <c r="BB108" s="83">
        <f>BB107+BB106+BB104+BB94+BB83+BB74</f>
        <v>0</v>
      </c>
      <c r="BC108" s="83">
        <f>BC107+BC106+BC104+BC94+BC83+BC74</f>
        <v>-452571575.98802</v>
      </c>
      <c r="BD108" s="83">
        <f>BD107+BD106+BD104+BD94+BD83+BD74</f>
        <v>0</v>
      </c>
      <c r="BE108" s="83">
        <f>BE107+BE106+BE104+BE94+BE83+BE74</f>
        <v>0</v>
      </c>
      <c r="BF108" s="83">
        <f>BF107+BF106+BF104+BF94+BF83+BF74</f>
        <v>0</v>
      </c>
    </row>
    <row r="109" spans="1:58" s="23" customFormat="1" ht="14.1" customHeight="1">
      <c r="A109" s="247">
        <f t="shared" si="75"/>
        <v>103</v>
      </c>
      <c r="B109" s="7"/>
      <c r="C109" s="3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</row>
    <row r="110" spans="1:58" ht="14.1" customHeight="1">
      <c r="A110" s="247">
        <f t="shared" si="75"/>
        <v>104</v>
      </c>
      <c r="B110" s="3" t="s">
        <v>96</v>
      </c>
      <c r="C110" s="14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</row>
    <row r="111" spans="1:58" ht="14.1" customHeight="1">
      <c r="A111" s="247">
        <f t="shared" si="75"/>
        <v>105</v>
      </c>
      <c r="B111" s="203" t="s">
        <v>97</v>
      </c>
      <c r="C111" s="43">
        <f t="shared" ref="C111:C121" si="83">SUM(D111:BF111)</f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>
        <v>0</v>
      </c>
      <c r="AT111" s="11">
        <v>0</v>
      </c>
      <c r="AU111" s="11">
        <v>0</v>
      </c>
      <c r="AV111" s="11">
        <v>0</v>
      </c>
      <c r="AW111" s="11">
        <v>0</v>
      </c>
      <c r="AX111" s="11">
        <v>0</v>
      </c>
      <c r="AY111" s="11">
        <v>0</v>
      </c>
      <c r="AZ111" s="11">
        <v>0</v>
      </c>
      <c r="BA111" s="11">
        <v>0</v>
      </c>
      <c r="BB111" s="11">
        <v>0</v>
      </c>
      <c r="BC111" s="11">
        <v>0</v>
      </c>
      <c r="BD111" s="11">
        <v>0</v>
      </c>
      <c r="BE111" s="11">
        <v>0</v>
      </c>
      <c r="BF111" s="11">
        <v>0</v>
      </c>
    </row>
    <row r="112" spans="1:58" ht="14.1" customHeight="1">
      <c r="A112" s="247">
        <f t="shared" si="75"/>
        <v>106</v>
      </c>
      <c r="B112" s="203" t="s">
        <v>98</v>
      </c>
      <c r="C112" s="43">
        <f t="shared" si="83"/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0</v>
      </c>
      <c r="AP112" s="11">
        <v>0</v>
      </c>
      <c r="AQ112" s="11">
        <v>0</v>
      </c>
      <c r="AR112" s="11">
        <v>0</v>
      </c>
      <c r="AS112" s="11">
        <v>0</v>
      </c>
      <c r="AT112" s="11">
        <v>0</v>
      </c>
      <c r="AU112" s="11">
        <v>0</v>
      </c>
      <c r="AV112" s="11">
        <v>0</v>
      </c>
      <c r="AW112" s="11">
        <v>0</v>
      </c>
      <c r="AX112" s="11">
        <v>0</v>
      </c>
      <c r="AY112" s="11">
        <v>0</v>
      </c>
      <c r="AZ112" s="11">
        <v>0</v>
      </c>
      <c r="BA112" s="11">
        <v>0</v>
      </c>
      <c r="BB112" s="11">
        <v>0</v>
      </c>
      <c r="BC112" s="11">
        <v>0</v>
      </c>
      <c r="BD112" s="11">
        <v>0</v>
      </c>
      <c r="BE112" s="11">
        <v>0</v>
      </c>
      <c r="BF112" s="11">
        <v>0</v>
      </c>
    </row>
    <row r="113" spans="1:58" ht="14.1" customHeight="1">
      <c r="A113" s="247">
        <f t="shared" si="75"/>
        <v>107</v>
      </c>
      <c r="B113" s="203" t="s">
        <v>99</v>
      </c>
      <c r="C113" s="43">
        <f t="shared" si="83"/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  <c r="AT113" s="11">
        <v>0</v>
      </c>
      <c r="AU113" s="11">
        <v>0</v>
      </c>
      <c r="AV113" s="11">
        <v>0</v>
      </c>
      <c r="AW113" s="11">
        <v>0</v>
      </c>
      <c r="AX113" s="11">
        <v>0</v>
      </c>
      <c r="AY113" s="11">
        <v>0</v>
      </c>
      <c r="AZ113" s="11">
        <v>0</v>
      </c>
      <c r="BA113" s="11">
        <v>0</v>
      </c>
      <c r="BB113" s="11">
        <v>0</v>
      </c>
      <c r="BC113" s="11">
        <v>0</v>
      </c>
      <c r="BD113" s="11">
        <v>0</v>
      </c>
      <c r="BE113" s="11">
        <v>0</v>
      </c>
      <c r="BF113" s="11">
        <v>0</v>
      </c>
    </row>
    <row r="114" spans="1:58" ht="14.1" customHeight="1">
      <c r="A114" s="247">
        <f t="shared" si="75"/>
        <v>108</v>
      </c>
      <c r="B114" s="203" t="s">
        <v>100</v>
      </c>
      <c r="C114" s="43">
        <f t="shared" si="83"/>
        <v>-16181.107960000001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0</v>
      </c>
      <c r="AP114" s="11">
        <v>0</v>
      </c>
      <c r="AQ114" s="11">
        <v>0</v>
      </c>
      <c r="AR114" s="11">
        <v>0</v>
      </c>
      <c r="AS114" s="11">
        <v>0</v>
      </c>
      <c r="AT114" s="11">
        <v>0</v>
      </c>
      <c r="AU114" s="11">
        <v>0</v>
      </c>
      <c r="AV114" s="11">
        <v>0</v>
      </c>
      <c r="AW114" s="11">
        <v>0</v>
      </c>
      <c r="AX114" s="11">
        <v>0</v>
      </c>
      <c r="AY114" s="11">
        <v>0</v>
      </c>
      <c r="AZ114" s="11">
        <v>0</v>
      </c>
      <c r="BA114" s="11">
        <v>0</v>
      </c>
      <c r="BB114" s="11">
        <v>0</v>
      </c>
      <c r="BC114" s="11">
        <f>-16410.86*'Allocation Factors'!$G$10</f>
        <v>-16181.107960000001</v>
      </c>
      <c r="BD114" s="11">
        <v>0</v>
      </c>
      <c r="BE114" s="11">
        <v>0</v>
      </c>
      <c r="BF114" s="11">
        <v>0</v>
      </c>
    </row>
    <row r="115" spans="1:58" ht="14.1" customHeight="1">
      <c r="A115" s="247">
        <f t="shared" si="75"/>
        <v>109</v>
      </c>
      <c r="B115" s="203" t="s">
        <v>101</v>
      </c>
      <c r="C115" s="43">
        <f t="shared" si="83"/>
        <v>-1002483.37612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1">
        <v>0</v>
      </c>
      <c r="AS115" s="11">
        <v>0</v>
      </c>
      <c r="AT115" s="11">
        <v>0</v>
      </c>
      <c r="AU115" s="11">
        <v>0</v>
      </c>
      <c r="AV115" s="11">
        <v>0</v>
      </c>
      <c r="AW115" s="11">
        <v>0</v>
      </c>
      <c r="AX115" s="11">
        <v>0</v>
      </c>
      <c r="AY115" s="11">
        <v>0</v>
      </c>
      <c r="AZ115" s="11">
        <v>0</v>
      </c>
      <c r="BA115" s="11">
        <v>0</v>
      </c>
      <c r="BB115" s="11">
        <v>0</v>
      </c>
      <c r="BC115" s="11">
        <f>-1016717.42*'Allocation Factors'!$G$10</f>
        <v>-1002483.37612</v>
      </c>
      <c r="BD115" s="11">
        <v>0</v>
      </c>
      <c r="BE115" s="11">
        <v>0</v>
      </c>
      <c r="BF115" s="11">
        <v>0</v>
      </c>
    </row>
    <row r="116" spans="1:58" ht="14.1" customHeight="1">
      <c r="A116" s="247">
        <f t="shared" si="75"/>
        <v>110</v>
      </c>
      <c r="B116" s="203" t="s">
        <v>102</v>
      </c>
      <c r="C116" s="43">
        <f t="shared" si="83"/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0</v>
      </c>
      <c r="AP116" s="11">
        <v>0</v>
      </c>
      <c r="AQ116" s="11">
        <v>0</v>
      </c>
      <c r="AR116" s="11">
        <v>0</v>
      </c>
      <c r="AS116" s="11">
        <v>0</v>
      </c>
      <c r="AT116" s="11">
        <v>0</v>
      </c>
      <c r="AU116" s="11">
        <v>0</v>
      </c>
      <c r="AV116" s="11">
        <v>0</v>
      </c>
      <c r="AW116" s="11">
        <v>0</v>
      </c>
      <c r="AX116" s="11">
        <v>0</v>
      </c>
      <c r="AY116" s="11">
        <v>0</v>
      </c>
      <c r="AZ116" s="11">
        <v>0</v>
      </c>
      <c r="BA116" s="11">
        <v>0</v>
      </c>
      <c r="BB116" s="11">
        <v>0</v>
      </c>
      <c r="BC116" s="11">
        <v>0</v>
      </c>
      <c r="BD116" s="11">
        <v>0</v>
      </c>
      <c r="BE116" s="11">
        <v>0</v>
      </c>
      <c r="BF116" s="11">
        <v>0</v>
      </c>
    </row>
    <row r="117" spans="1:58" ht="14.1" customHeight="1">
      <c r="A117" s="247">
        <f t="shared" si="75"/>
        <v>111</v>
      </c>
      <c r="B117" s="203" t="s">
        <v>103</v>
      </c>
      <c r="C117" s="43">
        <f t="shared" si="83"/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1">
        <v>0</v>
      </c>
      <c r="AS117" s="11">
        <v>0</v>
      </c>
      <c r="AT117" s="11">
        <v>0</v>
      </c>
      <c r="AU117" s="11">
        <v>0</v>
      </c>
      <c r="AV117" s="11">
        <v>0</v>
      </c>
      <c r="AW117" s="11">
        <v>0</v>
      </c>
      <c r="AX117" s="11">
        <v>0</v>
      </c>
      <c r="AY117" s="11">
        <v>0</v>
      </c>
      <c r="AZ117" s="11">
        <v>0</v>
      </c>
      <c r="BA117" s="11">
        <v>0</v>
      </c>
      <c r="BB117" s="11">
        <v>0</v>
      </c>
      <c r="BC117" s="11">
        <v>0</v>
      </c>
      <c r="BD117" s="11">
        <v>0</v>
      </c>
      <c r="BE117" s="11">
        <v>0</v>
      </c>
      <c r="BF117" s="11">
        <v>0</v>
      </c>
    </row>
    <row r="118" spans="1:58" ht="14.1" customHeight="1">
      <c r="A118" s="247">
        <f t="shared" si="75"/>
        <v>112</v>
      </c>
      <c r="B118" s="203" t="s">
        <v>104</v>
      </c>
      <c r="C118" s="43">
        <f t="shared" si="83"/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1">
        <v>0</v>
      </c>
      <c r="AP118" s="11">
        <v>0</v>
      </c>
      <c r="AQ118" s="11">
        <v>0</v>
      </c>
      <c r="AR118" s="11">
        <v>0</v>
      </c>
      <c r="AS118" s="11">
        <v>0</v>
      </c>
      <c r="AT118" s="11">
        <v>0</v>
      </c>
      <c r="AU118" s="11">
        <v>0</v>
      </c>
      <c r="AV118" s="11">
        <v>0</v>
      </c>
      <c r="AW118" s="11">
        <v>0</v>
      </c>
      <c r="AX118" s="11">
        <v>0</v>
      </c>
      <c r="AY118" s="11">
        <v>0</v>
      </c>
      <c r="AZ118" s="11">
        <v>0</v>
      </c>
      <c r="BA118" s="11">
        <v>0</v>
      </c>
      <c r="BB118" s="11">
        <v>0</v>
      </c>
      <c r="BC118" s="11">
        <v>0</v>
      </c>
      <c r="BD118" s="11">
        <v>0</v>
      </c>
      <c r="BE118" s="11">
        <v>0</v>
      </c>
      <c r="BF118" s="11">
        <v>0</v>
      </c>
    </row>
    <row r="119" spans="1:58" ht="14.1" customHeight="1">
      <c r="A119" s="247">
        <f t="shared" si="75"/>
        <v>113</v>
      </c>
      <c r="B119" s="203" t="s">
        <v>105</v>
      </c>
      <c r="C119" s="43">
        <f t="shared" si="83"/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>
        <v>0</v>
      </c>
      <c r="AU119" s="11">
        <v>0</v>
      </c>
      <c r="AV119" s="11">
        <v>0</v>
      </c>
      <c r="AW119" s="11">
        <v>0</v>
      </c>
      <c r="AX119" s="11">
        <v>0</v>
      </c>
      <c r="AY119" s="11">
        <v>0</v>
      </c>
      <c r="AZ119" s="11">
        <v>0</v>
      </c>
      <c r="BA119" s="11">
        <v>0</v>
      </c>
      <c r="BB119" s="11">
        <v>0</v>
      </c>
      <c r="BC119" s="11">
        <v>0</v>
      </c>
      <c r="BD119" s="11">
        <v>0</v>
      </c>
      <c r="BE119" s="11">
        <v>0</v>
      </c>
      <c r="BF119" s="11">
        <v>0</v>
      </c>
    </row>
    <row r="120" spans="1:58" ht="14.1" customHeight="1">
      <c r="A120" s="247">
        <f t="shared" si="75"/>
        <v>114</v>
      </c>
      <c r="B120" s="203" t="s">
        <v>106</v>
      </c>
      <c r="C120" s="43">
        <f t="shared" si="83"/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1">
        <v>0</v>
      </c>
      <c r="AS120" s="11">
        <v>0</v>
      </c>
      <c r="AT120" s="11">
        <v>0</v>
      </c>
      <c r="AU120" s="11">
        <v>0</v>
      </c>
      <c r="AV120" s="11">
        <v>0</v>
      </c>
      <c r="AW120" s="11">
        <v>0</v>
      </c>
      <c r="AX120" s="11">
        <v>0</v>
      </c>
      <c r="AY120" s="11">
        <v>0</v>
      </c>
      <c r="AZ120" s="11">
        <v>0</v>
      </c>
      <c r="BA120" s="11">
        <v>0</v>
      </c>
      <c r="BB120" s="11">
        <v>0</v>
      </c>
      <c r="BC120" s="11">
        <v>0</v>
      </c>
      <c r="BD120" s="11">
        <v>0</v>
      </c>
      <c r="BE120" s="11">
        <v>0</v>
      </c>
      <c r="BF120" s="11">
        <v>0</v>
      </c>
    </row>
    <row r="121" spans="1:58" ht="14.1" customHeight="1">
      <c r="A121" s="247">
        <f t="shared" si="75"/>
        <v>115</v>
      </c>
      <c r="B121" s="92" t="s">
        <v>107</v>
      </c>
      <c r="C121" s="43">
        <f t="shared" si="83"/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  <c r="AT121" s="11">
        <v>0</v>
      </c>
      <c r="AU121" s="11">
        <v>0</v>
      </c>
      <c r="AV121" s="11">
        <v>0</v>
      </c>
      <c r="AW121" s="11">
        <v>0</v>
      </c>
      <c r="AX121" s="11">
        <v>0</v>
      </c>
      <c r="AY121" s="11">
        <v>0</v>
      </c>
      <c r="AZ121" s="11">
        <v>0</v>
      </c>
      <c r="BA121" s="11">
        <v>0</v>
      </c>
      <c r="BB121" s="11">
        <v>0</v>
      </c>
      <c r="BC121" s="11">
        <v>0</v>
      </c>
      <c r="BD121" s="11">
        <v>0</v>
      </c>
      <c r="BE121" s="11">
        <v>0</v>
      </c>
      <c r="BF121" s="11">
        <v>0</v>
      </c>
    </row>
    <row r="122" spans="1:58" ht="14.1" customHeight="1">
      <c r="A122" s="247">
        <f t="shared" si="75"/>
        <v>116</v>
      </c>
      <c r="B122" s="2" t="s">
        <v>529</v>
      </c>
      <c r="C122" s="189">
        <f t="shared" ref="C122:P122" si="84">SUM(C111:C121)</f>
        <v>-1018664.4840800001</v>
      </c>
      <c r="D122" s="189">
        <f t="shared" si="84"/>
        <v>0</v>
      </c>
      <c r="E122" s="189">
        <f t="shared" si="84"/>
        <v>0</v>
      </c>
      <c r="F122" s="189">
        <f t="shared" si="84"/>
        <v>0</v>
      </c>
      <c r="G122" s="189">
        <f t="shared" si="84"/>
        <v>0</v>
      </c>
      <c r="H122" s="189">
        <f t="shared" si="84"/>
        <v>0</v>
      </c>
      <c r="I122" s="189">
        <f t="shared" si="84"/>
        <v>0</v>
      </c>
      <c r="J122" s="189">
        <f t="shared" si="84"/>
        <v>0</v>
      </c>
      <c r="K122" s="189">
        <f t="shared" si="84"/>
        <v>0</v>
      </c>
      <c r="L122" s="189">
        <f t="shared" si="84"/>
        <v>0</v>
      </c>
      <c r="M122" s="189">
        <f t="shared" si="84"/>
        <v>0</v>
      </c>
      <c r="N122" s="189">
        <f t="shared" si="84"/>
        <v>0</v>
      </c>
      <c r="O122" s="189">
        <f t="shared" si="84"/>
        <v>0</v>
      </c>
      <c r="P122" s="189">
        <f t="shared" si="84"/>
        <v>0</v>
      </c>
      <c r="Q122" s="189">
        <f t="shared" ref="Q122:AQ122" si="85">SUM(Q111:Q121)</f>
        <v>0</v>
      </c>
      <c r="R122" s="189">
        <f t="shared" si="85"/>
        <v>0</v>
      </c>
      <c r="S122" s="189">
        <f t="shared" si="85"/>
        <v>0</v>
      </c>
      <c r="T122" s="189">
        <f t="shared" si="85"/>
        <v>0</v>
      </c>
      <c r="U122" s="189">
        <f t="shared" si="85"/>
        <v>0</v>
      </c>
      <c r="V122" s="189">
        <f t="shared" si="85"/>
        <v>0</v>
      </c>
      <c r="W122" s="189">
        <f t="shared" si="85"/>
        <v>0</v>
      </c>
      <c r="X122" s="189">
        <f t="shared" si="85"/>
        <v>0</v>
      </c>
      <c r="Y122" s="189">
        <f t="shared" si="85"/>
        <v>0</v>
      </c>
      <c r="Z122" s="189">
        <f t="shared" si="85"/>
        <v>0</v>
      </c>
      <c r="AA122" s="189">
        <f t="shared" si="85"/>
        <v>0</v>
      </c>
      <c r="AB122" s="189">
        <f t="shared" si="85"/>
        <v>0</v>
      </c>
      <c r="AC122" s="189">
        <f t="shared" si="85"/>
        <v>0</v>
      </c>
      <c r="AD122" s="189">
        <f t="shared" si="85"/>
        <v>0</v>
      </c>
      <c r="AE122" s="189">
        <f t="shared" si="85"/>
        <v>0</v>
      </c>
      <c r="AF122" s="189">
        <f t="shared" si="85"/>
        <v>0</v>
      </c>
      <c r="AG122" s="189">
        <f t="shared" si="85"/>
        <v>0</v>
      </c>
      <c r="AH122" s="189">
        <f t="shared" si="85"/>
        <v>0</v>
      </c>
      <c r="AI122" s="189">
        <f t="shared" si="85"/>
        <v>0</v>
      </c>
      <c r="AJ122" s="189">
        <f t="shared" si="85"/>
        <v>0</v>
      </c>
      <c r="AK122" s="189">
        <f t="shared" si="85"/>
        <v>0</v>
      </c>
      <c r="AL122" s="189">
        <f t="shared" si="85"/>
        <v>0</v>
      </c>
      <c r="AM122" s="189">
        <f t="shared" si="85"/>
        <v>0</v>
      </c>
      <c r="AN122" s="189">
        <f t="shared" si="85"/>
        <v>0</v>
      </c>
      <c r="AO122" s="189">
        <f t="shared" si="85"/>
        <v>0</v>
      </c>
      <c r="AP122" s="189">
        <f t="shared" si="85"/>
        <v>0</v>
      </c>
      <c r="AQ122" s="189">
        <f t="shared" si="85"/>
        <v>0</v>
      </c>
      <c r="AR122" s="189">
        <f>SUM(AR111:AR121)</f>
        <v>0</v>
      </c>
      <c r="AS122" s="189">
        <f t="shared" ref="AS122:BA122" si="86">SUM(AS111:AS121)</f>
        <v>0</v>
      </c>
      <c r="AT122" s="189">
        <f t="shared" si="86"/>
        <v>0</v>
      </c>
      <c r="AU122" s="189">
        <f t="shared" si="86"/>
        <v>0</v>
      </c>
      <c r="AV122" s="189">
        <f t="shared" si="86"/>
        <v>0</v>
      </c>
      <c r="AW122" s="189">
        <f t="shared" si="86"/>
        <v>0</v>
      </c>
      <c r="AX122" s="189">
        <f t="shared" si="86"/>
        <v>0</v>
      </c>
      <c r="AY122" s="189">
        <f t="shared" si="86"/>
        <v>0</v>
      </c>
      <c r="AZ122" s="189">
        <f t="shared" si="86"/>
        <v>0</v>
      </c>
      <c r="BA122" s="189">
        <f t="shared" si="86"/>
        <v>0</v>
      </c>
      <c r="BB122" s="189">
        <f>SUM(BB111:BB121)</f>
        <v>0</v>
      </c>
      <c r="BC122" s="189">
        <f>SUM(BC111:BC121)</f>
        <v>-1018664.4840800001</v>
      </c>
      <c r="BD122" s="189">
        <f>SUM(BD111:BD121)</f>
        <v>0</v>
      </c>
      <c r="BE122" s="189">
        <f>SUM(BE111:BE121)</f>
        <v>0</v>
      </c>
      <c r="BF122" s="189">
        <f>SUM(BF111:BF121)</f>
        <v>0</v>
      </c>
    </row>
    <row r="123" spans="1:58" ht="14.1" customHeight="1">
      <c r="A123" s="247">
        <f t="shared" si="75"/>
        <v>117</v>
      </c>
      <c r="B123" s="7"/>
      <c r="C123" s="30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</row>
    <row r="124" spans="1:58" ht="14.1" customHeight="1">
      <c r="A124" s="247">
        <f t="shared" si="75"/>
        <v>118</v>
      </c>
      <c r="B124" s="3" t="s">
        <v>108</v>
      </c>
      <c r="C124" s="14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</row>
    <row r="125" spans="1:58" ht="14.1" customHeight="1">
      <c r="A125" s="247">
        <f t="shared" si="75"/>
        <v>119</v>
      </c>
      <c r="B125" s="203" t="s">
        <v>109</v>
      </c>
      <c r="C125" s="43">
        <f t="shared" ref="C125:C139" si="87">SUM(D125:BF125)</f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>
        <v>0</v>
      </c>
      <c r="AT125" s="11">
        <v>0</v>
      </c>
      <c r="AU125" s="11">
        <v>0</v>
      </c>
      <c r="AV125" s="11">
        <v>0</v>
      </c>
      <c r="AW125" s="11">
        <v>0</v>
      </c>
      <c r="AX125" s="11">
        <v>0</v>
      </c>
      <c r="AY125" s="11">
        <v>0</v>
      </c>
      <c r="AZ125" s="11">
        <v>0</v>
      </c>
      <c r="BA125" s="11">
        <v>0</v>
      </c>
      <c r="BB125" s="11">
        <v>0</v>
      </c>
      <c r="BC125" s="11">
        <v>0</v>
      </c>
      <c r="BD125" s="11">
        <v>0</v>
      </c>
      <c r="BE125" s="11">
        <v>0</v>
      </c>
      <c r="BF125" s="11">
        <v>0</v>
      </c>
    </row>
    <row r="126" spans="1:58" ht="14.1" customHeight="1">
      <c r="A126" s="247">
        <f t="shared" si="75"/>
        <v>120</v>
      </c>
      <c r="B126" s="203" t="s">
        <v>110</v>
      </c>
      <c r="C126" s="43">
        <f t="shared" si="87"/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1">
        <v>0</v>
      </c>
      <c r="AP126" s="11">
        <v>0</v>
      </c>
      <c r="AQ126" s="11">
        <v>0</v>
      </c>
      <c r="AR126" s="11">
        <v>0</v>
      </c>
      <c r="AS126" s="11">
        <v>0</v>
      </c>
      <c r="AT126" s="11">
        <v>0</v>
      </c>
      <c r="AU126" s="11">
        <v>0</v>
      </c>
      <c r="AV126" s="11">
        <v>0</v>
      </c>
      <c r="AW126" s="11">
        <v>0</v>
      </c>
      <c r="AX126" s="11">
        <v>0</v>
      </c>
      <c r="AY126" s="11">
        <v>0</v>
      </c>
      <c r="AZ126" s="11">
        <v>0</v>
      </c>
      <c r="BA126" s="11">
        <v>0</v>
      </c>
      <c r="BB126" s="11">
        <v>0</v>
      </c>
      <c r="BC126" s="11">
        <v>0</v>
      </c>
      <c r="BD126" s="11">
        <v>0</v>
      </c>
      <c r="BE126" s="11">
        <v>0</v>
      </c>
      <c r="BF126" s="11">
        <v>0</v>
      </c>
    </row>
    <row r="127" spans="1:58" ht="14.1" customHeight="1">
      <c r="A127" s="247">
        <f t="shared" si="75"/>
        <v>121</v>
      </c>
      <c r="B127" s="203" t="s">
        <v>111</v>
      </c>
      <c r="C127" s="43">
        <f t="shared" si="87"/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  <c r="AT127" s="11">
        <v>0</v>
      </c>
      <c r="AU127" s="11">
        <v>0</v>
      </c>
      <c r="AV127" s="11">
        <v>0</v>
      </c>
      <c r="AW127" s="11">
        <v>0</v>
      </c>
      <c r="AX127" s="11">
        <v>0</v>
      </c>
      <c r="AY127" s="11">
        <v>0</v>
      </c>
      <c r="AZ127" s="11">
        <v>0</v>
      </c>
      <c r="BA127" s="11">
        <v>0</v>
      </c>
      <c r="BB127" s="11">
        <v>0</v>
      </c>
      <c r="BC127" s="11">
        <v>0</v>
      </c>
      <c r="BD127" s="11">
        <v>0</v>
      </c>
      <c r="BE127" s="11">
        <v>0</v>
      </c>
      <c r="BF127" s="11">
        <v>0</v>
      </c>
    </row>
    <row r="128" spans="1:58" ht="14.1" customHeight="1">
      <c r="A128" s="247">
        <f t="shared" si="75"/>
        <v>122</v>
      </c>
      <c r="B128" s="203" t="s">
        <v>112</v>
      </c>
      <c r="C128" s="43">
        <f t="shared" si="87"/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1">
        <v>0</v>
      </c>
      <c r="AP128" s="11">
        <v>0</v>
      </c>
      <c r="AQ128" s="11">
        <v>0</v>
      </c>
      <c r="AR128" s="11">
        <v>0</v>
      </c>
      <c r="AS128" s="11">
        <v>0</v>
      </c>
      <c r="AT128" s="11">
        <v>0</v>
      </c>
      <c r="AU128" s="11">
        <v>0</v>
      </c>
      <c r="AV128" s="11">
        <v>0</v>
      </c>
      <c r="AW128" s="11">
        <v>0</v>
      </c>
      <c r="AX128" s="11">
        <v>0</v>
      </c>
      <c r="AY128" s="11">
        <v>0</v>
      </c>
      <c r="AZ128" s="11">
        <v>0</v>
      </c>
      <c r="BA128" s="11">
        <v>0</v>
      </c>
      <c r="BB128" s="11">
        <v>0</v>
      </c>
      <c r="BC128" s="11">
        <v>0</v>
      </c>
      <c r="BD128" s="11">
        <v>0</v>
      </c>
      <c r="BE128" s="11">
        <v>0</v>
      </c>
      <c r="BF128" s="11">
        <v>0</v>
      </c>
    </row>
    <row r="129" spans="1:58" ht="14.1" customHeight="1">
      <c r="A129" s="247">
        <f t="shared" si="75"/>
        <v>123</v>
      </c>
      <c r="B129" s="203" t="s">
        <v>113</v>
      </c>
      <c r="C129" s="43">
        <f t="shared" si="87"/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>
        <v>0</v>
      </c>
      <c r="AT129" s="11">
        <v>0</v>
      </c>
      <c r="AU129" s="11">
        <v>0</v>
      </c>
      <c r="AV129" s="11">
        <v>0</v>
      </c>
      <c r="AW129" s="11">
        <v>0</v>
      </c>
      <c r="AX129" s="11">
        <v>0</v>
      </c>
      <c r="AY129" s="11">
        <v>0</v>
      </c>
      <c r="AZ129" s="11">
        <v>0</v>
      </c>
      <c r="BA129" s="11">
        <v>0</v>
      </c>
      <c r="BB129" s="11">
        <v>0</v>
      </c>
      <c r="BC129" s="11">
        <v>0</v>
      </c>
      <c r="BD129" s="11">
        <v>0</v>
      </c>
      <c r="BE129" s="11">
        <v>0</v>
      </c>
      <c r="BF129" s="11">
        <v>0</v>
      </c>
    </row>
    <row r="130" spans="1:58" ht="14.1" customHeight="1">
      <c r="A130" s="247">
        <f t="shared" si="75"/>
        <v>124</v>
      </c>
      <c r="B130" s="203" t="s">
        <v>114</v>
      </c>
      <c r="C130" s="43">
        <f t="shared" si="87"/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0</v>
      </c>
      <c r="AP130" s="11">
        <v>0</v>
      </c>
      <c r="AQ130" s="11">
        <v>0</v>
      </c>
      <c r="AR130" s="11">
        <v>0</v>
      </c>
      <c r="AS130" s="11">
        <v>0</v>
      </c>
      <c r="AT130" s="11">
        <v>0</v>
      </c>
      <c r="AU130" s="11">
        <v>0</v>
      </c>
      <c r="AV130" s="11">
        <v>0</v>
      </c>
      <c r="AW130" s="11">
        <v>0</v>
      </c>
      <c r="AX130" s="11">
        <v>0</v>
      </c>
      <c r="AY130" s="11">
        <v>0</v>
      </c>
      <c r="AZ130" s="11">
        <v>0</v>
      </c>
      <c r="BA130" s="11">
        <v>0</v>
      </c>
      <c r="BB130" s="11">
        <v>0</v>
      </c>
      <c r="BC130" s="11">
        <v>0</v>
      </c>
      <c r="BD130" s="11">
        <v>0</v>
      </c>
      <c r="BE130" s="11">
        <v>0</v>
      </c>
      <c r="BF130" s="11">
        <v>0</v>
      </c>
    </row>
    <row r="131" spans="1:58" ht="14.1" customHeight="1">
      <c r="A131" s="247">
        <f t="shared" si="75"/>
        <v>125</v>
      </c>
      <c r="B131" s="203" t="s">
        <v>115</v>
      </c>
      <c r="C131" s="43">
        <f t="shared" si="87"/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1">
        <v>0</v>
      </c>
      <c r="AT131" s="11">
        <v>0</v>
      </c>
      <c r="AU131" s="11">
        <v>0</v>
      </c>
      <c r="AV131" s="11">
        <v>0</v>
      </c>
      <c r="AW131" s="11">
        <v>0</v>
      </c>
      <c r="AX131" s="11">
        <v>0</v>
      </c>
      <c r="AY131" s="11">
        <v>0</v>
      </c>
      <c r="AZ131" s="11">
        <v>0</v>
      </c>
      <c r="BA131" s="11">
        <v>0</v>
      </c>
      <c r="BB131" s="11">
        <v>0</v>
      </c>
      <c r="BC131" s="11">
        <v>0</v>
      </c>
      <c r="BD131" s="11">
        <v>0</v>
      </c>
      <c r="BE131" s="11">
        <v>0</v>
      </c>
      <c r="BF131" s="11">
        <v>0</v>
      </c>
    </row>
    <row r="132" spans="1:58" ht="14.1" customHeight="1">
      <c r="A132" s="247">
        <f t="shared" si="75"/>
        <v>126</v>
      </c>
      <c r="B132" s="203" t="s">
        <v>116</v>
      </c>
      <c r="C132" s="43">
        <f t="shared" si="87"/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1">
        <v>0</v>
      </c>
      <c r="AP132" s="11">
        <v>0</v>
      </c>
      <c r="AQ132" s="11">
        <v>0</v>
      </c>
      <c r="AR132" s="11">
        <v>0</v>
      </c>
      <c r="AS132" s="11">
        <v>0</v>
      </c>
      <c r="AT132" s="11">
        <v>0</v>
      </c>
      <c r="AU132" s="11">
        <v>0</v>
      </c>
      <c r="AV132" s="11">
        <v>0</v>
      </c>
      <c r="AW132" s="11">
        <v>0</v>
      </c>
      <c r="AX132" s="11">
        <v>0</v>
      </c>
      <c r="AY132" s="11">
        <v>0</v>
      </c>
      <c r="AZ132" s="11">
        <v>0</v>
      </c>
      <c r="BA132" s="11">
        <v>0</v>
      </c>
      <c r="BB132" s="11">
        <v>0</v>
      </c>
      <c r="BC132" s="11">
        <v>0</v>
      </c>
      <c r="BD132" s="11">
        <v>0</v>
      </c>
      <c r="BE132" s="11">
        <v>0</v>
      </c>
      <c r="BF132" s="11">
        <v>0</v>
      </c>
    </row>
    <row r="133" spans="1:58" ht="14.1" customHeight="1">
      <c r="A133" s="247">
        <f t="shared" si="75"/>
        <v>127</v>
      </c>
      <c r="B133" s="203" t="s">
        <v>117</v>
      </c>
      <c r="C133" s="43">
        <f t="shared" si="87"/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1">
        <v>0</v>
      </c>
      <c r="AS133" s="11">
        <v>0</v>
      </c>
      <c r="AT133" s="11">
        <v>0</v>
      </c>
      <c r="AU133" s="11">
        <v>0</v>
      </c>
      <c r="AV133" s="11">
        <v>0</v>
      </c>
      <c r="AW133" s="11">
        <v>0</v>
      </c>
      <c r="AX133" s="11">
        <v>0</v>
      </c>
      <c r="AY133" s="11">
        <v>0</v>
      </c>
      <c r="AZ133" s="11">
        <v>0</v>
      </c>
      <c r="BA133" s="11">
        <v>0</v>
      </c>
      <c r="BB133" s="11">
        <v>0</v>
      </c>
      <c r="BC133" s="11">
        <v>0</v>
      </c>
      <c r="BD133" s="11">
        <v>0</v>
      </c>
      <c r="BE133" s="11">
        <v>0</v>
      </c>
      <c r="BF133" s="11">
        <v>0</v>
      </c>
    </row>
    <row r="134" spans="1:58" ht="14.1" customHeight="1">
      <c r="A134" s="247">
        <f t="shared" si="75"/>
        <v>128</v>
      </c>
      <c r="B134" s="203" t="s">
        <v>118</v>
      </c>
      <c r="C134" s="43">
        <f t="shared" si="87"/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1">
        <v>0</v>
      </c>
      <c r="AP134" s="11">
        <v>0</v>
      </c>
      <c r="AQ134" s="11">
        <v>0</v>
      </c>
      <c r="AR134" s="11">
        <v>0</v>
      </c>
      <c r="AS134" s="11">
        <v>0</v>
      </c>
      <c r="AT134" s="11">
        <v>0</v>
      </c>
      <c r="AU134" s="11">
        <v>0</v>
      </c>
      <c r="AV134" s="11">
        <v>0</v>
      </c>
      <c r="AW134" s="11">
        <v>0</v>
      </c>
      <c r="AX134" s="11">
        <v>0</v>
      </c>
      <c r="AY134" s="11">
        <v>0</v>
      </c>
      <c r="AZ134" s="11">
        <v>0</v>
      </c>
      <c r="BA134" s="11">
        <v>0</v>
      </c>
      <c r="BB134" s="11">
        <v>0</v>
      </c>
      <c r="BC134" s="11">
        <v>0</v>
      </c>
      <c r="BD134" s="11">
        <v>0</v>
      </c>
      <c r="BE134" s="11">
        <v>0</v>
      </c>
      <c r="BF134" s="11">
        <v>0</v>
      </c>
    </row>
    <row r="135" spans="1:58" ht="14.1" customHeight="1">
      <c r="A135" s="247">
        <f t="shared" si="75"/>
        <v>129</v>
      </c>
      <c r="B135" s="203" t="s">
        <v>119</v>
      </c>
      <c r="C135" s="43">
        <f t="shared" si="87"/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1">
        <v>0</v>
      </c>
      <c r="AS135" s="11">
        <v>0</v>
      </c>
      <c r="AT135" s="11">
        <v>0</v>
      </c>
      <c r="AU135" s="11">
        <v>0</v>
      </c>
      <c r="AV135" s="11">
        <v>0</v>
      </c>
      <c r="AW135" s="11">
        <v>0</v>
      </c>
      <c r="AX135" s="11">
        <v>0</v>
      </c>
      <c r="AY135" s="11">
        <v>0</v>
      </c>
      <c r="AZ135" s="11">
        <v>0</v>
      </c>
      <c r="BA135" s="11">
        <v>0</v>
      </c>
      <c r="BB135" s="11">
        <v>0</v>
      </c>
      <c r="BC135" s="11">
        <v>0</v>
      </c>
      <c r="BD135" s="11">
        <v>0</v>
      </c>
      <c r="BE135" s="11">
        <v>0</v>
      </c>
      <c r="BF135" s="11">
        <v>0</v>
      </c>
    </row>
    <row r="136" spans="1:58" ht="14.1" customHeight="1">
      <c r="A136" s="247">
        <f t="shared" si="75"/>
        <v>130</v>
      </c>
      <c r="B136" s="203" t="s">
        <v>120</v>
      </c>
      <c r="C136" s="43">
        <f t="shared" si="87"/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1">
        <v>0</v>
      </c>
      <c r="AP136" s="11">
        <v>0</v>
      </c>
      <c r="AQ136" s="11">
        <v>0</v>
      </c>
      <c r="AR136" s="11">
        <v>0</v>
      </c>
      <c r="AS136" s="11">
        <v>0</v>
      </c>
      <c r="AT136" s="11">
        <v>0</v>
      </c>
      <c r="AU136" s="11">
        <v>0</v>
      </c>
      <c r="AV136" s="11">
        <v>0</v>
      </c>
      <c r="AW136" s="11">
        <v>0</v>
      </c>
      <c r="AX136" s="11">
        <v>0</v>
      </c>
      <c r="AY136" s="11">
        <v>0</v>
      </c>
      <c r="AZ136" s="11">
        <v>0</v>
      </c>
      <c r="BA136" s="11">
        <v>0</v>
      </c>
      <c r="BB136" s="11">
        <v>0</v>
      </c>
      <c r="BC136" s="11">
        <v>0</v>
      </c>
      <c r="BD136" s="11">
        <v>0</v>
      </c>
      <c r="BE136" s="11">
        <v>0</v>
      </c>
      <c r="BF136" s="11">
        <v>0</v>
      </c>
    </row>
    <row r="137" spans="1:58" ht="14.1" customHeight="1">
      <c r="A137" s="247">
        <f t="shared" si="75"/>
        <v>131</v>
      </c>
      <c r="B137" s="203" t="s">
        <v>121</v>
      </c>
      <c r="C137" s="43">
        <f t="shared" si="87"/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>
        <v>0</v>
      </c>
      <c r="AT137" s="11">
        <v>0</v>
      </c>
      <c r="AU137" s="11">
        <v>0</v>
      </c>
      <c r="AV137" s="11">
        <v>0</v>
      </c>
      <c r="AW137" s="11">
        <v>0</v>
      </c>
      <c r="AX137" s="11">
        <v>0</v>
      </c>
      <c r="AY137" s="11">
        <v>0</v>
      </c>
      <c r="AZ137" s="11">
        <v>0</v>
      </c>
      <c r="BA137" s="11">
        <v>0</v>
      </c>
      <c r="BB137" s="11">
        <v>0</v>
      </c>
      <c r="BC137" s="11">
        <v>0</v>
      </c>
      <c r="BD137" s="11">
        <v>0</v>
      </c>
      <c r="BE137" s="11">
        <v>0</v>
      </c>
      <c r="BF137" s="11">
        <v>0</v>
      </c>
    </row>
    <row r="138" spans="1:58" ht="14.1" customHeight="1">
      <c r="A138" s="247">
        <f t="shared" si="75"/>
        <v>132</v>
      </c>
      <c r="B138" s="203" t="s">
        <v>122</v>
      </c>
      <c r="C138" s="43">
        <f t="shared" si="87"/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1">
        <v>0</v>
      </c>
      <c r="AP138" s="11">
        <v>0</v>
      </c>
      <c r="AQ138" s="11">
        <v>0</v>
      </c>
      <c r="AR138" s="11">
        <v>0</v>
      </c>
      <c r="AS138" s="11">
        <v>0</v>
      </c>
      <c r="AT138" s="11">
        <v>0</v>
      </c>
      <c r="AU138" s="11">
        <v>0</v>
      </c>
      <c r="AV138" s="11">
        <v>0</v>
      </c>
      <c r="AW138" s="11">
        <v>0</v>
      </c>
      <c r="AX138" s="11">
        <v>0</v>
      </c>
      <c r="AY138" s="11">
        <v>0</v>
      </c>
      <c r="AZ138" s="11">
        <v>0</v>
      </c>
      <c r="BA138" s="11">
        <v>0</v>
      </c>
      <c r="BB138" s="11">
        <v>0</v>
      </c>
      <c r="BC138" s="11">
        <v>0</v>
      </c>
      <c r="BD138" s="11">
        <v>0</v>
      </c>
      <c r="BE138" s="11">
        <v>0</v>
      </c>
      <c r="BF138" s="11">
        <v>0</v>
      </c>
    </row>
    <row r="139" spans="1:58" ht="14.1" customHeight="1">
      <c r="A139" s="247">
        <f t="shared" ref="A139:A202" si="88">+A138+1</f>
        <v>133</v>
      </c>
      <c r="B139" s="92" t="s">
        <v>123</v>
      </c>
      <c r="C139" s="43">
        <f t="shared" si="87"/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>
        <v>0</v>
      </c>
      <c r="AT139" s="11">
        <v>0</v>
      </c>
      <c r="AU139" s="11">
        <v>0</v>
      </c>
      <c r="AV139" s="11">
        <v>0</v>
      </c>
      <c r="AW139" s="11">
        <v>0</v>
      </c>
      <c r="AX139" s="11">
        <v>0</v>
      </c>
      <c r="AY139" s="11">
        <v>0</v>
      </c>
      <c r="AZ139" s="11">
        <v>0</v>
      </c>
      <c r="BA139" s="11">
        <v>0</v>
      </c>
      <c r="BB139" s="11">
        <v>0</v>
      </c>
      <c r="BC139" s="11">
        <v>0</v>
      </c>
      <c r="BD139" s="11">
        <v>0</v>
      </c>
      <c r="BE139" s="11">
        <v>0</v>
      </c>
      <c r="BF139" s="11">
        <v>0</v>
      </c>
    </row>
    <row r="140" spans="1:58" ht="14.1" customHeight="1">
      <c r="A140" s="247">
        <f t="shared" si="88"/>
        <v>134</v>
      </c>
      <c r="B140" s="2" t="s">
        <v>530</v>
      </c>
      <c r="C140" s="189">
        <f>SUM(C125:C139)</f>
        <v>0</v>
      </c>
      <c r="D140" s="189">
        <f>SUM(D125:D139)</f>
        <v>0</v>
      </c>
      <c r="E140" s="189">
        <f t="shared" ref="E140:BA140" si="89">SUM(E125:E139)</f>
        <v>0</v>
      </c>
      <c r="F140" s="189">
        <f t="shared" si="89"/>
        <v>0</v>
      </c>
      <c r="G140" s="189">
        <f t="shared" si="89"/>
        <v>0</v>
      </c>
      <c r="H140" s="189">
        <f t="shared" si="89"/>
        <v>0</v>
      </c>
      <c r="I140" s="189">
        <f t="shared" si="89"/>
        <v>0</v>
      </c>
      <c r="J140" s="189">
        <f t="shared" si="89"/>
        <v>0</v>
      </c>
      <c r="K140" s="189">
        <f t="shared" si="89"/>
        <v>0</v>
      </c>
      <c r="L140" s="189">
        <f t="shared" si="89"/>
        <v>0</v>
      </c>
      <c r="M140" s="189">
        <f t="shared" si="89"/>
        <v>0</v>
      </c>
      <c r="N140" s="189">
        <f t="shared" si="89"/>
        <v>0</v>
      </c>
      <c r="O140" s="189">
        <f t="shared" si="89"/>
        <v>0</v>
      </c>
      <c r="P140" s="189">
        <f t="shared" si="89"/>
        <v>0</v>
      </c>
      <c r="Q140" s="189">
        <f t="shared" si="89"/>
        <v>0</v>
      </c>
      <c r="R140" s="189">
        <f t="shared" si="89"/>
        <v>0</v>
      </c>
      <c r="S140" s="189">
        <f t="shared" si="89"/>
        <v>0</v>
      </c>
      <c r="T140" s="189">
        <f t="shared" si="89"/>
        <v>0</v>
      </c>
      <c r="U140" s="189">
        <f t="shared" si="89"/>
        <v>0</v>
      </c>
      <c r="V140" s="189">
        <f t="shared" si="89"/>
        <v>0</v>
      </c>
      <c r="W140" s="189">
        <f t="shared" si="89"/>
        <v>0</v>
      </c>
      <c r="X140" s="189">
        <f t="shared" si="89"/>
        <v>0</v>
      </c>
      <c r="Y140" s="189">
        <f t="shared" si="89"/>
        <v>0</v>
      </c>
      <c r="Z140" s="189">
        <f t="shared" si="89"/>
        <v>0</v>
      </c>
      <c r="AA140" s="189">
        <f t="shared" si="89"/>
        <v>0</v>
      </c>
      <c r="AB140" s="189">
        <f t="shared" si="89"/>
        <v>0</v>
      </c>
      <c r="AC140" s="189">
        <f t="shared" si="89"/>
        <v>0</v>
      </c>
      <c r="AD140" s="189">
        <f t="shared" si="89"/>
        <v>0</v>
      </c>
      <c r="AE140" s="189">
        <f t="shared" si="89"/>
        <v>0</v>
      </c>
      <c r="AF140" s="189">
        <f t="shared" si="89"/>
        <v>0</v>
      </c>
      <c r="AG140" s="189">
        <f t="shared" si="89"/>
        <v>0</v>
      </c>
      <c r="AH140" s="189">
        <f t="shared" si="89"/>
        <v>0</v>
      </c>
      <c r="AI140" s="189">
        <f t="shared" si="89"/>
        <v>0</v>
      </c>
      <c r="AJ140" s="189">
        <f t="shared" si="89"/>
        <v>0</v>
      </c>
      <c r="AK140" s="189">
        <f t="shared" si="89"/>
        <v>0</v>
      </c>
      <c r="AL140" s="189">
        <f t="shared" si="89"/>
        <v>0</v>
      </c>
      <c r="AM140" s="189">
        <f t="shared" si="89"/>
        <v>0</v>
      </c>
      <c r="AN140" s="189">
        <f t="shared" si="89"/>
        <v>0</v>
      </c>
      <c r="AO140" s="189">
        <f t="shared" si="89"/>
        <v>0</v>
      </c>
      <c r="AP140" s="189">
        <f t="shared" si="89"/>
        <v>0</v>
      </c>
      <c r="AQ140" s="189">
        <f t="shared" si="89"/>
        <v>0</v>
      </c>
      <c r="AR140" s="189">
        <f t="shared" si="89"/>
        <v>0</v>
      </c>
      <c r="AS140" s="189">
        <f t="shared" si="89"/>
        <v>0</v>
      </c>
      <c r="AT140" s="189">
        <f t="shared" si="89"/>
        <v>0</v>
      </c>
      <c r="AU140" s="189">
        <f t="shared" si="89"/>
        <v>0</v>
      </c>
      <c r="AV140" s="189">
        <f t="shared" si="89"/>
        <v>0</v>
      </c>
      <c r="AW140" s="189">
        <f t="shared" si="89"/>
        <v>0</v>
      </c>
      <c r="AX140" s="189">
        <f t="shared" si="89"/>
        <v>0</v>
      </c>
      <c r="AY140" s="189">
        <f t="shared" si="89"/>
        <v>0</v>
      </c>
      <c r="AZ140" s="189">
        <f t="shared" si="89"/>
        <v>0</v>
      </c>
      <c r="BA140" s="189">
        <f t="shared" si="89"/>
        <v>0</v>
      </c>
      <c r="BB140" s="189">
        <f>SUM(BB125:BB139)</f>
        <v>0</v>
      </c>
      <c r="BC140" s="189">
        <f>SUM(BC125:BC139)</f>
        <v>0</v>
      </c>
      <c r="BD140" s="189">
        <f>SUM(BD125:BD139)</f>
        <v>0</v>
      </c>
      <c r="BE140" s="189">
        <f>SUM(BE125:BE139)</f>
        <v>0</v>
      </c>
      <c r="BF140" s="189">
        <f>SUM(BF125:BF139)</f>
        <v>0</v>
      </c>
    </row>
    <row r="141" spans="1:58" ht="14.1" customHeight="1">
      <c r="A141" s="247">
        <f t="shared" si="88"/>
        <v>135</v>
      </c>
      <c r="B141" s="7"/>
      <c r="C141" s="30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</row>
    <row r="142" spans="1:58" ht="14.1" customHeight="1">
      <c r="A142" s="247">
        <f t="shared" si="88"/>
        <v>136</v>
      </c>
      <c r="B142" s="3" t="s">
        <v>124</v>
      </c>
      <c r="C142" s="14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</row>
    <row r="143" spans="1:58" ht="14.1" customHeight="1">
      <c r="A143" s="247">
        <f t="shared" si="88"/>
        <v>137</v>
      </c>
      <c r="B143" s="203" t="s">
        <v>125</v>
      </c>
      <c r="C143" s="43">
        <f t="shared" ref="C143:C154" si="90">SUM(D143:BF143)</f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1">
        <v>0</v>
      </c>
      <c r="AS143" s="11">
        <v>0</v>
      </c>
      <c r="AT143" s="11">
        <v>0</v>
      </c>
      <c r="AU143" s="11">
        <v>0</v>
      </c>
      <c r="AV143" s="11">
        <v>0</v>
      </c>
      <c r="AW143" s="11">
        <v>0</v>
      </c>
      <c r="AX143" s="11">
        <v>0</v>
      </c>
      <c r="AY143" s="11">
        <v>0</v>
      </c>
      <c r="AZ143" s="11">
        <v>0</v>
      </c>
      <c r="BA143" s="11">
        <v>0</v>
      </c>
      <c r="BB143" s="11">
        <v>0</v>
      </c>
      <c r="BC143" s="11">
        <v>0</v>
      </c>
      <c r="BD143" s="11">
        <v>0</v>
      </c>
      <c r="BE143" s="11">
        <v>0</v>
      </c>
      <c r="BF143" s="11">
        <v>0</v>
      </c>
    </row>
    <row r="144" spans="1:58" ht="14.1" customHeight="1">
      <c r="A144" s="247">
        <f t="shared" si="88"/>
        <v>138</v>
      </c>
      <c r="B144" s="203" t="s">
        <v>126</v>
      </c>
      <c r="C144" s="43">
        <f t="shared" si="90"/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1">
        <v>0</v>
      </c>
      <c r="AP144" s="11">
        <v>0</v>
      </c>
      <c r="AQ144" s="11">
        <v>0</v>
      </c>
      <c r="AR144" s="11">
        <v>0</v>
      </c>
      <c r="AS144" s="11">
        <v>0</v>
      </c>
      <c r="AT144" s="11">
        <v>0</v>
      </c>
      <c r="AU144" s="11">
        <v>0</v>
      </c>
      <c r="AV144" s="11">
        <v>0</v>
      </c>
      <c r="AW144" s="11">
        <v>0</v>
      </c>
      <c r="AX144" s="11">
        <v>0</v>
      </c>
      <c r="AY144" s="11">
        <v>0</v>
      </c>
      <c r="AZ144" s="11">
        <v>0</v>
      </c>
      <c r="BA144" s="11">
        <v>0</v>
      </c>
      <c r="BB144" s="11">
        <v>0</v>
      </c>
      <c r="BC144" s="11">
        <v>0</v>
      </c>
      <c r="BD144" s="11">
        <v>0</v>
      </c>
      <c r="BE144" s="11">
        <v>0</v>
      </c>
      <c r="BF144" s="11">
        <v>0</v>
      </c>
    </row>
    <row r="145" spans="1:58" ht="14.1" customHeight="1">
      <c r="A145" s="247">
        <f t="shared" si="88"/>
        <v>139</v>
      </c>
      <c r="B145" s="203" t="s">
        <v>127</v>
      </c>
      <c r="C145" s="43">
        <f t="shared" si="90"/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1">
        <v>0</v>
      </c>
      <c r="AS145" s="11">
        <v>0</v>
      </c>
      <c r="AT145" s="11">
        <v>0</v>
      </c>
      <c r="AU145" s="11">
        <v>0</v>
      </c>
      <c r="AV145" s="11">
        <v>0</v>
      </c>
      <c r="AW145" s="11">
        <v>0</v>
      </c>
      <c r="AX145" s="11">
        <v>0</v>
      </c>
      <c r="AY145" s="11">
        <v>0</v>
      </c>
      <c r="AZ145" s="11">
        <v>0</v>
      </c>
      <c r="BA145" s="11">
        <v>0</v>
      </c>
      <c r="BB145" s="11">
        <v>0</v>
      </c>
      <c r="BC145" s="11">
        <v>0</v>
      </c>
      <c r="BD145" s="11">
        <v>0</v>
      </c>
      <c r="BE145" s="11">
        <v>0</v>
      </c>
      <c r="BF145" s="11">
        <v>0</v>
      </c>
    </row>
    <row r="146" spans="1:58" ht="14.1" customHeight="1">
      <c r="A146" s="247">
        <f t="shared" si="88"/>
        <v>140</v>
      </c>
      <c r="B146" s="203" t="s">
        <v>128</v>
      </c>
      <c r="C146" s="43">
        <f t="shared" si="90"/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1">
        <v>0</v>
      </c>
      <c r="AP146" s="11">
        <v>0</v>
      </c>
      <c r="AQ146" s="11">
        <v>0</v>
      </c>
      <c r="AR146" s="11">
        <v>0</v>
      </c>
      <c r="AS146" s="11">
        <v>0</v>
      </c>
      <c r="AT146" s="11">
        <v>0</v>
      </c>
      <c r="AU146" s="11">
        <v>0</v>
      </c>
      <c r="AV146" s="11">
        <v>0</v>
      </c>
      <c r="AW146" s="11">
        <v>0</v>
      </c>
      <c r="AX146" s="11">
        <v>0</v>
      </c>
      <c r="AY146" s="11">
        <v>0</v>
      </c>
      <c r="AZ146" s="11">
        <v>0</v>
      </c>
      <c r="BA146" s="11">
        <v>0</v>
      </c>
      <c r="BB146" s="11">
        <v>0</v>
      </c>
      <c r="BC146" s="11">
        <v>0</v>
      </c>
      <c r="BD146" s="11">
        <v>0</v>
      </c>
      <c r="BE146" s="11">
        <v>0</v>
      </c>
      <c r="BF146" s="11">
        <v>0</v>
      </c>
    </row>
    <row r="147" spans="1:58" ht="14.1" customHeight="1">
      <c r="A147" s="247">
        <f t="shared" si="88"/>
        <v>141</v>
      </c>
      <c r="B147" s="203" t="s">
        <v>129</v>
      </c>
      <c r="C147" s="43">
        <f t="shared" si="90"/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1">
        <v>0</v>
      </c>
      <c r="AS147" s="11">
        <v>0</v>
      </c>
      <c r="AT147" s="11">
        <v>0</v>
      </c>
      <c r="AU147" s="11">
        <v>0</v>
      </c>
      <c r="AV147" s="11">
        <v>0</v>
      </c>
      <c r="AW147" s="11">
        <v>0</v>
      </c>
      <c r="AX147" s="11">
        <v>0</v>
      </c>
      <c r="AY147" s="11">
        <v>0</v>
      </c>
      <c r="AZ147" s="11">
        <v>0</v>
      </c>
      <c r="BA147" s="11">
        <v>0</v>
      </c>
      <c r="BB147" s="11">
        <v>0</v>
      </c>
      <c r="BC147" s="11">
        <v>0</v>
      </c>
      <c r="BD147" s="11">
        <v>0</v>
      </c>
      <c r="BE147" s="11">
        <v>0</v>
      </c>
      <c r="BF147" s="11">
        <v>0</v>
      </c>
    </row>
    <row r="148" spans="1:58" ht="14.1" customHeight="1">
      <c r="A148" s="247">
        <f t="shared" si="88"/>
        <v>142</v>
      </c>
      <c r="B148" s="203" t="s">
        <v>130</v>
      </c>
      <c r="C148" s="43">
        <f t="shared" si="90"/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1">
        <v>0</v>
      </c>
      <c r="AP148" s="11">
        <v>0</v>
      </c>
      <c r="AQ148" s="11">
        <v>0</v>
      </c>
      <c r="AR148" s="11">
        <v>0</v>
      </c>
      <c r="AS148" s="11">
        <v>0</v>
      </c>
      <c r="AT148" s="11">
        <v>0</v>
      </c>
      <c r="AU148" s="11">
        <v>0</v>
      </c>
      <c r="AV148" s="11">
        <v>0</v>
      </c>
      <c r="AW148" s="11">
        <v>0</v>
      </c>
      <c r="AX148" s="11">
        <v>0</v>
      </c>
      <c r="AY148" s="11">
        <v>0</v>
      </c>
      <c r="AZ148" s="11">
        <v>0</v>
      </c>
      <c r="BA148" s="11">
        <v>0</v>
      </c>
      <c r="BB148" s="11">
        <v>0</v>
      </c>
      <c r="BC148" s="11">
        <v>0</v>
      </c>
      <c r="BD148" s="11">
        <v>0</v>
      </c>
      <c r="BE148" s="11">
        <v>0</v>
      </c>
      <c r="BF148" s="11">
        <v>0</v>
      </c>
    </row>
    <row r="149" spans="1:58" ht="14.1" customHeight="1">
      <c r="A149" s="247">
        <f t="shared" si="88"/>
        <v>143</v>
      </c>
      <c r="B149" s="203" t="s">
        <v>131</v>
      </c>
      <c r="C149" s="43">
        <f t="shared" si="90"/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1">
        <v>0</v>
      </c>
      <c r="AS149" s="11">
        <v>0</v>
      </c>
      <c r="AT149" s="11">
        <v>0</v>
      </c>
      <c r="AU149" s="11">
        <v>0</v>
      </c>
      <c r="AV149" s="11">
        <v>0</v>
      </c>
      <c r="AW149" s="11">
        <v>0</v>
      </c>
      <c r="AX149" s="11">
        <v>0</v>
      </c>
      <c r="AY149" s="11">
        <v>0</v>
      </c>
      <c r="AZ149" s="11">
        <v>0</v>
      </c>
      <c r="BA149" s="11">
        <v>0</v>
      </c>
      <c r="BB149" s="11">
        <v>0</v>
      </c>
      <c r="BC149" s="11">
        <v>0</v>
      </c>
      <c r="BD149" s="11">
        <v>0</v>
      </c>
      <c r="BE149" s="11">
        <v>0</v>
      </c>
      <c r="BF149" s="11">
        <v>0</v>
      </c>
    </row>
    <row r="150" spans="1:58" ht="14.1" customHeight="1">
      <c r="A150" s="247">
        <f t="shared" si="88"/>
        <v>144</v>
      </c>
      <c r="B150" s="203" t="s">
        <v>132</v>
      </c>
      <c r="C150" s="43">
        <f t="shared" si="90"/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1">
        <v>0</v>
      </c>
      <c r="AP150" s="11">
        <v>0</v>
      </c>
      <c r="AQ150" s="11">
        <v>0</v>
      </c>
      <c r="AR150" s="11">
        <v>0</v>
      </c>
      <c r="AS150" s="11">
        <v>0</v>
      </c>
      <c r="AT150" s="11">
        <v>0</v>
      </c>
      <c r="AU150" s="11">
        <v>0</v>
      </c>
      <c r="AV150" s="11">
        <v>0</v>
      </c>
      <c r="AW150" s="11">
        <v>0</v>
      </c>
      <c r="AX150" s="11">
        <v>0</v>
      </c>
      <c r="AY150" s="11">
        <v>0</v>
      </c>
      <c r="AZ150" s="11">
        <v>0</v>
      </c>
      <c r="BA150" s="11">
        <v>0</v>
      </c>
      <c r="BB150" s="11">
        <v>0</v>
      </c>
      <c r="BC150" s="11">
        <v>0</v>
      </c>
      <c r="BD150" s="11">
        <v>0</v>
      </c>
      <c r="BE150" s="11">
        <v>0</v>
      </c>
      <c r="BF150" s="11">
        <v>0</v>
      </c>
    </row>
    <row r="151" spans="1:58" ht="14.1" customHeight="1">
      <c r="A151" s="247">
        <f t="shared" si="88"/>
        <v>145</v>
      </c>
      <c r="B151" s="203" t="s">
        <v>133</v>
      </c>
      <c r="C151" s="43">
        <f t="shared" si="90"/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1">
        <v>0</v>
      </c>
      <c r="AS151" s="11">
        <v>0</v>
      </c>
      <c r="AT151" s="11">
        <v>0</v>
      </c>
      <c r="AU151" s="11">
        <v>0</v>
      </c>
      <c r="AV151" s="11">
        <v>0</v>
      </c>
      <c r="AW151" s="11">
        <v>0</v>
      </c>
      <c r="AX151" s="11">
        <v>0</v>
      </c>
      <c r="AY151" s="11">
        <v>0</v>
      </c>
      <c r="AZ151" s="11">
        <v>0</v>
      </c>
      <c r="BA151" s="11">
        <v>0</v>
      </c>
      <c r="BB151" s="11">
        <v>0</v>
      </c>
      <c r="BC151" s="11">
        <v>0</v>
      </c>
      <c r="BD151" s="11">
        <v>0</v>
      </c>
      <c r="BE151" s="11">
        <v>0</v>
      </c>
      <c r="BF151" s="11">
        <v>0</v>
      </c>
    </row>
    <row r="152" spans="1:58" ht="14.1" customHeight="1">
      <c r="A152" s="247">
        <f t="shared" si="88"/>
        <v>146</v>
      </c>
      <c r="B152" s="203" t="s">
        <v>134</v>
      </c>
      <c r="C152" s="43">
        <f t="shared" si="90"/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1">
        <v>0</v>
      </c>
      <c r="AP152" s="11">
        <v>0</v>
      </c>
      <c r="AQ152" s="11">
        <v>0</v>
      </c>
      <c r="AR152" s="11">
        <v>0</v>
      </c>
      <c r="AS152" s="11">
        <v>0</v>
      </c>
      <c r="AT152" s="11">
        <v>0</v>
      </c>
      <c r="AU152" s="11">
        <v>0</v>
      </c>
      <c r="AV152" s="11">
        <v>0</v>
      </c>
      <c r="AW152" s="11">
        <v>0</v>
      </c>
      <c r="AX152" s="11">
        <v>0</v>
      </c>
      <c r="AY152" s="11">
        <v>0</v>
      </c>
      <c r="AZ152" s="11">
        <v>0</v>
      </c>
      <c r="BA152" s="11">
        <v>0</v>
      </c>
      <c r="BB152" s="11">
        <v>0</v>
      </c>
      <c r="BC152" s="11">
        <v>0</v>
      </c>
      <c r="BD152" s="11">
        <v>0</v>
      </c>
      <c r="BE152" s="11">
        <v>0</v>
      </c>
      <c r="BF152" s="11">
        <v>0</v>
      </c>
    </row>
    <row r="153" spans="1:58" ht="14.1" customHeight="1">
      <c r="A153" s="247">
        <f t="shared" si="88"/>
        <v>147</v>
      </c>
      <c r="B153" s="203" t="s">
        <v>135</v>
      </c>
      <c r="C153" s="43">
        <f t="shared" si="90"/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>
        <v>0</v>
      </c>
      <c r="AT153" s="11">
        <v>0</v>
      </c>
      <c r="AU153" s="11">
        <v>0</v>
      </c>
      <c r="AV153" s="11">
        <v>0</v>
      </c>
      <c r="AW153" s="11">
        <v>0</v>
      </c>
      <c r="AX153" s="11">
        <v>0</v>
      </c>
      <c r="AY153" s="11">
        <v>0</v>
      </c>
      <c r="AZ153" s="11">
        <v>0</v>
      </c>
      <c r="BA153" s="11">
        <v>0</v>
      </c>
      <c r="BB153" s="11">
        <v>0</v>
      </c>
      <c r="BC153" s="11">
        <v>0</v>
      </c>
      <c r="BD153" s="11">
        <v>0</v>
      </c>
      <c r="BE153" s="11">
        <v>0</v>
      </c>
      <c r="BF153" s="11">
        <v>0</v>
      </c>
    </row>
    <row r="154" spans="1:58" ht="14.1" customHeight="1">
      <c r="A154" s="247">
        <f t="shared" si="88"/>
        <v>148</v>
      </c>
      <c r="B154" s="92" t="s">
        <v>136</v>
      </c>
      <c r="C154" s="43">
        <f t="shared" si="90"/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1">
        <v>0</v>
      </c>
      <c r="AP154" s="11">
        <v>0</v>
      </c>
      <c r="AQ154" s="11">
        <v>0</v>
      </c>
      <c r="AR154" s="11">
        <v>0</v>
      </c>
      <c r="AS154" s="11">
        <v>0</v>
      </c>
      <c r="AT154" s="11">
        <v>0</v>
      </c>
      <c r="AU154" s="11">
        <v>0</v>
      </c>
      <c r="AV154" s="11">
        <v>0</v>
      </c>
      <c r="AW154" s="11">
        <v>0</v>
      </c>
      <c r="AX154" s="11">
        <v>0</v>
      </c>
      <c r="AY154" s="11">
        <v>0</v>
      </c>
      <c r="AZ154" s="11">
        <v>0</v>
      </c>
      <c r="BA154" s="11">
        <v>0</v>
      </c>
      <c r="BB154" s="11">
        <v>0</v>
      </c>
      <c r="BC154" s="11">
        <v>0</v>
      </c>
      <c r="BD154" s="11">
        <v>0</v>
      </c>
      <c r="BE154" s="11">
        <v>0</v>
      </c>
      <c r="BF154" s="11">
        <v>0</v>
      </c>
    </row>
    <row r="155" spans="1:58" ht="14.1" customHeight="1">
      <c r="A155" s="247">
        <f t="shared" si="88"/>
        <v>149</v>
      </c>
      <c r="B155" s="205" t="s">
        <v>531</v>
      </c>
      <c r="C155" s="189">
        <f>SUM(C143:C154)</f>
        <v>0</v>
      </c>
      <c r="D155" s="189">
        <f>SUM(D143:D154)</f>
        <v>0</v>
      </c>
      <c r="E155" s="189">
        <f t="shared" ref="E155:BA155" si="91">SUM(E143:E154)</f>
        <v>0</v>
      </c>
      <c r="F155" s="189">
        <f t="shared" si="91"/>
        <v>0</v>
      </c>
      <c r="G155" s="189">
        <f t="shared" si="91"/>
        <v>0</v>
      </c>
      <c r="H155" s="189">
        <f t="shared" si="91"/>
        <v>0</v>
      </c>
      <c r="I155" s="189">
        <f t="shared" si="91"/>
        <v>0</v>
      </c>
      <c r="J155" s="189">
        <f t="shared" si="91"/>
        <v>0</v>
      </c>
      <c r="K155" s="189">
        <f t="shared" si="91"/>
        <v>0</v>
      </c>
      <c r="L155" s="189">
        <f t="shared" si="91"/>
        <v>0</v>
      </c>
      <c r="M155" s="189">
        <f t="shared" si="91"/>
        <v>0</v>
      </c>
      <c r="N155" s="189">
        <f t="shared" si="91"/>
        <v>0</v>
      </c>
      <c r="O155" s="189">
        <f t="shared" si="91"/>
        <v>0</v>
      </c>
      <c r="P155" s="189">
        <f t="shared" si="91"/>
        <v>0</v>
      </c>
      <c r="Q155" s="189">
        <f t="shared" si="91"/>
        <v>0</v>
      </c>
      <c r="R155" s="189">
        <f t="shared" si="91"/>
        <v>0</v>
      </c>
      <c r="S155" s="189">
        <f t="shared" si="91"/>
        <v>0</v>
      </c>
      <c r="T155" s="189">
        <f t="shared" si="91"/>
        <v>0</v>
      </c>
      <c r="U155" s="189">
        <f t="shared" si="91"/>
        <v>0</v>
      </c>
      <c r="V155" s="189">
        <f t="shared" si="91"/>
        <v>0</v>
      </c>
      <c r="W155" s="189">
        <f t="shared" si="91"/>
        <v>0</v>
      </c>
      <c r="X155" s="189">
        <f t="shared" si="91"/>
        <v>0</v>
      </c>
      <c r="Y155" s="189">
        <f t="shared" si="91"/>
        <v>0</v>
      </c>
      <c r="Z155" s="189">
        <f t="shared" si="91"/>
        <v>0</v>
      </c>
      <c r="AA155" s="189">
        <f t="shared" si="91"/>
        <v>0</v>
      </c>
      <c r="AB155" s="189">
        <f t="shared" si="91"/>
        <v>0</v>
      </c>
      <c r="AC155" s="189">
        <f t="shared" si="91"/>
        <v>0</v>
      </c>
      <c r="AD155" s="189">
        <f t="shared" si="91"/>
        <v>0</v>
      </c>
      <c r="AE155" s="189">
        <f t="shared" si="91"/>
        <v>0</v>
      </c>
      <c r="AF155" s="189">
        <f t="shared" si="91"/>
        <v>0</v>
      </c>
      <c r="AG155" s="189">
        <f t="shared" si="91"/>
        <v>0</v>
      </c>
      <c r="AH155" s="189">
        <f t="shared" si="91"/>
        <v>0</v>
      </c>
      <c r="AI155" s="189">
        <f t="shared" si="91"/>
        <v>0</v>
      </c>
      <c r="AJ155" s="189">
        <f t="shared" si="91"/>
        <v>0</v>
      </c>
      <c r="AK155" s="189">
        <f t="shared" si="91"/>
        <v>0</v>
      </c>
      <c r="AL155" s="189">
        <f t="shared" si="91"/>
        <v>0</v>
      </c>
      <c r="AM155" s="189">
        <f t="shared" si="91"/>
        <v>0</v>
      </c>
      <c r="AN155" s="189">
        <f t="shared" si="91"/>
        <v>0</v>
      </c>
      <c r="AO155" s="189">
        <f t="shared" si="91"/>
        <v>0</v>
      </c>
      <c r="AP155" s="189">
        <f t="shared" si="91"/>
        <v>0</v>
      </c>
      <c r="AQ155" s="189">
        <f t="shared" si="91"/>
        <v>0</v>
      </c>
      <c r="AR155" s="189">
        <f t="shared" si="91"/>
        <v>0</v>
      </c>
      <c r="AS155" s="189">
        <f t="shared" si="91"/>
        <v>0</v>
      </c>
      <c r="AT155" s="189">
        <f t="shared" si="91"/>
        <v>0</v>
      </c>
      <c r="AU155" s="189">
        <f t="shared" si="91"/>
        <v>0</v>
      </c>
      <c r="AV155" s="189">
        <f t="shared" si="91"/>
        <v>0</v>
      </c>
      <c r="AW155" s="189">
        <f t="shared" si="91"/>
        <v>0</v>
      </c>
      <c r="AX155" s="189">
        <f t="shared" si="91"/>
        <v>0</v>
      </c>
      <c r="AY155" s="189">
        <f t="shared" si="91"/>
        <v>0</v>
      </c>
      <c r="AZ155" s="189">
        <f t="shared" si="91"/>
        <v>0</v>
      </c>
      <c r="BA155" s="189">
        <f t="shared" si="91"/>
        <v>0</v>
      </c>
      <c r="BB155" s="189">
        <f>SUM(BB143:BB154)</f>
        <v>0</v>
      </c>
      <c r="BC155" s="189">
        <f>SUM(BC143:BC154)</f>
        <v>0</v>
      </c>
      <c r="BD155" s="189">
        <f>SUM(BD143:BD154)</f>
        <v>0</v>
      </c>
      <c r="BE155" s="189">
        <f>SUM(BE143:BE154)</f>
        <v>0</v>
      </c>
      <c r="BF155" s="189">
        <f>SUM(BF143:BF154)</f>
        <v>0</v>
      </c>
    </row>
    <row r="156" spans="1:58" ht="14.1" customHeight="1">
      <c r="A156" s="247">
        <f t="shared" si="88"/>
        <v>150</v>
      </c>
      <c r="B156" s="205"/>
      <c r="C156" s="205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</row>
    <row r="157" spans="1:58" s="23" customFormat="1" ht="14.1" customHeight="1">
      <c r="A157" s="247">
        <f t="shared" si="88"/>
        <v>151</v>
      </c>
      <c r="B157" s="205" t="s">
        <v>150</v>
      </c>
      <c r="C157" s="205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</row>
    <row r="158" spans="1:58" s="23" customFormat="1" ht="14.1" customHeight="1">
      <c r="A158" s="247">
        <f t="shared" si="88"/>
        <v>152</v>
      </c>
      <c r="B158" s="30" t="s">
        <v>151</v>
      </c>
      <c r="C158" s="43">
        <f>SUM(D158:BF158)</f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1">
        <v>0</v>
      </c>
      <c r="AP158" s="11">
        <v>0</v>
      </c>
      <c r="AQ158" s="11">
        <v>0</v>
      </c>
      <c r="AR158" s="11">
        <v>0</v>
      </c>
      <c r="AS158" s="11">
        <v>0</v>
      </c>
      <c r="AT158" s="11">
        <v>0</v>
      </c>
      <c r="AU158" s="11">
        <v>0</v>
      </c>
      <c r="AV158" s="11">
        <v>0</v>
      </c>
      <c r="AW158" s="11">
        <v>0</v>
      </c>
      <c r="AX158" s="11">
        <v>0</v>
      </c>
      <c r="AY158" s="11">
        <v>0</v>
      </c>
      <c r="AZ158" s="11">
        <v>0</v>
      </c>
      <c r="BA158" s="11">
        <v>0</v>
      </c>
      <c r="BB158" s="11">
        <v>0</v>
      </c>
      <c r="BC158" s="11">
        <v>0</v>
      </c>
      <c r="BD158" s="11">
        <v>0</v>
      </c>
      <c r="BE158" s="11">
        <v>0</v>
      </c>
      <c r="BF158" s="11">
        <v>0</v>
      </c>
    </row>
    <row r="159" spans="1:58" s="23" customFormat="1" ht="14.1" customHeight="1">
      <c r="A159" s="247">
        <f t="shared" si="88"/>
        <v>153</v>
      </c>
      <c r="B159" s="30" t="s">
        <v>152</v>
      </c>
      <c r="C159" s="43">
        <f>SUM(D159:BF159)</f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1">
        <v>0</v>
      </c>
      <c r="AS159" s="11">
        <v>0</v>
      </c>
      <c r="AT159" s="11">
        <v>0</v>
      </c>
      <c r="AU159" s="11">
        <v>0</v>
      </c>
      <c r="AV159" s="11">
        <v>0</v>
      </c>
      <c r="AW159" s="11">
        <v>0</v>
      </c>
      <c r="AX159" s="11">
        <v>0</v>
      </c>
      <c r="AY159" s="11">
        <v>0</v>
      </c>
      <c r="AZ159" s="11">
        <v>0</v>
      </c>
      <c r="BA159" s="11">
        <v>0</v>
      </c>
      <c r="BB159" s="11">
        <v>0</v>
      </c>
      <c r="BC159" s="11">
        <v>0</v>
      </c>
      <c r="BD159" s="11">
        <v>0</v>
      </c>
      <c r="BE159" s="11">
        <v>0</v>
      </c>
      <c r="BF159" s="11">
        <v>0</v>
      </c>
    </row>
    <row r="160" spans="1:58" s="23" customFormat="1" ht="14.1" customHeight="1">
      <c r="A160" s="247">
        <f t="shared" si="88"/>
        <v>154</v>
      </c>
      <c r="B160" s="30" t="s">
        <v>140</v>
      </c>
      <c r="C160" s="43">
        <f>SUM(D160:BF160)</f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1">
        <v>0</v>
      </c>
      <c r="AP160" s="11">
        <v>0</v>
      </c>
      <c r="AQ160" s="11">
        <v>0</v>
      </c>
      <c r="AR160" s="11">
        <v>0</v>
      </c>
      <c r="AS160" s="11">
        <v>0</v>
      </c>
      <c r="AT160" s="11">
        <v>0</v>
      </c>
      <c r="AU160" s="11">
        <v>0</v>
      </c>
      <c r="AV160" s="11">
        <v>0</v>
      </c>
      <c r="AW160" s="11">
        <v>0</v>
      </c>
      <c r="AX160" s="11">
        <v>0</v>
      </c>
      <c r="AY160" s="11">
        <v>0</v>
      </c>
      <c r="AZ160" s="11">
        <v>0</v>
      </c>
      <c r="BA160" s="11">
        <v>0</v>
      </c>
      <c r="BB160" s="11">
        <v>0</v>
      </c>
      <c r="BC160" s="11">
        <v>0</v>
      </c>
      <c r="BD160" s="11">
        <v>0</v>
      </c>
      <c r="BE160" s="11">
        <v>0</v>
      </c>
      <c r="BF160" s="11">
        <v>0</v>
      </c>
    </row>
    <row r="161" spans="1:58" s="23" customFormat="1" ht="14.1" customHeight="1">
      <c r="A161" s="247">
        <f t="shared" si="88"/>
        <v>155</v>
      </c>
      <c r="B161" s="30" t="s">
        <v>153</v>
      </c>
      <c r="C161" s="43">
        <f>SUM(D161:BF161)</f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>
        <v>0</v>
      </c>
      <c r="AT161" s="11">
        <v>0</v>
      </c>
      <c r="AU161" s="11">
        <v>0</v>
      </c>
      <c r="AV161" s="11">
        <v>0</v>
      </c>
      <c r="AW161" s="11">
        <v>0</v>
      </c>
      <c r="AX161" s="11">
        <v>0</v>
      </c>
      <c r="AY161" s="11">
        <v>0</v>
      </c>
      <c r="AZ161" s="11">
        <v>0</v>
      </c>
      <c r="BA161" s="11">
        <v>0</v>
      </c>
      <c r="BB161" s="11">
        <v>0</v>
      </c>
      <c r="BC161" s="11">
        <v>0</v>
      </c>
      <c r="BD161" s="11">
        <v>0</v>
      </c>
      <c r="BE161" s="11">
        <v>0</v>
      </c>
      <c r="BF161" s="11">
        <v>0</v>
      </c>
    </row>
    <row r="162" spans="1:58" ht="14.1" customHeight="1">
      <c r="A162" s="247">
        <f t="shared" si="88"/>
        <v>156</v>
      </c>
      <c r="B162" s="88" t="s">
        <v>154</v>
      </c>
      <c r="C162" s="43">
        <f>SUM(D162:BF162)</f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1">
        <v>0</v>
      </c>
      <c r="AP162" s="11">
        <v>0</v>
      </c>
      <c r="AQ162" s="11">
        <v>0</v>
      </c>
      <c r="AR162" s="11">
        <v>0</v>
      </c>
      <c r="AS162" s="11">
        <v>0</v>
      </c>
      <c r="AT162" s="11">
        <v>0</v>
      </c>
      <c r="AU162" s="11">
        <v>0</v>
      </c>
      <c r="AV162" s="11">
        <v>0</v>
      </c>
      <c r="AW162" s="11">
        <v>0</v>
      </c>
      <c r="AX162" s="11">
        <v>0</v>
      </c>
      <c r="AY162" s="11">
        <v>0</v>
      </c>
      <c r="AZ162" s="11">
        <v>0</v>
      </c>
      <c r="BA162" s="11">
        <v>0</v>
      </c>
      <c r="BB162" s="11">
        <v>0</v>
      </c>
      <c r="BC162" s="11">
        <v>0</v>
      </c>
      <c r="BD162" s="11">
        <v>0</v>
      </c>
      <c r="BE162" s="11">
        <v>0</v>
      </c>
      <c r="BF162" s="11">
        <v>0</v>
      </c>
    </row>
    <row r="163" spans="1:58" ht="14.1" customHeight="1">
      <c r="A163" s="247">
        <f t="shared" si="88"/>
        <v>157</v>
      </c>
      <c r="B163" s="205" t="s">
        <v>537</v>
      </c>
      <c r="C163" s="189">
        <f>SUM(C158:C162)</f>
        <v>0</v>
      </c>
      <c r="D163" s="189">
        <f>SUM(D158:D162)</f>
        <v>0</v>
      </c>
      <c r="E163" s="189">
        <f t="shared" ref="E163:BA163" si="92">SUM(E158:E162)</f>
        <v>0</v>
      </c>
      <c r="F163" s="189">
        <f t="shared" si="92"/>
        <v>0</v>
      </c>
      <c r="G163" s="189">
        <f t="shared" si="92"/>
        <v>0</v>
      </c>
      <c r="H163" s="189">
        <f t="shared" si="92"/>
        <v>0</v>
      </c>
      <c r="I163" s="189">
        <f t="shared" si="92"/>
        <v>0</v>
      </c>
      <c r="J163" s="189">
        <f t="shared" si="92"/>
        <v>0</v>
      </c>
      <c r="K163" s="189">
        <f t="shared" si="92"/>
        <v>0</v>
      </c>
      <c r="L163" s="189">
        <f t="shared" si="92"/>
        <v>0</v>
      </c>
      <c r="M163" s="189">
        <f t="shared" si="92"/>
        <v>0</v>
      </c>
      <c r="N163" s="189">
        <f t="shared" si="92"/>
        <v>0</v>
      </c>
      <c r="O163" s="189">
        <f t="shared" si="92"/>
        <v>0</v>
      </c>
      <c r="P163" s="189">
        <f t="shared" si="92"/>
        <v>0</v>
      </c>
      <c r="Q163" s="189">
        <f t="shared" si="92"/>
        <v>0</v>
      </c>
      <c r="R163" s="189">
        <f t="shared" si="92"/>
        <v>0</v>
      </c>
      <c r="S163" s="189">
        <f t="shared" si="92"/>
        <v>0</v>
      </c>
      <c r="T163" s="189">
        <f t="shared" si="92"/>
        <v>0</v>
      </c>
      <c r="U163" s="189">
        <f t="shared" si="92"/>
        <v>0</v>
      </c>
      <c r="V163" s="189">
        <f t="shared" si="92"/>
        <v>0</v>
      </c>
      <c r="W163" s="189">
        <f t="shared" si="92"/>
        <v>0</v>
      </c>
      <c r="X163" s="189">
        <f t="shared" si="92"/>
        <v>0</v>
      </c>
      <c r="Y163" s="189">
        <f t="shared" si="92"/>
        <v>0</v>
      </c>
      <c r="Z163" s="189">
        <f t="shared" si="92"/>
        <v>0</v>
      </c>
      <c r="AA163" s="189">
        <f t="shared" si="92"/>
        <v>0</v>
      </c>
      <c r="AB163" s="189">
        <f t="shared" si="92"/>
        <v>0</v>
      </c>
      <c r="AC163" s="189">
        <f t="shared" si="92"/>
        <v>0</v>
      </c>
      <c r="AD163" s="189">
        <f t="shared" si="92"/>
        <v>0</v>
      </c>
      <c r="AE163" s="189">
        <f t="shared" si="92"/>
        <v>0</v>
      </c>
      <c r="AF163" s="189">
        <f t="shared" si="92"/>
        <v>0</v>
      </c>
      <c r="AG163" s="189">
        <f t="shared" si="92"/>
        <v>0</v>
      </c>
      <c r="AH163" s="189">
        <f t="shared" si="92"/>
        <v>0</v>
      </c>
      <c r="AI163" s="189">
        <f t="shared" si="92"/>
        <v>0</v>
      </c>
      <c r="AJ163" s="189">
        <f t="shared" si="92"/>
        <v>0</v>
      </c>
      <c r="AK163" s="189">
        <f t="shared" si="92"/>
        <v>0</v>
      </c>
      <c r="AL163" s="189">
        <f t="shared" si="92"/>
        <v>0</v>
      </c>
      <c r="AM163" s="189">
        <f t="shared" si="92"/>
        <v>0</v>
      </c>
      <c r="AN163" s="189">
        <f t="shared" si="92"/>
        <v>0</v>
      </c>
      <c r="AO163" s="189">
        <f t="shared" si="92"/>
        <v>0</v>
      </c>
      <c r="AP163" s="189">
        <f t="shared" si="92"/>
        <v>0</v>
      </c>
      <c r="AQ163" s="189">
        <f t="shared" si="92"/>
        <v>0</v>
      </c>
      <c r="AR163" s="189">
        <f t="shared" si="92"/>
        <v>0</v>
      </c>
      <c r="AS163" s="189">
        <f t="shared" si="92"/>
        <v>0</v>
      </c>
      <c r="AT163" s="189">
        <f t="shared" si="92"/>
        <v>0</v>
      </c>
      <c r="AU163" s="189">
        <f t="shared" si="92"/>
        <v>0</v>
      </c>
      <c r="AV163" s="189">
        <f t="shared" si="92"/>
        <v>0</v>
      </c>
      <c r="AW163" s="189">
        <f t="shared" si="92"/>
        <v>0</v>
      </c>
      <c r="AX163" s="189">
        <f t="shared" si="92"/>
        <v>0</v>
      </c>
      <c r="AY163" s="189">
        <f t="shared" si="92"/>
        <v>0</v>
      </c>
      <c r="AZ163" s="189">
        <f t="shared" si="92"/>
        <v>0</v>
      </c>
      <c r="BA163" s="189">
        <f t="shared" si="92"/>
        <v>0</v>
      </c>
      <c r="BB163" s="189">
        <f>SUM(BB158:BB162)</f>
        <v>0</v>
      </c>
      <c r="BC163" s="189">
        <f>SUM(BC158:BC162)</f>
        <v>0</v>
      </c>
      <c r="BD163" s="189">
        <f>SUM(BD158:BD162)</f>
        <v>0</v>
      </c>
      <c r="BE163" s="189">
        <f>SUM(BE158:BE162)</f>
        <v>0</v>
      </c>
      <c r="BF163" s="189">
        <f>SUM(BF158:BF162)</f>
        <v>0</v>
      </c>
    </row>
    <row r="164" spans="1:58" s="23" customFormat="1" ht="14.1" customHeight="1">
      <c r="A164" s="247">
        <f t="shared" si="88"/>
        <v>158</v>
      </c>
      <c r="B164" s="30"/>
      <c r="C164" s="30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</row>
    <row r="165" spans="1:58" ht="14.1" customHeight="1">
      <c r="A165" s="247">
        <f t="shared" si="88"/>
        <v>159</v>
      </c>
      <c r="B165" s="30" t="s">
        <v>337</v>
      </c>
      <c r="C165" s="43">
        <f>SUM(D165:BF165)</f>
        <v>0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7">
        <v>0</v>
      </c>
      <c r="X165" s="17">
        <v>0</v>
      </c>
      <c r="Y165" s="17">
        <v>0</v>
      </c>
      <c r="Z165" s="17">
        <v>0</v>
      </c>
      <c r="AA165" s="17">
        <v>0</v>
      </c>
      <c r="AB165" s="17">
        <v>0</v>
      </c>
      <c r="AC165" s="17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  <c r="AR165" s="17">
        <v>0</v>
      </c>
      <c r="AS165" s="17">
        <v>0</v>
      </c>
      <c r="AT165" s="17">
        <v>0</v>
      </c>
      <c r="AU165" s="17">
        <v>0</v>
      </c>
      <c r="AV165" s="17">
        <v>0</v>
      </c>
      <c r="AW165" s="17">
        <v>0</v>
      </c>
      <c r="AX165" s="17">
        <v>0</v>
      </c>
      <c r="AY165" s="17">
        <v>0</v>
      </c>
      <c r="AZ165" s="17">
        <v>0</v>
      </c>
      <c r="BA165" s="17">
        <v>0</v>
      </c>
      <c r="BB165" s="17">
        <v>0</v>
      </c>
      <c r="BC165" s="17">
        <v>0</v>
      </c>
      <c r="BD165" s="17">
        <v>0</v>
      </c>
      <c r="BE165" s="17">
        <v>0</v>
      </c>
      <c r="BF165" s="17">
        <v>0</v>
      </c>
    </row>
    <row r="166" spans="1:58" ht="14.1" customHeight="1">
      <c r="A166" s="247">
        <f t="shared" si="88"/>
        <v>160</v>
      </c>
      <c r="B166" s="88" t="s">
        <v>338</v>
      </c>
      <c r="C166" s="43">
        <f>SUM(D166:BF166)</f>
        <v>0</v>
      </c>
      <c r="D166" s="326">
        <v>0</v>
      </c>
      <c r="E166" s="326">
        <v>0</v>
      </c>
      <c r="F166" s="326">
        <v>0</v>
      </c>
      <c r="G166" s="326">
        <v>0</v>
      </c>
      <c r="H166" s="326">
        <v>0</v>
      </c>
      <c r="I166" s="326">
        <v>0</v>
      </c>
      <c r="J166" s="326">
        <v>0</v>
      </c>
      <c r="K166" s="326">
        <v>0</v>
      </c>
      <c r="L166" s="326">
        <v>0</v>
      </c>
      <c r="M166" s="326">
        <v>0</v>
      </c>
      <c r="N166" s="326">
        <v>0</v>
      </c>
      <c r="O166" s="326">
        <v>0</v>
      </c>
      <c r="P166" s="326">
        <v>0</v>
      </c>
      <c r="Q166" s="326">
        <v>0</v>
      </c>
      <c r="R166" s="326">
        <v>0</v>
      </c>
      <c r="S166" s="326">
        <v>0</v>
      </c>
      <c r="T166" s="326">
        <v>0</v>
      </c>
      <c r="U166" s="326">
        <v>0</v>
      </c>
      <c r="V166" s="326">
        <v>0</v>
      </c>
      <c r="W166" s="326">
        <v>0</v>
      </c>
      <c r="X166" s="326">
        <v>0</v>
      </c>
      <c r="Y166" s="326">
        <v>0</v>
      </c>
      <c r="Z166" s="326">
        <v>0</v>
      </c>
      <c r="AA166" s="326">
        <v>0</v>
      </c>
      <c r="AB166" s="326">
        <v>0</v>
      </c>
      <c r="AC166" s="326">
        <v>0</v>
      </c>
      <c r="AD166" s="326">
        <v>0</v>
      </c>
      <c r="AE166" s="326">
        <v>0</v>
      </c>
      <c r="AF166" s="326">
        <v>0</v>
      </c>
      <c r="AG166" s="326">
        <v>0</v>
      </c>
      <c r="AH166" s="326">
        <v>0</v>
      </c>
      <c r="AI166" s="326">
        <v>0</v>
      </c>
      <c r="AJ166" s="326">
        <v>0</v>
      </c>
      <c r="AK166" s="326">
        <v>0</v>
      </c>
      <c r="AL166" s="326">
        <v>0</v>
      </c>
      <c r="AM166" s="326">
        <v>0</v>
      </c>
      <c r="AN166" s="326">
        <v>0</v>
      </c>
      <c r="AO166" s="326">
        <v>0</v>
      </c>
      <c r="AP166" s="326">
        <v>0</v>
      </c>
      <c r="AQ166" s="326">
        <v>0</v>
      </c>
      <c r="AR166" s="326">
        <v>0</v>
      </c>
      <c r="AS166" s="326">
        <v>0</v>
      </c>
      <c r="AT166" s="326">
        <v>0</v>
      </c>
      <c r="AU166" s="326">
        <v>0</v>
      </c>
      <c r="AV166" s="326">
        <v>0</v>
      </c>
      <c r="AW166" s="326">
        <v>0</v>
      </c>
      <c r="AX166" s="326">
        <v>0</v>
      </c>
      <c r="AY166" s="326">
        <v>0</v>
      </c>
      <c r="AZ166" s="326">
        <v>0</v>
      </c>
      <c r="BA166" s="326">
        <v>0</v>
      </c>
      <c r="BB166" s="326">
        <v>0</v>
      </c>
      <c r="BC166" s="326">
        <v>0</v>
      </c>
      <c r="BD166" s="326">
        <v>0</v>
      </c>
      <c r="BE166" s="326">
        <v>0</v>
      </c>
      <c r="BF166" s="326">
        <v>0</v>
      </c>
    </row>
    <row r="167" spans="1:58" ht="14.1" customHeight="1">
      <c r="A167" s="247">
        <f t="shared" si="88"/>
        <v>161</v>
      </c>
      <c r="B167" s="205" t="s">
        <v>575</v>
      </c>
      <c r="C167" s="189">
        <f>SUM(C165:C166)</f>
        <v>0</v>
      </c>
      <c r="D167" s="189">
        <f>SUM(D165:D166)</f>
        <v>0</v>
      </c>
      <c r="E167" s="189">
        <f t="shared" ref="E167:BA167" si="93">SUM(E165:E166)</f>
        <v>0</v>
      </c>
      <c r="F167" s="189">
        <f t="shared" si="93"/>
        <v>0</v>
      </c>
      <c r="G167" s="189">
        <f t="shared" si="93"/>
        <v>0</v>
      </c>
      <c r="H167" s="189">
        <f t="shared" si="93"/>
        <v>0</v>
      </c>
      <c r="I167" s="189">
        <f t="shared" si="93"/>
        <v>0</v>
      </c>
      <c r="J167" s="189">
        <f t="shared" si="93"/>
        <v>0</v>
      </c>
      <c r="K167" s="189">
        <f t="shared" si="93"/>
        <v>0</v>
      </c>
      <c r="L167" s="189">
        <f t="shared" si="93"/>
        <v>0</v>
      </c>
      <c r="M167" s="189">
        <f t="shared" si="93"/>
        <v>0</v>
      </c>
      <c r="N167" s="189">
        <f t="shared" si="93"/>
        <v>0</v>
      </c>
      <c r="O167" s="189">
        <f t="shared" si="93"/>
        <v>0</v>
      </c>
      <c r="P167" s="189">
        <f t="shared" si="93"/>
        <v>0</v>
      </c>
      <c r="Q167" s="189">
        <f t="shared" si="93"/>
        <v>0</v>
      </c>
      <c r="R167" s="189">
        <f t="shared" si="93"/>
        <v>0</v>
      </c>
      <c r="S167" s="189">
        <f t="shared" si="93"/>
        <v>0</v>
      </c>
      <c r="T167" s="189">
        <f t="shared" si="93"/>
        <v>0</v>
      </c>
      <c r="U167" s="189">
        <f t="shared" si="93"/>
        <v>0</v>
      </c>
      <c r="V167" s="189">
        <f t="shared" si="93"/>
        <v>0</v>
      </c>
      <c r="W167" s="189">
        <f t="shared" si="93"/>
        <v>0</v>
      </c>
      <c r="X167" s="189">
        <f t="shared" si="93"/>
        <v>0</v>
      </c>
      <c r="Y167" s="189">
        <f t="shared" si="93"/>
        <v>0</v>
      </c>
      <c r="Z167" s="189">
        <f t="shared" si="93"/>
        <v>0</v>
      </c>
      <c r="AA167" s="189">
        <f t="shared" si="93"/>
        <v>0</v>
      </c>
      <c r="AB167" s="189">
        <f t="shared" si="93"/>
        <v>0</v>
      </c>
      <c r="AC167" s="189">
        <f t="shared" si="93"/>
        <v>0</v>
      </c>
      <c r="AD167" s="189">
        <f t="shared" si="93"/>
        <v>0</v>
      </c>
      <c r="AE167" s="189">
        <f t="shared" si="93"/>
        <v>0</v>
      </c>
      <c r="AF167" s="189">
        <f t="shared" si="93"/>
        <v>0</v>
      </c>
      <c r="AG167" s="189">
        <f t="shared" si="93"/>
        <v>0</v>
      </c>
      <c r="AH167" s="189">
        <f t="shared" si="93"/>
        <v>0</v>
      </c>
      <c r="AI167" s="189">
        <f t="shared" si="93"/>
        <v>0</v>
      </c>
      <c r="AJ167" s="189">
        <f t="shared" si="93"/>
        <v>0</v>
      </c>
      <c r="AK167" s="189">
        <f t="shared" si="93"/>
        <v>0</v>
      </c>
      <c r="AL167" s="189">
        <f t="shared" si="93"/>
        <v>0</v>
      </c>
      <c r="AM167" s="189">
        <f t="shared" si="93"/>
        <v>0</v>
      </c>
      <c r="AN167" s="189">
        <f t="shared" si="93"/>
        <v>0</v>
      </c>
      <c r="AO167" s="189">
        <f t="shared" si="93"/>
        <v>0</v>
      </c>
      <c r="AP167" s="189">
        <f t="shared" si="93"/>
        <v>0</v>
      </c>
      <c r="AQ167" s="189">
        <f t="shared" si="93"/>
        <v>0</v>
      </c>
      <c r="AR167" s="189">
        <f t="shared" si="93"/>
        <v>0</v>
      </c>
      <c r="AS167" s="189">
        <f t="shared" si="93"/>
        <v>0</v>
      </c>
      <c r="AT167" s="189">
        <f t="shared" si="93"/>
        <v>0</v>
      </c>
      <c r="AU167" s="189">
        <f t="shared" si="93"/>
        <v>0</v>
      </c>
      <c r="AV167" s="189">
        <f t="shared" si="93"/>
        <v>0</v>
      </c>
      <c r="AW167" s="189">
        <f t="shared" si="93"/>
        <v>0</v>
      </c>
      <c r="AX167" s="189">
        <f t="shared" si="93"/>
        <v>0</v>
      </c>
      <c r="AY167" s="189">
        <f t="shared" si="93"/>
        <v>0</v>
      </c>
      <c r="AZ167" s="189">
        <f t="shared" si="93"/>
        <v>0</v>
      </c>
      <c r="BA167" s="189">
        <f t="shared" si="93"/>
        <v>0</v>
      </c>
      <c r="BB167" s="189">
        <f>SUM(BB165:BB166)</f>
        <v>0</v>
      </c>
      <c r="BC167" s="189">
        <f>SUM(BC165:BC166)</f>
        <v>0</v>
      </c>
      <c r="BD167" s="189">
        <f>SUM(BD165:BD166)</f>
        <v>0</v>
      </c>
      <c r="BE167" s="189">
        <f>SUM(BE165:BE166)</f>
        <v>0</v>
      </c>
      <c r="BF167" s="189">
        <f>SUM(BF165:BF166)</f>
        <v>0</v>
      </c>
    </row>
    <row r="168" spans="1:58" ht="14.1" customHeight="1">
      <c r="A168" s="247">
        <f t="shared" si="88"/>
        <v>162</v>
      </c>
      <c r="B168" s="9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326"/>
      <c r="AH168" s="326"/>
      <c r="AI168" s="326"/>
      <c r="AJ168" s="326"/>
      <c r="AK168" s="326"/>
      <c r="AL168" s="326"/>
      <c r="AM168" s="326"/>
      <c r="AN168" s="326"/>
      <c r="AO168" s="326"/>
      <c r="AP168" s="326"/>
      <c r="AQ168" s="326"/>
      <c r="AR168" s="326"/>
      <c r="AS168" s="326"/>
      <c r="AT168" s="326"/>
      <c r="AU168" s="326"/>
      <c r="AV168" s="326"/>
      <c r="AW168" s="326"/>
      <c r="AX168" s="326"/>
      <c r="AY168" s="326"/>
      <c r="AZ168" s="326"/>
      <c r="BA168" s="326"/>
      <c r="BB168" s="326"/>
      <c r="BC168" s="326"/>
      <c r="BD168" s="326"/>
      <c r="BE168" s="326"/>
      <c r="BF168" s="326"/>
    </row>
    <row r="169" spans="1:58" ht="14.1" customHeight="1" thickBot="1">
      <c r="A169" s="247">
        <f t="shared" si="88"/>
        <v>163</v>
      </c>
      <c r="B169" s="90" t="s">
        <v>137</v>
      </c>
      <c r="C169" s="328">
        <f>C155+C140+C122+C108+C62+C163+C167</f>
        <v>-776202944.47210002</v>
      </c>
      <c r="D169" s="328">
        <f>D155+D140+D122+D108+D62+D163+D167</f>
        <v>0</v>
      </c>
      <c r="E169" s="328">
        <f t="shared" ref="E169:BA169" si="94">E155+E140+E122+E108+E62+E163+E167</f>
        <v>0</v>
      </c>
      <c r="F169" s="328">
        <f t="shared" si="94"/>
        <v>0</v>
      </c>
      <c r="G169" s="328">
        <f t="shared" si="94"/>
        <v>0</v>
      </c>
      <c r="H169" s="328">
        <f t="shared" si="94"/>
        <v>0</v>
      </c>
      <c r="I169" s="328">
        <f t="shared" si="94"/>
        <v>0</v>
      </c>
      <c r="J169" s="328">
        <f t="shared" si="94"/>
        <v>0</v>
      </c>
      <c r="K169" s="328">
        <f t="shared" si="94"/>
        <v>0</v>
      </c>
      <c r="L169" s="328">
        <f t="shared" si="94"/>
        <v>0</v>
      </c>
      <c r="M169" s="328">
        <f t="shared" si="94"/>
        <v>0</v>
      </c>
      <c r="N169" s="328">
        <f t="shared" si="94"/>
        <v>0</v>
      </c>
      <c r="O169" s="328">
        <f t="shared" si="94"/>
        <v>0</v>
      </c>
      <c r="P169" s="328">
        <f t="shared" si="94"/>
        <v>0</v>
      </c>
      <c r="Q169" s="328">
        <f t="shared" si="94"/>
        <v>0</v>
      </c>
      <c r="R169" s="328">
        <f t="shared" si="94"/>
        <v>0</v>
      </c>
      <c r="S169" s="328">
        <f t="shared" si="94"/>
        <v>0</v>
      </c>
      <c r="T169" s="328">
        <f t="shared" si="94"/>
        <v>0</v>
      </c>
      <c r="U169" s="328">
        <f t="shared" si="94"/>
        <v>0</v>
      </c>
      <c r="V169" s="328">
        <f t="shared" si="94"/>
        <v>0</v>
      </c>
      <c r="W169" s="328">
        <f t="shared" si="94"/>
        <v>0</v>
      </c>
      <c r="X169" s="328">
        <f t="shared" si="94"/>
        <v>0</v>
      </c>
      <c r="Y169" s="328">
        <f t="shared" si="94"/>
        <v>0</v>
      </c>
      <c r="Z169" s="328">
        <f t="shared" si="94"/>
        <v>0</v>
      </c>
      <c r="AA169" s="328">
        <f t="shared" si="94"/>
        <v>0</v>
      </c>
      <c r="AB169" s="328">
        <f t="shared" si="94"/>
        <v>0</v>
      </c>
      <c r="AC169" s="328">
        <f t="shared" si="94"/>
        <v>0</v>
      </c>
      <c r="AD169" s="328">
        <f t="shared" si="94"/>
        <v>0</v>
      </c>
      <c r="AE169" s="328">
        <f t="shared" si="94"/>
        <v>0</v>
      </c>
      <c r="AF169" s="328">
        <f t="shared" si="94"/>
        <v>0</v>
      </c>
      <c r="AG169" s="328">
        <f t="shared" si="94"/>
        <v>0</v>
      </c>
      <c r="AH169" s="328">
        <f t="shared" si="94"/>
        <v>0</v>
      </c>
      <c r="AI169" s="328">
        <f t="shared" si="94"/>
        <v>0</v>
      </c>
      <c r="AJ169" s="328">
        <f t="shared" si="94"/>
        <v>0</v>
      </c>
      <c r="AK169" s="328">
        <f t="shared" si="94"/>
        <v>0</v>
      </c>
      <c r="AL169" s="328">
        <f t="shared" si="94"/>
        <v>0</v>
      </c>
      <c r="AM169" s="328">
        <f t="shared" si="94"/>
        <v>0</v>
      </c>
      <c r="AN169" s="328">
        <f t="shared" si="94"/>
        <v>0</v>
      </c>
      <c r="AO169" s="328">
        <f t="shared" si="94"/>
        <v>0</v>
      </c>
      <c r="AP169" s="328">
        <f t="shared" si="94"/>
        <v>0</v>
      </c>
      <c r="AQ169" s="328">
        <f t="shared" si="94"/>
        <v>0</v>
      </c>
      <c r="AR169" s="328">
        <f t="shared" si="94"/>
        <v>0</v>
      </c>
      <c r="AS169" s="328">
        <f t="shared" si="94"/>
        <v>0</v>
      </c>
      <c r="AT169" s="328">
        <f t="shared" si="94"/>
        <v>0</v>
      </c>
      <c r="AU169" s="328">
        <f t="shared" si="94"/>
        <v>0</v>
      </c>
      <c r="AV169" s="328">
        <f t="shared" si="94"/>
        <v>0</v>
      </c>
      <c r="AW169" s="328">
        <f t="shared" si="94"/>
        <v>0</v>
      </c>
      <c r="AX169" s="328">
        <f t="shared" si="94"/>
        <v>0</v>
      </c>
      <c r="AY169" s="328">
        <f t="shared" si="94"/>
        <v>0</v>
      </c>
      <c r="AZ169" s="328">
        <f t="shared" si="94"/>
        <v>-322612704</v>
      </c>
      <c r="BA169" s="328">
        <f t="shared" si="94"/>
        <v>0</v>
      </c>
      <c r="BB169" s="328">
        <f>BB155+BB140+BB122+BB108+BB62+BB163+BB167</f>
        <v>0</v>
      </c>
      <c r="BC169" s="328">
        <f>BC155+BC140+BC122+BC108+BC62+BC163+BC167</f>
        <v>-453590240.47210002</v>
      </c>
      <c r="BD169" s="328">
        <f>BD155+BD140+BD122+BD108+BD62+BD163+BD167</f>
        <v>0</v>
      </c>
      <c r="BE169" s="328">
        <f>BE155+BE140+BE122+BE108+BE62+BE163+BE167</f>
        <v>0</v>
      </c>
      <c r="BF169" s="328">
        <f>BF155+BF140+BF122+BF108+BF62+BF163+BF167</f>
        <v>0</v>
      </c>
    </row>
    <row r="170" spans="1:58" ht="14.1" customHeight="1" thickTop="1">
      <c r="A170" s="247">
        <f t="shared" si="88"/>
        <v>164</v>
      </c>
      <c r="C170" s="27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</row>
    <row r="171" spans="1:58" ht="14.1" customHeight="1">
      <c r="A171" s="247">
        <f t="shared" si="88"/>
        <v>165</v>
      </c>
      <c r="B171" s="3" t="s">
        <v>138</v>
      </c>
      <c r="C171" s="3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</row>
    <row r="172" spans="1:58" ht="14.1" customHeight="1">
      <c r="A172" s="247">
        <f t="shared" si="88"/>
        <v>166</v>
      </c>
      <c r="B172" s="203" t="s">
        <v>139</v>
      </c>
      <c r="C172" s="43">
        <f>SUM(D172:BF172)</f>
        <v>-319141551.95598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69695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1">
        <v>0</v>
      </c>
      <c r="AP172" s="11">
        <v>0</v>
      </c>
      <c r="AQ172" s="11">
        <v>0</v>
      </c>
      <c r="AR172" s="11">
        <v>0</v>
      </c>
      <c r="AS172" s="11">
        <v>0</v>
      </c>
      <c r="AT172" s="11">
        <v>0</v>
      </c>
      <c r="AU172" s="11">
        <v>0</v>
      </c>
      <c r="AV172" s="11">
        <v>0</v>
      </c>
      <c r="AW172" s="11">
        <v>0</v>
      </c>
      <c r="AX172" s="11">
        <v>0</v>
      </c>
      <c r="AY172" s="11">
        <v>0</v>
      </c>
      <c r="AZ172" s="11">
        <v>-75047400</v>
      </c>
      <c r="BA172" s="11">
        <v>0</v>
      </c>
      <c r="BB172" s="11">
        <v>0</v>
      </c>
      <c r="BC172" s="11">
        <f>((25345824.55+177402535.65+6034126.34+28499826.28+10191364.1+3930785.51)*-1)*'Allocation Factors'!G10</f>
        <v>-247884799.95598</v>
      </c>
      <c r="BD172" s="11">
        <v>0</v>
      </c>
      <c r="BE172" s="11">
        <v>3720953</v>
      </c>
      <c r="BF172" s="11">
        <v>0</v>
      </c>
    </row>
    <row r="173" spans="1:58" ht="14.1" customHeight="1">
      <c r="A173" s="247">
        <f t="shared" si="88"/>
        <v>167</v>
      </c>
      <c r="B173" s="27" t="s">
        <v>148</v>
      </c>
      <c r="C173" s="43">
        <f>SUM(D173:BF173)</f>
        <v>-431899.15759999998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1">
        <v>0</v>
      </c>
      <c r="AS173" s="11">
        <v>0</v>
      </c>
      <c r="AT173" s="11">
        <v>0</v>
      </c>
      <c r="AU173" s="11">
        <v>0</v>
      </c>
      <c r="AV173" s="11">
        <v>0</v>
      </c>
      <c r="AW173" s="11">
        <v>0</v>
      </c>
      <c r="AX173" s="11">
        <v>0</v>
      </c>
      <c r="AY173" s="11">
        <v>0</v>
      </c>
      <c r="AZ173" s="11">
        <v>0</v>
      </c>
      <c r="BA173" s="11">
        <v>0</v>
      </c>
      <c r="BB173" s="11">
        <v>0</v>
      </c>
      <c r="BC173" s="11">
        <f>((8290.6+429741)*-1)*'Allocation Factors'!G10</f>
        <v>-431899.15759999998</v>
      </c>
      <c r="BD173" s="11">
        <v>0</v>
      </c>
      <c r="BE173" s="11">
        <v>0</v>
      </c>
      <c r="BF173" s="11">
        <v>0</v>
      </c>
    </row>
    <row r="174" spans="1:58" ht="14.1" customHeight="1">
      <c r="A174" s="247">
        <f t="shared" si="88"/>
        <v>168</v>
      </c>
      <c r="B174" s="27" t="s">
        <v>141</v>
      </c>
      <c r="C174" s="43">
        <f>SUM(D174:BF174)</f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1">
        <v>0</v>
      </c>
      <c r="AP174" s="11">
        <v>0</v>
      </c>
      <c r="AQ174" s="11">
        <v>0</v>
      </c>
      <c r="AR174" s="11">
        <v>0</v>
      </c>
      <c r="AS174" s="11">
        <v>0</v>
      </c>
      <c r="AT174" s="11">
        <v>0</v>
      </c>
      <c r="AU174" s="11">
        <v>0</v>
      </c>
      <c r="AV174" s="11">
        <v>0</v>
      </c>
      <c r="AW174" s="11">
        <v>0</v>
      </c>
      <c r="AX174" s="11">
        <v>0</v>
      </c>
      <c r="AY174" s="11">
        <v>0</v>
      </c>
      <c r="AZ174" s="11">
        <v>0</v>
      </c>
      <c r="BA174" s="11">
        <v>0</v>
      </c>
      <c r="BB174" s="11">
        <v>0</v>
      </c>
      <c r="BC174" s="11">
        <v>0</v>
      </c>
      <c r="BD174" s="11">
        <v>0</v>
      </c>
      <c r="BE174" s="11">
        <v>0</v>
      </c>
      <c r="BF174" s="11">
        <v>0</v>
      </c>
    </row>
    <row r="175" spans="1:58" ht="13.5" customHeight="1">
      <c r="A175" s="247">
        <f t="shared" si="88"/>
        <v>169</v>
      </c>
      <c r="B175" s="27" t="s">
        <v>142</v>
      </c>
      <c r="C175" s="43">
        <f>SUM(D175:BF175)</f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>
        <v>0</v>
      </c>
      <c r="AT175" s="11">
        <v>0</v>
      </c>
      <c r="AU175" s="11">
        <v>0</v>
      </c>
      <c r="AV175" s="11">
        <v>0</v>
      </c>
      <c r="AW175" s="11">
        <v>0</v>
      </c>
      <c r="AX175" s="11">
        <v>0</v>
      </c>
      <c r="AY175" s="11">
        <v>0</v>
      </c>
      <c r="AZ175" s="11">
        <v>0</v>
      </c>
      <c r="BA175" s="11">
        <v>0</v>
      </c>
      <c r="BB175" s="11">
        <v>0</v>
      </c>
      <c r="BC175" s="11">
        <v>0</v>
      </c>
      <c r="BD175" s="11">
        <v>0</v>
      </c>
      <c r="BE175" s="11">
        <v>0</v>
      </c>
      <c r="BF175" s="11">
        <v>0</v>
      </c>
    </row>
    <row r="176" spans="1:58" ht="14.1" customHeight="1">
      <c r="A176" s="247">
        <f t="shared" si="88"/>
        <v>170</v>
      </c>
      <c r="B176" s="205" t="s">
        <v>528</v>
      </c>
      <c r="C176" s="189">
        <f t="shared" ref="C176:K176" si="95">SUM(C172:C175)</f>
        <v>-319573451.11357999</v>
      </c>
      <c r="D176" s="189">
        <f t="shared" si="95"/>
        <v>0</v>
      </c>
      <c r="E176" s="189">
        <f t="shared" si="95"/>
        <v>0</v>
      </c>
      <c r="F176" s="189">
        <f t="shared" si="95"/>
        <v>0</v>
      </c>
      <c r="G176" s="189">
        <f t="shared" si="95"/>
        <v>0</v>
      </c>
      <c r="H176" s="189">
        <f t="shared" si="95"/>
        <v>0</v>
      </c>
      <c r="I176" s="189">
        <f t="shared" si="95"/>
        <v>0</v>
      </c>
      <c r="J176" s="189">
        <f t="shared" si="95"/>
        <v>0</v>
      </c>
      <c r="K176" s="189">
        <f t="shared" si="95"/>
        <v>0</v>
      </c>
      <c r="L176" s="189">
        <f t="shared" ref="L176:Z176" si="96">SUM(L172:L175)</f>
        <v>0</v>
      </c>
      <c r="M176" s="189">
        <f t="shared" si="96"/>
        <v>0</v>
      </c>
      <c r="N176" s="189">
        <f t="shared" si="96"/>
        <v>0</v>
      </c>
      <c r="O176" s="189">
        <f t="shared" si="96"/>
        <v>0</v>
      </c>
      <c r="P176" s="189">
        <f t="shared" si="96"/>
        <v>0</v>
      </c>
      <c r="Q176" s="189">
        <f t="shared" si="96"/>
        <v>0</v>
      </c>
      <c r="R176" s="189">
        <f t="shared" si="96"/>
        <v>0</v>
      </c>
      <c r="S176" s="189">
        <f t="shared" si="96"/>
        <v>0</v>
      </c>
      <c r="T176" s="189">
        <f t="shared" si="96"/>
        <v>0</v>
      </c>
      <c r="U176" s="189">
        <f t="shared" si="96"/>
        <v>0</v>
      </c>
      <c r="V176" s="189">
        <f t="shared" si="96"/>
        <v>0</v>
      </c>
      <c r="W176" s="189">
        <f t="shared" si="96"/>
        <v>0</v>
      </c>
      <c r="X176" s="189">
        <f t="shared" si="96"/>
        <v>0</v>
      </c>
      <c r="Y176" s="189">
        <f t="shared" si="96"/>
        <v>0</v>
      </c>
      <c r="Z176" s="189">
        <f t="shared" si="96"/>
        <v>0</v>
      </c>
      <c r="AA176" s="189">
        <f t="shared" ref="AA176:AJ176" si="97">SUM(AA172:AA175)</f>
        <v>0</v>
      </c>
      <c r="AB176" s="189">
        <f t="shared" si="97"/>
        <v>0</v>
      </c>
      <c r="AC176" s="189">
        <f t="shared" si="97"/>
        <v>0</v>
      </c>
      <c r="AD176" s="189">
        <f t="shared" si="97"/>
        <v>0</v>
      </c>
      <c r="AE176" s="189">
        <f t="shared" si="97"/>
        <v>0</v>
      </c>
      <c r="AF176" s="189">
        <f t="shared" si="97"/>
        <v>0</v>
      </c>
      <c r="AG176" s="189">
        <f t="shared" si="97"/>
        <v>0</v>
      </c>
      <c r="AH176" s="189">
        <f t="shared" si="97"/>
        <v>0</v>
      </c>
      <c r="AI176" s="189">
        <f t="shared" si="97"/>
        <v>69695</v>
      </c>
      <c r="AJ176" s="189">
        <f t="shared" si="97"/>
        <v>0</v>
      </c>
      <c r="AK176" s="189">
        <f>SUM(AK172:AK175)</f>
        <v>0</v>
      </c>
      <c r="AL176" s="189">
        <f t="shared" ref="AL176:AQ176" si="98">SUM(AL172:AL175)</f>
        <v>0</v>
      </c>
      <c r="AM176" s="189">
        <f t="shared" si="98"/>
        <v>0</v>
      </c>
      <c r="AN176" s="189">
        <f t="shared" si="98"/>
        <v>0</v>
      </c>
      <c r="AO176" s="189">
        <f t="shared" si="98"/>
        <v>0</v>
      </c>
      <c r="AP176" s="189">
        <f t="shared" si="98"/>
        <v>0</v>
      </c>
      <c r="AQ176" s="189">
        <f t="shared" si="98"/>
        <v>0</v>
      </c>
      <c r="AR176" s="189">
        <f>SUM(AR172:AR175)</f>
        <v>0</v>
      </c>
      <c r="AS176" s="189">
        <f>SUM(AS172:AS175)</f>
        <v>0</v>
      </c>
      <c r="AT176" s="189">
        <f>SUM(AT172:AT175)</f>
        <v>0</v>
      </c>
      <c r="AU176" s="189">
        <f>SUM(AU172:AU175)</f>
        <v>0</v>
      </c>
      <c r="AV176" s="189">
        <f t="shared" ref="AV176:BA176" si="99">SUM(AV172:AV175)</f>
        <v>0</v>
      </c>
      <c r="AW176" s="189">
        <f t="shared" si="99"/>
        <v>0</v>
      </c>
      <c r="AX176" s="189">
        <f t="shared" si="99"/>
        <v>0</v>
      </c>
      <c r="AY176" s="189">
        <f t="shared" si="99"/>
        <v>0</v>
      </c>
      <c r="AZ176" s="189">
        <f t="shared" si="99"/>
        <v>-75047400</v>
      </c>
      <c r="BA176" s="189">
        <f t="shared" si="99"/>
        <v>0</v>
      </c>
      <c r="BB176" s="189">
        <f>SUM(BB172:BB175)</f>
        <v>0</v>
      </c>
      <c r="BC176" s="189">
        <f>SUM(BC172:BC175)</f>
        <v>-248316699.11357999</v>
      </c>
      <c r="BD176" s="189">
        <f>SUM(BD172:BD175)</f>
        <v>0</v>
      </c>
      <c r="BE176" s="189">
        <f>SUM(BE172:BE175)</f>
        <v>3720953</v>
      </c>
      <c r="BF176" s="189">
        <f>SUM(BF172:BF175)</f>
        <v>0</v>
      </c>
    </row>
    <row r="177" spans="1:58" ht="14.1" customHeight="1">
      <c r="A177" s="247">
        <f t="shared" si="88"/>
        <v>171</v>
      </c>
      <c r="B177" s="30"/>
      <c r="C177" s="30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</row>
    <row r="178" spans="1:58" ht="14.1" customHeight="1">
      <c r="A178" s="247">
        <f t="shared" si="88"/>
        <v>172</v>
      </c>
      <c r="B178" s="205" t="s">
        <v>143</v>
      </c>
      <c r="C178" s="205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</row>
    <row r="179" spans="1:58" ht="14.1" customHeight="1">
      <c r="A179" s="247">
        <f t="shared" si="88"/>
        <v>173</v>
      </c>
      <c r="B179" s="27" t="s">
        <v>146</v>
      </c>
      <c r="C179" s="43">
        <f>SUM(D179:BF179)</f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1">
        <v>0</v>
      </c>
      <c r="AS179" s="11">
        <v>0</v>
      </c>
      <c r="AT179" s="11">
        <v>0</v>
      </c>
      <c r="AU179" s="11">
        <v>0</v>
      </c>
      <c r="AV179" s="11">
        <v>0</v>
      </c>
      <c r="AW179" s="11">
        <v>0</v>
      </c>
      <c r="AX179" s="11">
        <v>0</v>
      </c>
      <c r="AY179" s="11">
        <v>0</v>
      </c>
      <c r="AZ179" s="11">
        <v>0</v>
      </c>
      <c r="BA179" s="11">
        <v>0</v>
      </c>
      <c r="BB179" s="11">
        <v>0</v>
      </c>
      <c r="BC179" s="11">
        <v>0</v>
      </c>
      <c r="BD179" s="11">
        <v>0</v>
      </c>
      <c r="BE179" s="11">
        <v>0</v>
      </c>
      <c r="BF179" s="11">
        <v>0</v>
      </c>
    </row>
    <row r="180" spans="1:58" ht="14.1" customHeight="1">
      <c r="A180" s="247">
        <f t="shared" si="88"/>
        <v>174</v>
      </c>
      <c r="B180" s="27" t="s">
        <v>139</v>
      </c>
      <c r="C180" s="43">
        <f>SUM(D180:BF180)</f>
        <v>0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48">
        <v>0</v>
      </c>
      <c r="AC180" s="48">
        <v>0</v>
      </c>
      <c r="AD180" s="48">
        <v>0</v>
      </c>
      <c r="AE180" s="48">
        <v>0</v>
      </c>
      <c r="AF180" s="48">
        <v>0</v>
      </c>
      <c r="AG180" s="48">
        <v>0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0</v>
      </c>
      <c r="AN180" s="48">
        <v>0</v>
      </c>
      <c r="AO180" s="48">
        <v>0</v>
      </c>
      <c r="AP180" s="48">
        <v>0</v>
      </c>
      <c r="AQ180" s="48">
        <v>0</v>
      </c>
      <c r="AR180" s="48">
        <v>0</v>
      </c>
      <c r="AS180" s="48">
        <v>0</v>
      </c>
      <c r="AT180" s="48">
        <v>0</v>
      </c>
      <c r="AU180" s="48">
        <v>0</v>
      </c>
      <c r="AV180" s="48">
        <v>0</v>
      </c>
      <c r="AW180" s="48">
        <v>0</v>
      </c>
      <c r="AX180" s="48">
        <v>0</v>
      </c>
      <c r="AY180" s="48">
        <v>0</v>
      </c>
      <c r="AZ180" s="48">
        <v>0</v>
      </c>
      <c r="BA180" s="48">
        <v>0</v>
      </c>
      <c r="BB180" s="48">
        <v>0</v>
      </c>
      <c r="BC180" s="48">
        <v>0</v>
      </c>
      <c r="BD180" s="48">
        <v>0</v>
      </c>
      <c r="BE180" s="48">
        <v>0</v>
      </c>
      <c r="BF180" s="48">
        <v>0</v>
      </c>
    </row>
    <row r="181" spans="1:58" ht="14.1" customHeight="1">
      <c r="A181" s="247">
        <f t="shared" si="88"/>
        <v>175</v>
      </c>
      <c r="B181" s="27" t="s">
        <v>140</v>
      </c>
      <c r="C181" s="43">
        <f>SUM(D181:BF181)</f>
        <v>0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48">
        <v>0</v>
      </c>
      <c r="V181" s="48">
        <v>0</v>
      </c>
      <c r="W181" s="48">
        <v>0</v>
      </c>
      <c r="X181" s="48">
        <v>0</v>
      </c>
      <c r="Y181" s="48">
        <v>0</v>
      </c>
      <c r="Z181" s="48">
        <v>0</v>
      </c>
      <c r="AA181" s="48">
        <v>0</v>
      </c>
      <c r="AB181" s="48">
        <v>0</v>
      </c>
      <c r="AC181" s="48">
        <v>0</v>
      </c>
      <c r="AD181" s="48">
        <v>0</v>
      </c>
      <c r="AE181" s="48">
        <v>0</v>
      </c>
      <c r="AF181" s="48">
        <v>0</v>
      </c>
      <c r="AG181" s="48">
        <v>0</v>
      </c>
      <c r="AH181" s="48">
        <v>0</v>
      </c>
      <c r="AI181" s="48">
        <v>0</v>
      </c>
      <c r="AJ181" s="48">
        <v>0</v>
      </c>
      <c r="AK181" s="48">
        <v>0</v>
      </c>
      <c r="AL181" s="48">
        <v>0</v>
      </c>
      <c r="AM181" s="48">
        <v>0</v>
      </c>
      <c r="AN181" s="48">
        <v>0</v>
      </c>
      <c r="AO181" s="48">
        <v>0</v>
      </c>
      <c r="AP181" s="48">
        <v>0</v>
      </c>
      <c r="AQ181" s="48">
        <v>0</v>
      </c>
      <c r="AR181" s="48">
        <v>0</v>
      </c>
      <c r="AS181" s="48">
        <v>0</v>
      </c>
      <c r="AT181" s="48">
        <v>0</v>
      </c>
      <c r="AU181" s="48">
        <v>0</v>
      </c>
      <c r="AV181" s="48">
        <v>0</v>
      </c>
      <c r="AW181" s="48">
        <v>0</v>
      </c>
      <c r="AX181" s="48">
        <v>0</v>
      </c>
      <c r="AY181" s="48">
        <v>0</v>
      </c>
      <c r="AZ181" s="48">
        <v>0</v>
      </c>
      <c r="BA181" s="48">
        <v>0</v>
      </c>
      <c r="BB181" s="48">
        <v>0</v>
      </c>
      <c r="BC181" s="48">
        <v>0</v>
      </c>
      <c r="BD181" s="48">
        <v>0</v>
      </c>
      <c r="BE181" s="48">
        <v>0</v>
      </c>
      <c r="BF181" s="48">
        <v>0</v>
      </c>
    </row>
    <row r="182" spans="1:58" ht="14.1" customHeight="1">
      <c r="A182" s="247">
        <f t="shared" si="88"/>
        <v>176</v>
      </c>
      <c r="B182" s="27" t="s">
        <v>141</v>
      </c>
      <c r="C182" s="43">
        <f>SUM(D182:BF182)</f>
        <v>0</v>
      </c>
      <c r="D182" s="48">
        <v>0</v>
      </c>
      <c r="E182" s="48">
        <v>0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v>0</v>
      </c>
      <c r="V182" s="48">
        <v>0</v>
      </c>
      <c r="W182" s="48">
        <v>0</v>
      </c>
      <c r="X182" s="48">
        <v>0</v>
      </c>
      <c r="Y182" s="48">
        <v>0</v>
      </c>
      <c r="Z182" s="48">
        <v>0</v>
      </c>
      <c r="AA182" s="48">
        <v>0</v>
      </c>
      <c r="AB182" s="48">
        <v>0</v>
      </c>
      <c r="AC182" s="48">
        <v>0</v>
      </c>
      <c r="AD182" s="48">
        <v>0</v>
      </c>
      <c r="AE182" s="48">
        <v>0</v>
      </c>
      <c r="AF182" s="48">
        <v>0</v>
      </c>
      <c r="AG182" s="48">
        <v>0</v>
      </c>
      <c r="AH182" s="48">
        <v>0</v>
      </c>
      <c r="AI182" s="48">
        <v>0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  <c r="AO182" s="48">
        <v>0</v>
      </c>
      <c r="AP182" s="48">
        <v>0</v>
      </c>
      <c r="AQ182" s="48">
        <v>0</v>
      </c>
      <c r="AR182" s="48">
        <v>0</v>
      </c>
      <c r="AS182" s="48">
        <v>0</v>
      </c>
      <c r="AT182" s="48">
        <v>0</v>
      </c>
      <c r="AU182" s="48">
        <v>0</v>
      </c>
      <c r="AV182" s="48">
        <v>0</v>
      </c>
      <c r="AW182" s="48">
        <v>0</v>
      </c>
      <c r="AX182" s="48">
        <v>0</v>
      </c>
      <c r="AY182" s="48">
        <v>0</v>
      </c>
      <c r="AZ182" s="48">
        <v>0</v>
      </c>
      <c r="BA182" s="48">
        <v>0</v>
      </c>
      <c r="BB182" s="48">
        <v>0</v>
      </c>
      <c r="BC182" s="48">
        <v>0</v>
      </c>
      <c r="BD182" s="48">
        <v>0</v>
      </c>
      <c r="BE182" s="48">
        <v>0</v>
      </c>
      <c r="BF182" s="48">
        <v>0</v>
      </c>
    </row>
    <row r="183" spans="1:58" s="23" customFormat="1" ht="14.1" customHeight="1">
      <c r="A183" s="247">
        <f t="shared" si="88"/>
        <v>177</v>
      </c>
      <c r="B183" s="92" t="s">
        <v>142</v>
      </c>
      <c r="C183" s="386">
        <f>SUM(D183:BF183)</f>
        <v>0</v>
      </c>
      <c r="D183" s="100">
        <v>0</v>
      </c>
      <c r="E183" s="100">
        <v>0</v>
      </c>
      <c r="F183" s="100">
        <v>0</v>
      </c>
      <c r="G183" s="100">
        <v>0</v>
      </c>
      <c r="H183" s="100">
        <v>0</v>
      </c>
      <c r="I183" s="100">
        <v>0</v>
      </c>
      <c r="J183" s="100">
        <v>0</v>
      </c>
      <c r="K183" s="100">
        <v>0</v>
      </c>
      <c r="L183" s="100">
        <v>0</v>
      </c>
      <c r="M183" s="100">
        <v>0</v>
      </c>
      <c r="N183" s="100">
        <v>0</v>
      </c>
      <c r="O183" s="100">
        <v>0</v>
      </c>
      <c r="P183" s="100">
        <v>0</v>
      </c>
      <c r="Q183" s="100">
        <v>0</v>
      </c>
      <c r="R183" s="100">
        <v>0</v>
      </c>
      <c r="S183" s="100">
        <v>0</v>
      </c>
      <c r="T183" s="100">
        <v>0</v>
      </c>
      <c r="U183" s="100">
        <v>0</v>
      </c>
      <c r="V183" s="100">
        <v>0</v>
      </c>
      <c r="W183" s="100">
        <v>0</v>
      </c>
      <c r="X183" s="100">
        <v>0</v>
      </c>
      <c r="Y183" s="100">
        <v>0</v>
      </c>
      <c r="Z183" s="100">
        <v>0</v>
      </c>
      <c r="AA183" s="100">
        <v>0</v>
      </c>
      <c r="AB183" s="100">
        <v>0</v>
      </c>
      <c r="AC183" s="100">
        <v>0</v>
      </c>
      <c r="AD183" s="100">
        <v>0</v>
      </c>
      <c r="AE183" s="100">
        <v>0</v>
      </c>
      <c r="AF183" s="100">
        <v>0</v>
      </c>
      <c r="AG183" s="100">
        <v>0</v>
      </c>
      <c r="AH183" s="100">
        <v>0</v>
      </c>
      <c r="AI183" s="100">
        <v>0</v>
      </c>
      <c r="AJ183" s="100">
        <v>0</v>
      </c>
      <c r="AK183" s="100">
        <v>0</v>
      </c>
      <c r="AL183" s="100">
        <v>0</v>
      </c>
      <c r="AM183" s="100">
        <v>0</v>
      </c>
      <c r="AN183" s="100">
        <v>0</v>
      </c>
      <c r="AO183" s="100">
        <v>0</v>
      </c>
      <c r="AP183" s="100">
        <v>0</v>
      </c>
      <c r="AQ183" s="100">
        <v>0</v>
      </c>
      <c r="AR183" s="100">
        <v>0</v>
      </c>
      <c r="AS183" s="100">
        <v>0</v>
      </c>
      <c r="AT183" s="100">
        <v>0</v>
      </c>
      <c r="AU183" s="100">
        <v>0</v>
      </c>
      <c r="AV183" s="100">
        <v>0</v>
      </c>
      <c r="AW183" s="100">
        <v>0</v>
      </c>
      <c r="AX183" s="100">
        <v>0</v>
      </c>
      <c r="AY183" s="100">
        <v>0</v>
      </c>
      <c r="AZ183" s="100">
        <v>0</v>
      </c>
      <c r="BA183" s="100">
        <v>0</v>
      </c>
      <c r="BB183" s="100">
        <v>0</v>
      </c>
      <c r="BC183" s="100">
        <v>0</v>
      </c>
      <c r="BD183" s="100">
        <v>0</v>
      </c>
      <c r="BE183" s="100">
        <v>0</v>
      </c>
      <c r="BF183" s="100">
        <v>0</v>
      </c>
    </row>
    <row r="184" spans="1:58" ht="14.1" customHeight="1">
      <c r="A184" s="247">
        <f t="shared" si="88"/>
        <v>178</v>
      </c>
      <c r="B184" s="205" t="s">
        <v>532</v>
      </c>
      <c r="C184" s="17">
        <f>SUM(C179:C183)</f>
        <v>0</v>
      </c>
      <c r="D184" s="17">
        <f>SUM(D179:D183)</f>
        <v>0</v>
      </c>
      <c r="E184" s="17">
        <f t="shared" ref="E184:AO184" si="100">SUM(E179:E183)</f>
        <v>0</v>
      </c>
      <c r="F184" s="17">
        <f t="shared" si="100"/>
        <v>0</v>
      </c>
      <c r="G184" s="17">
        <f t="shared" si="100"/>
        <v>0</v>
      </c>
      <c r="H184" s="17">
        <f t="shared" si="100"/>
        <v>0</v>
      </c>
      <c r="I184" s="17">
        <f t="shared" si="100"/>
        <v>0</v>
      </c>
      <c r="J184" s="17">
        <f t="shared" si="100"/>
        <v>0</v>
      </c>
      <c r="K184" s="17">
        <f t="shared" si="100"/>
        <v>0</v>
      </c>
      <c r="L184" s="17">
        <f t="shared" si="100"/>
        <v>0</v>
      </c>
      <c r="M184" s="17">
        <f t="shared" si="100"/>
        <v>0</v>
      </c>
      <c r="N184" s="17">
        <f t="shared" si="100"/>
        <v>0</v>
      </c>
      <c r="O184" s="17">
        <f t="shared" si="100"/>
        <v>0</v>
      </c>
      <c r="P184" s="17">
        <f t="shared" si="100"/>
        <v>0</v>
      </c>
      <c r="Q184" s="17">
        <f t="shared" si="100"/>
        <v>0</v>
      </c>
      <c r="R184" s="17">
        <f t="shared" si="100"/>
        <v>0</v>
      </c>
      <c r="S184" s="17">
        <f t="shared" si="100"/>
        <v>0</v>
      </c>
      <c r="T184" s="17">
        <f t="shared" si="100"/>
        <v>0</v>
      </c>
      <c r="U184" s="17">
        <f t="shared" si="100"/>
        <v>0</v>
      </c>
      <c r="V184" s="17">
        <f t="shared" si="100"/>
        <v>0</v>
      </c>
      <c r="W184" s="17">
        <f t="shared" si="100"/>
        <v>0</v>
      </c>
      <c r="X184" s="17">
        <f t="shared" si="100"/>
        <v>0</v>
      </c>
      <c r="Y184" s="17">
        <f t="shared" si="100"/>
        <v>0</v>
      </c>
      <c r="Z184" s="17">
        <f t="shared" si="100"/>
        <v>0</v>
      </c>
      <c r="AA184" s="17">
        <f t="shared" si="100"/>
        <v>0</v>
      </c>
      <c r="AB184" s="17">
        <f t="shared" si="100"/>
        <v>0</v>
      </c>
      <c r="AC184" s="17">
        <f t="shared" si="100"/>
        <v>0</v>
      </c>
      <c r="AD184" s="17">
        <f t="shared" si="100"/>
        <v>0</v>
      </c>
      <c r="AE184" s="17">
        <f t="shared" si="100"/>
        <v>0</v>
      </c>
      <c r="AF184" s="17">
        <f t="shared" si="100"/>
        <v>0</v>
      </c>
      <c r="AG184" s="17">
        <f t="shared" si="100"/>
        <v>0</v>
      </c>
      <c r="AH184" s="17">
        <f t="shared" si="100"/>
        <v>0</v>
      </c>
      <c r="AI184" s="17">
        <f t="shared" si="100"/>
        <v>0</v>
      </c>
      <c r="AJ184" s="17">
        <f t="shared" si="100"/>
        <v>0</v>
      </c>
      <c r="AK184" s="17">
        <f t="shared" si="100"/>
        <v>0</v>
      </c>
      <c r="AL184" s="17">
        <f t="shared" si="100"/>
        <v>0</v>
      </c>
      <c r="AM184" s="17">
        <f t="shared" si="100"/>
        <v>0</v>
      </c>
      <c r="AN184" s="17">
        <f t="shared" si="100"/>
        <v>0</v>
      </c>
      <c r="AO184" s="17">
        <f t="shared" si="100"/>
        <v>0</v>
      </c>
      <c r="AP184" s="17">
        <f>SUM(AP179:AP183)</f>
        <v>0</v>
      </c>
      <c r="AQ184" s="17">
        <f t="shared" ref="AQ184:BA184" si="101">SUM(AQ179:AQ183)</f>
        <v>0</v>
      </c>
      <c r="AR184" s="17">
        <f t="shared" si="101"/>
        <v>0</v>
      </c>
      <c r="AS184" s="17">
        <f t="shared" si="101"/>
        <v>0</v>
      </c>
      <c r="AT184" s="17">
        <f t="shared" si="101"/>
        <v>0</v>
      </c>
      <c r="AU184" s="17">
        <f t="shared" si="101"/>
        <v>0</v>
      </c>
      <c r="AV184" s="17">
        <f t="shared" si="101"/>
        <v>0</v>
      </c>
      <c r="AW184" s="17">
        <f t="shared" si="101"/>
        <v>0</v>
      </c>
      <c r="AX184" s="17">
        <f t="shared" si="101"/>
        <v>0</v>
      </c>
      <c r="AY184" s="17">
        <f t="shared" si="101"/>
        <v>0</v>
      </c>
      <c r="AZ184" s="17">
        <f t="shared" si="101"/>
        <v>0</v>
      </c>
      <c r="BA184" s="17">
        <f t="shared" si="101"/>
        <v>0</v>
      </c>
      <c r="BB184" s="17">
        <f>SUM(BB179:BB183)</f>
        <v>0</v>
      </c>
      <c r="BC184" s="17">
        <f>SUM(BC179:BC183)</f>
        <v>0</v>
      </c>
      <c r="BD184" s="17">
        <f>SUM(BD179:BD183)</f>
        <v>0</v>
      </c>
      <c r="BE184" s="17">
        <f>SUM(BE179:BE183)</f>
        <v>0</v>
      </c>
      <c r="BF184" s="17">
        <f>SUM(BF179:BF183)</f>
        <v>0</v>
      </c>
    </row>
    <row r="185" spans="1:58" ht="14.1" customHeight="1">
      <c r="A185" s="247">
        <f t="shared" si="88"/>
        <v>179</v>
      </c>
      <c r="B185" s="30"/>
      <c r="C185" s="30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</row>
    <row r="186" spans="1:58" ht="14.1" customHeight="1">
      <c r="A186" s="247">
        <f t="shared" si="88"/>
        <v>180</v>
      </c>
      <c r="B186" s="88" t="s">
        <v>336</v>
      </c>
      <c r="C186" s="386">
        <f>SUM(D186:BF186)</f>
        <v>0</v>
      </c>
      <c r="D186" s="326">
        <v>0</v>
      </c>
      <c r="E186" s="326">
        <v>0</v>
      </c>
      <c r="F186" s="326">
        <v>0</v>
      </c>
      <c r="G186" s="326">
        <v>0</v>
      </c>
      <c r="H186" s="326">
        <v>0</v>
      </c>
      <c r="I186" s="326">
        <v>0</v>
      </c>
      <c r="J186" s="326">
        <v>0</v>
      </c>
      <c r="K186" s="326">
        <v>0</v>
      </c>
      <c r="L186" s="326">
        <v>0</v>
      </c>
      <c r="M186" s="326">
        <v>0</v>
      </c>
      <c r="N186" s="326">
        <v>0</v>
      </c>
      <c r="O186" s="326">
        <v>0</v>
      </c>
      <c r="P186" s="326">
        <v>0</v>
      </c>
      <c r="Q186" s="326">
        <v>0</v>
      </c>
      <c r="R186" s="326">
        <v>0</v>
      </c>
      <c r="S186" s="326">
        <v>0</v>
      </c>
      <c r="T186" s="326">
        <v>0</v>
      </c>
      <c r="U186" s="326">
        <v>0</v>
      </c>
      <c r="V186" s="326">
        <v>0</v>
      </c>
      <c r="W186" s="326">
        <v>0</v>
      </c>
      <c r="X186" s="326">
        <v>0</v>
      </c>
      <c r="Y186" s="326">
        <v>0</v>
      </c>
      <c r="Z186" s="326">
        <v>0</v>
      </c>
      <c r="AA186" s="326">
        <v>0</v>
      </c>
      <c r="AB186" s="326">
        <v>0</v>
      </c>
      <c r="AC186" s="326">
        <v>0</v>
      </c>
      <c r="AD186" s="326">
        <v>0</v>
      </c>
      <c r="AE186" s="326">
        <v>0</v>
      </c>
      <c r="AF186" s="326">
        <v>0</v>
      </c>
      <c r="AG186" s="326">
        <v>0</v>
      </c>
      <c r="AH186" s="326">
        <v>0</v>
      </c>
      <c r="AI186" s="326">
        <v>0</v>
      </c>
      <c r="AJ186" s="326">
        <v>0</v>
      </c>
      <c r="AK186" s="326">
        <v>0</v>
      </c>
      <c r="AL186" s="326">
        <v>0</v>
      </c>
      <c r="AM186" s="326">
        <v>0</v>
      </c>
      <c r="AN186" s="326">
        <v>0</v>
      </c>
      <c r="AO186" s="326">
        <v>0</v>
      </c>
      <c r="AP186" s="326">
        <v>0</v>
      </c>
      <c r="AQ186" s="326">
        <v>0</v>
      </c>
      <c r="AR186" s="326">
        <v>0</v>
      </c>
      <c r="AS186" s="326">
        <v>0</v>
      </c>
      <c r="AT186" s="326">
        <v>0</v>
      </c>
      <c r="AU186" s="326">
        <v>0</v>
      </c>
      <c r="AV186" s="326">
        <v>0</v>
      </c>
      <c r="AW186" s="326">
        <v>0</v>
      </c>
      <c r="AX186" s="326">
        <v>0</v>
      </c>
      <c r="AY186" s="326">
        <v>0</v>
      </c>
      <c r="AZ186" s="326">
        <v>0</v>
      </c>
      <c r="BA186" s="326">
        <v>0</v>
      </c>
      <c r="BB186" s="326">
        <v>0</v>
      </c>
      <c r="BC186" s="326">
        <v>0</v>
      </c>
      <c r="BD186" s="326">
        <v>0</v>
      </c>
      <c r="BE186" s="326">
        <v>0</v>
      </c>
      <c r="BF186" s="326">
        <v>0</v>
      </c>
    </row>
    <row r="187" spans="1:58" ht="14.1" customHeight="1">
      <c r="A187" s="247">
        <f t="shared" si="88"/>
        <v>181</v>
      </c>
      <c r="B187" s="205" t="s">
        <v>535</v>
      </c>
      <c r="C187" s="17">
        <f>SUM(C186:C186)</f>
        <v>0</v>
      </c>
      <c r="D187" s="17">
        <f>SUM(D186:D186)</f>
        <v>0</v>
      </c>
      <c r="E187" s="17">
        <f t="shared" ref="E187:AO187" si="102">SUM(E186:E186)</f>
        <v>0</v>
      </c>
      <c r="F187" s="17">
        <f t="shared" si="102"/>
        <v>0</v>
      </c>
      <c r="G187" s="17">
        <f t="shared" si="102"/>
        <v>0</v>
      </c>
      <c r="H187" s="17">
        <f t="shared" si="102"/>
        <v>0</v>
      </c>
      <c r="I187" s="17">
        <f t="shared" si="102"/>
        <v>0</v>
      </c>
      <c r="J187" s="17">
        <f t="shared" si="102"/>
        <v>0</v>
      </c>
      <c r="K187" s="17">
        <f t="shared" si="102"/>
        <v>0</v>
      </c>
      <c r="L187" s="17">
        <f t="shared" si="102"/>
        <v>0</v>
      </c>
      <c r="M187" s="17">
        <f t="shared" si="102"/>
        <v>0</v>
      </c>
      <c r="N187" s="17">
        <f t="shared" si="102"/>
        <v>0</v>
      </c>
      <c r="O187" s="17">
        <f t="shared" si="102"/>
        <v>0</v>
      </c>
      <c r="P187" s="17">
        <f t="shared" si="102"/>
        <v>0</v>
      </c>
      <c r="Q187" s="17">
        <f t="shared" si="102"/>
        <v>0</v>
      </c>
      <c r="R187" s="17">
        <f t="shared" si="102"/>
        <v>0</v>
      </c>
      <c r="S187" s="17">
        <f t="shared" si="102"/>
        <v>0</v>
      </c>
      <c r="T187" s="17">
        <f t="shared" si="102"/>
        <v>0</v>
      </c>
      <c r="U187" s="17">
        <f t="shared" si="102"/>
        <v>0</v>
      </c>
      <c r="V187" s="17">
        <f t="shared" si="102"/>
        <v>0</v>
      </c>
      <c r="W187" s="17">
        <f t="shared" si="102"/>
        <v>0</v>
      </c>
      <c r="X187" s="17">
        <f t="shared" si="102"/>
        <v>0</v>
      </c>
      <c r="Y187" s="17">
        <f t="shared" si="102"/>
        <v>0</v>
      </c>
      <c r="Z187" s="17">
        <f t="shared" si="102"/>
        <v>0</v>
      </c>
      <c r="AA187" s="17">
        <f t="shared" si="102"/>
        <v>0</v>
      </c>
      <c r="AB187" s="17">
        <f t="shared" si="102"/>
        <v>0</v>
      </c>
      <c r="AC187" s="17">
        <f t="shared" si="102"/>
        <v>0</v>
      </c>
      <c r="AD187" s="17">
        <f t="shared" si="102"/>
        <v>0</v>
      </c>
      <c r="AE187" s="17">
        <f t="shared" si="102"/>
        <v>0</v>
      </c>
      <c r="AF187" s="17">
        <f t="shared" si="102"/>
        <v>0</v>
      </c>
      <c r="AG187" s="17">
        <f t="shared" si="102"/>
        <v>0</v>
      </c>
      <c r="AH187" s="17">
        <f t="shared" si="102"/>
        <v>0</v>
      </c>
      <c r="AI187" s="17">
        <f t="shared" si="102"/>
        <v>0</v>
      </c>
      <c r="AJ187" s="17">
        <f t="shared" si="102"/>
        <v>0</v>
      </c>
      <c r="AK187" s="17">
        <f t="shared" si="102"/>
        <v>0</v>
      </c>
      <c r="AL187" s="17">
        <f t="shared" si="102"/>
        <v>0</v>
      </c>
      <c r="AM187" s="17">
        <f t="shared" si="102"/>
        <v>0</v>
      </c>
      <c r="AN187" s="17">
        <f t="shared" si="102"/>
        <v>0</v>
      </c>
      <c r="AO187" s="17">
        <f t="shared" si="102"/>
        <v>0</v>
      </c>
      <c r="AP187" s="17">
        <f>SUM(AP186:AP186)</f>
        <v>0</v>
      </c>
      <c r="AQ187" s="17">
        <f t="shared" ref="AQ187:BA187" si="103">SUM(AQ186:AQ186)</f>
        <v>0</v>
      </c>
      <c r="AR187" s="17">
        <f t="shared" si="103"/>
        <v>0</v>
      </c>
      <c r="AS187" s="17">
        <f t="shared" si="103"/>
        <v>0</v>
      </c>
      <c r="AT187" s="17">
        <f t="shared" si="103"/>
        <v>0</v>
      </c>
      <c r="AU187" s="17">
        <f t="shared" si="103"/>
        <v>0</v>
      </c>
      <c r="AV187" s="17">
        <f t="shared" si="103"/>
        <v>0</v>
      </c>
      <c r="AW187" s="17">
        <f t="shared" si="103"/>
        <v>0</v>
      </c>
      <c r="AX187" s="17">
        <f t="shared" si="103"/>
        <v>0</v>
      </c>
      <c r="AY187" s="17">
        <f t="shared" si="103"/>
        <v>0</v>
      </c>
      <c r="AZ187" s="17">
        <f t="shared" si="103"/>
        <v>0</v>
      </c>
      <c r="BA187" s="17">
        <f t="shared" si="103"/>
        <v>0</v>
      </c>
      <c r="BB187" s="17">
        <f>SUM(BB186:BB186)</f>
        <v>0</v>
      </c>
      <c r="BC187" s="17">
        <f>SUM(BC186:BC186)</f>
        <v>0</v>
      </c>
      <c r="BD187" s="17">
        <f>SUM(BD186:BD186)</f>
        <v>0</v>
      </c>
      <c r="BE187" s="17">
        <f>SUM(BE186:BE186)</f>
        <v>0</v>
      </c>
      <c r="BF187" s="17">
        <f>SUM(BF186:BF186)</f>
        <v>0</v>
      </c>
    </row>
    <row r="188" spans="1:58" ht="14.1" customHeight="1">
      <c r="A188" s="247">
        <f t="shared" si="88"/>
        <v>182</v>
      </c>
      <c r="B188" s="88"/>
      <c r="C188" s="326"/>
      <c r="D188" s="326"/>
      <c r="E188" s="326"/>
      <c r="F188" s="326"/>
      <c r="G188" s="326"/>
      <c r="H188" s="326"/>
      <c r="I188" s="326"/>
      <c r="J188" s="326"/>
      <c r="K188" s="326"/>
      <c r="L188" s="326"/>
      <c r="M188" s="326"/>
      <c r="N188" s="326"/>
      <c r="O188" s="326"/>
      <c r="P188" s="326"/>
      <c r="Q188" s="326"/>
      <c r="R188" s="326"/>
      <c r="S188" s="326"/>
      <c r="T188" s="326"/>
      <c r="U188" s="326"/>
      <c r="V188" s="326"/>
      <c r="W188" s="326"/>
      <c r="X188" s="326"/>
      <c r="Y188" s="326"/>
      <c r="Z188" s="326"/>
      <c r="AA188" s="326"/>
      <c r="AB188" s="326"/>
      <c r="AC188" s="326"/>
      <c r="AD188" s="326"/>
      <c r="AE188" s="326"/>
      <c r="AF188" s="326"/>
      <c r="AG188" s="326"/>
      <c r="AH188" s="326"/>
      <c r="AI188" s="326"/>
      <c r="AJ188" s="326"/>
      <c r="AK188" s="326"/>
      <c r="AL188" s="326"/>
      <c r="AM188" s="326"/>
      <c r="AN188" s="326"/>
      <c r="AO188" s="326"/>
      <c r="AP188" s="326"/>
      <c r="AQ188" s="326"/>
      <c r="AR188" s="326"/>
      <c r="AS188" s="326"/>
      <c r="AT188" s="326"/>
      <c r="AU188" s="326"/>
      <c r="AV188" s="326"/>
      <c r="AW188" s="326"/>
      <c r="AX188" s="326"/>
      <c r="AY188" s="326"/>
      <c r="AZ188" s="326"/>
      <c r="BA188" s="326"/>
      <c r="BB188" s="326"/>
      <c r="BC188" s="326"/>
      <c r="BD188" s="326"/>
      <c r="BE188" s="326"/>
      <c r="BF188" s="326"/>
    </row>
    <row r="189" spans="1:58" ht="14.1" customHeight="1">
      <c r="A189" s="247">
        <f t="shared" si="88"/>
        <v>183</v>
      </c>
      <c r="B189" s="205" t="s">
        <v>567</v>
      </c>
      <c r="C189" s="17">
        <f>C184+C176+C187</f>
        <v>-319573451.11357999</v>
      </c>
      <c r="D189" s="17">
        <f>D184+D176+D187</f>
        <v>0</v>
      </c>
      <c r="E189" s="17">
        <f t="shared" ref="E189:BA189" si="104">E184+E176+E187</f>
        <v>0</v>
      </c>
      <c r="F189" s="17">
        <f t="shared" si="104"/>
        <v>0</v>
      </c>
      <c r="G189" s="17">
        <f t="shared" si="104"/>
        <v>0</v>
      </c>
      <c r="H189" s="17">
        <f t="shared" si="104"/>
        <v>0</v>
      </c>
      <c r="I189" s="17">
        <f t="shared" si="104"/>
        <v>0</v>
      </c>
      <c r="J189" s="17">
        <f t="shared" si="104"/>
        <v>0</v>
      </c>
      <c r="K189" s="17">
        <f t="shared" si="104"/>
        <v>0</v>
      </c>
      <c r="L189" s="17">
        <f t="shared" si="104"/>
        <v>0</v>
      </c>
      <c r="M189" s="17">
        <f t="shared" si="104"/>
        <v>0</v>
      </c>
      <c r="N189" s="17">
        <f t="shared" si="104"/>
        <v>0</v>
      </c>
      <c r="O189" s="17">
        <f t="shared" si="104"/>
        <v>0</v>
      </c>
      <c r="P189" s="17">
        <f t="shared" si="104"/>
        <v>0</v>
      </c>
      <c r="Q189" s="17">
        <f t="shared" si="104"/>
        <v>0</v>
      </c>
      <c r="R189" s="17">
        <f t="shared" si="104"/>
        <v>0</v>
      </c>
      <c r="S189" s="17">
        <f t="shared" si="104"/>
        <v>0</v>
      </c>
      <c r="T189" s="17">
        <f t="shared" si="104"/>
        <v>0</v>
      </c>
      <c r="U189" s="17">
        <f t="shared" si="104"/>
        <v>0</v>
      </c>
      <c r="V189" s="17">
        <f t="shared" si="104"/>
        <v>0</v>
      </c>
      <c r="W189" s="17">
        <f t="shared" si="104"/>
        <v>0</v>
      </c>
      <c r="X189" s="17">
        <f t="shared" si="104"/>
        <v>0</v>
      </c>
      <c r="Y189" s="17">
        <f t="shared" si="104"/>
        <v>0</v>
      </c>
      <c r="Z189" s="17">
        <f t="shared" si="104"/>
        <v>0</v>
      </c>
      <c r="AA189" s="17">
        <f t="shared" si="104"/>
        <v>0</v>
      </c>
      <c r="AB189" s="17">
        <f t="shared" si="104"/>
        <v>0</v>
      </c>
      <c r="AC189" s="17">
        <f t="shared" si="104"/>
        <v>0</v>
      </c>
      <c r="AD189" s="17">
        <f t="shared" si="104"/>
        <v>0</v>
      </c>
      <c r="AE189" s="17">
        <f t="shared" si="104"/>
        <v>0</v>
      </c>
      <c r="AF189" s="17">
        <f t="shared" si="104"/>
        <v>0</v>
      </c>
      <c r="AG189" s="17">
        <f t="shared" si="104"/>
        <v>0</v>
      </c>
      <c r="AH189" s="17">
        <f t="shared" si="104"/>
        <v>0</v>
      </c>
      <c r="AI189" s="17">
        <f t="shared" si="104"/>
        <v>69695</v>
      </c>
      <c r="AJ189" s="17">
        <f t="shared" si="104"/>
        <v>0</v>
      </c>
      <c r="AK189" s="17">
        <f t="shared" si="104"/>
        <v>0</v>
      </c>
      <c r="AL189" s="17">
        <f t="shared" si="104"/>
        <v>0</v>
      </c>
      <c r="AM189" s="17">
        <f t="shared" si="104"/>
        <v>0</v>
      </c>
      <c r="AN189" s="17">
        <f t="shared" si="104"/>
        <v>0</v>
      </c>
      <c r="AO189" s="17">
        <f t="shared" si="104"/>
        <v>0</v>
      </c>
      <c r="AP189" s="17">
        <f t="shared" si="104"/>
        <v>0</v>
      </c>
      <c r="AQ189" s="17">
        <f t="shared" si="104"/>
        <v>0</v>
      </c>
      <c r="AR189" s="17">
        <f t="shared" si="104"/>
        <v>0</v>
      </c>
      <c r="AS189" s="17">
        <f t="shared" si="104"/>
        <v>0</v>
      </c>
      <c r="AT189" s="17">
        <f t="shared" si="104"/>
        <v>0</v>
      </c>
      <c r="AU189" s="17">
        <f t="shared" si="104"/>
        <v>0</v>
      </c>
      <c r="AV189" s="17">
        <f t="shared" si="104"/>
        <v>0</v>
      </c>
      <c r="AW189" s="17">
        <f t="shared" si="104"/>
        <v>0</v>
      </c>
      <c r="AX189" s="17">
        <f t="shared" si="104"/>
        <v>0</v>
      </c>
      <c r="AY189" s="17">
        <f t="shared" si="104"/>
        <v>0</v>
      </c>
      <c r="AZ189" s="17">
        <f t="shared" si="104"/>
        <v>-75047400</v>
      </c>
      <c r="BA189" s="17">
        <f t="shared" si="104"/>
        <v>0</v>
      </c>
      <c r="BB189" s="17">
        <f>BB184+BB176+BB187</f>
        <v>0</v>
      </c>
      <c r="BC189" s="17">
        <f>BC184+BC176+BC187</f>
        <v>-248316699.11357999</v>
      </c>
      <c r="BD189" s="17">
        <f>BD184+BD176+BD187</f>
        <v>0</v>
      </c>
      <c r="BE189" s="17">
        <f>BE184+BE176+BE187</f>
        <v>3720953</v>
      </c>
      <c r="BF189" s="17">
        <f>BF184+BF176+BF187</f>
        <v>0</v>
      </c>
    </row>
    <row r="190" spans="1:58" ht="14.1" customHeight="1">
      <c r="A190" s="247">
        <f t="shared" si="88"/>
        <v>184</v>
      </c>
      <c r="B190" s="88"/>
      <c r="C190" s="326"/>
      <c r="D190" s="326"/>
      <c r="E190" s="326"/>
      <c r="F190" s="326"/>
      <c r="G190" s="326"/>
      <c r="H190" s="326"/>
      <c r="I190" s="326"/>
      <c r="J190" s="326"/>
      <c r="K190" s="326"/>
      <c r="L190" s="326"/>
      <c r="M190" s="326"/>
      <c r="N190" s="326"/>
      <c r="O190" s="326"/>
      <c r="P190" s="326"/>
      <c r="Q190" s="326"/>
      <c r="R190" s="326"/>
      <c r="S190" s="326"/>
      <c r="T190" s="326"/>
      <c r="U190" s="326"/>
      <c r="V190" s="326"/>
      <c r="W190" s="326"/>
      <c r="X190" s="326"/>
      <c r="Y190" s="326"/>
      <c r="Z190" s="326"/>
      <c r="AA190" s="326"/>
      <c r="AB190" s="326"/>
      <c r="AC190" s="326"/>
      <c r="AD190" s="326"/>
      <c r="AE190" s="326"/>
      <c r="AF190" s="326"/>
      <c r="AG190" s="326"/>
      <c r="AH190" s="326"/>
      <c r="AI190" s="326"/>
      <c r="AJ190" s="326"/>
      <c r="AK190" s="326"/>
      <c r="AL190" s="326"/>
      <c r="AM190" s="326"/>
      <c r="AN190" s="326"/>
      <c r="AO190" s="326"/>
      <c r="AP190" s="326"/>
      <c r="AQ190" s="326"/>
      <c r="AR190" s="326"/>
      <c r="AS190" s="326"/>
      <c r="AT190" s="326"/>
      <c r="AU190" s="326"/>
      <c r="AV190" s="326"/>
      <c r="AW190" s="326"/>
      <c r="AX190" s="326"/>
      <c r="AY190" s="326"/>
      <c r="AZ190" s="326"/>
      <c r="BA190" s="326"/>
      <c r="BB190" s="326"/>
      <c r="BC190" s="326"/>
      <c r="BD190" s="326"/>
      <c r="BE190" s="326"/>
      <c r="BF190" s="326"/>
    </row>
    <row r="191" spans="1:58" ht="14.1" customHeight="1" thickBot="1">
      <c r="A191" s="247">
        <f t="shared" si="88"/>
        <v>185</v>
      </c>
      <c r="B191" s="90" t="s">
        <v>144</v>
      </c>
      <c r="C191" s="387">
        <f>+C169-C189</f>
        <v>-456629493.35852003</v>
      </c>
      <c r="D191" s="387">
        <f>+D169-D189</f>
        <v>0</v>
      </c>
      <c r="E191" s="208">
        <f t="shared" ref="E191:BA191" si="105">+E169-E189</f>
        <v>0</v>
      </c>
      <c r="F191" s="208">
        <f t="shared" si="105"/>
        <v>0</v>
      </c>
      <c r="G191" s="208">
        <f t="shared" si="105"/>
        <v>0</v>
      </c>
      <c r="H191" s="208">
        <f t="shared" si="105"/>
        <v>0</v>
      </c>
      <c r="I191" s="387">
        <f t="shared" si="105"/>
        <v>0</v>
      </c>
      <c r="J191" s="387">
        <f t="shared" si="105"/>
        <v>0</v>
      </c>
      <c r="K191" s="208">
        <f t="shared" si="105"/>
        <v>0</v>
      </c>
      <c r="L191" s="387">
        <f t="shared" si="105"/>
        <v>0</v>
      </c>
      <c r="M191" s="387">
        <f t="shared" si="105"/>
        <v>0</v>
      </c>
      <c r="N191" s="387">
        <f t="shared" si="105"/>
        <v>0</v>
      </c>
      <c r="O191" s="387">
        <f t="shared" si="105"/>
        <v>0</v>
      </c>
      <c r="P191" s="387">
        <f t="shared" si="105"/>
        <v>0</v>
      </c>
      <c r="Q191" s="387">
        <f t="shared" si="105"/>
        <v>0</v>
      </c>
      <c r="R191" s="387">
        <f t="shared" si="105"/>
        <v>0</v>
      </c>
      <c r="S191" s="387">
        <f t="shared" si="105"/>
        <v>0</v>
      </c>
      <c r="T191" s="387">
        <f t="shared" si="105"/>
        <v>0</v>
      </c>
      <c r="U191" s="387">
        <f t="shared" si="105"/>
        <v>0</v>
      </c>
      <c r="V191" s="208">
        <f t="shared" si="105"/>
        <v>0</v>
      </c>
      <c r="W191" s="208">
        <f t="shared" si="105"/>
        <v>0</v>
      </c>
      <c r="X191" s="208">
        <f t="shared" si="105"/>
        <v>0</v>
      </c>
      <c r="Y191" s="208">
        <f t="shared" si="105"/>
        <v>0</v>
      </c>
      <c r="Z191" s="208">
        <f t="shared" si="105"/>
        <v>0</v>
      </c>
      <c r="AA191" s="387">
        <f t="shared" si="105"/>
        <v>0</v>
      </c>
      <c r="AB191" s="387">
        <f t="shared" si="105"/>
        <v>0</v>
      </c>
      <c r="AC191" s="387">
        <f t="shared" si="105"/>
        <v>0</v>
      </c>
      <c r="AD191" s="208">
        <f t="shared" si="105"/>
        <v>0</v>
      </c>
      <c r="AE191" s="387">
        <f t="shared" si="105"/>
        <v>0</v>
      </c>
      <c r="AF191" s="387">
        <f t="shared" si="105"/>
        <v>0</v>
      </c>
      <c r="AG191" s="387">
        <f t="shared" si="105"/>
        <v>0</v>
      </c>
      <c r="AH191" s="208">
        <f t="shared" si="105"/>
        <v>0</v>
      </c>
      <c r="AI191" s="208">
        <f t="shared" si="105"/>
        <v>-69695</v>
      </c>
      <c r="AJ191" s="387">
        <f t="shared" si="105"/>
        <v>0</v>
      </c>
      <c r="AK191" s="387">
        <f t="shared" si="105"/>
        <v>0</v>
      </c>
      <c r="AL191" s="387">
        <f t="shared" si="105"/>
        <v>0</v>
      </c>
      <c r="AM191" s="387">
        <f t="shared" si="105"/>
        <v>0</v>
      </c>
      <c r="AN191" s="208">
        <f t="shared" si="105"/>
        <v>0</v>
      </c>
      <c r="AO191" s="208">
        <f t="shared" si="105"/>
        <v>0</v>
      </c>
      <c r="AP191" s="208">
        <f t="shared" si="105"/>
        <v>0</v>
      </c>
      <c r="AQ191" s="387">
        <f t="shared" si="105"/>
        <v>0</v>
      </c>
      <c r="AR191" s="387">
        <f t="shared" si="105"/>
        <v>0</v>
      </c>
      <c r="AS191" s="208">
        <f t="shared" si="105"/>
        <v>0</v>
      </c>
      <c r="AT191" s="208">
        <f t="shared" si="105"/>
        <v>0</v>
      </c>
      <c r="AU191" s="208">
        <f t="shared" si="105"/>
        <v>0</v>
      </c>
      <c r="AV191" s="387">
        <f t="shared" si="105"/>
        <v>0</v>
      </c>
      <c r="AW191" s="387">
        <f t="shared" si="105"/>
        <v>0</v>
      </c>
      <c r="AX191" s="387">
        <f t="shared" si="105"/>
        <v>0</v>
      </c>
      <c r="AY191" s="387">
        <f t="shared" si="105"/>
        <v>0</v>
      </c>
      <c r="AZ191" s="387">
        <f t="shared" si="105"/>
        <v>-247565304</v>
      </c>
      <c r="BA191" s="387">
        <f t="shared" si="105"/>
        <v>0</v>
      </c>
      <c r="BB191" s="387">
        <f>+BB169-BB189</f>
        <v>0</v>
      </c>
      <c r="BC191" s="387">
        <f>+BC169-BC189</f>
        <v>-205273541.35852003</v>
      </c>
      <c r="BD191" s="208">
        <f>+BD169-BD189</f>
        <v>0</v>
      </c>
      <c r="BE191" s="208">
        <f>+BE169-BE189</f>
        <v>-3720953</v>
      </c>
      <c r="BF191" s="387">
        <f>+BF169-BF189</f>
        <v>0</v>
      </c>
    </row>
    <row r="192" spans="1:58" ht="14.1" customHeight="1" thickTop="1">
      <c r="A192" s="247">
        <f t="shared" si="88"/>
        <v>186</v>
      </c>
      <c r="B192" s="30"/>
      <c r="C192" s="30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</row>
    <row r="193" spans="1:58" ht="14.1" customHeight="1">
      <c r="A193" s="247">
        <f t="shared" si="88"/>
        <v>187</v>
      </c>
      <c r="B193" s="14" t="s">
        <v>145</v>
      </c>
      <c r="C193" s="14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</row>
    <row r="194" spans="1:58" ht="14.1" customHeight="1">
      <c r="A194" s="247">
        <f t="shared" si="88"/>
        <v>188</v>
      </c>
      <c r="B194" s="27" t="s">
        <v>146</v>
      </c>
      <c r="C194" s="43">
        <f>SUM(D194:BF194)</f>
        <v>0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1">
        <v>0</v>
      </c>
      <c r="AP194" s="11">
        <v>0</v>
      </c>
      <c r="AQ194" s="11">
        <v>0</v>
      </c>
      <c r="AR194" s="11">
        <v>0</v>
      </c>
      <c r="AS194" s="11">
        <v>0</v>
      </c>
      <c r="AT194" s="11">
        <v>0</v>
      </c>
      <c r="AU194" s="11">
        <v>0</v>
      </c>
      <c r="AV194" s="11">
        <v>0</v>
      </c>
      <c r="AW194" s="11">
        <v>0</v>
      </c>
      <c r="AX194" s="11">
        <v>0</v>
      </c>
      <c r="AY194" s="11">
        <v>0</v>
      </c>
      <c r="AZ194" s="11">
        <v>0</v>
      </c>
      <c r="BA194" s="11">
        <v>0</v>
      </c>
      <c r="BB194" s="11">
        <v>0</v>
      </c>
      <c r="BC194" s="11">
        <v>0</v>
      </c>
      <c r="BD194" s="11">
        <v>0</v>
      </c>
      <c r="BE194" s="11">
        <v>0</v>
      </c>
      <c r="BF194" s="11">
        <v>0</v>
      </c>
    </row>
    <row r="195" spans="1:58" ht="14.1" customHeight="1">
      <c r="A195" s="247">
        <f t="shared" si="88"/>
        <v>189</v>
      </c>
      <c r="B195" s="92" t="s">
        <v>58</v>
      </c>
      <c r="C195" s="43">
        <f>SUM(D195:BF195)</f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>
        <v>0</v>
      </c>
      <c r="AT195" s="11">
        <v>0</v>
      </c>
      <c r="AU195" s="11">
        <v>0</v>
      </c>
      <c r="AV195" s="11">
        <v>0</v>
      </c>
      <c r="AW195" s="11">
        <v>0</v>
      </c>
      <c r="AX195" s="11">
        <v>0</v>
      </c>
      <c r="AY195" s="11">
        <v>0</v>
      </c>
      <c r="AZ195" s="11">
        <v>0</v>
      </c>
      <c r="BA195" s="11">
        <v>0</v>
      </c>
      <c r="BB195" s="11">
        <v>0</v>
      </c>
      <c r="BC195" s="11">
        <v>0</v>
      </c>
      <c r="BD195" s="11">
        <v>0</v>
      </c>
      <c r="BE195" s="11">
        <v>0</v>
      </c>
      <c r="BF195" s="11">
        <v>0</v>
      </c>
    </row>
    <row r="196" spans="1:58" ht="14.1" customHeight="1">
      <c r="A196" s="247">
        <f t="shared" si="88"/>
        <v>190</v>
      </c>
      <c r="B196" s="14" t="s">
        <v>533</v>
      </c>
      <c r="C196" s="83">
        <f>SUM(C194:C195)</f>
        <v>0</v>
      </c>
      <c r="D196" s="83">
        <f>SUM(D194:D195)</f>
        <v>0</v>
      </c>
      <c r="E196" s="83">
        <f t="shared" ref="E196:BA196" si="106">SUM(E194:E195)</f>
        <v>0</v>
      </c>
      <c r="F196" s="83">
        <f t="shared" si="106"/>
        <v>0</v>
      </c>
      <c r="G196" s="83">
        <f t="shared" si="106"/>
        <v>0</v>
      </c>
      <c r="H196" s="83">
        <f t="shared" si="106"/>
        <v>0</v>
      </c>
      <c r="I196" s="83">
        <f t="shared" si="106"/>
        <v>0</v>
      </c>
      <c r="J196" s="83">
        <f t="shared" si="106"/>
        <v>0</v>
      </c>
      <c r="K196" s="83">
        <f t="shared" si="106"/>
        <v>0</v>
      </c>
      <c r="L196" s="83">
        <f t="shared" si="106"/>
        <v>0</v>
      </c>
      <c r="M196" s="83">
        <f t="shared" si="106"/>
        <v>0</v>
      </c>
      <c r="N196" s="83">
        <f t="shared" si="106"/>
        <v>0</v>
      </c>
      <c r="O196" s="83">
        <f t="shared" si="106"/>
        <v>0</v>
      </c>
      <c r="P196" s="83">
        <f t="shared" si="106"/>
        <v>0</v>
      </c>
      <c r="Q196" s="83">
        <f t="shared" si="106"/>
        <v>0</v>
      </c>
      <c r="R196" s="83">
        <f t="shared" si="106"/>
        <v>0</v>
      </c>
      <c r="S196" s="83">
        <f t="shared" si="106"/>
        <v>0</v>
      </c>
      <c r="T196" s="83">
        <f t="shared" si="106"/>
        <v>0</v>
      </c>
      <c r="U196" s="83">
        <f t="shared" si="106"/>
        <v>0</v>
      </c>
      <c r="V196" s="83">
        <f t="shared" si="106"/>
        <v>0</v>
      </c>
      <c r="W196" s="83">
        <f t="shared" si="106"/>
        <v>0</v>
      </c>
      <c r="X196" s="83">
        <f t="shared" si="106"/>
        <v>0</v>
      </c>
      <c r="Y196" s="83">
        <f t="shared" si="106"/>
        <v>0</v>
      </c>
      <c r="Z196" s="83">
        <f t="shared" si="106"/>
        <v>0</v>
      </c>
      <c r="AA196" s="83">
        <f t="shared" si="106"/>
        <v>0</v>
      </c>
      <c r="AB196" s="83">
        <f t="shared" si="106"/>
        <v>0</v>
      </c>
      <c r="AC196" s="83">
        <f t="shared" si="106"/>
        <v>0</v>
      </c>
      <c r="AD196" s="83">
        <f t="shared" si="106"/>
        <v>0</v>
      </c>
      <c r="AE196" s="83">
        <f t="shared" si="106"/>
        <v>0</v>
      </c>
      <c r="AF196" s="83">
        <f t="shared" si="106"/>
        <v>0</v>
      </c>
      <c r="AG196" s="83">
        <f t="shared" si="106"/>
        <v>0</v>
      </c>
      <c r="AH196" s="83">
        <f t="shared" si="106"/>
        <v>0</v>
      </c>
      <c r="AI196" s="83">
        <f t="shared" si="106"/>
        <v>0</v>
      </c>
      <c r="AJ196" s="83">
        <f t="shared" si="106"/>
        <v>0</v>
      </c>
      <c r="AK196" s="83">
        <f t="shared" si="106"/>
        <v>0</v>
      </c>
      <c r="AL196" s="83">
        <f t="shared" si="106"/>
        <v>0</v>
      </c>
      <c r="AM196" s="83">
        <f t="shared" si="106"/>
        <v>0</v>
      </c>
      <c r="AN196" s="83">
        <f t="shared" si="106"/>
        <v>0</v>
      </c>
      <c r="AO196" s="83">
        <f t="shared" si="106"/>
        <v>0</v>
      </c>
      <c r="AP196" s="83">
        <f t="shared" si="106"/>
        <v>0</v>
      </c>
      <c r="AQ196" s="83">
        <f t="shared" si="106"/>
        <v>0</v>
      </c>
      <c r="AR196" s="83">
        <f t="shared" si="106"/>
        <v>0</v>
      </c>
      <c r="AS196" s="83">
        <f t="shared" si="106"/>
        <v>0</v>
      </c>
      <c r="AT196" s="83">
        <f t="shared" si="106"/>
        <v>0</v>
      </c>
      <c r="AU196" s="83">
        <f t="shared" si="106"/>
        <v>0</v>
      </c>
      <c r="AV196" s="83">
        <f t="shared" si="106"/>
        <v>0</v>
      </c>
      <c r="AW196" s="83">
        <f t="shared" si="106"/>
        <v>0</v>
      </c>
      <c r="AX196" s="83">
        <f t="shared" si="106"/>
        <v>0</v>
      </c>
      <c r="AY196" s="83">
        <f t="shared" si="106"/>
        <v>0</v>
      </c>
      <c r="AZ196" s="83">
        <f t="shared" si="106"/>
        <v>0</v>
      </c>
      <c r="BA196" s="83">
        <f t="shared" si="106"/>
        <v>0</v>
      </c>
      <c r="BB196" s="83">
        <f>SUM(BB194:BB195)</f>
        <v>0</v>
      </c>
      <c r="BC196" s="83">
        <f>SUM(BC194:BC195)</f>
        <v>0</v>
      </c>
      <c r="BD196" s="83">
        <f>SUM(BD194:BD195)</f>
        <v>0</v>
      </c>
      <c r="BE196" s="83">
        <f>SUM(BE194:BE195)</f>
        <v>0</v>
      </c>
      <c r="BF196" s="83">
        <f>SUM(BF194:BF195)</f>
        <v>0</v>
      </c>
    </row>
    <row r="197" spans="1:58" ht="14.1" customHeight="1">
      <c r="A197" s="247">
        <f t="shared" si="88"/>
        <v>191</v>
      </c>
      <c r="B197" s="27"/>
      <c r="C197" s="27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</row>
    <row r="198" spans="1:58" ht="14.1" customHeight="1">
      <c r="A198" s="247">
        <f t="shared" si="88"/>
        <v>192</v>
      </c>
      <c r="B198" s="27" t="s">
        <v>139</v>
      </c>
      <c r="C198" s="43">
        <f>SUM(D198:BF198)</f>
        <v>-1584601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1">
        <v>0</v>
      </c>
      <c r="AP198" s="11">
        <v>0</v>
      </c>
      <c r="AQ198" s="11">
        <v>0</v>
      </c>
      <c r="AR198" s="11">
        <v>0</v>
      </c>
      <c r="AS198" s="11">
        <v>0</v>
      </c>
      <c r="AT198" s="11">
        <v>0</v>
      </c>
      <c r="AU198" s="11">
        <v>0</v>
      </c>
      <c r="AV198" s="11">
        <v>0</v>
      </c>
      <c r="AW198" s="11">
        <v>0</v>
      </c>
      <c r="AX198" s="11">
        <v>0</v>
      </c>
      <c r="AY198" s="11">
        <v>0</v>
      </c>
      <c r="AZ198" s="11">
        <v>0</v>
      </c>
      <c r="BA198" s="11">
        <v>0</v>
      </c>
      <c r="BB198" s="11">
        <v>0</v>
      </c>
      <c r="BC198" s="11">
        <v>0</v>
      </c>
      <c r="BD198" s="11">
        <v>0</v>
      </c>
      <c r="BE198" s="11">
        <v>-1584601</v>
      </c>
      <c r="BF198" s="11">
        <v>0</v>
      </c>
    </row>
    <row r="199" spans="1:58" ht="14.1" customHeight="1">
      <c r="A199" s="247">
        <f t="shared" si="88"/>
        <v>193</v>
      </c>
      <c r="B199" s="92" t="s">
        <v>147</v>
      </c>
      <c r="C199" s="43">
        <f>SUM(D199:BF199)</f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>
        <v>0</v>
      </c>
      <c r="AT199" s="11">
        <v>0</v>
      </c>
      <c r="AU199" s="11">
        <v>0</v>
      </c>
      <c r="AV199" s="11">
        <v>0</v>
      </c>
      <c r="AW199" s="11">
        <v>0</v>
      </c>
      <c r="AX199" s="11">
        <v>0</v>
      </c>
      <c r="AY199" s="11">
        <v>0</v>
      </c>
      <c r="AZ199" s="11">
        <v>0</v>
      </c>
      <c r="BA199" s="11">
        <v>0</v>
      </c>
      <c r="BB199" s="11">
        <v>0</v>
      </c>
      <c r="BC199" s="11">
        <v>0</v>
      </c>
      <c r="BD199" s="11">
        <v>0</v>
      </c>
      <c r="BE199" s="11">
        <v>0</v>
      </c>
      <c r="BF199" s="11">
        <v>0</v>
      </c>
    </row>
    <row r="200" spans="1:58" ht="14.1" customHeight="1">
      <c r="A200" s="247">
        <f t="shared" si="88"/>
        <v>194</v>
      </c>
      <c r="B200" s="205" t="s">
        <v>534</v>
      </c>
      <c r="C200" s="83">
        <f>SUM(C198:C199)</f>
        <v>-1584601</v>
      </c>
      <c r="D200" s="83">
        <f>SUM(D198:D199)</f>
        <v>0</v>
      </c>
      <c r="E200" s="83">
        <f t="shared" ref="E200:BA200" si="107">SUM(E198:E199)</f>
        <v>0</v>
      </c>
      <c r="F200" s="83">
        <f t="shared" si="107"/>
        <v>0</v>
      </c>
      <c r="G200" s="83">
        <f t="shared" si="107"/>
        <v>0</v>
      </c>
      <c r="H200" s="83">
        <f t="shared" si="107"/>
        <v>0</v>
      </c>
      <c r="I200" s="83">
        <f t="shared" si="107"/>
        <v>0</v>
      </c>
      <c r="J200" s="83">
        <f t="shared" si="107"/>
        <v>0</v>
      </c>
      <c r="K200" s="83">
        <f t="shared" si="107"/>
        <v>0</v>
      </c>
      <c r="L200" s="83">
        <f t="shared" si="107"/>
        <v>0</v>
      </c>
      <c r="M200" s="83">
        <f t="shared" si="107"/>
        <v>0</v>
      </c>
      <c r="N200" s="83">
        <f t="shared" si="107"/>
        <v>0</v>
      </c>
      <c r="O200" s="83">
        <f t="shared" si="107"/>
        <v>0</v>
      </c>
      <c r="P200" s="83">
        <f t="shared" si="107"/>
        <v>0</v>
      </c>
      <c r="Q200" s="83">
        <f t="shared" si="107"/>
        <v>0</v>
      </c>
      <c r="R200" s="83">
        <f t="shared" si="107"/>
        <v>0</v>
      </c>
      <c r="S200" s="83">
        <f t="shared" si="107"/>
        <v>0</v>
      </c>
      <c r="T200" s="83">
        <f t="shared" si="107"/>
        <v>0</v>
      </c>
      <c r="U200" s="83">
        <f t="shared" si="107"/>
        <v>0</v>
      </c>
      <c r="V200" s="83">
        <f t="shared" si="107"/>
        <v>0</v>
      </c>
      <c r="W200" s="83">
        <f t="shared" si="107"/>
        <v>0</v>
      </c>
      <c r="X200" s="83">
        <f t="shared" si="107"/>
        <v>0</v>
      </c>
      <c r="Y200" s="83">
        <f t="shared" si="107"/>
        <v>0</v>
      </c>
      <c r="Z200" s="83">
        <f t="shared" si="107"/>
        <v>0</v>
      </c>
      <c r="AA200" s="83">
        <f t="shared" si="107"/>
        <v>0</v>
      </c>
      <c r="AB200" s="83">
        <f t="shared" si="107"/>
        <v>0</v>
      </c>
      <c r="AC200" s="83">
        <f t="shared" si="107"/>
        <v>0</v>
      </c>
      <c r="AD200" s="83">
        <f t="shared" si="107"/>
        <v>0</v>
      </c>
      <c r="AE200" s="83">
        <f t="shared" si="107"/>
        <v>0</v>
      </c>
      <c r="AF200" s="83">
        <f t="shared" si="107"/>
        <v>0</v>
      </c>
      <c r="AG200" s="83">
        <f t="shared" si="107"/>
        <v>0</v>
      </c>
      <c r="AH200" s="83">
        <f t="shared" si="107"/>
        <v>0</v>
      </c>
      <c r="AI200" s="83">
        <f t="shared" si="107"/>
        <v>0</v>
      </c>
      <c r="AJ200" s="83">
        <f t="shared" si="107"/>
        <v>0</v>
      </c>
      <c r="AK200" s="83">
        <f t="shared" si="107"/>
        <v>0</v>
      </c>
      <c r="AL200" s="83">
        <f t="shared" si="107"/>
        <v>0</v>
      </c>
      <c r="AM200" s="83">
        <f t="shared" si="107"/>
        <v>0</v>
      </c>
      <c r="AN200" s="83">
        <f t="shared" si="107"/>
        <v>0</v>
      </c>
      <c r="AO200" s="83">
        <f t="shared" si="107"/>
        <v>0</v>
      </c>
      <c r="AP200" s="83">
        <f t="shared" si="107"/>
        <v>0</v>
      </c>
      <c r="AQ200" s="83">
        <f t="shared" si="107"/>
        <v>0</v>
      </c>
      <c r="AR200" s="83">
        <f t="shared" si="107"/>
        <v>0</v>
      </c>
      <c r="AS200" s="83">
        <f t="shared" si="107"/>
        <v>0</v>
      </c>
      <c r="AT200" s="83">
        <f t="shared" si="107"/>
        <v>0</v>
      </c>
      <c r="AU200" s="83">
        <f t="shared" si="107"/>
        <v>0</v>
      </c>
      <c r="AV200" s="83">
        <f t="shared" si="107"/>
        <v>0</v>
      </c>
      <c r="AW200" s="83">
        <f t="shared" si="107"/>
        <v>0</v>
      </c>
      <c r="AX200" s="83">
        <f t="shared" si="107"/>
        <v>0</v>
      </c>
      <c r="AY200" s="83">
        <f t="shared" si="107"/>
        <v>0</v>
      </c>
      <c r="AZ200" s="83">
        <f t="shared" si="107"/>
        <v>0</v>
      </c>
      <c r="BA200" s="83">
        <f t="shared" si="107"/>
        <v>0</v>
      </c>
      <c r="BB200" s="83">
        <f>SUM(BB198:BB199)</f>
        <v>0</v>
      </c>
      <c r="BC200" s="83">
        <f>SUM(BC198:BC199)</f>
        <v>0</v>
      </c>
      <c r="BD200" s="83">
        <f>SUM(BD198:BD199)</f>
        <v>0</v>
      </c>
      <c r="BE200" s="83">
        <f>SUM(BE198:BE199)</f>
        <v>-1584601</v>
      </c>
      <c r="BF200" s="83">
        <f>SUM(BF198:BF199)</f>
        <v>0</v>
      </c>
    </row>
    <row r="201" spans="1:58" ht="14.1" customHeight="1">
      <c r="A201" s="247">
        <f t="shared" si="88"/>
        <v>195</v>
      </c>
      <c r="B201" s="30"/>
      <c r="C201" s="30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48"/>
      <c r="BA201" s="48"/>
      <c r="BB201" s="48"/>
      <c r="BC201" s="48"/>
      <c r="BD201" s="48"/>
      <c r="BE201" s="48"/>
      <c r="BF201" s="48"/>
    </row>
    <row r="202" spans="1:58" ht="14.1" customHeight="1">
      <c r="A202" s="247">
        <f t="shared" si="88"/>
        <v>196</v>
      </c>
      <c r="B202" s="27" t="s">
        <v>148</v>
      </c>
      <c r="C202" s="43">
        <f>SUM(D202:BF202)</f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1">
        <v>0</v>
      </c>
      <c r="AP202" s="11">
        <v>0</v>
      </c>
      <c r="AQ202" s="11">
        <v>0</v>
      </c>
      <c r="AR202" s="11">
        <v>0</v>
      </c>
      <c r="AS202" s="11">
        <v>0</v>
      </c>
      <c r="AT202" s="11">
        <v>0</v>
      </c>
      <c r="AU202" s="11">
        <v>0</v>
      </c>
      <c r="AV202" s="11">
        <v>0</v>
      </c>
      <c r="AW202" s="11">
        <v>0</v>
      </c>
      <c r="AX202" s="11">
        <v>0</v>
      </c>
      <c r="AY202" s="11">
        <v>0</v>
      </c>
      <c r="AZ202" s="11">
        <v>0</v>
      </c>
      <c r="BA202" s="11">
        <v>0</v>
      </c>
      <c r="BB202" s="11">
        <v>0</v>
      </c>
      <c r="BC202" s="11">
        <v>0</v>
      </c>
      <c r="BD202" s="11">
        <v>0</v>
      </c>
      <c r="BE202" s="11">
        <v>0</v>
      </c>
      <c r="BF202" s="11">
        <v>0</v>
      </c>
    </row>
    <row r="203" spans="1:58" ht="14.1" customHeight="1">
      <c r="A203" s="247">
        <f t="shared" ref="A203:A266" si="108">+A202+1</f>
        <v>197</v>
      </c>
      <c r="B203" s="88" t="s">
        <v>58</v>
      </c>
      <c r="C203" s="43">
        <f>SUM(D203:BF203)</f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>
        <v>0</v>
      </c>
      <c r="AT203" s="11">
        <v>0</v>
      </c>
      <c r="AU203" s="11">
        <v>0</v>
      </c>
      <c r="AV203" s="11">
        <v>0</v>
      </c>
      <c r="AW203" s="11">
        <v>0</v>
      </c>
      <c r="AX203" s="11">
        <v>0</v>
      </c>
      <c r="AY203" s="11">
        <v>0</v>
      </c>
      <c r="AZ203" s="11">
        <v>0</v>
      </c>
      <c r="BA203" s="11">
        <v>0</v>
      </c>
      <c r="BB203" s="11">
        <v>0</v>
      </c>
      <c r="BC203" s="11">
        <v>0</v>
      </c>
      <c r="BD203" s="11">
        <v>0</v>
      </c>
      <c r="BE203" s="11">
        <v>0</v>
      </c>
      <c r="BF203" s="11">
        <v>0</v>
      </c>
    </row>
    <row r="204" spans="1:58" ht="14.1" customHeight="1">
      <c r="A204" s="247">
        <f t="shared" si="108"/>
        <v>198</v>
      </c>
      <c r="B204" s="14" t="s">
        <v>529</v>
      </c>
      <c r="C204" s="83">
        <f>SUM(C202:C203)</f>
        <v>0</v>
      </c>
      <c r="D204" s="83">
        <f>SUM(D202:D203)</f>
        <v>0</v>
      </c>
      <c r="E204" s="83">
        <f t="shared" ref="E204:BA204" si="109">SUM(E202:E203)</f>
        <v>0</v>
      </c>
      <c r="F204" s="83">
        <f t="shared" si="109"/>
        <v>0</v>
      </c>
      <c r="G204" s="83">
        <f t="shared" si="109"/>
        <v>0</v>
      </c>
      <c r="H204" s="83">
        <f t="shared" si="109"/>
        <v>0</v>
      </c>
      <c r="I204" s="83">
        <f t="shared" si="109"/>
        <v>0</v>
      </c>
      <c r="J204" s="83">
        <f t="shared" si="109"/>
        <v>0</v>
      </c>
      <c r="K204" s="83">
        <f t="shared" si="109"/>
        <v>0</v>
      </c>
      <c r="L204" s="83">
        <f t="shared" si="109"/>
        <v>0</v>
      </c>
      <c r="M204" s="83">
        <f t="shared" si="109"/>
        <v>0</v>
      </c>
      <c r="N204" s="83">
        <f t="shared" si="109"/>
        <v>0</v>
      </c>
      <c r="O204" s="83">
        <f t="shared" si="109"/>
        <v>0</v>
      </c>
      <c r="P204" s="83">
        <f t="shared" si="109"/>
        <v>0</v>
      </c>
      <c r="Q204" s="83">
        <f t="shared" si="109"/>
        <v>0</v>
      </c>
      <c r="R204" s="83">
        <f t="shared" si="109"/>
        <v>0</v>
      </c>
      <c r="S204" s="83">
        <f t="shared" si="109"/>
        <v>0</v>
      </c>
      <c r="T204" s="83">
        <f t="shared" si="109"/>
        <v>0</v>
      </c>
      <c r="U204" s="83">
        <f t="shared" si="109"/>
        <v>0</v>
      </c>
      <c r="V204" s="83">
        <f t="shared" si="109"/>
        <v>0</v>
      </c>
      <c r="W204" s="83">
        <f t="shared" si="109"/>
        <v>0</v>
      </c>
      <c r="X204" s="83">
        <f t="shared" si="109"/>
        <v>0</v>
      </c>
      <c r="Y204" s="83">
        <f t="shared" si="109"/>
        <v>0</v>
      </c>
      <c r="Z204" s="83">
        <f t="shared" si="109"/>
        <v>0</v>
      </c>
      <c r="AA204" s="83">
        <f t="shared" si="109"/>
        <v>0</v>
      </c>
      <c r="AB204" s="83">
        <f t="shared" si="109"/>
        <v>0</v>
      </c>
      <c r="AC204" s="83">
        <f t="shared" si="109"/>
        <v>0</v>
      </c>
      <c r="AD204" s="83">
        <f t="shared" si="109"/>
        <v>0</v>
      </c>
      <c r="AE204" s="83">
        <f t="shared" si="109"/>
        <v>0</v>
      </c>
      <c r="AF204" s="83">
        <f t="shared" si="109"/>
        <v>0</v>
      </c>
      <c r="AG204" s="83">
        <f t="shared" si="109"/>
        <v>0</v>
      </c>
      <c r="AH204" s="83">
        <f t="shared" si="109"/>
        <v>0</v>
      </c>
      <c r="AI204" s="83">
        <f t="shared" si="109"/>
        <v>0</v>
      </c>
      <c r="AJ204" s="83">
        <f t="shared" si="109"/>
        <v>0</v>
      </c>
      <c r="AK204" s="83">
        <f t="shared" si="109"/>
        <v>0</v>
      </c>
      <c r="AL204" s="83">
        <f t="shared" si="109"/>
        <v>0</v>
      </c>
      <c r="AM204" s="83">
        <f t="shared" si="109"/>
        <v>0</v>
      </c>
      <c r="AN204" s="83">
        <f t="shared" si="109"/>
        <v>0</v>
      </c>
      <c r="AO204" s="83">
        <f t="shared" si="109"/>
        <v>0</v>
      </c>
      <c r="AP204" s="83">
        <f t="shared" si="109"/>
        <v>0</v>
      </c>
      <c r="AQ204" s="83">
        <f t="shared" si="109"/>
        <v>0</v>
      </c>
      <c r="AR204" s="83">
        <f t="shared" si="109"/>
        <v>0</v>
      </c>
      <c r="AS204" s="83">
        <f t="shared" si="109"/>
        <v>0</v>
      </c>
      <c r="AT204" s="83">
        <f t="shared" si="109"/>
        <v>0</v>
      </c>
      <c r="AU204" s="83">
        <f t="shared" si="109"/>
        <v>0</v>
      </c>
      <c r="AV204" s="83">
        <f t="shared" si="109"/>
        <v>0</v>
      </c>
      <c r="AW204" s="83">
        <f t="shared" si="109"/>
        <v>0</v>
      </c>
      <c r="AX204" s="83">
        <f t="shared" si="109"/>
        <v>0</v>
      </c>
      <c r="AY204" s="83">
        <f t="shared" si="109"/>
        <v>0</v>
      </c>
      <c r="AZ204" s="83">
        <f t="shared" si="109"/>
        <v>0</v>
      </c>
      <c r="BA204" s="83">
        <f t="shared" si="109"/>
        <v>0</v>
      </c>
      <c r="BB204" s="83">
        <f>SUM(BB202:BB203)</f>
        <v>0</v>
      </c>
      <c r="BC204" s="83">
        <f>SUM(BC202:BC203)</f>
        <v>0</v>
      </c>
      <c r="BD204" s="83">
        <f>SUM(BD202:BD203)</f>
        <v>0</v>
      </c>
      <c r="BE204" s="83">
        <f>SUM(BE202:BE203)</f>
        <v>0</v>
      </c>
      <c r="BF204" s="83">
        <f>SUM(BF202:BF203)</f>
        <v>0</v>
      </c>
    </row>
    <row r="205" spans="1:58" ht="14.1" customHeight="1">
      <c r="A205" s="247">
        <f t="shared" si="108"/>
        <v>199</v>
      </c>
      <c r="B205" s="27"/>
      <c r="C205" s="27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48"/>
      <c r="AX205" s="48"/>
      <c r="AY205" s="48"/>
      <c r="AZ205" s="48"/>
      <c r="BA205" s="48"/>
      <c r="BB205" s="48"/>
      <c r="BC205" s="48"/>
      <c r="BD205" s="48"/>
      <c r="BE205" s="48"/>
      <c r="BF205" s="48"/>
    </row>
    <row r="206" spans="1:58" s="23" customFormat="1" ht="14.1" customHeight="1">
      <c r="A206" s="247">
        <f t="shared" si="108"/>
        <v>200</v>
      </c>
      <c r="B206" s="27" t="s">
        <v>141</v>
      </c>
      <c r="C206" s="43">
        <f>SUM(D206:BF206)</f>
        <v>0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1">
        <v>0</v>
      </c>
      <c r="AP206" s="11">
        <v>0</v>
      </c>
      <c r="AQ206" s="11">
        <v>0</v>
      </c>
      <c r="AR206" s="11">
        <v>0</v>
      </c>
      <c r="AS206" s="11">
        <v>0</v>
      </c>
      <c r="AT206" s="11">
        <v>0</v>
      </c>
      <c r="AU206" s="11">
        <v>0</v>
      </c>
      <c r="AV206" s="11">
        <v>0</v>
      </c>
      <c r="AW206" s="11">
        <v>0</v>
      </c>
      <c r="AX206" s="11">
        <v>0</v>
      </c>
      <c r="AY206" s="11">
        <v>0</v>
      </c>
      <c r="AZ206" s="11">
        <v>0</v>
      </c>
      <c r="BA206" s="11">
        <v>0</v>
      </c>
      <c r="BB206" s="11">
        <v>0</v>
      </c>
      <c r="BC206" s="11">
        <v>0</v>
      </c>
      <c r="BD206" s="11">
        <v>0</v>
      </c>
      <c r="BE206" s="11">
        <v>0</v>
      </c>
      <c r="BF206" s="11">
        <v>0</v>
      </c>
    </row>
    <row r="207" spans="1:58" s="23" customFormat="1" ht="14.1" customHeight="1">
      <c r="A207" s="247">
        <f t="shared" si="108"/>
        <v>201</v>
      </c>
      <c r="B207" s="92" t="s">
        <v>58</v>
      </c>
      <c r="C207" s="43">
        <f>SUM(D207:BF207)</f>
        <v>0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>
        <v>0</v>
      </c>
      <c r="AT207" s="11">
        <v>0</v>
      </c>
      <c r="AU207" s="11">
        <v>0</v>
      </c>
      <c r="AV207" s="11">
        <v>0</v>
      </c>
      <c r="AW207" s="11">
        <v>0</v>
      </c>
      <c r="AX207" s="11">
        <v>0</v>
      </c>
      <c r="AY207" s="11">
        <v>0</v>
      </c>
      <c r="AZ207" s="11">
        <v>0</v>
      </c>
      <c r="BA207" s="11">
        <v>0</v>
      </c>
      <c r="BB207" s="11">
        <v>0</v>
      </c>
      <c r="BC207" s="11">
        <v>0</v>
      </c>
      <c r="BD207" s="11">
        <v>0</v>
      </c>
      <c r="BE207" s="11">
        <v>0</v>
      </c>
      <c r="BF207" s="11">
        <v>0</v>
      </c>
    </row>
    <row r="208" spans="1:58" s="23" customFormat="1" ht="14.1" customHeight="1">
      <c r="A208" s="247">
        <f t="shared" si="108"/>
        <v>202</v>
      </c>
      <c r="B208" s="14" t="s">
        <v>530</v>
      </c>
      <c r="C208" s="83">
        <f>SUM(C206:C207)</f>
        <v>0</v>
      </c>
      <c r="D208" s="83">
        <f>SUM(D206:D207)</f>
        <v>0</v>
      </c>
      <c r="E208" s="83">
        <f t="shared" ref="E208:BA208" si="110">SUM(E206:E207)</f>
        <v>0</v>
      </c>
      <c r="F208" s="83">
        <f t="shared" si="110"/>
        <v>0</v>
      </c>
      <c r="G208" s="83">
        <f t="shared" si="110"/>
        <v>0</v>
      </c>
      <c r="H208" s="83">
        <f t="shared" si="110"/>
        <v>0</v>
      </c>
      <c r="I208" s="83">
        <f t="shared" si="110"/>
        <v>0</v>
      </c>
      <c r="J208" s="83">
        <f t="shared" si="110"/>
        <v>0</v>
      </c>
      <c r="K208" s="83">
        <f t="shared" si="110"/>
        <v>0</v>
      </c>
      <c r="L208" s="83">
        <f t="shared" si="110"/>
        <v>0</v>
      </c>
      <c r="M208" s="83">
        <f t="shared" si="110"/>
        <v>0</v>
      </c>
      <c r="N208" s="83">
        <f t="shared" si="110"/>
        <v>0</v>
      </c>
      <c r="O208" s="83">
        <f t="shared" si="110"/>
        <v>0</v>
      </c>
      <c r="P208" s="83">
        <f t="shared" si="110"/>
        <v>0</v>
      </c>
      <c r="Q208" s="83">
        <f t="shared" si="110"/>
        <v>0</v>
      </c>
      <c r="R208" s="83">
        <f t="shared" si="110"/>
        <v>0</v>
      </c>
      <c r="S208" s="83">
        <f t="shared" si="110"/>
        <v>0</v>
      </c>
      <c r="T208" s="83">
        <f t="shared" si="110"/>
        <v>0</v>
      </c>
      <c r="U208" s="83">
        <f t="shared" si="110"/>
        <v>0</v>
      </c>
      <c r="V208" s="83">
        <f t="shared" si="110"/>
        <v>0</v>
      </c>
      <c r="W208" s="83">
        <f t="shared" si="110"/>
        <v>0</v>
      </c>
      <c r="X208" s="83">
        <f t="shared" si="110"/>
        <v>0</v>
      </c>
      <c r="Y208" s="83">
        <f t="shared" si="110"/>
        <v>0</v>
      </c>
      <c r="Z208" s="83">
        <f t="shared" si="110"/>
        <v>0</v>
      </c>
      <c r="AA208" s="83">
        <f t="shared" si="110"/>
        <v>0</v>
      </c>
      <c r="AB208" s="83">
        <f t="shared" si="110"/>
        <v>0</v>
      </c>
      <c r="AC208" s="83">
        <f t="shared" si="110"/>
        <v>0</v>
      </c>
      <c r="AD208" s="83">
        <f t="shared" si="110"/>
        <v>0</v>
      </c>
      <c r="AE208" s="83">
        <f t="shared" si="110"/>
        <v>0</v>
      </c>
      <c r="AF208" s="83">
        <f t="shared" si="110"/>
        <v>0</v>
      </c>
      <c r="AG208" s="83">
        <f t="shared" si="110"/>
        <v>0</v>
      </c>
      <c r="AH208" s="83">
        <f t="shared" si="110"/>
        <v>0</v>
      </c>
      <c r="AI208" s="83">
        <f t="shared" si="110"/>
        <v>0</v>
      </c>
      <c r="AJ208" s="83">
        <f t="shared" si="110"/>
        <v>0</v>
      </c>
      <c r="AK208" s="83">
        <f t="shared" si="110"/>
        <v>0</v>
      </c>
      <c r="AL208" s="83">
        <f t="shared" si="110"/>
        <v>0</v>
      </c>
      <c r="AM208" s="83">
        <f t="shared" si="110"/>
        <v>0</v>
      </c>
      <c r="AN208" s="83">
        <f t="shared" si="110"/>
        <v>0</v>
      </c>
      <c r="AO208" s="83">
        <f t="shared" si="110"/>
        <v>0</v>
      </c>
      <c r="AP208" s="83">
        <f t="shared" si="110"/>
        <v>0</v>
      </c>
      <c r="AQ208" s="83">
        <f t="shared" si="110"/>
        <v>0</v>
      </c>
      <c r="AR208" s="83">
        <f t="shared" si="110"/>
        <v>0</v>
      </c>
      <c r="AS208" s="83">
        <f t="shared" si="110"/>
        <v>0</v>
      </c>
      <c r="AT208" s="83">
        <f t="shared" si="110"/>
        <v>0</v>
      </c>
      <c r="AU208" s="83">
        <f t="shared" si="110"/>
        <v>0</v>
      </c>
      <c r="AV208" s="83">
        <f t="shared" si="110"/>
        <v>0</v>
      </c>
      <c r="AW208" s="83">
        <f t="shared" si="110"/>
        <v>0</v>
      </c>
      <c r="AX208" s="83">
        <f t="shared" si="110"/>
        <v>0</v>
      </c>
      <c r="AY208" s="83">
        <f t="shared" si="110"/>
        <v>0</v>
      </c>
      <c r="AZ208" s="83">
        <f t="shared" si="110"/>
        <v>0</v>
      </c>
      <c r="BA208" s="83">
        <f t="shared" si="110"/>
        <v>0</v>
      </c>
      <c r="BB208" s="83">
        <f>SUM(BB206:BB207)</f>
        <v>0</v>
      </c>
      <c r="BC208" s="83">
        <f>SUM(BC206:BC207)</f>
        <v>0</v>
      </c>
      <c r="BD208" s="83">
        <f>SUM(BD206:BD207)</f>
        <v>0</v>
      </c>
      <c r="BE208" s="83">
        <f>SUM(BE206:BE207)</f>
        <v>0</v>
      </c>
      <c r="BF208" s="83">
        <f>SUM(BF206:BF207)</f>
        <v>0</v>
      </c>
    </row>
    <row r="209" spans="1:58" s="23" customFormat="1" ht="14.1" customHeight="1">
      <c r="A209" s="247">
        <f t="shared" si="108"/>
        <v>203</v>
      </c>
      <c r="B209" s="27"/>
      <c r="C209" s="27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  <c r="AT209" s="48"/>
      <c r="AU209" s="48"/>
      <c r="AV209" s="48"/>
      <c r="AW209" s="48"/>
      <c r="AX209" s="48"/>
      <c r="AY209" s="48"/>
      <c r="AZ209" s="48"/>
      <c r="BA209" s="48"/>
      <c r="BB209" s="48"/>
      <c r="BC209" s="48"/>
      <c r="BD209" s="48"/>
      <c r="BE209" s="48"/>
      <c r="BF209" s="48"/>
    </row>
    <row r="210" spans="1:58" s="23" customFormat="1" ht="14.1" customHeight="1">
      <c r="A210" s="247">
        <f t="shared" si="108"/>
        <v>204</v>
      </c>
      <c r="B210" s="27" t="s">
        <v>142</v>
      </c>
      <c r="C210" s="43">
        <f>SUM(D210:BF210)</f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1">
        <v>0</v>
      </c>
      <c r="AP210" s="11">
        <v>0</v>
      </c>
      <c r="AQ210" s="11">
        <v>0</v>
      </c>
      <c r="AR210" s="11">
        <v>0</v>
      </c>
      <c r="AS210" s="11">
        <v>0</v>
      </c>
      <c r="AT210" s="11">
        <v>0</v>
      </c>
      <c r="AU210" s="11">
        <v>0</v>
      </c>
      <c r="AV210" s="11">
        <v>0</v>
      </c>
      <c r="AW210" s="11">
        <v>0</v>
      </c>
      <c r="AX210" s="11">
        <v>0</v>
      </c>
      <c r="AY210" s="11">
        <v>0</v>
      </c>
      <c r="AZ210" s="11">
        <v>0</v>
      </c>
      <c r="BA210" s="11">
        <v>0</v>
      </c>
      <c r="BB210" s="11">
        <v>0</v>
      </c>
      <c r="BC210" s="11">
        <v>0</v>
      </c>
      <c r="BD210" s="11">
        <v>0</v>
      </c>
      <c r="BE210" s="11">
        <v>0</v>
      </c>
      <c r="BF210" s="11">
        <v>0</v>
      </c>
    </row>
    <row r="211" spans="1:58" s="23" customFormat="1" ht="14.1" customHeight="1">
      <c r="A211" s="247">
        <f t="shared" si="108"/>
        <v>205</v>
      </c>
      <c r="B211" s="92" t="s">
        <v>58</v>
      </c>
      <c r="C211" s="43">
        <f>SUM(D211:BF211)</f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1">
        <v>0</v>
      </c>
      <c r="AS211" s="11">
        <v>0</v>
      </c>
      <c r="AT211" s="11">
        <v>0</v>
      </c>
      <c r="AU211" s="11">
        <v>0</v>
      </c>
      <c r="AV211" s="11">
        <v>0</v>
      </c>
      <c r="AW211" s="11">
        <v>0</v>
      </c>
      <c r="AX211" s="11">
        <v>0</v>
      </c>
      <c r="AY211" s="11">
        <v>0</v>
      </c>
      <c r="AZ211" s="11">
        <v>0</v>
      </c>
      <c r="BA211" s="11">
        <v>0</v>
      </c>
      <c r="BB211" s="11">
        <v>0</v>
      </c>
      <c r="BC211" s="11">
        <v>0</v>
      </c>
      <c r="BD211" s="11">
        <v>0</v>
      </c>
      <c r="BE211" s="11">
        <v>0</v>
      </c>
      <c r="BF211" s="11">
        <v>0</v>
      </c>
    </row>
    <row r="212" spans="1:58" s="23" customFormat="1" ht="14.1" customHeight="1">
      <c r="A212" s="247">
        <f t="shared" si="108"/>
        <v>206</v>
      </c>
      <c r="B212" s="14" t="s">
        <v>531</v>
      </c>
      <c r="C212" s="83">
        <f>SUM(C210:C211)</f>
        <v>0</v>
      </c>
      <c r="D212" s="83">
        <f>SUM(D210:D211)</f>
        <v>0</v>
      </c>
      <c r="E212" s="83">
        <f t="shared" ref="E212:BA212" si="111">SUM(E210:E211)</f>
        <v>0</v>
      </c>
      <c r="F212" s="83">
        <f t="shared" si="111"/>
        <v>0</v>
      </c>
      <c r="G212" s="83">
        <f t="shared" si="111"/>
        <v>0</v>
      </c>
      <c r="H212" s="83">
        <f t="shared" si="111"/>
        <v>0</v>
      </c>
      <c r="I212" s="83">
        <f t="shared" si="111"/>
        <v>0</v>
      </c>
      <c r="J212" s="83">
        <f t="shared" si="111"/>
        <v>0</v>
      </c>
      <c r="K212" s="83">
        <f t="shared" si="111"/>
        <v>0</v>
      </c>
      <c r="L212" s="83">
        <f t="shared" si="111"/>
        <v>0</v>
      </c>
      <c r="M212" s="83">
        <f t="shared" si="111"/>
        <v>0</v>
      </c>
      <c r="N212" s="83">
        <f t="shared" si="111"/>
        <v>0</v>
      </c>
      <c r="O212" s="83">
        <f t="shared" si="111"/>
        <v>0</v>
      </c>
      <c r="P212" s="83">
        <f t="shared" si="111"/>
        <v>0</v>
      </c>
      <c r="Q212" s="83">
        <f t="shared" si="111"/>
        <v>0</v>
      </c>
      <c r="R212" s="83">
        <f t="shared" si="111"/>
        <v>0</v>
      </c>
      <c r="S212" s="83">
        <f t="shared" si="111"/>
        <v>0</v>
      </c>
      <c r="T212" s="83">
        <f t="shared" si="111"/>
        <v>0</v>
      </c>
      <c r="U212" s="83">
        <f t="shared" si="111"/>
        <v>0</v>
      </c>
      <c r="V212" s="83">
        <f t="shared" si="111"/>
        <v>0</v>
      </c>
      <c r="W212" s="83">
        <f t="shared" si="111"/>
        <v>0</v>
      </c>
      <c r="X212" s="83">
        <f t="shared" si="111"/>
        <v>0</v>
      </c>
      <c r="Y212" s="83">
        <f t="shared" si="111"/>
        <v>0</v>
      </c>
      <c r="Z212" s="83">
        <f t="shared" si="111"/>
        <v>0</v>
      </c>
      <c r="AA212" s="83">
        <f t="shared" si="111"/>
        <v>0</v>
      </c>
      <c r="AB212" s="83">
        <f t="shared" si="111"/>
        <v>0</v>
      </c>
      <c r="AC212" s="83">
        <f t="shared" si="111"/>
        <v>0</v>
      </c>
      <c r="AD212" s="83">
        <f t="shared" si="111"/>
        <v>0</v>
      </c>
      <c r="AE212" s="83">
        <f t="shared" si="111"/>
        <v>0</v>
      </c>
      <c r="AF212" s="83">
        <f t="shared" si="111"/>
        <v>0</v>
      </c>
      <c r="AG212" s="83">
        <f t="shared" si="111"/>
        <v>0</v>
      </c>
      <c r="AH212" s="83">
        <f t="shared" si="111"/>
        <v>0</v>
      </c>
      <c r="AI212" s="83">
        <f t="shared" si="111"/>
        <v>0</v>
      </c>
      <c r="AJ212" s="83">
        <f t="shared" si="111"/>
        <v>0</v>
      </c>
      <c r="AK212" s="83">
        <f t="shared" si="111"/>
        <v>0</v>
      </c>
      <c r="AL212" s="83">
        <f t="shared" si="111"/>
        <v>0</v>
      </c>
      <c r="AM212" s="83">
        <f t="shared" si="111"/>
        <v>0</v>
      </c>
      <c r="AN212" s="83">
        <f t="shared" si="111"/>
        <v>0</v>
      </c>
      <c r="AO212" s="83">
        <f t="shared" si="111"/>
        <v>0</v>
      </c>
      <c r="AP212" s="83">
        <f t="shared" si="111"/>
        <v>0</v>
      </c>
      <c r="AQ212" s="83">
        <f t="shared" si="111"/>
        <v>0</v>
      </c>
      <c r="AR212" s="83">
        <f t="shared" si="111"/>
        <v>0</v>
      </c>
      <c r="AS212" s="83">
        <f t="shared" si="111"/>
        <v>0</v>
      </c>
      <c r="AT212" s="83">
        <f t="shared" si="111"/>
        <v>0</v>
      </c>
      <c r="AU212" s="83">
        <f t="shared" si="111"/>
        <v>0</v>
      </c>
      <c r="AV212" s="83">
        <f t="shared" si="111"/>
        <v>0</v>
      </c>
      <c r="AW212" s="83">
        <f t="shared" si="111"/>
        <v>0</v>
      </c>
      <c r="AX212" s="83">
        <f t="shared" si="111"/>
        <v>0</v>
      </c>
      <c r="AY212" s="83">
        <f t="shared" si="111"/>
        <v>0</v>
      </c>
      <c r="AZ212" s="83">
        <f t="shared" si="111"/>
        <v>0</v>
      </c>
      <c r="BA212" s="83">
        <f t="shared" si="111"/>
        <v>0</v>
      </c>
      <c r="BB212" s="83">
        <f>SUM(BB210:BB211)</f>
        <v>0</v>
      </c>
      <c r="BC212" s="83">
        <f>SUM(BC210:BC211)</f>
        <v>0</v>
      </c>
      <c r="BD212" s="83">
        <f>SUM(BD210:BD211)</f>
        <v>0</v>
      </c>
      <c r="BE212" s="83">
        <f>SUM(BE210:BE211)</f>
        <v>0</v>
      </c>
      <c r="BF212" s="83">
        <f>SUM(BF210:BF211)</f>
        <v>0</v>
      </c>
    </row>
    <row r="213" spans="1:58" s="23" customFormat="1" ht="14.1" customHeight="1">
      <c r="A213" s="247">
        <f t="shared" si="108"/>
        <v>207</v>
      </c>
      <c r="B213" s="92"/>
      <c r="C213" s="92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  <c r="AV213" s="100"/>
      <c r="AW213" s="100"/>
      <c r="AX213" s="100"/>
      <c r="AY213" s="100"/>
      <c r="AZ213" s="100"/>
      <c r="BA213" s="100"/>
      <c r="BB213" s="100"/>
      <c r="BC213" s="100"/>
      <c r="BD213" s="100"/>
      <c r="BE213" s="100"/>
      <c r="BF213" s="100"/>
    </row>
    <row r="214" spans="1:58" s="23" customFormat="1" ht="14.1" customHeight="1">
      <c r="A214" s="247">
        <f t="shared" si="108"/>
        <v>208</v>
      </c>
      <c r="B214" s="205" t="s">
        <v>149</v>
      </c>
      <c r="C214" s="17">
        <f>C200+C204+C208+C212+C196</f>
        <v>-1584601</v>
      </c>
      <c r="D214" s="17">
        <f>D200+D204+D208+D212+D196</f>
        <v>0</v>
      </c>
      <c r="E214" s="17">
        <f t="shared" ref="E214:BA214" si="112">E200+E204+E208+E212+E196</f>
        <v>0</v>
      </c>
      <c r="F214" s="17">
        <f t="shared" si="112"/>
        <v>0</v>
      </c>
      <c r="G214" s="17">
        <f t="shared" si="112"/>
        <v>0</v>
      </c>
      <c r="H214" s="17">
        <f t="shared" si="112"/>
        <v>0</v>
      </c>
      <c r="I214" s="17">
        <f t="shared" si="112"/>
        <v>0</v>
      </c>
      <c r="J214" s="17">
        <f t="shared" si="112"/>
        <v>0</v>
      </c>
      <c r="K214" s="17">
        <f t="shared" si="112"/>
        <v>0</v>
      </c>
      <c r="L214" s="17">
        <f t="shared" si="112"/>
        <v>0</v>
      </c>
      <c r="M214" s="17">
        <f t="shared" si="112"/>
        <v>0</v>
      </c>
      <c r="N214" s="17">
        <f t="shared" si="112"/>
        <v>0</v>
      </c>
      <c r="O214" s="17">
        <f t="shared" si="112"/>
        <v>0</v>
      </c>
      <c r="P214" s="17">
        <f t="shared" si="112"/>
        <v>0</v>
      </c>
      <c r="Q214" s="17">
        <f t="shared" si="112"/>
        <v>0</v>
      </c>
      <c r="R214" s="17">
        <f t="shared" si="112"/>
        <v>0</v>
      </c>
      <c r="S214" s="17">
        <f t="shared" si="112"/>
        <v>0</v>
      </c>
      <c r="T214" s="17">
        <f t="shared" si="112"/>
        <v>0</v>
      </c>
      <c r="U214" s="17">
        <f t="shared" si="112"/>
        <v>0</v>
      </c>
      <c r="V214" s="17">
        <f t="shared" si="112"/>
        <v>0</v>
      </c>
      <c r="W214" s="17">
        <f t="shared" si="112"/>
        <v>0</v>
      </c>
      <c r="X214" s="17">
        <f t="shared" si="112"/>
        <v>0</v>
      </c>
      <c r="Y214" s="17">
        <f t="shared" si="112"/>
        <v>0</v>
      </c>
      <c r="Z214" s="17">
        <f t="shared" si="112"/>
        <v>0</v>
      </c>
      <c r="AA214" s="17">
        <f t="shared" si="112"/>
        <v>0</v>
      </c>
      <c r="AB214" s="17">
        <f t="shared" si="112"/>
        <v>0</v>
      </c>
      <c r="AC214" s="17">
        <f t="shared" si="112"/>
        <v>0</v>
      </c>
      <c r="AD214" s="17">
        <f t="shared" si="112"/>
        <v>0</v>
      </c>
      <c r="AE214" s="17">
        <f t="shared" si="112"/>
        <v>0</v>
      </c>
      <c r="AF214" s="17">
        <f t="shared" si="112"/>
        <v>0</v>
      </c>
      <c r="AG214" s="17">
        <f t="shared" si="112"/>
        <v>0</v>
      </c>
      <c r="AH214" s="17">
        <f t="shared" si="112"/>
        <v>0</v>
      </c>
      <c r="AI214" s="17">
        <f t="shared" si="112"/>
        <v>0</v>
      </c>
      <c r="AJ214" s="17">
        <f t="shared" si="112"/>
        <v>0</v>
      </c>
      <c r="AK214" s="17">
        <f t="shared" si="112"/>
        <v>0</v>
      </c>
      <c r="AL214" s="17">
        <f t="shared" si="112"/>
        <v>0</v>
      </c>
      <c r="AM214" s="17">
        <f t="shared" si="112"/>
        <v>0</v>
      </c>
      <c r="AN214" s="17">
        <f t="shared" si="112"/>
        <v>0</v>
      </c>
      <c r="AO214" s="17">
        <f t="shared" si="112"/>
        <v>0</v>
      </c>
      <c r="AP214" s="17">
        <f t="shared" si="112"/>
        <v>0</v>
      </c>
      <c r="AQ214" s="17">
        <f t="shared" si="112"/>
        <v>0</v>
      </c>
      <c r="AR214" s="17">
        <f t="shared" si="112"/>
        <v>0</v>
      </c>
      <c r="AS214" s="17">
        <f t="shared" si="112"/>
        <v>0</v>
      </c>
      <c r="AT214" s="17">
        <f t="shared" si="112"/>
        <v>0</v>
      </c>
      <c r="AU214" s="17">
        <f t="shared" si="112"/>
        <v>0</v>
      </c>
      <c r="AV214" s="17">
        <f t="shared" si="112"/>
        <v>0</v>
      </c>
      <c r="AW214" s="17">
        <f t="shared" si="112"/>
        <v>0</v>
      </c>
      <c r="AX214" s="17">
        <f t="shared" si="112"/>
        <v>0</v>
      </c>
      <c r="AY214" s="17">
        <f t="shared" si="112"/>
        <v>0</v>
      </c>
      <c r="AZ214" s="17">
        <f t="shared" si="112"/>
        <v>0</v>
      </c>
      <c r="BA214" s="17">
        <f t="shared" si="112"/>
        <v>0</v>
      </c>
      <c r="BB214" s="17">
        <f>BB200+BB204+BB208+BB212+BB196</f>
        <v>0</v>
      </c>
      <c r="BC214" s="17">
        <f>BC200+BC204+BC208+BC212+BC196</f>
        <v>0</v>
      </c>
      <c r="BD214" s="17">
        <f>BD200+BD204+BD208+BD212+BD196</f>
        <v>0</v>
      </c>
      <c r="BE214" s="17">
        <f>BE200+BE204+BE208+BE212+BE196</f>
        <v>-1584601</v>
      </c>
      <c r="BF214" s="17">
        <f>BF200+BF204+BF208+BF212+BF196</f>
        <v>0</v>
      </c>
    </row>
    <row r="215" spans="1:58" ht="14.1" customHeight="1">
      <c r="A215" s="247">
        <f t="shared" si="108"/>
        <v>209</v>
      </c>
      <c r="B215" s="30"/>
      <c r="C215" s="30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</row>
    <row r="216" spans="1:58" ht="14.1" customHeight="1">
      <c r="A216" s="247">
        <f t="shared" si="108"/>
        <v>210</v>
      </c>
      <c r="B216" s="14" t="s">
        <v>155</v>
      </c>
      <c r="C216" s="14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  <c r="AX216" s="48"/>
      <c r="AY216" s="48"/>
      <c r="AZ216" s="48"/>
      <c r="BA216" s="48"/>
      <c r="BB216" s="48"/>
      <c r="BC216" s="48"/>
      <c r="BD216" s="48"/>
      <c r="BE216" s="48"/>
      <c r="BF216" s="48"/>
    </row>
    <row r="217" spans="1:58" ht="14.1" customHeight="1">
      <c r="A217" s="247">
        <f t="shared" si="108"/>
        <v>211</v>
      </c>
      <c r="B217" s="27" t="s">
        <v>139</v>
      </c>
      <c r="C217" s="43">
        <f>SUM(D217:BF217)</f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>
        <v>0</v>
      </c>
      <c r="AT217" s="11">
        <v>0</v>
      </c>
      <c r="AU217" s="11">
        <v>0</v>
      </c>
      <c r="AV217" s="11">
        <v>0</v>
      </c>
      <c r="AW217" s="11">
        <v>0</v>
      </c>
      <c r="AX217" s="11">
        <v>0</v>
      </c>
      <c r="AY217" s="11">
        <v>0</v>
      </c>
      <c r="AZ217" s="11">
        <v>0</v>
      </c>
      <c r="BA217" s="11">
        <v>0</v>
      </c>
      <c r="BB217" s="11">
        <v>0</v>
      </c>
      <c r="BC217" s="11">
        <v>0</v>
      </c>
      <c r="BD217" s="11">
        <v>0</v>
      </c>
      <c r="BE217" s="11">
        <v>0</v>
      </c>
      <c r="BF217" s="11">
        <v>0</v>
      </c>
    </row>
    <row r="218" spans="1:58" ht="14.1" customHeight="1">
      <c r="A218" s="247">
        <f t="shared" si="108"/>
        <v>212</v>
      </c>
      <c r="B218" s="27" t="s">
        <v>148</v>
      </c>
      <c r="C218" s="43">
        <f>SUM(D218:BF218)</f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1">
        <v>0</v>
      </c>
      <c r="AP218" s="11">
        <v>0</v>
      </c>
      <c r="AQ218" s="11">
        <v>0</v>
      </c>
      <c r="AR218" s="11">
        <v>0</v>
      </c>
      <c r="AS218" s="11">
        <v>0</v>
      </c>
      <c r="AT218" s="11">
        <v>0</v>
      </c>
      <c r="AU218" s="11">
        <v>0</v>
      </c>
      <c r="AV218" s="11">
        <v>0</v>
      </c>
      <c r="AW218" s="11">
        <v>0</v>
      </c>
      <c r="AX218" s="11">
        <v>0</v>
      </c>
      <c r="AY218" s="11">
        <v>0</v>
      </c>
      <c r="AZ218" s="11">
        <v>0</v>
      </c>
      <c r="BA218" s="11">
        <v>0</v>
      </c>
      <c r="BB218" s="11">
        <v>0</v>
      </c>
      <c r="BC218" s="11">
        <v>0</v>
      </c>
      <c r="BD218" s="11">
        <v>0</v>
      </c>
      <c r="BE218" s="11">
        <v>0</v>
      </c>
      <c r="BF218" s="11">
        <v>0</v>
      </c>
    </row>
    <row r="219" spans="1:58" ht="14.1" customHeight="1">
      <c r="A219" s="247">
        <f t="shared" si="108"/>
        <v>213</v>
      </c>
      <c r="B219" s="27" t="s">
        <v>141</v>
      </c>
      <c r="C219" s="43">
        <f>SUM(D219:BF219)</f>
        <v>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>
        <v>0</v>
      </c>
      <c r="AT219" s="11">
        <v>0</v>
      </c>
      <c r="AU219" s="11">
        <v>0</v>
      </c>
      <c r="AV219" s="11">
        <v>0</v>
      </c>
      <c r="AW219" s="11">
        <v>0</v>
      </c>
      <c r="AX219" s="11">
        <v>0</v>
      </c>
      <c r="AY219" s="11">
        <v>0</v>
      </c>
      <c r="AZ219" s="11">
        <v>0</v>
      </c>
      <c r="BA219" s="11">
        <v>0</v>
      </c>
      <c r="BB219" s="11">
        <v>0</v>
      </c>
      <c r="BC219" s="11">
        <v>0</v>
      </c>
      <c r="BD219" s="11">
        <v>0</v>
      </c>
      <c r="BE219" s="11">
        <v>0</v>
      </c>
      <c r="BF219" s="11">
        <v>0</v>
      </c>
    </row>
    <row r="220" spans="1:58" ht="14.1" customHeight="1">
      <c r="A220" s="247">
        <f t="shared" si="108"/>
        <v>214</v>
      </c>
      <c r="B220" s="92" t="s">
        <v>142</v>
      </c>
      <c r="C220" s="43">
        <f>SUM(D220:BF220)</f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1">
        <v>0</v>
      </c>
      <c r="AP220" s="11">
        <v>0</v>
      </c>
      <c r="AQ220" s="11">
        <v>0</v>
      </c>
      <c r="AR220" s="11">
        <v>0</v>
      </c>
      <c r="AS220" s="11">
        <v>0</v>
      </c>
      <c r="AT220" s="11">
        <v>0</v>
      </c>
      <c r="AU220" s="11">
        <v>0</v>
      </c>
      <c r="AV220" s="11">
        <v>0</v>
      </c>
      <c r="AW220" s="11">
        <v>0</v>
      </c>
      <c r="AX220" s="11">
        <v>0</v>
      </c>
      <c r="AY220" s="11">
        <v>0</v>
      </c>
      <c r="AZ220" s="11">
        <v>0</v>
      </c>
      <c r="BA220" s="11">
        <v>0</v>
      </c>
      <c r="BB220" s="11">
        <v>0</v>
      </c>
      <c r="BC220" s="11">
        <v>0</v>
      </c>
      <c r="BD220" s="11">
        <v>0</v>
      </c>
      <c r="BE220" s="11">
        <v>0</v>
      </c>
      <c r="BF220" s="11">
        <v>0</v>
      </c>
    </row>
    <row r="221" spans="1:58" ht="14.1" customHeight="1">
      <c r="A221" s="247">
        <f t="shared" si="108"/>
        <v>215</v>
      </c>
      <c r="B221" s="205" t="s">
        <v>536</v>
      </c>
      <c r="C221" s="189">
        <f>SUM(C217:C220)</f>
        <v>0</v>
      </c>
      <c r="D221" s="189">
        <f>SUM(D217:D220)</f>
        <v>0</v>
      </c>
      <c r="E221" s="189">
        <f t="shared" ref="E221:BA221" si="113">SUM(E217:E220)</f>
        <v>0</v>
      </c>
      <c r="F221" s="189">
        <f t="shared" si="113"/>
        <v>0</v>
      </c>
      <c r="G221" s="189">
        <f t="shared" si="113"/>
        <v>0</v>
      </c>
      <c r="H221" s="189">
        <f t="shared" si="113"/>
        <v>0</v>
      </c>
      <c r="I221" s="189">
        <f t="shared" si="113"/>
        <v>0</v>
      </c>
      <c r="J221" s="189">
        <f t="shared" si="113"/>
        <v>0</v>
      </c>
      <c r="K221" s="189">
        <f t="shared" si="113"/>
        <v>0</v>
      </c>
      <c r="L221" s="189">
        <f t="shared" si="113"/>
        <v>0</v>
      </c>
      <c r="M221" s="189">
        <f t="shared" si="113"/>
        <v>0</v>
      </c>
      <c r="N221" s="189">
        <f t="shared" si="113"/>
        <v>0</v>
      </c>
      <c r="O221" s="189">
        <f t="shared" si="113"/>
        <v>0</v>
      </c>
      <c r="P221" s="189">
        <f t="shared" si="113"/>
        <v>0</v>
      </c>
      <c r="Q221" s="189">
        <f t="shared" si="113"/>
        <v>0</v>
      </c>
      <c r="R221" s="189">
        <f t="shared" si="113"/>
        <v>0</v>
      </c>
      <c r="S221" s="189">
        <f t="shared" si="113"/>
        <v>0</v>
      </c>
      <c r="T221" s="189">
        <f t="shared" si="113"/>
        <v>0</v>
      </c>
      <c r="U221" s="189">
        <f t="shared" si="113"/>
        <v>0</v>
      </c>
      <c r="V221" s="189">
        <f t="shared" si="113"/>
        <v>0</v>
      </c>
      <c r="W221" s="189">
        <f t="shared" si="113"/>
        <v>0</v>
      </c>
      <c r="X221" s="189">
        <f t="shared" si="113"/>
        <v>0</v>
      </c>
      <c r="Y221" s="189">
        <f t="shared" si="113"/>
        <v>0</v>
      </c>
      <c r="Z221" s="189">
        <f t="shared" si="113"/>
        <v>0</v>
      </c>
      <c r="AA221" s="189">
        <f t="shared" si="113"/>
        <v>0</v>
      </c>
      <c r="AB221" s="189">
        <f t="shared" si="113"/>
        <v>0</v>
      </c>
      <c r="AC221" s="189">
        <f t="shared" si="113"/>
        <v>0</v>
      </c>
      <c r="AD221" s="189">
        <f t="shared" si="113"/>
        <v>0</v>
      </c>
      <c r="AE221" s="189">
        <f t="shared" si="113"/>
        <v>0</v>
      </c>
      <c r="AF221" s="189">
        <f t="shared" si="113"/>
        <v>0</v>
      </c>
      <c r="AG221" s="189">
        <f t="shared" si="113"/>
        <v>0</v>
      </c>
      <c r="AH221" s="189">
        <f t="shared" si="113"/>
        <v>0</v>
      </c>
      <c r="AI221" s="189">
        <f t="shared" si="113"/>
        <v>0</v>
      </c>
      <c r="AJ221" s="189">
        <f t="shared" si="113"/>
        <v>0</v>
      </c>
      <c r="AK221" s="189">
        <f t="shared" si="113"/>
        <v>0</v>
      </c>
      <c r="AL221" s="189">
        <f t="shared" si="113"/>
        <v>0</v>
      </c>
      <c r="AM221" s="189">
        <f t="shared" si="113"/>
        <v>0</v>
      </c>
      <c r="AN221" s="189">
        <f t="shared" si="113"/>
        <v>0</v>
      </c>
      <c r="AO221" s="189">
        <f t="shared" si="113"/>
        <v>0</v>
      </c>
      <c r="AP221" s="189">
        <f t="shared" si="113"/>
        <v>0</v>
      </c>
      <c r="AQ221" s="189">
        <f t="shared" si="113"/>
        <v>0</v>
      </c>
      <c r="AR221" s="189">
        <f t="shared" si="113"/>
        <v>0</v>
      </c>
      <c r="AS221" s="189">
        <f t="shared" si="113"/>
        <v>0</v>
      </c>
      <c r="AT221" s="189">
        <f t="shared" si="113"/>
        <v>0</v>
      </c>
      <c r="AU221" s="189">
        <f t="shared" si="113"/>
        <v>0</v>
      </c>
      <c r="AV221" s="189">
        <f t="shared" si="113"/>
        <v>0</v>
      </c>
      <c r="AW221" s="189">
        <f t="shared" si="113"/>
        <v>0</v>
      </c>
      <c r="AX221" s="189">
        <f t="shared" si="113"/>
        <v>0</v>
      </c>
      <c r="AY221" s="189">
        <f t="shared" si="113"/>
        <v>0</v>
      </c>
      <c r="AZ221" s="189">
        <f t="shared" si="113"/>
        <v>0</v>
      </c>
      <c r="BA221" s="189">
        <f t="shared" si="113"/>
        <v>0</v>
      </c>
      <c r="BB221" s="189">
        <f>SUM(BB217:BB220)</f>
        <v>0</v>
      </c>
      <c r="BC221" s="189">
        <f>SUM(BC217:BC220)</f>
        <v>0</v>
      </c>
      <c r="BD221" s="189">
        <f>SUM(BD217:BD220)</f>
        <v>0</v>
      </c>
      <c r="BE221" s="189">
        <f>SUM(BE217:BE220)</f>
        <v>0</v>
      </c>
      <c r="BF221" s="189">
        <f>SUM(BF217:BF220)</f>
        <v>0</v>
      </c>
    </row>
    <row r="222" spans="1:58" ht="14.1" customHeight="1">
      <c r="A222" s="247">
        <f t="shared" si="108"/>
        <v>216</v>
      </c>
      <c r="B222" s="30"/>
      <c r="C222" s="30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</row>
    <row r="223" spans="1:58" s="23" customFormat="1" ht="14.1" customHeight="1">
      <c r="A223" s="247">
        <f t="shared" si="108"/>
        <v>217</v>
      </c>
      <c r="B223" s="14" t="s">
        <v>384</v>
      </c>
      <c r="C223" s="14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48"/>
      <c r="AX223" s="48"/>
      <c r="AY223" s="48"/>
      <c r="AZ223" s="48"/>
      <c r="BA223" s="48"/>
      <c r="BB223" s="48"/>
      <c r="BC223" s="48"/>
      <c r="BD223" s="48"/>
      <c r="BE223" s="48"/>
      <c r="BF223" s="48"/>
    </row>
    <row r="224" spans="1:58" ht="14.1" customHeight="1">
      <c r="A224" s="247">
        <f t="shared" si="108"/>
        <v>218</v>
      </c>
      <c r="B224" s="27" t="s">
        <v>156</v>
      </c>
      <c r="C224" s="43">
        <f>SUM(D224:BF224)</f>
        <v>-18045194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0</v>
      </c>
      <c r="AI224" s="11">
        <v>0</v>
      </c>
      <c r="AJ224" s="11">
        <v>0</v>
      </c>
      <c r="AK224" s="11">
        <v>0</v>
      </c>
      <c r="AL224" s="11">
        <v>0</v>
      </c>
      <c r="AM224" s="11">
        <v>0</v>
      </c>
      <c r="AN224" s="11">
        <v>0</v>
      </c>
      <c r="AO224" s="11">
        <v>0</v>
      </c>
      <c r="AP224" s="11">
        <v>0</v>
      </c>
      <c r="AQ224" s="11">
        <v>0</v>
      </c>
      <c r="AR224" s="11">
        <v>0</v>
      </c>
      <c r="AS224" s="11">
        <v>0</v>
      </c>
      <c r="AT224" s="11">
        <v>0</v>
      </c>
      <c r="AU224" s="11">
        <v>0</v>
      </c>
      <c r="AV224" s="11">
        <v>0</v>
      </c>
      <c r="AW224" s="11">
        <v>0</v>
      </c>
      <c r="AX224" s="11">
        <v>0</v>
      </c>
      <c r="AY224" s="11">
        <v>0</v>
      </c>
      <c r="AZ224" s="11">
        <v>0</v>
      </c>
      <c r="BA224" s="11">
        <v>664080</v>
      </c>
      <c r="BB224" s="11">
        <v>-18709274</v>
      </c>
      <c r="BC224" s="11">
        <v>0</v>
      </c>
      <c r="BD224" s="11">
        <v>0</v>
      </c>
      <c r="BE224" s="11">
        <v>0</v>
      </c>
      <c r="BF224" s="11">
        <v>0</v>
      </c>
    </row>
    <row r="225" spans="1:58" ht="14.1" customHeight="1">
      <c r="A225" s="247">
        <f t="shared" si="108"/>
        <v>219</v>
      </c>
      <c r="B225" s="27" t="s">
        <v>158</v>
      </c>
      <c r="C225" s="43">
        <f>SUM(D225:BF225)</f>
        <v>-6268345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>
        <v>0</v>
      </c>
      <c r="AT225" s="11">
        <v>0</v>
      </c>
      <c r="AU225" s="11">
        <v>0</v>
      </c>
      <c r="AV225" s="11">
        <v>0</v>
      </c>
      <c r="AW225" s="11">
        <v>0</v>
      </c>
      <c r="AX225" s="11">
        <v>0</v>
      </c>
      <c r="AY225" s="11">
        <v>0</v>
      </c>
      <c r="AZ225" s="11">
        <v>0</v>
      </c>
      <c r="BA225" s="11">
        <v>0</v>
      </c>
      <c r="BB225" s="11">
        <v>0</v>
      </c>
      <c r="BC225" s="11">
        <v>0</v>
      </c>
      <c r="BD225" s="11">
        <v>-6268345</v>
      </c>
      <c r="BE225" s="11">
        <v>0</v>
      </c>
      <c r="BF225" s="11">
        <v>0</v>
      </c>
    </row>
    <row r="226" spans="1:58" ht="14.1" customHeight="1">
      <c r="A226" s="247">
        <f t="shared" si="108"/>
        <v>220</v>
      </c>
      <c r="B226" s="27" t="s">
        <v>158</v>
      </c>
      <c r="C226" s="43">
        <f>SUM(D226:BF226)</f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>
        <v>0</v>
      </c>
      <c r="AN226" s="11">
        <v>0</v>
      </c>
      <c r="AO226" s="11">
        <v>0</v>
      </c>
      <c r="AP226" s="11">
        <v>0</v>
      </c>
      <c r="AQ226" s="11">
        <v>0</v>
      </c>
      <c r="AR226" s="11">
        <v>0</v>
      </c>
      <c r="AS226" s="11">
        <v>0</v>
      </c>
      <c r="AT226" s="11">
        <v>0</v>
      </c>
      <c r="AU226" s="11">
        <v>0</v>
      </c>
      <c r="AV226" s="11">
        <v>0</v>
      </c>
      <c r="AW226" s="11">
        <v>0</v>
      </c>
      <c r="AX226" s="11">
        <v>0</v>
      </c>
      <c r="AY226" s="11">
        <v>0</v>
      </c>
      <c r="AZ226" s="11">
        <v>0</v>
      </c>
      <c r="BA226" s="11">
        <v>0</v>
      </c>
      <c r="BB226" s="11">
        <v>0</v>
      </c>
      <c r="BC226" s="11">
        <v>0</v>
      </c>
      <c r="BD226" s="11">
        <v>0</v>
      </c>
      <c r="BE226" s="11">
        <v>0</v>
      </c>
      <c r="BF226" s="11">
        <v>0</v>
      </c>
    </row>
    <row r="227" spans="1:58" ht="14.1" customHeight="1">
      <c r="A227" s="247">
        <f t="shared" si="108"/>
        <v>221</v>
      </c>
      <c r="B227" s="27" t="s">
        <v>159</v>
      </c>
      <c r="C227" s="43">
        <f>SUM(D227:BF227)</f>
        <v>0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>
        <v>0</v>
      </c>
      <c r="AT227" s="11">
        <v>0</v>
      </c>
      <c r="AU227" s="11">
        <v>0</v>
      </c>
      <c r="AV227" s="11">
        <v>0</v>
      </c>
      <c r="AW227" s="11">
        <v>0</v>
      </c>
      <c r="AX227" s="11">
        <v>0</v>
      </c>
      <c r="AY227" s="11">
        <v>0</v>
      </c>
      <c r="AZ227" s="11">
        <v>0</v>
      </c>
      <c r="BA227" s="11">
        <v>0</v>
      </c>
      <c r="BB227" s="11">
        <v>0</v>
      </c>
      <c r="BC227" s="11">
        <v>0</v>
      </c>
      <c r="BD227" s="11">
        <v>0</v>
      </c>
      <c r="BE227" s="11">
        <v>0</v>
      </c>
      <c r="BF227" s="11">
        <v>0</v>
      </c>
    </row>
    <row r="228" spans="1:58" ht="14.1" customHeight="1">
      <c r="A228" s="247">
        <f t="shared" si="108"/>
        <v>222</v>
      </c>
      <c r="B228" s="92" t="s">
        <v>160</v>
      </c>
      <c r="C228" s="386">
        <f>SUM(D228:BF228)</f>
        <v>0</v>
      </c>
      <c r="D228" s="100">
        <v>0</v>
      </c>
      <c r="E228" s="100">
        <v>0</v>
      </c>
      <c r="F228" s="100">
        <v>0</v>
      </c>
      <c r="G228" s="100">
        <v>0</v>
      </c>
      <c r="H228" s="100">
        <v>0</v>
      </c>
      <c r="I228" s="100">
        <v>0</v>
      </c>
      <c r="J228" s="100">
        <v>0</v>
      </c>
      <c r="K228" s="100">
        <v>0</v>
      </c>
      <c r="L228" s="100">
        <v>0</v>
      </c>
      <c r="M228" s="100">
        <v>0</v>
      </c>
      <c r="N228" s="100">
        <v>0</v>
      </c>
      <c r="O228" s="100">
        <v>0</v>
      </c>
      <c r="P228" s="100">
        <v>0</v>
      </c>
      <c r="Q228" s="100">
        <v>0</v>
      </c>
      <c r="R228" s="100">
        <v>0</v>
      </c>
      <c r="S228" s="100">
        <v>0</v>
      </c>
      <c r="T228" s="100">
        <v>0</v>
      </c>
      <c r="U228" s="100">
        <v>0</v>
      </c>
      <c r="V228" s="100">
        <v>0</v>
      </c>
      <c r="W228" s="100">
        <v>0</v>
      </c>
      <c r="X228" s="100">
        <v>0</v>
      </c>
      <c r="Y228" s="100">
        <v>0</v>
      </c>
      <c r="Z228" s="100">
        <v>0</v>
      </c>
      <c r="AA228" s="100">
        <v>0</v>
      </c>
      <c r="AB228" s="100">
        <v>0</v>
      </c>
      <c r="AC228" s="100">
        <v>0</v>
      </c>
      <c r="AD228" s="100">
        <v>0</v>
      </c>
      <c r="AE228" s="100">
        <v>0</v>
      </c>
      <c r="AF228" s="100">
        <v>0</v>
      </c>
      <c r="AG228" s="100">
        <v>0</v>
      </c>
      <c r="AH228" s="100">
        <v>0</v>
      </c>
      <c r="AI228" s="100">
        <v>0</v>
      </c>
      <c r="AJ228" s="100">
        <v>0</v>
      </c>
      <c r="AK228" s="100">
        <v>0</v>
      </c>
      <c r="AL228" s="100">
        <v>0</v>
      </c>
      <c r="AM228" s="100">
        <v>0</v>
      </c>
      <c r="AN228" s="100">
        <v>0</v>
      </c>
      <c r="AO228" s="100">
        <v>0</v>
      </c>
      <c r="AP228" s="100">
        <v>0</v>
      </c>
      <c r="AQ228" s="100">
        <v>0</v>
      </c>
      <c r="AR228" s="100">
        <v>0</v>
      </c>
      <c r="AS228" s="100">
        <v>0</v>
      </c>
      <c r="AT228" s="100">
        <v>0</v>
      </c>
      <c r="AU228" s="100">
        <v>0</v>
      </c>
      <c r="AV228" s="100">
        <v>0</v>
      </c>
      <c r="AW228" s="100">
        <v>0</v>
      </c>
      <c r="AX228" s="100">
        <v>0</v>
      </c>
      <c r="AY228" s="100">
        <v>0</v>
      </c>
      <c r="AZ228" s="100">
        <v>0</v>
      </c>
      <c r="BA228" s="100">
        <v>0</v>
      </c>
      <c r="BB228" s="100">
        <v>0</v>
      </c>
      <c r="BC228" s="100">
        <v>0</v>
      </c>
      <c r="BD228" s="100">
        <v>0</v>
      </c>
      <c r="BE228" s="100">
        <v>0</v>
      </c>
      <c r="BF228" s="100">
        <v>0</v>
      </c>
    </row>
    <row r="229" spans="1:58" ht="14.1" customHeight="1">
      <c r="A229" s="247">
        <f t="shared" si="108"/>
        <v>223</v>
      </c>
      <c r="B229" s="14" t="s">
        <v>568</v>
      </c>
      <c r="C229" s="11">
        <f t="shared" ref="C229:K229" si="114">SUM(C224:C228)</f>
        <v>-24313539</v>
      </c>
      <c r="D229" s="11">
        <f t="shared" si="114"/>
        <v>0</v>
      </c>
      <c r="E229" s="11">
        <f t="shared" si="114"/>
        <v>0</v>
      </c>
      <c r="F229" s="11">
        <f t="shared" si="114"/>
        <v>0</v>
      </c>
      <c r="G229" s="11">
        <f t="shared" si="114"/>
        <v>0</v>
      </c>
      <c r="H229" s="11">
        <f t="shared" si="114"/>
        <v>0</v>
      </c>
      <c r="I229" s="11">
        <f t="shared" si="114"/>
        <v>0</v>
      </c>
      <c r="J229" s="11">
        <f t="shared" si="114"/>
        <v>0</v>
      </c>
      <c r="K229" s="11">
        <f t="shared" si="114"/>
        <v>0</v>
      </c>
      <c r="L229" s="11">
        <f t="shared" ref="L229:AG229" si="115">SUM(L224:L228)</f>
        <v>0</v>
      </c>
      <c r="M229" s="11">
        <f t="shared" si="115"/>
        <v>0</v>
      </c>
      <c r="N229" s="11">
        <f t="shared" si="115"/>
        <v>0</v>
      </c>
      <c r="O229" s="11">
        <f t="shared" si="115"/>
        <v>0</v>
      </c>
      <c r="P229" s="11">
        <f t="shared" si="115"/>
        <v>0</v>
      </c>
      <c r="Q229" s="11">
        <f t="shared" si="115"/>
        <v>0</v>
      </c>
      <c r="R229" s="11">
        <f t="shared" si="115"/>
        <v>0</v>
      </c>
      <c r="S229" s="11">
        <f t="shared" si="115"/>
        <v>0</v>
      </c>
      <c r="T229" s="11">
        <f t="shared" si="115"/>
        <v>0</v>
      </c>
      <c r="U229" s="11">
        <f t="shared" si="115"/>
        <v>0</v>
      </c>
      <c r="V229" s="11">
        <f t="shared" si="115"/>
        <v>0</v>
      </c>
      <c r="W229" s="11">
        <f t="shared" si="115"/>
        <v>0</v>
      </c>
      <c r="X229" s="11">
        <f t="shared" si="115"/>
        <v>0</v>
      </c>
      <c r="Y229" s="11">
        <f t="shared" si="115"/>
        <v>0</v>
      </c>
      <c r="Z229" s="11">
        <f t="shared" si="115"/>
        <v>0</v>
      </c>
      <c r="AA229" s="11">
        <f t="shared" si="115"/>
        <v>0</v>
      </c>
      <c r="AB229" s="11">
        <f t="shared" si="115"/>
        <v>0</v>
      </c>
      <c r="AC229" s="11">
        <f t="shared" si="115"/>
        <v>0</v>
      </c>
      <c r="AD229" s="11">
        <f t="shared" si="115"/>
        <v>0</v>
      </c>
      <c r="AE229" s="11">
        <f t="shared" si="115"/>
        <v>0</v>
      </c>
      <c r="AF229" s="11">
        <f t="shared" si="115"/>
        <v>0</v>
      </c>
      <c r="AG229" s="11">
        <f t="shared" si="115"/>
        <v>0</v>
      </c>
      <c r="AH229" s="11">
        <f>SUM(AH224:AH228)</f>
        <v>0</v>
      </c>
      <c r="AI229" s="11">
        <f t="shared" ref="AI229:AN229" si="116">SUM(AI224:AI228)</f>
        <v>0</v>
      </c>
      <c r="AJ229" s="11">
        <f t="shared" si="116"/>
        <v>0</v>
      </c>
      <c r="AK229" s="11">
        <f t="shared" si="116"/>
        <v>0</v>
      </c>
      <c r="AL229" s="11">
        <f t="shared" si="116"/>
        <v>0</v>
      </c>
      <c r="AM229" s="11">
        <f t="shared" si="116"/>
        <v>0</v>
      </c>
      <c r="AN229" s="11">
        <f t="shared" si="116"/>
        <v>0</v>
      </c>
      <c r="AO229" s="11">
        <f>SUM(AO224:AO228)</f>
        <v>0</v>
      </c>
      <c r="AP229" s="11">
        <f t="shared" ref="AP229:BA229" si="117">SUM(AP224:AP228)</f>
        <v>0</v>
      </c>
      <c r="AQ229" s="11">
        <f t="shared" si="117"/>
        <v>0</v>
      </c>
      <c r="AR229" s="11">
        <f t="shared" si="117"/>
        <v>0</v>
      </c>
      <c r="AS229" s="11">
        <f t="shared" si="117"/>
        <v>0</v>
      </c>
      <c r="AT229" s="11">
        <f t="shared" si="117"/>
        <v>0</v>
      </c>
      <c r="AU229" s="11">
        <f t="shared" si="117"/>
        <v>0</v>
      </c>
      <c r="AV229" s="11">
        <f t="shared" si="117"/>
        <v>0</v>
      </c>
      <c r="AW229" s="11">
        <f t="shared" si="117"/>
        <v>0</v>
      </c>
      <c r="AX229" s="11">
        <f t="shared" si="117"/>
        <v>0</v>
      </c>
      <c r="AY229" s="11">
        <f t="shared" si="117"/>
        <v>0</v>
      </c>
      <c r="AZ229" s="11">
        <f t="shared" si="117"/>
        <v>0</v>
      </c>
      <c r="BA229" s="11">
        <f t="shared" si="117"/>
        <v>664080</v>
      </c>
      <c r="BB229" s="11">
        <f>SUM(BB224:BB228)</f>
        <v>-18709274</v>
      </c>
      <c r="BC229" s="11">
        <f>SUM(BC224:BC228)</f>
        <v>0</v>
      </c>
      <c r="BD229" s="11">
        <f>SUM(BD224:BD228)</f>
        <v>-6268345</v>
      </c>
      <c r="BE229" s="11">
        <f>SUM(BE224:BE228)</f>
        <v>0</v>
      </c>
      <c r="BF229" s="11">
        <f>SUM(BF224:BF228)</f>
        <v>0</v>
      </c>
    </row>
    <row r="230" spans="1:58" ht="14.1" customHeight="1">
      <c r="A230" s="247">
        <f t="shared" si="108"/>
        <v>224</v>
      </c>
      <c r="B230" s="27"/>
      <c r="C230" s="43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</row>
    <row r="231" spans="1:58" ht="14.1" customHeight="1">
      <c r="A231" s="247">
        <f t="shared" si="108"/>
        <v>225</v>
      </c>
      <c r="B231" s="14" t="s">
        <v>383</v>
      </c>
      <c r="C231" s="43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</row>
    <row r="232" spans="1:58" ht="14.1" customHeight="1">
      <c r="A232" s="247">
        <f t="shared" si="108"/>
        <v>226</v>
      </c>
      <c r="B232" s="27" t="s">
        <v>161</v>
      </c>
      <c r="C232" s="43">
        <f>SUM(D232:BF232)</f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1">
        <v>0</v>
      </c>
      <c r="AP232" s="11">
        <v>0</v>
      </c>
      <c r="AQ232" s="11">
        <v>0</v>
      </c>
      <c r="AR232" s="11">
        <v>0</v>
      </c>
      <c r="AS232" s="11">
        <v>0</v>
      </c>
      <c r="AT232" s="11">
        <v>0</v>
      </c>
      <c r="AU232" s="11">
        <v>0</v>
      </c>
      <c r="AV232" s="11">
        <v>0</v>
      </c>
      <c r="AW232" s="11">
        <v>0</v>
      </c>
      <c r="AX232" s="11">
        <v>0</v>
      </c>
      <c r="AY232" s="11">
        <v>0</v>
      </c>
      <c r="AZ232" s="11">
        <v>0</v>
      </c>
      <c r="BA232" s="11">
        <v>0</v>
      </c>
      <c r="BB232" s="11">
        <v>0</v>
      </c>
      <c r="BC232" s="11">
        <v>0</v>
      </c>
      <c r="BD232" s="11">
        <v>0</v>
      </c>
      <c r="BE232" s="11">
        <v>0</v>
      </c>
      <c r="BF232" s="11">
        <v>0</v>
      </c>
    </row>
    <row r="233" spans="1:58" ht="14.1" customHeight="1">
      <c r="A233" s="247">
        <f t="shared" si="108"/>
        <v>227</v>
      </c>
      <c r="B233" s="92" t="s">
        <v>162</v>
      </c>
      <c r="C233" s="43">
        <f>SUM(D233:BF233)</f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>
        <v>0</v>
      </c>
      <c r="AT233" s="11">
        <v>0</v>
      </c>
      <c r="AU233" s="11">
        <v>0</v>
      </c>
      <c r="AV233" s="11">
        <v>0</v>
      </c>
      <c r="AW233" s="11">
        <v>0</v>
      </c>
      <c r="AX233" s="11">
        <v>0</v>
      </c>
      <c r="AY233" s="11">
        <v>0</v>
      </c>
      <c r="AZ233" s="11">
        <v>0</v>
      </c>
      <c r="BA233" s="11">
        <v>0</v>
      </c>
      <c r="BB233" s="11">
        <v>0</v>
      </c>
      <c r="BC233" s="11">
        <v>0</v>
      </c>
      <c r="BD233" s="11">
        <v>0</v>
      </c>
      <c r="BE233" s="11">
        <v>0</v>
      </c>
      <c r="BF233" s="11">
        <v>0</v>
      </c>
    </row>
    <row r="234" spans="1:58" ht="14.1" customHeight="1">
      <c r="A234" s="247">
        <f t="shared" si="108"/>
        <v>228</v>
      </c>
      <c r="B234" s="205" t="s">
        <v>569</v>
      </c>
      <c r="C234" s="189">
        <f>SUM(C232:C233)</f>
        <v>0</v>
      </c>
      <c r="D234" s="189">
        <f>SUM(D232:D233)</f>
        <v>0</v>
      </c>
      <c r="E234" s="189">
        <f t="shared" ref="E234:BA234" si="118">SUM(E232:E233)</f>
        <v>0</v>
      </c>
      <c r="F234" s="189">
        <f t="shared" si="118"/>
        <v>0</v>
      </c>
      <c r="G234" s="189">
        <f t="shared" si="118"/>
        <v>0</v>
      </c>
      <c r="H234" s="189">
        <f t="shared" si="118"/>
        <v>0</v>
      </c>
      <c r="I234" s="189">
        <f t="shared" si="118"/>
        <v>0</v>
      </c>
      <c r="J234" s="189">
        <f t="shared" si="118"/>
        <v>0</v>
      </c>
      <c r="K234" s="189">
        <f t="shared" si="118"/>
        <v>0</v>
      </c>
      <c r="L234" s="189">
        <f t="shared" si="118"/>
        <v>0</v>
      </c>
      <c r="M234" s="189">
        <f t="shared" si="118"/>
        <v>0</v>
      </c>
      <c r="N234" s="189">
        <f t="shared" si="118"/>
        <v>0</v>
      </c>
      <c r="O234" s="189">
        <f t="shared" si="118"/>
        <v>0</v>
      </c>
      <c r="P234" s="189">
        <f t="shared" si="118"/>
        <v>0</v>
      </c>
      <c r="Q234" s="189">
        <f t="shared" si="118"/>
        <v>0</v>
      </c>
      <c r="R234" s="189">
        <f t="shared" si="118"/>
        <v>0</v>
      </c>
      <c r="S234" s="189">
        <f t="shared" si="118"/>
        <v>0</v>
      </c>
      <c r="T234" s="189">
        <f t="shared" si="118"/>
        <v>0</v>
      </c>
      <c r="U234" s="189">
        <f t="shared" si="118"/>
        <v>0</v>
      </c>
      <c r="V234" s="189">
        <f t="shared" si="118"/>
        <v>0</v>
      </c>
      <c r="W234" s="189">
        <f t="shared" si="118"/>
        <v>0</v>
      </c>
      <c r="X234" s="189">
        <f t="shared" si="118"/>
        <v>0</v>
      </c>
      <c r="Y234" s="189">
        <f t="shared" si="118"/>
        <v>0</v>
      </c>
      <c r="Z234" s="189">
        <f t="shared" si="118"/>
        <v>0</v>
      </c>
      <c r="AA234" s="189">
        <f t="shared" si="118"/>
        <v>0</v>
      </c>
      <c r="AB234" s="189">
        <f t="shared" si="118"/>
        <v>0</v>
      </c>
      <c r="AC234" s="189">
        <f t="shared" si="118"/>
        <v>0</v>
      </c>
      <c r="AD234" s="189">
        <f t="shared" si="118"/>
        <v>0</v>
      </c>
      <c r="AE234" s="189">
        <f t="shared" si="118"/>
        <v>0</v>
      </c>
      <c r="AF234" s="189">
        <f t="shared" si="118"/>
        <v>0</v>
      </c>
      <c r="AG234" s="189">
        <f t="shared" si="118"/>
        <v>0</v>
      </c>
      <c r="AH234" s="189">
        <f t="shared" si="118"/>
        <v>0</v>
      </c>
      <c r="AI234" s="189">
        <f t="shared" si="118"/>
        <v>0</v>
      </c>
      <c r="AJ234" s="189">
        <f t="shared" si="118"/>
        <v>0</v>
      </c>
      <c r="AK234" s="189">
        <f t="shared" si="118"/>
        <v>0</v>
      </c>
      <c r="AL234" s="189">
        <f t="shared" si="118"/>
        <v>0</v>
      </c>
      <c r="AM234" s="189">
        <f t="shared" si="118"/>
        <v>0</v>
      </c>
      <c r="AN234" s="189">
        <f t="shared" si="118"/>
        <v>0</v>
      </c>
      <c r="AO234" s="189">
        <f t="shared" si="118"/>
        <v>0</v>
      </c>
      <c r="AP234" s="189">
        <f t="shared" si="118"/>
        <v>0</v>
      </c>
      <c r="AQ234" s="189">
        <f t="shared" si="118"/>
        <v>0</v>
      </c>
      <c r="AR234" s="189">
        <f t="shared" si="118"/>
        <v>0</v>
      </c>
      <c r="AS234" s="189">
        <f t="shared" si="118"/>
        <v>0</v>
      </c>
      <c r="AT234" s="189">
        <f t="shared" si="118"/>
        <v>0</v>
      </c>
      <c r="AU234" s="189">
        <f t="shared" si="118"/>
        <v>0</v>
      </c>
      <c r="AV234" s="189">
        <f t="shared" si="118"/>
        <v>0</v>
      </c>
      <c r="AW234" s="189">
        <f t="shared" si="118"/>
        <v>0</v>
      </c>
      <c r="AX234" s="189">
        <f t="shared" si="118"/>
        <v>0</v>
      </c>
      <c r="AY234" s="189">
        <f t="shared" si="118"/>
        <v>0</v>
      </c>
      <c r="AZ234" s="189">
        <f t="shared" si="118"/>
        <v>0</v>
      </c>
      <c r="BA234" s="189">
        <f t="shared" si="118"/>
        <v>0</v>
      </c>
      <c r="BB234" s="189">
        <f>SUM(BB232:BB233)</f>
        <v>0</v>
      </c>
      <c r="BC234" s="189">
        <f>SUM(BC232:BC233)</f>
        <v>0</v>
      </c>
      <c r="BD234" s="189">
        <f>SUM(BD232:BD233)</f>
        <v>0</v>
      </c>
      <c r="BE234" s="189">
        <f>SUM(BE232:BE233)</f>
        <v>0</v>
      </c>
      <c r="BF234" s="189">
        <f>SUM(BF232:BF233)</f>
        <v>0</v>
      </c>
    </row>
    <row r="235" spans="1:58" ht="14.1" customHeight="1">
      <c r="A235" s="247">
        <f t="shared" si="108"/>
        <v>229</v>
      </c>
      <c r="B235" s="30"/>
      <c r="C235" s="30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</row>
    <row r="236" spans="1:58" ht="14.1" customHeight="1">
      <c r="A236" s="247">
        <f t="shared" si="108"/>
        <v>230</v>
      </c>
      <c r="B236" s="27" t="s">
        <v>374</v>
      </c>
      <c r="C236" s="43">
        <f>SUM(D236:BF236)</f>
        <v>0</v>
      </c>
      <c r="D236" s="48">
        <v>0</v>
      </c>
      <c r="E236" s="48">
        <v>0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48">
        <v>0</v>
      </c>
      <c r="V236" s="48">
        <v>0</v>
      </c>
      <c r="W236" s="48">
        <v>0</v>
      </c>
      <c r="X236" s="48">
        <v>0</v>
      </c>
      <c r="Y236" s="48">
        <v>0</v>
      </c>
      <c r="Z236" s="48">
        <v>0</v>
      </c>
      <c r="AA236" s="48">
        <v>0</v>
      </c>
      <c r="AB236" s="48">
        <v>0</v>
      </c>
      <c r="AC236" s="48">
        <v>0</v>
      </c>
      <c r="AD236" s="48">
        <v>0</v>
      </c>
      <c r="AE236" s="48">
        <v>0</v>
      </c>
      <c r="AF236" s="48">
        <v>0</v>
      </c>
      <c r="AG236" s="48">
        <v>0</v>
      </c>
      <c r="AH236" s="48">
        <v>0</v>
      </c>
      <c r="AI236" s="48">
        <v>0</v>
      </c>
      <c r="AJ236" s="48">
        <v>0</v>
      </c>
      <c r="AK236" s="48">
        <v>0</v>
      </c>
      <c r="AL236" s="48">
        <v>0</v>
      </c>
      <c r="AM236" s="48">
        <v>0</v>
      </c>
      <c r="AN236" s="48">
        <v>0</v>
      </c>
      <c r="AO236" s="48">
        <v>0</v>
      </c>
      <c r="AP236" s="48">
        <v>0</v>
      </c>
      <c r="AQ236" s="48">
        <v>0</v>
      </c>
      <c r="AR236" s="48">
        <v>0</v>
      </c>
      <c r="AS236" s="48">
        <v>0</v>
      </c>
      <c r="AT236" s="48">
        <v>0</v>
      </c>
      <c r="AU236" s="48">
        <v>0</v>
      </c>
      <c r="AV236" s="48">
        <v>0</v>
      </c>
      <c r="AW236" s="48">
        <v>0</v>
      </c>
      <c r="AX236" s="48">
        <v>0</v>
      </c>
      <c r="AY236" s="48">
        <v>0</v>
      </c>
      <c r="AZ236" s="48">
        <v>0</v>
      </c>
      <c r="BA236" s="48">
        <v>0</v>
      </c>
      <c r="BB236" s="48">
        <v>0</v>
      </c>
      <c r="BC236" s="48">
        <v>0</v>
      </c>
      <c r="BD236" s="48">
        <v>0</v>
      </c>
      <c r="BE236" s="48">
        <v>0</v>
      </c>
      <c r="BF236" s="48">
        <v>0</v>
      </c>
    </row>
    <row r="237" spans="1:58" ht="14.1" customHeight="1">
      <c r="A237" s="247">
        <f t="shared" si="108"/>
        <v>231</v>
      </c>
      <c r="B237" s="203" t="s">
        <v>163</v>
      </c>
      <c r="C237" s="43">
        <f>SUM(D237:BF237)</f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>
        <v>0</v>
      </c>
      <c r="AT237" s="11">
        <v>0</v>
      </c>
      <c r="AU237" s="11">
        <v>0</v>
      </c>
      <c r="AV237" s="11">
        <v>0</v>
      </c>
      <c r="AW237" s="11">
        <v>0</v>
      </c>
      <c r="AX237" s="11">
        <v>0</v>
      </c>
      <c r="AY237" s="11">
        <v>0</v>
      </c>
      <c r="AZ237" s="11">
        <v>0</v>
      </c>
      <c r="BA237" s="11">
        <v>0</v>
      </c>
      <c r="BB237" s="11">
        <v>0</v>
      </c>
      <c r="BC237" s="11">
        <v>0</v>
      </c>
      <c r="BD237" s="11">
        <v>0</v>
      </c>
      <c r="BE237" s="11">
        <v>0</v>
      </c>
      <c r="BF237" s="11">
        <v>0</v>
      </c>
    </row>
    <row r="238" spans="1:58" s="3" customFormat="1" ht="14.1" customHeight="1">
      <c r="A238" s="247">
        <f t="shared" si="108"/>
        <v>232</v>
      </c>
      <c r="B238" s="19" t="s">
        <v>539</v>
      </c>
      <c r="C238" s="189">
        <f>+C236+C237</f>
        <v>0</v>
      </c>
      <c r="D238" s="189">
        <f>+D236+D237</f>
        <v>0</v>
      </c>
      <c r="E238" s="189">
        <f t="shared" ref="E238:BA238" si="119">+E236+E237</f>
        <v>0</v>
      </c>
      <c r="F238" s="189">
        <f t="shared" si="119"/>
        <v>0</v>
      </c>
      <c r="G238" s="189">
        <f t="shared" si="119"/>
        <v>0</v>
      </c>
      <c r="H238" s="189">
        <f t="shared" si="119"/>
        <v>0</v>
      </c>
      <c r="I238" s="189">
        <f t="shared" si="119"/>
        <v>0</v>
      </c>
      <c r="J238" s="189">
        <f t="shared" si="119"/>
        <v>0</v>
      </c>
      <c r="K238" s="189">
        <f t="shared" si="119"/>
        <v>0</v>
      </c>
      <c r="L238" s="189">
        <f t="shared" si="119"/>
        <v>0</v>
      </c>
      <c r="M238" s="189">
        <f t="shared" si="119"/>
        <v>0</v>
      </c>
      <c r="N238" s="189">
        <f t="shared" si="119"/>
        <v>0</v>
      </c>
      <c r="O238" s="189">
        <f t="shared" si="119"/>
        <v>0</v>
      </c>
      <c r="P238" s="189">
        <f t="shared" si="119"/>
        <v>0</v>
      </c>
      <c r="Q238" s="189">
        <f t="shared" si="119"/>
        <v>0</v>
      </c>
      <c r="R238" s="189">
        <f t="shared" si="119"/>
        <v>0</v>
      </c>
      <c r="S238" s="189">
        <f t="shared" si="119"/>
        <v>0</v>
      </c>
      <c r="T238" s="189">
        <f t="shared" si="119"/>
        <v>0</v>
      </c>
      <c r="U238" s="189">
        <f t="shared" si="119"/>
        <v>0</v>
      </c>
      <c r="V238" s="189">
        <f t="shared" si="119"/>
        <v>0</v>
      </c>
      <c r="W238" s="189">
        <f t="shared" si="119"/>
        <v>0</v>
      </c>
      <c r="X238" s="189">
        <f t="shared" si="119"/>
        <v>0</v>
      </c>
      <c r="Y238" s="189">
        <f t="shared" si="119"/>
        <v>0</v>
      </c>
      <c r="Z238" s="189">
        <f t="shared" si="119"/>
        <v>0</v>
      </c>
      <c r="AA238" s="189">
        <f t="shared" si="119"/>
        <v>0</v>
      </c>
      <c r="AB238" s="189">
        <f t="shared" si="119"/>
        <v>0</v>
      </c>
      <c r="AC238" s="189">
        <f t="shared" si="119"/>
        <v>0</v>
      </c>
      <c r="AD238" s="189">
        <f t="shared" si="119"/>
        <v>0</v>
      </c>
      <c r="AE238" s="189">
        <f t="shared" si="119"/>
        <v>0</v>
      </c>
      <c r="AF238" s="189">
        <f t="shared" si="119"/>
        <v>0</v>
      </c>
      <c r="AG238" s="189">
        <f t="shared" si="119"/>
        <v>0</v>
      </c>
      <c r="AH238" s="189">
        <f t="shared" si="119"/>
        <v>0</v>
      </c>
      <c r="AI238" s="189">
        <f t="shared" si="119"/>
        <v>0</v>
      </c>
      <c r="AJ238" s="189">
        <f t="shared" si="119"/>
        <v>0</v>
      </c>
      <c r="AK238" s="189">
        <f t="shared" si="119"/>
        <v>0</v>
      </c>
      <c r="AL238" s="189">
        <f t="shared" si="119"/>
        <v>0</v>
      </c>
      <c r="AM238" s="189">
        <f t="shared" si="119"/>
        <v>0</v>
      </c>
      <c r="AN238" s="189">
        <f t="shared" si="119"/>
        <v>0</v>
      </c>
      <c r="AO238" s="189">
        <f t="shared" si="119"/>
        <v>0</v>
      </c>
      <c r="AP238" s="189">
        <f t="shared" si="119"/>
        <v>0</v>
      </c>
      <c r="AQ238" s="189">
        <f t="shared" si="119"/>
        <v>0</v>
      </c>
      <c r="AR238" s="189">
        <f t="shared" si="119"/>
        <v>0</v>
      </c>
      <c r="AS238" s="189">
        <f t="shared" si="119"/>
        <v>0</v>
      </c>
      <c r="AT238" s="189">
        <f t="shared" si="119"/>
        <v>0</v>
      </c>
      <c r="AU238" s="189">
        <f t="shared" si="119"/>
        <v>0</v>
      </c>
      <c r="AV238" s="189">
        <f t="shared" si="119"/>
        <v>0</v>
      </c>
      <c r="AW238" s="189">
        <f t="shared" si="119"/>
        <v>0</v>
      </c>
      <c r="AX238" s="189">
        <f t="shared" si="119"/>
        <v>0</v>
      </c>
      <c r="AY238" s="189">
        <f t="shared" si="119"/>
        <v>0</v>
      </c>
      <c r="AZ238" s="189">
        <f t="shared" si="119"/>
        <v>0</v>
      </c>
      <c r="BA238" s="189">
        <f t="shared" si="119"/>
        <v>0</v>
      </c>
      <c r="BB238" s="189">
        <f>+BB236+BB237</f>
        <v>0</v>
      </c>
      <c r="BC238" s="189">
        <f>+BC236+BC237</f>
        <v>0</v>
      </c>
      <c r="BD238" s="189">
        <f>+BD236+BD237</f>
        <v>0</v>
      </c>
      <c r="BE238" s="189">
        <f>+BE236+BE237</f>
        <v>0</v>
      </c>
      <c r="BF238" s="189">
        <f>+BF236+BF237</f>
        <v>0</v>
      </c>
    </row>
    <row r="239" spans="1:58" ht="14.1" customHeight="1">
      <c r="A239" s="247">
        <f t="shared" si="108"/>
        <v>233</v>
      </c>
      <c r="B239" s="30"/>
      <c r="C239" s="30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</row>
    <row r="240" spans="1:58" ht="14.1" customHeight="1">
      <c r="A240" s="247">
        <f t="shared" si="108"/>
        <v>234</v>
      </c>
      <c r="B240" s="14" t="s">
        <v>164</v>
      </c>
      <c r="C240" s="14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</row>
    <row r="241" spans="1:58" s="23" customFormat="1" ht="14.1" customHeight="1">
      <c r="A241" s="247">
        <f t="shared" si="108"/>
        <v>235</v>
      </c>
      <c r="B241" s="27" t="s">
        <v>165</v>
      </c>
      <c r="C241" s="43">
        <f t="shared" ref="C241:C246" si="120">SUM(D241:BF241)</f>
        <v>81691374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1">
        <v>0</v>
      </c>
      <c r="AS241" s="11">
        <v>0</v>
      </c>
      <c r="AT241" s="11">
        <v>0</v>
      </c>
      <c r="AU241" s="11">
        <v>0</v>
      </c>
      <c r="AV241" s="11">
        <v>0</v>
      </c>
      <c r="AW241" s="11">
        <v>0</v>
      </c>
      <c r="AX241" s="11">
        <v>0</v>
      </c>
      <c r="AY241" s="11">
        <v>0</v>
      </c>
      <c r="AZ241" s="11">
        <v>24400898</v>
      </c>
      <c r="BA241" s="11">
        <v>0</v>
      </c>
      <c r="BB241" s="11">
        <v>0</v>
      </c>
      <c r="BC241" s="11">
        <v>57290476</v>
      </c>
      <c r="BD241" s="11">
        <v>0</v>
      </c>
      <c r="BE241" s="11">
        <v>0</v>
      </c>
      <c r="BF241" s="11">
        <v>0</v>
      </c>
    </row>
    <row r="242" spans="1:58" s="23" customFormat="1" ht="14.1" customHeight="1">
      <c r="A242" s="247">
        <f t="shared" si="108"/>
        <v>236</v>
      </c>
      <c r="B242" s="27" t="s">
        <v>166</v>
      </c>
      <c r="C242" s="43">
        <f t="shared" si="120"/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11">
        <v>0</v>
      </c>
      <c r="AH242" s="11">
        <v>0</v>
      </c>
      <c r="AI242" s="11">
        <v>0</v>
      </c>
      <c r="AJ242" s="11">
        <v>0</v>
      </c>
      <c r="AK242" s="11">
        <v>0</v>
      </c>
      <c r="AL242" s="11">
        <v>0</v>
      </c>
      <c r="AM242" s="11">
        <v>0</v>
      </c>
      <c r="AN242" s="11">
        <v>0</v>
      </c>
      <c r="AO242" s="11">
        <v>0</v>
      </c>
      <c r="AP242" s="11">
        <v>0</v>
      </c>
      <c r="AQ242" s="11">
        <v>0</v>
      </c>
      <c r="AR242" s="11">
        <v>0</v>
      </c>
      <c r="AS242" s="11">
        <v>0</v>
      </c>
      <c r="AT242" s="11">
        <v>0</v>
      </c>
      <c r="AU242" s="11">
        <v>0</v>
      </c>
      <c r="AV242" s="11">
        <v>0</v>
      </c>
      <c r="AW242" s="11">
        <v>0</v>
      </c>
      <c r="AX242" s="11">
        <v>0</v>
      </c>
      <c r="AY242" s="11">
        <v>0</v>
      </c>
      <c r="AZ242" s="11">
        <v>0</v>
      </c>
      <c r="BA242" s="11">
        <v>0</v>
      </c>
      <c r="BB242" s="11">
        <v>0</v>
      </c>
      <c r="BC242" s="11">
        <v>0</v>
      </c>
      <c r="BD242" s="11">
        <v>0</v>
      </c>
      <c r="BE242" s="11">
        <v>0</v>
      </c>
      <c r="BF242" s="11">
        <v>0</v>
      </c>
    </row>
    <row r="243" spans="1:58" s="23" customFormat="1" ht="14.1" customHeight="1">
      <c r="A243" s="247">
        <f t="shared" si="108"/>
        <v>237</v>
      </c>
      <c r="B243" s="27" t="s">
        <v>167</v>
      </c>
      <c r="C243" s="43">
        <f t="shared" si="120"/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1">
        <v>0</v>
      </c>
      <c r="AS243" s="11">
        <v>0</v>
      </c>
      <c r="AT243" s="11">
        <v>0</v>
      </c>
      <c r="AU243" s="11">
        <v>0</v>
      </c>
      <c r="AV243" s="11">
        <v>0</v>
      </c>
      <c r="AW243" s="11">
        <v>0</v>
      </c>
      <c r="AX243" s="11">
        <v>0</v>
      </c>
      <c r="AY243" s="11">
        <v>0</v>
      </c>
      <c r="AZ243" s="11">
        <v>0</v>
      </c>
      <c r="BA243" s="11">
        <v>0</v>
      </c>
      <c r="BB243" s="11">
        <v>0</v>
      </c>
      <c r="BC243" s="11">
        <v>0</v>
      </c>
      <c r="BD243" s="11">
        <v>0</v>
      </c>
      <c r="BE243" s="11">
        <v>0</v>
      </c>
      <c r="BF243" s="11">
        <v>0</v>
      </c>
    </row>
    <row r="244" spans="1:58" s="23" customFormat="1" ht="14.1" customHeight="1">
      <c r="A244" s="247">
        <f t="shared" si="108"/>
        <v>238</v>
      </c>
      <c r="B244" s="27" t="s">
        <v>386</v>
      </c>
      <c r="C244" s="43">
        <f t="shared" si="120"/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  <c r="AK244" s="11">
        <v>0</v>
      </c>
      <c r="AL244" s="11">
        <v>0</v>
      </c>
      <c r="AM244" s="11">
        <v>0</v>
      </c>
      <c r="AN244" s="11">
        <v>0</v>
      </c>
      <c r="AO244" s="11">
        <v>0</v>
      </c>
      <c r="AP244" s="11">
        <v>0</v>
      </c>
      <c r="AQ244" s="11">
        <v>0</v>
      </c>
      <c r="AR244" s="11">
        <v>0</v>
      </c>
      <c r="AS244" s="11">
        <v>0</v>
      </c>
      <c r="AT244" s="11">
        <v>0</v>
      </c>
      <c r="AU244" s="11">
        <v>0</v>
      </c>
      <c r="AV244" s="11">
        <v>0</v>
      </c>
      <c r="AW244" s="11">
        <v>0</v>
      </c>
      <c r="AX244" s="11">
        <v>0</v>
      </c>
      <c r="AY244" s="11">
        <v>0</v>
      </c>
      <c r="AZ244" s="11">
        <v>0</v>
      </c>
      <c r="BA244" s="11">
        <v>0</v>
      </c>
      <c r="BB244" s="11">
        <v>0</v>
      </c>
      <c r="BC244" s="11">
        <v>0</v>
      </c>
      <c r="BD244" s="11">
        <v>0</v>
      </c>
      <c r="BE244" s="11">
        <v>0</v>
      </c>
      <c r="BF244" s="11">
        <v>0</v>
      </c>
    </row>
    <row r="245" spans="1:58" ht="14.1" customHeight="1">
      <c r="A245" s="247">
        <f t="shared" si="108"/>
        <v>239</v>
      </c>
      <c r="B245" s="27" t="s">
        <v>168</v>
      </c>
      <c r="C245" s="43">
        <f t="shared" si="120"/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0</v>
      </c>
      <c r="AI245" s="11">
        <v>0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>
        <v>0</v>
      </c>
      <c r="AT245" s="11">
        <v>0</v>
      </c>
      <c r="AU245" s="11">
        <v>0</v>
      </c>
      <c r="AV245" s="11">
        <v>0</v>
      </c>
      <c r="AW245" s="11">
        <v>0</v>
      </c>
      <c r="AX245" s="11">
        <v>0</v>
      </c>
      <c r="AY245" s="11">
        <v>0</v>
      </c>
      <c r="AZ245" s="11">
        <v>0</v>
      </c>
      <c r="BA245" s="11">
        <v>0</v>
      </c>
      <c r="BB245" s="11">
        <v>0</v>
      </c>
      <c r="BC245" s="11">
        <v>0</v>
      </c>
      <c r="BD245" s="11">
        <v>0</v>
      </c>
      <c r="BE245" s="11">
        <v>0</v>
      </c>
      <c r="BF245" s="11">
        <v>0</v>
      </c>
    </row>
    <row r="246" spans="1:58" ht="14.1" customHeight="1">
      <c r="A246" s="247">
        <f t="shared" si="108"/>
        <v>240</v>
      </c>
      <c r="B246" s="92" t="s">
        <v>169</v>
      </c>
      <c r="C246" s="43">
        <f t="shared" si="120"/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11">
        <v>0</v>
      </c>
      <c r="AG246" s="11">
        <v>0</v>
      </c>
      <c r="AH246" s="11">
        <v>0</v>
      </c>
      <c r="AI246" s="11">
        <v>0</v>
      </c>
      <c r="AJ246" s="11">
        <v>0</v>
      </c>
      <c r="AK246" s="11">
        <v>0</v>
      </c>
      <c r="AL246" s="11">
        <v>0</v>
      </c>
      <c r="AM246" s="11">
        <v>0</v>
      </c>
      <c r="AN246" s="11">
        <v>0</v>
      </c>
      <c r="AO246" s="11">
        <v>0</v>
      </c>
      <c r="AP246" s="11">
        <v>0</v>
      </c>
      <c r="AQ246" s="11">
        <v>0</v>
      </c>
      <c r="AR246" s="11">
        <v>0</v>
      </c>
      <c r="AS246" s="11">
        <v>0</v>
      </c>
      <c r="AT246" s="11">
        <v>0</v>
      </c>
      <c r="AU246" s="11">
        <v>0</v>
      </c>
      <c r="AV246" s="11">
        <v>0</v>
      </c>
      <c r="AW246" s="11">
        <v>0</v>
      </c>
      <c r="AX246" s="11">
        <v>0</v>
      </c>
      <c r="AY246" s="11">
        <v>0</v>
      </c>
      <c r="AZ246" s="11">
        <v>0</v>
      </c>
      <c r="BA246" s="11">
        <v>0</v>
      </c>
      <c r="BB246" s="11">
        <v>0</v>
      </c>
      <c r="BC246" s="11">
        <v>0</v>
      </c>
      <c r="BD246" s="11">
        <v>0</v>
      </c>
      <c r="BE246" s="11">
        <v>0</v>
      </c>
      <c r="BF246" s="11">
        <v>0</v>
      </c>
    </row>
    <row r="247" spans="1:58" ht="14.1" customHeight="1">
      <c r="A247" s="247">
        <f t="shared" si="108"/>
        <v>241</v>
      </c>
      <c r="B247" s="205" t="s">
        <v>170</v>
      </c>
      <c r="C247" s="189">
        <f>SUM(C241:C246)</f>
        <v>81691374</v>
      </c>
      <c r="D247" s="189">
        <f>SUM(D241:D246)</f>
        <v>0</v>
      </c>
      <c r="E247" s="189">
        <f t="shared" ref="E247:BA247" si="121">SUM(E241:E246)</f>
        <v>0</v>
      </c>
      <c r="F247" s="189">
        <f t="shared" si="121"/>
        <v>0</v>
      </c>
      <c r="G247" s="189">
        <f t="shared" si="121"/>
        <v>0</v>
      </c>
      <c r="H247" s="189">
        <f t="shared" si="121"/>
        <v>0</v>
      </c>
      <c r="I247" s="189">
        <f t="shared" si="121"/>
        <v>0</v>
      </c>
      <c r="J247" s="189">
        <f t="shared" si="121"/>
        <v>0</v>
      </c>
      <c r="K247" s="189">
        <f t="shared" si="121"/>
        <v>0</v>
      </c>
      <c r="L247" s="189">
        <f t="shared" si="121"/>
        <v>0</v>
      </c>
      <c r="M247" s="189">
        <f t="shared" si="121"/>
        <v>0</v>
      </c>
      <c r="N247" s="189">
        <f t="shared" si="121"/>
        <v>0</v>
      </c>
      <c r="O247" s="189">
        <f t="shared" si="121"/>
        <v>0</v>
      </c>
      <c r="P247" s="189">
        <f t="shared" si="121"/>
        <v>0</v>
      </c>
      <c r="Q247" s="189">
        <f t="shared" si="121"/>
        <v>0</v>
      </c>
      <c r="R247" s="189">
        <f t="shared" si="121"/>
        <v>0</v>
      </c>
      <c r="S247" s="189">
        <f t="shared" si="121"/>
        <v>0</v>
      </c>
      <c r="T247" s="189">
        <f t="shared" si="121"/>
        <v>0</v>
      </c>
      <c r="U247" s="189">
        <f t="shared" si="121"/>
        <v>0</v>
      </c>
      <c r="V247" s="189">
        <f t="shared" si="121"/>
        <v>0</v>
      </c>
      <c r="W247" s="189">
        <f t="shared" si="121"/>
        <v>0</v>
      </c>
      <c r="X247" s="189">
        <f t="shared" si="121"/>
        <v>0</v>
      </c>
      <c r="Y247" s="189">
        <f t="shared" si="121"/>
        <v>0</v>
      </c>
      <c r="Z247" s="189">
        <f t="shared" si="121"/>
        <v>0</v>
      </c>
      <c r="AA247" s="189">
        <f t="shared" si="121"/>
        <v>0</v>
      </c>
      <c r="AB247" s="189">
        <f t="shared" si="121"/>
        <v>0</v>
      </c>
      <c r="AC247" s="189">
        <f t="shared" si="121"/>
        <v>0</v>
      </c>
      <c r="AD247" s="189">
        <f t="shared" si="121"/>
        <v>0</v>
      </c>
      <c r="AE247" s="189">
        <f t="shared" si="121"/>
        <v>0</v>
      </c>
      <c r="AF247" s="189">
        <f t="shared" si="121"/>
        <v>0</v>
      </c>
      <c r="AG247" s="189">
        <f t="shared" si="121"/>
        <v>0</v>
      </c>
      <c r="AH247" s="189">
        <f t="shared" si="121"/>
        <v>0</v>
      </c>
      <c r="AI247" s="189">
        <f t="shared" si="121"/>
        <v>0</v>
      </c>
      <c r="AJ247" s="189">
        <f t="shared" si="121"/>
        <v>0</v>
      </c>
      <c r="AK247" s="189">
        <f t="shared" si="121"/>
        <v>0</v>
      </c>
      <c r="AL247" s="189">
        <f t="shared" si="121"/>
        <v>0</v>
      </c>
      <c r="AM247" s="189">
        <f t="shared" si="121"/>
        <v>0</v>
      </c>
      <c r="AN247" s="189">
        <f t="shared" si="121"/>
        <v>0</v>
      </c>
      <c r="AO247" s="189">
        <f t="shared" si="121"/>
        <v>0</v>
      </c>
      <c r="AP247" s="189">
        <f t="shared" si="121"/>
        <v>0</v>
      </c>
      <c r="AQ247" s="189">
        <f t="shared" si="121"/>
        <v>0</v>
      </c>
      <c r="AR247" s="189">
        <f t="shared" si="121"/>
        <v>0</v>
      </c>
      <c r="AS247" s="189">
        <f t="shared" si="121"/>
        <v>0</v>
      </c>
      <c r="AT247" s="189">
        <f t="shared" si="121"/>
        <v>0</v>
      </c>
      <c r="AU247" s="189">
        <f t="shared" si="121"/>
        <v>0</v>
      </c>
      <c r="AV247" s="189">
        <f t="shared" si="121"/>
        <v>0</v>
      </c>
      <c r="AW247" s="189">
        <f t="shared" si="121"/>
        <v>0</v>
      </c>
      <c r="AX247" s="189">
        <f t="shared" si="121"/>
        <v>0</v>
      </c>
      <c r="AY247" s="189">
        <f t="shared" si="121"/>
        <v>0</v>
      </c>
      <c r="AZ247" s="189">
        <f t="shared" si="121"/>
        <v>24400898</v>
      </c>
      <c r="BA247" s="189">
        <f t="shared" si="121"/>
        <v>0</v>
      </c>
      <c r="BB247" s="189">
        <f>SUM(BB241:BB246)</f>
        <v>0</v>
      </c>
      <c r="BC247" s="189">
        <f>SUM(BC241:BC246)</f>
        <v>57290476</v>
      </c>
      <c r="BD247" s="189">
        <f>SUM(BD241:BD246)</f>
        <v>0</v>
      </c>
      <c r="BE247" s="189">
        <f>SUM(BE241:BE246)</f>
        <v>0</v>
      </c>
      <c r="BF247" s="189">
        <f>SUM(BF241:BF246)</f>
        <v>0</v>
      </c>
    </row>
    <row r="248" spans="1:58" ht="14.1" customHeight="1">
      <c r="A248" s="247">
        <f t="shared" si="108"/>
        <v>242</v>
      </c>
      <c r="B248" s="88"/>
      <c r="C248" s="326"/>
      <c r="D248" s="326"/>
      <c r="E248" s="326"/>
      <c r="F248" s="326"/>
      <c r="G248" s="326"/>
      <c r="H248" s="326"/>
      <c r="I248" s="326"/>
      <c r="J248" s="326"/>
      <c r="K248" s="326"/>
      <c r="L248" s="326"/>
      <c r="M248" s="326"/>
      <c r="N248" s="326"/>
      <c r="O248" s="326"/>
      <c r="P248" s="326"/>
      <c r="Q248" s="326"/>
      <c r="R248" s="326"/>
      <c r="S248" s="326"/>
      <c r="T248" s="326"/>
      <c r="U248" s="326"/>
      <c r="V248" s="326"/>
      <c r="W248" s="326"/>
      <c r="X248" s="326"/>
      <c r="Y248" s="326"/>
      <c r="Z248" s="326"/>
      <c r="AA248" s="326"/>
      <c r="AB248" s="326"/>
      <c r="AC248" s="326"/>
      <c r="AD248" s="326"/>
      <c r="AE248" s="326"/>
      <c r="AF248" s="326"/>
      <c r="AG248" s="326"/>
      <c r="AH248" s="326"/>
      <c r="AI248" s="326"/>
      <c r="AJ248" s="326"/>
      <c r="AK248" s="326"/>
      <c r="AL248" s="326"/>
      <c r="AM248" s="326"/>
      <c r="AN248" s="326"/>
      <c r="AO248" s="326"/>
      <c r="AP248" s="326"/>
      <c r="AQ248" s="326"/>
      <c r="AR248" s="326"/>
      <c r="AS248" s="326"/>
      <c r="AT248" s="326"/>
      <c r="AU248" s="326"/>
      <c r="AV248" s="326"/>
      <c r="AW248" s="326"/>
      <c r="AX248" s="326"/>
      <c r="AY248" s="326"/>
      <c r="AZ248" s="326"/>
      <c r="BA248" s="326"/>
      <c r="BB248" s="326"/>
      <c r="BC248" s="326"/>
      <c r="BD248" s="326"/>
      <c r="BE248" s="326"/>
      <c r="BF248" s="326"/>
    </row>
    <row r="249" spans="1:58" s="3" customFormat="1" ht="14.1" customHeight="1" thickBot="1">
      <c r="A249" s="247">
        <f t="shared" si="108"/>
        <v>243</v>
      </c>
      <c r="B249" s="90" t="s">
        <v>171</v>
      </c>
      <c r="C249" s="208">
        <f>C191+C214+C163+C221+C234+C238+C247</f>
        <v>-376522720.35852003</v>
      </c>
      <c r="D249" s="208">
        <f>D191+D214+D163+D221+D234+D238+D247</f>
        <v>0</v>
      </c>
      <c r="E249" s="208">
        <f t="shared" ref="E249:BA249" si="122">E191+E214+E163+E221+E234+E238+E247</f>
        <v>0</v>
      </c>
      <c r="F249" s="208">
        <f t="shared" si="122"/>
        <v>0</v>
      </c>
      <c r="G249" s="208">
        <f t="shared" si="122"/>
        <v>0</v>
      </c>
      <c r="H249" s="208">
        <f t="shared" si="122"/>
        <v>0</v>
      </c>
      <c r="I249" s="208">
        <f t="shared" si="122"/>
        <v>0</v>
      </c>
      <c r="J249" s="208">
        <f t="shared" si="122"/>
        <v>0</v>
      </c>
      <c r="K249" s="208">
        <f t="shared" si="122"/>
        <v>0</v>
      </c>
      <c r="L249" s="208">
        <f t="shared" si="122"/>
        <v>0</v>
      </c>
      <c r="M249" s="208">
        <f t="shared" si="122"/>
        <v>0</v>
      </c>
      <c r="N249" s="208">
        <f t="shared" si="122"/>
        <v>0</v>
      </c>
      <c r="O249" s="208">
        <f t="shared" si="122"/>
        <v>0</v>
      </c>
      <c r="P249" s="208">
        <f t="shared" si="122"/>
        <v>0</v>
      </c>
      <c r="Q249" s="208">
        <f t="shared" si="122"/>
        <v>0</v>
      </c>
      <c r="R249" s="208">
        <f t="shared" si="122"/>
        <v>0</v>
      </c>
      <c r="S249" s="208">
        <f t="shared" si="122"/>
        <v>0</v>
      </c>
      <c r="T249" s="208">
        <f t="shared" si="122"/>
        <v>0</v>
      </c>
      <c r="U249" s="208">
        <f t="shared" si="122"/>
        <v>0</v>
      </c>
      <c r="V249" s="208">
        <f t="shared" si="122"/>
        <v>0</v>
      </c>
      <c r="W249" s="208">
        <f t="shared" si="122"/>
        <v>0</v>
      </c>
      <c r="X249" s="208">
        <f t="shared" si="122"/>
        <v>0</v>
      </c>
      <c r="Y249" s="208">
        <f t="shared" si="122"/>
        <v>0</v>
      </c>
      <c r="Z249" s="208">
        <f t="shared" si="122"/>
        <v>0</v>
      </c>
      <c r="AA249" s="208">
        <f t="shared" si="122"/>
        <v>0</v>
      </c>
      <c r="AB249" s="208">
        <f t="shared" si="122"/>
        <v>0</v>
      </c>
      <c r="AC249" s="208">
        <f t="shared" si="122"/>
        <v>0</v>
      </c>
      <c r="AD249" s="208">
        <f t="shared" si="122"/>
        <v>0</v>
      </c>
      <c r="AE249" s="208">
        <f t="shared" si="122"/>
        <v>0</v>
      </c>
      <c r="AF249" s="208">
        <f t="shared" si="122"/>
        <v>0</v>
      </c>
      <c r="AG249" s="208">
        <f t="shared" si="122"/>
        <v>0</v>
      </c>
      <c r="AH249" s="208">
        <f t="shared" si="122"/>
        <v>0</v>
      </c>
      <c r="AI249" s="208">
        <f t="shared" si="122"/>
        <v>-69695</v>
      </c>
      <c r="AJ249" s="208">
        <f t="shared" si="122"/>
        <v>0</v>
      </c>
      <c r="AK249" s="208">
        <f t="shared" si="122"/>
        <v>0</v>
      </c>
      <c r="AL249" s="208">
        <f t="shared" si="122"/>
        <v>0</v>
      </c>
      <c r="AM249" s="208">
        <f t="shared" si="122"/>
        <v>0</v>
      </c>
      <c r="AN249" s="208">
        <f t="shared" si="122"/>
        <v>0</v>
      </c>
      <c r="AO249" s="208">
        <f t="shared" si="122"/>
        <v>0</v>
      </c>
      <c r="AP249" s="208">
        <f t="shared" si="122"/>
        <v>0</v>
      </c>
      <c r="AQ249" s="208">
        <f t="shared" si="122"/>
        <v>0</v>
      </c>
      <c r="AR249" s="208">
        <f t="shared" si="122"/>
        <v>0</v>
      </c>
      <c r="AS249" s="208">
        <f t="shared" si="122"/>
        <v>0</v>
      </c>
      <c r="AT249" s="208">
        <f t="shared" si="122"/>
        <v>0</v>
      </c>
      <c r="AU249" s="208">
        <f t="shared" si="122"/>
        <v>0</v>
      </c>
      <c r="AV249" s="208">
        <f t="shared" si="122"/>
        <v>0</v>
      </c>
      <c r="AW249" s="208">
        <f t="shared" si="122"/>
        <v>0</v>
      </c>
      <c r="AX249" s="208">
        <f t="shared" si="122"/>
        <v>0</v>
      </c>
      <c r="AY249" s="208">
        <f t="shared" si="122"/>
        <v>0</v>
      </c>
      <c r="AZ249" s="208">
        <f t="shared" si="122"/>
        <v>-223164406</v>
      </c>
      <c r="BA249" s="208">
        <f t="shared" si="122"/>
        <v>0</v>
      </c>
      <c r="BB249" s="208">
        <f>BB191+BB214+BB163+BB221+BB234+BB238+BB247</f>
        <v>0</v>
      </c>
      <c r="BC249" s="208">
        <f>BC191+BC214+BC163+BC221+BC234+BC238+BC247</f>
        <v>-147983065.35852003</v>
      </c>
      <c r="BD249" s="208">
        <f>BD191+BD214+BD163+BD221+BD234+BD238+BD247</f>
        <v>0</v>
      </c>
      <c r="BE249" s="208">
        <f>BE191+BE214+BE163+BE221+BE234+BE238+BE247</f>
        <v>-5305554</v>
      </c>
      <c r="BF249" s="208">
        <f>BF191+BF214+BF163+BF221+BF234+BF238+BF247</f>
        <v>0</v>
      </c>
    </row>
    <row r="250" spans="1:58" ht="14.1" customHeight="1" thickTop="1">
      <c r="A250" s="247">
        <f t="shared" si="108"/>
        <v>244</v>
      </c>
      <c r="B250" s="158"/>
      <c r="C250" s="158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</row>
    <row r="251" spans="1:58" ht="14.1" customHeight="1">
      <c r="A251" s="247">
        <f t="shared" si="108"/>
        <v>245</v>
      </c>
      <c r="B251" s="27"/>
      <c r="C251" s="27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48"/>
      <c r="BA251" s="48"/>
      <c r="BB251" s="48"/>
      <c r="BC251" s="48"/>
      <c r="BD251" s="48"/>
      <c r="BE251" s="48"/>
      <c r="BF251" s="48"/>
    </row>
    <row r="252" spans="1:58" ht="14.1" customHeight="1">
      <c r="A252" s="247">
        <f t="shared" si="108"/>
        <v>246</v>
      </c>
      <c r="B252" s="304" t="s">
        <v>323</v>
      </c>
      <c r="C252" s="43">
        <f>SUM(D252:BF252)</f>
        <v>-4370496</v>
      </c>
      <c r="D252" s="11">
        <v>-5719968</v>
      </c>
      <c r="E252" s="11">
        <v>-5929131</v>
      </c>
      <c r="F252" s="11">
        <v>2812947</v>
      </c>
      <c r="G252" s="11">
        <v>149766</v>
      </c>
      <c r="H252" s="11">
        <v>-399403</v>
      </c>
      <c r="I252" s="11">
        <v>0</v>
      </c>
      <c r="J252" s="11">
        <v>-5298776</v>
      </c>
      <c r="K252" s="11">
        <v>10014069</v>
      </c>
      <c r="L252" s="11">
        <v>0</v>
      </c>
      <c r="M252" s="11">
        <v>0</v>
      </c>
      <c r="N252" s="11">
        <v>0</v>
      </c>
      <c r="O252" s="11">
        <v>0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11">
        <v>0</v>
      </c>
      <c r="AG252" s="11">
        <v>0</v>
      </c>
      <c r="AH252" s="11">
        <v>0</v>
      </c>
      <c r="AI252" s="11">
        <v>0</v>
      </c>
      <c r="AJ252" s="11">
        <v>0</v>
      </c>
      <c r="AK252" s="11">
        <v>0</v>
      </c>
      <c r="AL252" s="11">
        <v>0</v>
      </c>
      <c r="AM252" s="11">
        <v>0</v>
      </c>
      <c r="AN252" s="11">
        <v>0</v>
      </c>
      <c r="AO252" s="11">
        <v>0</v>
      </c>
      <c r="AP252" s="11">
        <v>0</v>
      </c>
      <c r="AQ252" s="11">
        <v>0</v>
      </c>
      <c r="AR252" s="11">
        <v>0</v>
      </c>
      <c r="AS252" s="11">
        <v>0</v>
      </c>
      <c r="AT252" s="11">
        <v>0</v>
      </c>
      <c r="AU252" s="11">
        <v>0</v>
      </c>
      <c r="AV252" s="11">
        <v>0</v>
      </c>
      <c r="AW252" s="11">
        <v>0</v>
      </c>
      <c r="AX252" s="11">
        <v>0</v>
      </c>
      <c r="AY252" s="11">
        <v>0</v>
      </c>
      <c r="AZ252" s="11">
        <v>0</v>
      </c>
      <c r="BA252" s="11">
        <v>0</v>
      </c>
      <c r="BB252" s="11">
        <v>0</v>
      </c>
      <c r="BC252" s="11">
        <v>0</v>
      </c>
      <c r="BD252" s="11">
        <v>0</v>
      </c>
      <c r="BE252" s="11">
        <v>0</v>
      </c>
      <c r="BF252" s="11">
        <v>0</v>
      </c>
    </row>
    <row r="253" spans="1:58" ht="14.1" customHeight="1">
      <c r="A253" s="247">
        <f t="shared" si="108"/>
        <v>247</v>
      </c>
      <c r="B253" s="304" t="s">
        <v>375</v>
      </c>
      <c r="C253" s="43">
        <f>SUM(D253:BF253)</f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1">
        <v>0</v>
      </c>
      <c r="AS253" s="11">
        <v>0</v>
      </c>
      <c r="AT253" s="11">
        <v>0</v>
      </c>
      <c r="AU253" s="11">
        <v>0</v>
      </c>
      <c r="AV253" s="11">
        <v>0</v>
      </c>
      <c r="AW253" s="11">
        <v>0</v>
      </c>
      <c r="AX253" s="11">
        <v>0</v>
      </c>
      <c r="AY253" s="11">
        <v>0</v>
      </c>
      <c r="AZ253" s="11">
        <v>0</v>
      </c>
      <c r="BA253" s="11">
        <v>0</v>
      </c>
      <c r="BB253" s="11">
        <v>0</v>
      </c>
      <c r="BC253" s="11">
        <v>0</v>
      </c>
      <c r="BD253" s="11">
        <v>0</v>
      </c>
      <c r="BE253" s="11">
        <v>0</v>
      </c>
      <c r="BF253" s="11">
        <v>0</v>
      </c>
    </row>
    <row r="254" spans="1:58" ht="14.1" customHeight="1">
      <c r="A254" s="247">
        <f t="shared" si="108"/>
        <v>248</v>
      </c>
      <c r="B254" s="304" t="s">
        <v>18</v>
      </c>
      <c r="C254" s="43">
        <f>SUM(D254:BF254)</f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11">
        <v>0</v>
      </c>
      <c r="AG254" s="11">
        <v>0</v>
      </c>
      <c r="AH254" s="11">
        <v>0</v>
      </c>
      <c r="AI254" s="11">
        <v>0</v>
      </c>
      <c r="AJ254" s="11">
        <v>0</v>
      </c>
      <c r="AK254" s="11">
        <v>0</v>
      </c>
      <c r="AL254" s="11">
        <v>0</v>
      </c>
      <c r="AM254" s="11">
        <v>0</v>
      </c>
      <c r="AN254" s="11">
        <v>0</v>
      </c>
      <c r="AO254" s="11">
        <v>0</v>
      </c>
      <c r="AP254" s="11">
        <v>0</v>
      </c>
      <c r="AQ254" s="11">
        <v>0</v>
      </c>
      <c r="AR254" s="11">
        <v>0</v>
      </c>
      <c r="AS254" s="11">
        <v>0</v>
      </c>
      <c r="AT254" s="11">
        <v>0</v>
      </c>
      <c r="AU254" s="11">
        <v>0</v>
      </c>
      <c r="AV254" s="11">
        <v>0</v>
      </c>
      <c r="AW254" s="11">
        <v>0</v>
      </c>
      <c r="AX254" s="11">
        <v>0</v>
      </c>
      <c r="AY254" s="11">
        <v>0</v>
      </c>
      <c r="AZ254" s="11">
        <v>0</v>
      </c>
      <c r="BA254" s="11">
        <v>0</v>
      </c>
      <c r="BB254" s="11">
        <v>0</v>
      </c>
      <c r="BC254" s="11">
        <v>0</v>
      </c>
      <c r="BD254" s="11">
        <v>0</v>
      </c>
      <c r="BE254" s="11">
        <v>0</v>
      </c>
      <c r="BF254" s="11">
        <v>0</v>
      </c>
    </row>
    <row r="255" spans="1:58" ht="14.1" customHeight="1">
      <c r="A255" s="247">
        <f t="shared" si="108"/>
        <v>249</v>
      </c>
      <c r="B255" s="304"/>
      <c r="C255" s="304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</row>
    <row r="256" spans="1:58" ht="14.1" customHeight="1">
      <c r="A256" s="247">
        <f t="shared" si="108"/>
        <v>250</v>
      </c>
      <c r="B256" s="3" t="s">
        <v>172</v>
      </c>
      <c r="C256" s="3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</row>
    <row r="257" spans="1:58" ht="14.1" customHeight="1">
      <c r="A257" s="247">
        <f t="shared" si="108"/>
        <v>251</v>
      </c>
      <c r="B257" s="203" t="s">
        <v>173</v>
      </c>
      <c r="C257" s="43">
        <f>SUM(D257:BF257)</f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1">
        <v>0</v>
      </c>
      <c r="AS257" s="11">
        <v>0</v>
      </c>
      <c r="AT257" s="11">
        <v>0</v>
      </c>
      <c r="AU257" s="11">
        <v>0</v>
      </c>
      <c r="AV257" s="11">
        <v>0</v>
      </c>
      <c r="AW257" s="11">
        <v>0</v>
      </c>
      <c r="AX257" s="11">
        <v>0</v>
      </c>
      <c r="AY257" s="11">
        <v>0</v>
      </c>
      <c r="AZ257" s="11">
        <v>0</v>
      </c>
      <c r="BA257" s="11">
        <v>0</v>
      </c>
      <c r="BB257" s="11">
        <v>0</v>
      </c>
      <c r="BC257" s="11">
        <v>0</v>
      </c>
      <c r="BD257" s="11">
        <v>0</v>
      </c>
      <c r="BE257" s="11">
        <v>0</v>
      </c>
      <c r="BF257" s="11">
        <v>0</v>
      </c>
    </row>
    <row r="258" spans="1:58" ht="14.1" customHeight="1">
      <c r="A258" s="247">
        <f t="shared" si="108"/>
        <v>252</v>
      </c>
      <c r="B258" s="203" t="s">
        <v>174</v>
      </c>
      <c r="C258" s="43">
        <f>SUM(D258:BF258)</f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1">
        <v>0</v>
      </c>
      <c r="AJ258" s="11">
        <v>0</v>
      </c>
      <c r="AK258" s="11">
        <v>0</v>
      </c>
      <c r="AL258" s="11">
        <v>0</v>
      </c>
      <c r="AM258" s="11">
        <v>0</v>
      </c>
      <c r="AN258" s="11">
        <v>0</v>
      </c>
      <c r="AO258" s="11">
        <v>0</v>
      </c>
      <c r="AP258" s="11">
        <v>0</v>
      </c>
      <c r="AQ258" s="11">
        <v>0</v>
      </c>
      <c r="AR258" s="11">
        <v>0</v>
      </c>
      <c r="AS258" s="11">
        <v>0</v>
      </c>
      <c r="AT258" s="11">
        <v>0</v>
      </c>
      <c r="AU258" s="11">
        <v>0</v>
      </c>
      <c r="AV258" s="11">
        <v>0</v>
      </c>
      <c r="AW258" s="11">
        <v>0</v>
      </c>
      <c r="AX258" s="11">
        <v>0</v>
      </c>
      <c r="AY258" s="11">
        <v>0</v>
      </c>
      <c r="AZ258" s="11">
        <v>0</v>
      </c>
      <c r="BA258" s="11">
        <v>0</v>
      </c>
      <c r="BB258" s="11">
        <v>0</v>
      </c>
      <c r="BC258" s="11">
        <v>0</v>
      </c>
      <c r="BD258" s="11">
        <v>0</v>
      </c>
      <c r="BE258" s="11">
        <v>0</v>
      </c>
      <c r="BF258" s="11">
        <v>0</v>
      </c>
    </row>
    <row r="259" spans="1:58" ht="14.1" customHeight="1">
      <c r="A259" s="247">
        <f t="shared" si="108"/>
        <v>253</v>
      </c>
      <c r="B259" s="92" t="s">
        <v>175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</row>
    <row r="260" spans="1:58" ht="14.1" customHeight="1">
      <c r="A260" s="247">
        <f t="shared" si="108"/>
        <v>254</v>
      </c>
      <c r="B260" s="25" t="s">
        <v>540</v>
      </c>
      <c r="C260" s="189">
        <f>+C257+C258</f>
        <v>0</v>
      </c>
      <c r="D260" s="189">
        <f>+D257+D258</f>
        <v>0</v>
      </c>
      <c r="E260" s="189">
        <f t="shared" ref="E260:BA260" si="123">+E257+E258</f>
        <v>0</v>
      </c>
      <c r="F260" s="189">
        <f t="shared" si="123"/>
        <v>0</v>
      </c>
      <c r="G260" s="189">
        <f t="shared" si="123"/>
        <v>0</v>
      </c>
      <c r="H260" s="189">
        <f t="shared" si="123"/>
        <v>0</v>
      </c>
      <c r="I260" s="189">
        <f t="shared" si="123"/>
        <v>0</v>
      </c>
      <c r="J260" s="189">
        <f t="shared" si="123"/>
        <v>0</v>
      </c>
      <c r="K260" s="189">
        <f t="shared" si="123"/>
        <v>0</v>
      </c>
      <c r="L260" s="189">
        <f t="shared" si="123"/>
        <v>0</v>
      </c>
      <c r="M260" s="189">
        <f t="shared" si="123"/>
        <v>0</v>
      </c>
      <c r="N260" s="189">
        <f t="shared" si="123"/>
        <v>0</v>
      </c>
      <c r="O260" s="189">
        <f t="shared" si="123"/>
        <v>0</v>
      </c>
      <c r="P260" s="189">
        <f t="shared" si="123"/>
        <v>0</v>
      </c>
      <c r="Q260" s="189">
        <f t="shared" si="123"/>
        <v>0</v>
      </c>
      <c r="R260" s="189">
        <f t="shared" si="123"/>
        <v>0</v>
      </c>
      <c r="S260" s="189">
        <f t="shared" si="123"/>
        <v>0</v>
      </c>
      <c r="T260" s="189">
        <f t="shared" si="123"/>
        <v>0</v>
      </c>
      <c r="U260" s="189">
        <f t="shared" si="123"/>
        <v>0</v>
      </c>
      <c r="V260" s="189">
        <f t="shared" si="123"/>
        <v>0</v>
      </c>
      <c r="W260" s="189">
        <f t="shared" si="123"/>
        <v>0</v>
      </c>
      <c r="X260" s="189">
        <f t="shared" si="123"/>
        <v>0</v>
      </c>
      <c r="Y260" s="189">
        <f t="shared" si="123"/>
        <v>0</v>
      </c>
      <c r="Z260" s="189">
        <f t="shared" si="123"/>
        <v>0</v>
      </c>
      <c r="AA260" s="189">
        <f t="shared" si="123"/>
        <v>0</v>
      </c>
      <c r="AB260" s="189">
        <f t="shared" si="123"/>
        <v>0</v>
      </c>
      <c r="AC260" s="189">
        <f t="shared" si="123"/>
        <v>0</v>
      </c>
      <c r="AD260" s="189">
        <f t="shared" si="123"/>
        <v>0</v>
      </c>
      <c r="AE260" s="189">
        <f t="shared" si="123"/>
        <v>0</v>
      </c>
      <c r="AF260" s="189">
        <f t="shared" si="123"/>
        <v>0</v>
      </c>
      <c r="AG260" s="189">
        <f t="shared" si="123"/>
        <v>0</v>
      </c>
      <c r="AH260" s="189">
        <f t="shared" si="123"/>
        <v>0</v>
      </c>
      <c r="AI260" s="189">
        <f t="shared" si="123"/>
        <v>0</v>
      </c>
      <c r="AJ260" s="189">
        <f t="shared" si="123"/>
        <v>0</v>
      </c>
      <c r="AK260" s="189">
        <f t="shared" si="123"/>
        <v>0</v>
      </c>
      <c r="AL260" s="189">
        <f t="shared" si="123"/>
        <v>0</v>
      </c>
      <c r="AM260" s="189">
        <f t="shared" si="123"/>
        <v>0</v>
      </c>
      <c r="AN260" s="189">
        <f t="shared" si="123"/>
        <v>0</v>
      </c>
      <c r="AO260" s="189">
        <f t="shared" si="123"/>
        <v>0</v>
      </c>
      <c r="AP260" s="189">
        <f t="shared" si="123"/>
        <v>0</v>
      </c>
      <c r="AQ260" s="189">
        <f t="shared" si="123"/>
        <v>0</v>
      </c>
      <c r="AR260" s="189">
        <f t="shared" si="123"/>
        <v>0</v>
      </c>
      <c r="AS260" s="189">
        <f t="shared" si="123"/>
        <v>0</v>
      </c>
      <c r="AT260" s="189">
        <f t="shared" si="123"/>
        <v>0</v>
      </c>
      <c r="AU260" s="189">
        <f t="shared" si="123"/>
        <v>0</v>
      </c>
      <c r="AV260" s="189">
        <f t="shared" si="123"/>
        <v>0</v>
      </c>
      <c r="AW260" s="189">
        <f t="shared" si="123"/>
        <v>0</v>
      </c>
      <c r="AX260" s="189">
        <f t="shared" si="123"/>
        <v>0</v>
      </c>
      <c r="AY260" s="189">
        <f t="shared" si="123"/>
        <v>0</v>
      </c>
      <c r="AZ260" s="189">
        <f t="shared" si="123"/>
        <v>0</v>
      </c>
      <c r="BA260" s="189">
        <f t="shared" si="123"/>
        <v>0</v>
      </c>
      <c r="BB260" s="189">
        <f>+BB257+BB258</f>
        <v>0</v>
      </c>
      <c r="BC260" s="189">
        <f>+BC257+BC258</f>
        <v>0</v>
      </c>
      <c r="BD260" s="189">
        <f>+BD257+BD258</f>
        <v>0</v>
      </c>
      <c r="BE260" s="189">
        <f>+BE257+BE258</f>
        <v>0</v>
      </c>
      <c r="BF260" s="189">
        <f>+BF257+BF258</f>
        <v>0</v>
      </c>
    </row>
    <row r="261" spans="1:58" ht="14.1" customHeight="1">
      <c r="A261" s="247">
        <f t="shared" si="108"/>
        <v>255</v>
      </c>
      <c r="B261" s="304"/>
      <c r="C261" s="304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</row>
    <row r="262" spans="1:58" ht="14.1" customHeight="1">
      <c r="A262" s="247">
        <f t="shared" si="108"/>
        <v>256</v>
      </c>
      <c r="B262" s="14" t="s">
        <v>176</v>
      </c>
      <c r="C262" s="14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</row>
    <row r="263" spans="1:58" ht="14.1" customHeight="1">
      <c r="A263" s="247">
        <f t="shared" si="108"/>
        <v>257</v>
      </c>
      <c r="B263" s="27" t="s">
        <v>177</v>
      </c>
      <c r="C263" s="43">
        <f>SUM(D263:BF263)</f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1">
        <v>0</v>
      </c>
      <c r="AS263" s="11">
        <v>0</v>
      </c>
      <c r="AT263" s="11">
        <v>0</v>
      </c>
      <c r="AU263" s="11">
        <v>0</v>
      </c>
      <c r="AV263" s="11">
        <v>0</v>
      </c>
      <c r="AW263" s="11">
        <v>0</v>
      </c>
      <c r="AX263" s="11">
        <v>0</v>
      </c>
      <c r="AY263" s="11">
        <v>0</v>
      </c>
      <c r="AZ263" s="11">
        <v>0</v>
      </c>
      <c r="BA263" s="11">
        <v>0</v>
      </c>
      <c r="BB263" s="11">
        <v>0</v>
      </c>
      <c r="BC263" s="11">
        <v>0</v>
      </c>
      <c r="BD263" s="11">
        <v>0</v>
      </c>
      <c r="BE263" s="11">
        <v>0</v>
      </c>
      <c r="BF263" s="11">
        <v>0</v>
      </c>
    </row>
    <row r="264" spans="1:58" ht="14.1" customHeight="1">
      <c r="A264" s="247">
        <f t="shared" si="108"/>
        <v>258</v>
      </c>
      <c r="B264" s="27" t="s">
        <v>178</v>
      </c>
      <c r="C264" s="43">
        <f>SUM(D264:BF264)</f>
        <v>251903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251903</v>
      </c>
      <c r="J264" s="11">
        <v>0</v>
      </c>
      <c r="K264" s="11">
        <v>0</v>
      </c>
      <c r="L264" s="11">
        <v>0</v>
      </c>
      <c r="M264" s="11">
        <v>0</v>
      </c>
      <c r="N264" s="11">
        <v>0</v>
      </c>
      <c r="O264" s="11">
        <v>0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11">
        <v>0</v>
      </c>
      <c r="AG264" s="11">
        <v>0</v>
      </c>
      <c r="AH264" s="11">
        <v>0</v>
      </c>
      <c r="AI264" s="11">
        <v>0</v>
      </c>
      <c r="AJ264" s="11">
        <v>0</v>
      </c>
      <c r="AK264" s="11">
        <v>0</v>
      </c>
      <c r="AL264" s="11">
        <v>0</v>
      </c>
      <c r="AM264" s="11">
        <v>0</v>
      </c>
      <c r="AN264" s="11">
        <v>0</v>
      </c>
      <c r="AO264" s="11">
        <v>0</v>
      </c>
      <c r="AP264" s="11">
        <v>0</v>
      </c>
      <c r="AQ264" s="11">
        <v>0</v>
      </c>
      <c r="AR264" s="11">
        <v>0</v>
      </c>
      <c r="AS264" s="11">
        <v>0</v>
      </c>
      <c r="AT264" s="11">
        <v>0</v>
      </c>
      <c r="AU264" s="11">
        <v>0</v>
      </c>
      <c r="AV264" s="11">
        <v>0</v>
      </c>
      <c r="AW264" s="11">
        <v>0</v>
      </c>
      <c r="AX264" s="11">
        <v>0</v>
      </c>
      <c r="AY264" s="11">
        <v>0</v>
      </c>
      <c r="AZ264" s="11">
        <v>0</v>
      </c>
      <c r="BA264" s="11">
        <v>0</v>
      </c>
      <c r="BB264" s="11">
        <v>0</v>
      </c>
      <c r="BC264" s="11">
        <v>0</v>
      </c>
      <c r="BD264" s="11">
        <v>0</v>
      </c>
      <c r="BE264" s="11">
        <v>0</v>
      </c>
      <c r="BF264" s="11">
        <v>0</v>
      </c>
    </row>
    <row r="265" spans="1:58" ht="14.1" customHeight="1">
      <c r="A265" s="247">
        <f t="shared" si="108"/>
        <v>259</v>
      </c>
      <c r="B265" s="14" t="s">
        <v>179</v>
      </c>
      <c r="C265" s="14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</row>
    <row r="266" spans="1:58" s="26" customFormat="1" ht="14.1" customHeight="1">
      <c r="A266" s="247">
        <f t="shared" si="108"/>
        <v>260</v>
      </c>
      <c r="B266" s="27" t="s">
        <v>180</v>
      </c>
      <c r="C266" s="43">
        <f t="shared" ref="C266:C274" si="124">SUM(D266:BF266)</f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v>0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11">
        <v>0</v>
      </c>
      <c r="AG266" s="11">
        <v>0</v>
      </c>
      <c r="AH266" s="11">
        <v>0</v>
      </c>
      <c r="AI266" s="11">
        <v>0</v>
      </c>
      <c r="AJ266" s="11">
        <v>0</v>
      </c>
      <c r="AK266" s="11">
        <v>0</v>
      </c>
      <c r="AL266" s="11">
        <v>0</v>
      </c>
      <c r="AM266" s="11">
        <v>0</v>
      </c>
      <c r="AN266" s="11">
        <v>0</v>
      </c>
      <c r="AO266" s="11">
        <v>0</v>
      </c>
      <c r="AP266" s="11">
        <v>0</v>
      </c>
      <c r="AQ266" s="11">
        <v>0</v>
      </c>
      <c r="AR266" s="11">
        <v>0</v>
      </c>
      <c r="AS266" s="11">
        <v>0</v>
      </c>
      <c r="AT266" s="11">
        <v>0</v>
      </c>
      <c r="AU266" s="11">
        <v>0</v>
      </c>
      <c r="AV266" s="11">
        <v>0</v>
      </c>
      <c r="AW266" s="11">
        <v>0</v>
      </c>
      <c r="AX266" s="11">
        <v>0</v>
      </c>
      <c r="AY266" s="11">
        <v>0</v>
      </c>
      <c r="AZ266" s="11">
        <v>0</v>
      </c>
      <c r="BA266" s="11">
        <v>0</v>
      </c>
      <c r="BB266" s="11">
        <v>0</v>
      </c>
      <c r="BC266" s="11">
        <v>0</v>
      </c>
      <c r="BD266" s="11">
        <v>0</v>
      </c>
      <c r="BE266" s="11">
        <v>0</v>
      </c>
      <c r="BF266" s="11">
        <v>0</v>
      </c>
    </row>
    <row r="267" spans="1:58" ht="14.1" customHeight="1">
      <c r="A267" s="247">
        <f t="shared" ref="A267:A331" si="125">+A266+1</f>
        <v>261</v>
      </c>
      <c r="B267" s="27" t="s">
        <v>181</v>
      </c>
      <c r="C267" s="43">
        <f t="shared" si="124"/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0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1">
        <v>0</v>
      </c>
      <c r="AS267" s="11">
        <v>0</v>
      </c>
      <c r="AT267" s="11">
        <v>0</v>
      </c>
      <c r="AU267" s="11">
        <v>0</v>
      </c>
      <c r="AV267" s="11">
        <v>0</v>
      </c>
      <c r="AW267" s="11">
        <v>0</v>
      </c>
      <c r="AX267" s="11">
        <v>0</v>
      </c>
      <c r="AY267" s="11">
        <v>0</v>
      </c>
      <c r="AZ267" s="11">
        <v>0</v>
      </c>
      <c r="BA267" s="11">
        <v>0</v>
      </c>
      <c r="BB267" s="11">
        <v>0</v>
      </c>
      <c r="BC267" s="11">
        <v>0</v>
      </c>
      <c r="BD267" s="11">
        <v>0</v>
      </c>
      <c r="BE267" s="11">
        <v>0</v>
      </c>
      <c r="BF267" s="11">
        <v>0</v>
      </c>
    </row>
    <row r="268" spans="1:58" ht="14.1" customHeight="1">
      <c r="A268" s="247">
        <f t="shared" si="125"/>
        <v>262</v>
      </c>
      <c r="B268" s="27" t="s">
        <v>182</v>
      </c>
      <c r="C268" s="43">
        <f t="shared" si="124"/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0</v>
      </c>
      <c r="O268" s="11">
        <v>0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11">
        <v>0</v>
      </c>
      <c r="AG268" s="11">
        <v>0</v>
      </c>
      <c r="AH268" s="11">
        <v>0</v>
      </c>
      <c r="AI268" s="11">
        <v>0</v>
      </c>
      <c r="AJ268" s="11">
        <v>0</v>
      </c>
      <c r="AK268" s="11">
        <v>0</v>
      </c>
      <c r="AL268" s="11">
        <v>0</v>
      </c>
      <c r="AM268" s="11">
        <v>0</v>
      </c>
      <c r="AN268" s="11">
        <v>0</v>
      </c>
      <c r="AO268" s="11">
        <v>0</v>
      </c>
      <c r="AP268" s="11">
        <v>0</v>
      </c>
      <c r="AQ268" s="11">
        <v>0</v>
      </c>
      <c r="AR268" s="11">
        <v>0</v>
      </c>
      <c r="AS268" s="11">
        <v>0</v>
      </c>
      <c r="AT268" s="11">
        <v>0</v>
      </c>
      <c r="AU268" s="11">
        <v>0</v>
      </c>
      <c r="AV268" s="11">
        <v>0</v>
      </c>
      <c r="AW268" s="11">
        <v>0</v>
      </c>
      <c r="AX268" s="11">
        <v>0</v>
      </c>
      <c r="AY268" s="11">
        <v>0</v>
      </c>
      <c r="AZ268" s="11">
        <v>0</v>
      </c>
      <c r="BA268" s="11">
        <v>0</v>
      </c>
      <c r="BB268" s="11">
        <v>0</v>
      </c>
      <c r="BC268" s="11">
        <v>0</v>
      </c>
      <c r="BD268" s="11">
        <v>0</v>
      </c>
      <c r="BE268" s="11">
        <v>0</v>
      </c>
      <c r="BF268" s="11">
        <v>0</v>
      </c>
    </row>
    <row r="269" spans="1:58" ht="14.1" customHeight="1">
      <c r="A269" s="247">
        <f t="shared" si="125"/>
        <v>263</v>
      </c>
      <c r="B269" s="27" t="s">
        <v>183</v>
      </c>
      <c r="C269" s="43">
        <f t="shared" si="124"/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v>0</v>
      </c>
      <c r="P269" s="11">
        <v>0</v>
      </c>
      <c r="Q269" s="11">
        <v>0</v>
      </c>
      <c r="R269" s="11">
        <v>0</v>
      </c>
      <c r="S269" s="11">
        <v>0</v>
      </c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>
        <v>0</v>
      </c>
      <c r="AT269" s="11">
        <v>0</v>
      </c>
      <c r="AU269" s="11">
        <v>0</v>
      </c>
      <c r="AV269" s="11">
        <v>0</v>
      </c>
      <c r="AW269" s="11">
        <v>0</v>
      </c>
      <c r="AX269" s="11">
        <v>0</v>
      </c>
      <c r="AY269" s="11">
        <v>0</v>
      </c>
      <c r="AZ269" s="11">
        <v>0</v>
      </c>
      <c r="BA269" s="11">
        <v>0</v>
      </c>
      <c r="BB269" s="11">
        <v>0</v>
      </c>
      <c r="BC269" s="11">
        <v>0</v>
      </c>
      <c r="BD269" s="11">
        <v>0</v>
      </c>
      <c r="BE269" s="11">
        <v>0</v>
      </c>
      <c r="BF269" s="11">
        <v>0</v>
      </c>
    </row>
    <row r="270" spans="1:58" ht="14.1" customHeight="1">
      <c r="A270" s="247">
        <f t="shared" si="125"/>
        <v>264</v>
      </c>
      <c r="B270" s="27" t="s">
        <v>184</v>
      </c>
      <c r="C270" s="43">
        <f t="shared" si="124"/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v>0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11">
        <v>0</v>
      </c>
      <c r="AG270" s="11">
        <v>0</v>
      </c>
      <c r="AH270" s="11">
        <v>0</v>
      </c>
      <c r="AI270" s="11">
        <v>0</v>
      </c>
      <c r="AJ270" s="11">
        <v>0</v>
      </c>
      <c r="AK270" s="11">
        <v>0</v>
      </c>
      <c r="AL270" s="11">
        <v>0</v>
      </c>
      <c r="AM270" s="11">
        <v>0</v>
      </c>
      <c r="AN270" s="11">
        <v>0</v>
      </c>
      <c r="AO270" s="11">
        <v>0</v>
      </c>
      <c r="AP270" s="11">
        <v>0</v>
      </c>
      <c r="AQ270" s="11">
        <v>0</v>
      </c>
      <c r="AR270" s="11">
        <v>0</v>
      </c>
      <c r="AS270" s="11">
        <v>0</v>
      </c>
      <c r="AT270" s="11">
        <v>0</v>
      </c>
      <c r="AU270" s="11">
        <v>0</v>
      </c>
      <c r="AV270" s="11">
        <v>0</v>
      </c>
      <c r="AW270" s="11">
        <v>0</v>
      </c>
      <c r="AX270" s="11">
        <v>0</v>
      </c>
      <c r="AY270" s="11">
        <v>0</v>
      </c>
      <c r="AZ270" s="11">
        <v>0</v>
      </c>
      <c r="BA270" s="11">
        <v>0</v>
      </c>
      <c r="BB270" s="11">
        <v>0</v>
      </c>
      <c r="BC270" s="11">
        <v>0</v>
      </c>
      <c r="BD270" s="11">
        <v>0</v>
      </c>
      <c r="BE270" s="11">
        <v>0</v>
      </c>
      <c r="BF270" s="11">
        <v>0</v>
      </c>
    </row>
    <row r="271" spans="1:58" ht="14.1" customHeight="1">
      <c r="A271" s="247">
        <f t="shared" si="125"/>
        <v>265</v>
      </c>
      <c r="B271" s="27" t="s">
        <v>185</v>
      </c>
      <c r="C271" s="43">
        <f t="shared" si="124"/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0</v>
      </c>
      <c r="AI271" s="11">
        <v>0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11">
        <v>0</v>
      </c>
      <c r="AQ271" s="11">
        <v>0</v>
      </c>
      <c r="AR271" s="11">
        <v>0</v>
      </c>
      <c r="AS271" s="11">
        <v>0</v>
      </c>
      <c r="AT271" s="11">
        <v>0</v>
      </c>
      <c r="AU271" s="11">
        <v>0</v>
      </c>
      <c r="AV271" s="11">
        <v>0</v>
      </c>
      <c r="AW271" s="11">
        <v>0</v>
      </c>
      <c r="AX271" s="11">
        <v>0</v>
      </c>
      <c r="AY271" s="11">
        <v>0</v>
      </c>
      <c r="AZ271" s="11">
        <v>0</v>
      </c>
      <c r="BA271" s="11">
        <v>0</v>
      </c>
      <c r="BB271" s="11">
        <v>0</v>
      </c>
      <c r="BC271" s="11">
        <v>0</v>
      </c>
      <c r="BD271" s="11">
        <v>0</v>
      </c>
      <c r="BE271" s="11">
        <v>0</v>
      </c>
      <c r="BF271" s="11">
        <v>0</v>
      </c>
    </row>
    <row r="272" spans="1:58" ht="14.1" customHeight="1">
      <c r="A272" s="247">
        <f t="shared" si="125"/>
        <v>266</v>
      </c>
      <c r="B272" s="27" t="s">
        <v>186</v>
      </c>
      <c r="C272" s="43">
        <f t="shared" si="124"/>
        <v>0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11">
        <v>0</v>
      </c>
      <c r="AG272" s="11">
        <v>0</v>
      </c>
      <c r="AH272" s="11">
        <v>0</v>
      </c>
      <c r="AI272" s="11">
        <v>0</v>
      </c>
      <c r="AJ272" s="11">
        <v>0</v>
      </c>
      <c r="AK272" s="11">
        <v>0</v>
      </c>
      <c r="AL272" s="11">
        <v>0</v>
      </c>
      <c r="AM272" s="11">
        <v>0</v>
      </c>
      <c r="AN272" s="11">
        <v>0</v>
      </c>
      <c r="AO272" s="11">
        <v>0</v>
      </c>
      <c r="AP272" s="11">
        <v>0</v>
      </c>
      <c r="AQ272" s="11">
        <v>0</v>
      </c>
      <c r="AR272" s="11">
        <v>0</v>
      </c>
      <c r="AS272" s="11">
        <v>0</v>
      </c>
      <c r="AT272" s="11">
        <v>0</v>
      </c>
      <c r="AU272" s="11">
        <v>0</v>
      </c>
      <c r="AV272" s="11">
        <v>0</v>
      </c>
      <c r="AW272" s="11">
        <v>0</v>
      </c>
      <c r="AX272" s="11">
        <v>0</v>
      </c>
      <c r="AY272" s="11">
        <v>0</v>
      </c>
      <c r="AZ272" s="11">
        <v>0</v>
      </c>
      <c r="BA272" s="11">
        <v>0</v>
      </c>
      <c r="BB272" s="11">
        <v>0</v>
      </c>
      <c r="BC272" s="11">
        <v>0</v>
      </c>
      <c r="BD272" s="11">
        <v>0</v>
      </c>
      <c r="BE272" s="11">
        <v>0</v>
      </c>
      <c r="BF272" s="11">
        <v>0</v>
      </c>
    </row>
    <row r="273" spans="1:58" ht="14.1" customHeight="1">
      <c r="A273" s="247">
        <f t="shared" si="125"/>
        <v>267</v>
      </c>
      <c r="B273" s="27" t="s">
        <v>187</v>
      </c>
      <c r="C273" s="43">
        <f t="shared" si="124"/>
        <v>0</v>
      </c>
      <c r="D273" s="48">
        <v>0</v>
      </c>
      <c r="E273" s="48">
        <v>0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48">
        <v>0</v>
      </c>
      <c r="V273" s="48">
        <v>0</v>
      </c>
      <c r="W273" s="48">
        <v>0</v>
      </c>
      <c r="X273" s="48">
        <v>0</v>
      </c>
      <c r="Y273" s="48">
        <v>0</v>
      </c>
      <c r="Z273" s="48">
        <v>0</v>
      </c>
      <c r="AA273" s="48">
        <v>0</v>
      </c>
      <c r="AB273" s="48">
        <v>0</v>
      </c>
      <c r="AC273" s="48">
        <v>0</v>
      </c>
      <c r="AD273" s="48">
        <v>0</v>
      </c>
      <c r="AE273" s="48">
        <v>0</v>
      </c>
      <c r="AF273" s="48">
        <v>0</v>
      </c>
      <c r="AG273" s="48">
        <v>0</v>
      </c>
      <c r="AH273" s="48">
        <v>0</v>
      </c>
      <c r="AI273" s="48">
        <v>0</v>
      </c>
      <c r="AJ273" s="48">
        <v>0</v>
      </c>
      <c r="AK273" s="48">
        <v>0</v>
      </c>
      <c r="AL273" s="48">
        <v>0</v>
      </c>
      <c r="AM273" s="48">
        <v>0</v>
      </c>
      <c r="AN273" s="48">
        <v>0</v>
      </c>
      <c r="AO273" s="48">
        <v>0</v>
      </c>
      <c r="AP273" s="48">
        <v>0</v>
      </c>
      <c r="AQ273" s="48">
        <v>0</v>
      </c>
      <c r="AR273" s="48">
        <v>0</v>
      </c>
      <c r="AS273" s="48">
        <v>0</v>
      </c>
      <c r="AT273" s="48">
        <v>0</v>
      </c>
      <c r="AU273" s="48">
        <v>0</v>
      </c>
      <c r="AV273" s="48">
        <v>0</v>
      </c>
      <c r="AW273" s="48">
        <v>0</v>
      </c>
      <c r="AX273" s="48">
        <v>0</v>
      </c>
      <c r="AY273" s="48">
        <v>0</v>
      </c>
      <c r="AZ273" s="48">
        <v>0</v>
      </c>
      <c r="BA273" s="48">
        <v>0</v>
      </c>
      <c r="BB273" s="48">
        <v>0</v>
      </c>
      <c r="BC273" s="48">
        <v>0</v>
      </c>
      <c r="BD273" s="48">
        <v>0</v>
      </c>
      <c r="BE273" s="48">
        <v>0</v>
      </c>
      <c r="BF273" s="48">
        <v>0</v>
      </c>
    </row>
    <row r="274" spans="1:58" ht="14.1" customHeight="1">
      <c r="A274" s="247">
        <f t="shared" si="125"/>
        <v>268</v>
      </c>
      <c r="B274" s="92" t="s">
        <v>188</v>
      </c>
      <c r="C274" s="43">
        <f t="shared" si="124"/>
        <v>0</v>
      </c>
      <c r="D274" s="48">
        <v>0</v>
      </c>
      <c r="E274" s="48">
        <v>0</v>
      </c>
      <c r="F274" s="48">
        <v>0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0</v>
      </c>
      <c r="U274" s="48">
        <v>0</v>
      </c>
      <c r="V274" s="48">
        <v>0</v>
      </c>
      <c r="W274" s="48">
        <v>0</v>
      </c>
      <c r="X274" s="48">
        <v>0</v>
      </c>
      <c r="Y274" s="48">
        <v>0</v>
      </c>
      <c r="Z274" s="48">
        <v>0</v>
      </c>
      <c r="AA274" s="48">
        <v>0</v>
      </c>
      <c r="AB274" s="48">
        <v>0</v>
      </c>
      <c r="AC274" s="48">
        <v>0</v>
      </c>
      <c r="AD274" s="48">
        <v>0</v>
      </c>
      <c r="AE274" s="48">
        <v>0</v>
      </c>
      <c r="AF274" s="48">
        <v>0</v>
      </c>
      <c r="AG274" s="48">
        <v>0</v>
      </c>
      <c r="AH274" s="48">
        <v>0</v>
      </c>
      <c r="AI274" s="48">
        <v>0</v>
      </c>
      <c r="AJ274" s="48">
        <v>0</v>
      </c>
      <c r="AK274" s="48">
        <v>0</v>
      </c>
      <c r="AL274" s="48">
        <v>0</v>
      </c>
      <c r="AM274" s="48">
        <v>0</v>
      </c>
      <c r="AN274" s="48">
        <v>0</v>
      </c>
      <c r="AO274" s="48">
        <v>0</v>
      </c>
      <c r="AP274" s="48">
        <v>0</v>
      </c>
      <c r="AQ274" s="48">
        <v>0</v>
      </c>
      <c r="AR274" s="48">
        <v>0</v>
      </c>
      <c r="AS274" s="48">
        <v>0</v>
      </c>
      <c r="AT274" s="48">
        <v>0</v>
      </c>
      <c r="AU274" s="48">
        <v>0</v>
      </c>
      <c r="AV274" s="48">
        <v>0</v>
      </c>
      <c r="AW274" s="48">
        <v>0</v>
      </c>
      <c r="AX274" s="48">
        <v>0</v>
      </c>
      <c r="AY274" s="48">
        <v>0</v>
      </c>
      <c r="AZ274" s="48">
        <v>0</v>
      </c>
      <c r="BA274" s="48">
        <v>0</v>
      </c>
      <c r="BB274" s="48">
        <v>0</v>
      </c>
      <c r="BC274" s="48">
        <v>0</v>
      </c>
      <c r="BD274" s="48">
        <v>0</v>
      </c>
      <c r="BE274" s="48">
        <v>0</v>
      </c>
      <c r="BF274" s="48">
        <v>0</v>
      </c>
    </row>
    <row r="275" spans="1:58" s="26" customFormat="1" ht="14.1" customHeight="1">
      <c r="A275" s="247">
        <f t="shared" si="125"/>
        <v>269</v>
      </c>
      <c r="B275" s="25" t="s">
        <v>541</v>
      </c>
      <c r="C275" s="189">
        <f>SUM(C266:C274)</f>
        <v>0</v>
      </c>
      <c r="D275" s="189">
        <f>SUM(D266:D274)</f>
        <v>0</v>
      </c>
      <c r="E275" s="189">
        <f t="shared" ref="E275:BA275" si="126">SUM(E266:E274)</f>
        <v>0</v>
      </c>
      <c r="F275" s="189">
        <f t="shared" si="126"/>
        <v>0</v>
      </c>
      <c r="G275" s="189">
        <f t="shared" si="126"/>
        <v>0</v>
      </c>
      <c r="H275" s="189">
        <f t="shared" si="126"/>
        <v>0</v>
      </c>
      <c r="I275" s="189">
        <f t="shared" si="126"/>
        <v>0</v>
      </c>
      <c r="J275" s="189">
        <f t="shared" si="126"/>
        <v>0</v>
      </c>
      <c r="K275" s="189">
        <f t="shared" si="126"/>
        <v>0</v>
      </c>
      <c r="L275" s="189">
        <f t="shared" si="126"/>
        <v>0</v>
      </c>
      <c r="M275" s="189">
        <f t="shared" si="126"/>
        <v>0</v>
      </c>
      <c r="N275" s="189">
        <f t="shared" si="126"/>
        <v>0</v>
      </c>
      <c r="O275" s="189">
        <f t="shared" si="126"/>
        <v>0</v>
      </c>
      <c r="P275" s="189">
        <f t="shared" si="126"/>
        <v>0</v>
      </c>
      <c r="Q275" s="189">
        <f t="shared" si="126"/>
        <v>0</v>
      </c>
      <c r="R275" s="189">
        <f t="shared" si="126"/>
        <v>0</v>
      </c>
      <c r="S275" s="189">
        <f t="shared" si="126"/>
        <v>0</v>
      </c>
      <c r="T275" s="189">
        <f t="shared" si="126"/>
        <v>0</v>
      </c>
      <c r="U275" s="189">
        <f t="shared" si="126"/>
        <v>0</v>
      </c>
      <c r="V275" s="189">
        <f t="shared" si="126"/>
        <v>0</v>
      </c>
      <c r="W275" s="189">
        <f t="shared" si="126"/>
        <v>0</v>
      </c>
      <c r="X275" s="189">
        <f t="shared" si="126"/>
        <v>0</v>
      </c>
      <c r="Y275" s="189">
        <f t="shared" si="126"/>
        <v>0</v>
      </c>
      <c r="Z275" s="189">
        <f t="shared" si="126"/>
        <v>0</v>
      </c>
      <c r="AA275" s="189">
        <f t="shared" si="126"/>
        <v>0</v>
      </c>
      <c r="AB275" s="189">
        <f t="shared" si="126"/>
        <v>0</v>
      </c>
      <c r="AC275" s="189">
        <f t="shared" si="126"/>
        <v>0</v>
      </c>
      <c r="AD275" s="189">
        <f t="shared" si="126"/>
        <v>0</v>
      </c>
      <c r="AE275" s="189">
        <f t="shared" si="126"/>
        <v>0</v>
      </c>
      <c r="AF275" s="189">
        <f t="shared" si="126"/>
        <v>0</v>
      </c>
      <c r="AG275" s="189">
        <f t="shared" si="126"/>
        <v>0</v>
      </c>
      <c r="AH275" s="189">
        <f t="shared" si="126"/>
        <v>0</v>
      </c>
      <c r="AI275" s="189">
        <f t="shared" si="126"/>
        <v>0</v>
      </c>
      <c r="AJ275" s="189">
        <f t="shared" si="126"/>
        <v>0</v>
      </c>
      <c r="AK275" s="189">
        <f t="shared" si="126"/>
        <v>0</v>
      </c>
      <c r="AL275" s="189">
        <f t="shared" si="126"/>
        <v>0</v>
      </c>
      <c r="AM275" s="189">
        <f t="shared" si="126"/>
        <v>0</v>
      </c>
      <c r="AN275" s="189">
        <f t="shared" si="126"/>
        <v>0</v>
      </c>
      <c r="AO275" s="189">
        <f t="shared" si="126"/>
        <v>0</v>
      </c>
      <c r="AP275" s="189">
        <f t="shared" si="126"/>
        <v>0</v>
      </c>
      <c r="AQ275" s="189">
        <f t="shared" si="126"/>
        <v>0</v>
      </c>
      <c r="AR275" s="189">
        <f t="shared" si="126"/>
        <v>0</v>
      </c>
      <c r="AS275" s="189">
        <f t="shared" si="126"/>
        <v>0</v>
      </c>
      <c r="AT275" s="189">
        <f t="shared" si="126"/>
        <v>0</v>
      </c>
      <c r="AU275" s="189">
        <f t="shared" si="126"/>
        <v>0</v>
      </c>
      <c r="AV275" s="189">
        <f t="shared" si="126"/>
        <v>0</v>
      </c>
      <c r="AW275" s="189">
        <f t="shared" si="126"/>
        <v>0</v>
      </c>
      <c r="AX275" s="189">
        <f t="shared" si="126"/>
        <v>0</v>
      </c>
      <c r="AY275" s="189">
        <f t="shared" si="126"/>
        <v>0</v>
      </c>
      <c r="AZ275" s="189">
        <f t="shared" si="126"/>
        <v>0</v>
      </c>
      <c r="BA275" s="189">
        <f t="shared" si="126"/>
        <v>0</v>
      </c>
      <c r="BB275" s="189">
        <f>SUM(BB266:BB274)</f>
        <v>0</v>
      </c>
      <c r="BC275" s="189">
        <f>SUM(BC266:BC274)</f>
        <v>0</v>
      </c>
      <c r="BD275" s="189">
        <f>SUM(BD266:BD274)</f>
        <v>0</v>
      </c>
      <c r="BE275" s="189">
        <f>SUM(BE266:BE274)</f>
        <v>0</v>
      </c>
      <c r="BF275" s="189">
        <f>SUM(BF266:BF274)</f>
        <v>0</v>
      </c>
    </row>
    <row r="276" spans="1:58" s="26" customFormat="1" ht="14.1" customHeight="1">
      <c r="A276" s="247">
        <f t="shared" si="125"/>
        <v>270</v>
      </c>
      <c r="B276" s="304"/>
      <c r="C276" s="304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</row>
    <row r="277" spans="1:58" s="26" customFormat="1" ht="14.1" customHeight="1">
      <c r="A277" s="247">
        <f t="shared" si="125"/>
        <v>271</v>
      </c>
      <c r="B277" s="14" t="s">
        <v>189</v>
      </c>
      <c r="C277" s="14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</row>
    <row r="278" spans="1:58" s="26" customFormat="1" ht="14.1" customHeight="1">
      <c r="A278" s="247">
        <f t="shared" si="125"/>
        <v>272</v>
      </c>
      <c r="B278" s="27" t="s">
        <v>190</v>
      </c>
      <c r="C278" s="43">
        <f t="shared" ref="C278:C286" si="127">SUM(D278:BF278)</f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v>0</v>
      </c>
      <c r="O278" s="11">
        <v>0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11">
        <v>0</v>
      </c>
      <c r="AG278" s="11">
        <v>0</v>
      </c>
      <c r="AH278" s="11">
        <v>0</v>
      </c>
      <c r="AI278" s="11">
        <v>0</v>
      </c>
      <c r="AJ278" s="11">
        <v>0</v>
      </c>
      <c r="AK278" s="11">
        <v>0</v>
      </c>
      <c r="AL278" s="11">
        <v>0</v>
      </c>
      <c r="AM278" s="11">
        <v>0</v>
      </c>
      <c r="AN278" s="11">
        <v>0</v>
      </c>
      <c r="AO278" s="11">
        <v>0</v>
      </c>
      <c r="AP278" s="11">
        <v>0</v>
      </c>
      <c r="AQ278" s="11">
        <v>0</v>
      </c>
      <c r="AR278" s="11">
        <v>0</v>
      </c>
      <c r="AS278" s="11">
        <v>0</v>
      </c>
      <c r="AT278" s="11">
        <v>0</v>
      </c>
      <c r="AU278" s="11">
        <v>0</v>
      </c>
      <c r="AV278" s="11">
        <v>0</v>
      </c>
      <c r="AW278" s="11">
        <v>0</v>
      </c>
      <c r="AX278" s="11">
        <v>0</v>
      </c>
      <c r="AY278" s="11">
        <v>0</v>
      </c>
      <c r="AZ278" s="11">
        <v>0</v>
      </c>
      <c r="BA278" s="11">
        <v>0</v>
      </c>
      <c r="BB278" s="11">
        <v>0</v>
      </c>
      <c r="BC278" s="11">
        <v>0</v>
      </c>
      <c r="BD278" s="11">
        <v>0</v>
      </c>
      <c r="BE278" s="11">
        <v>0</v>
      </c>
      <c r="BF278" s="11">
        <v>0</v>
      </c>
    </row>
    <row r="279" spans="1:58" ht="14.1" customHeight="1">
      <c r="A279" s="247">
        <f t="shared" si="125"/>
        <v>273</v>
      </c>
      <c r="B279" s="27" t="s">
        <v>959</v>
      </c>
      <c r="C279" s="43">
        <f t="shared" si="127"/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0</v>
      </c>
      <c r="AI279" s="11">
        <v>0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1">
        <v>0</v>
      </c>
      <c r="AS279" s="11">
        <v>0</v>
      </c>
      <c r="AT279" s="11">
        <v>0</v>
      </c>
      <c r="AU279" s="11">
        <v>0</v>
      </c>
      <c r="AV279" s="11">
        <v>0</v>
      </c>
      <c r="AW279" s="11">
        <v>0</v>
      </c>
      <c r="AX279" s="11">
        <v>0</v>
      </c>
      <c r="AY279" s="11">
        <v>0</v>
      </c>
      <c r="AZ279" s="11">
        <v>0</v>
      </c>
      <c r="BA279" s="11">
        <v>0</v>
      </c>
      <c r="BB279" s="11">
        <v>0</v>
      </c>
      <c r="BC279" s="11">
        <v>0</v>
      </c>
      <c r="BD279" s="11">
        <v>0</v>
      </c>
      <c r="BE279" s="11">
        <v>0</v>
      </c>
      <c r="BF279" s="11">
        <v>0</v>
      </c>
    </row>
    <row r="280" spans="1:58" ht="14.1" customHeight="1">
      <c r="A280" s="247">
        <f t="shared" si="125"/>
        <v>274</v>
      </c>
      <c r="B280" s="27" t="s">
        <v>956</v>
      </c>
      <c r="C280" s="43">
        <f t="shared" si="127"/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11">
        <v>0</v>
      </c>
      <c r="AG280" s="11">
        <v>0</v>
      </c>
      <c r="AH280" s="11">
        <v>0</v>
      </c>
      <c r="AI280" s="11">
        <v>0</v>
      </c>
      <c r="AJ280" s="11">
        <v>0</v>
      </c>
      <c r="AK280" s="11">
        <v>0</v>
      </c>
      <c r="AL280" s="11">
        <v>0</v>
      </c>
      <c r="AM280" s="11">
        <v>0</v>
      </c>
      <c r="AN280" s="11">
        <v>0</v>
      </c>
      <c r="AO280" s="11">
        <v>0</v>
      </c>
      <c r="AP280" s="11">
        <v>0</v>
      </c>
      <c r="AQ280" s="11">
        <v>0</v>
      </c>
      <c r="AR280" s="11">
        <v>0</v>
      </c>
      <c r="AS280" s="11">
        <v>0</v>
      </c>
      <c r="AT280" s="11">
        <v>0</v>
      </c>
      <c r="AU280" s="11">
        <v>0</v>
      </c>
      <c r="AV280" s="11">
        <v>0</v>
      </c>
      <c r="AW280" s="11">
        <v>0</v>
      </c>
      <c r="AX280" s="11">
        <v>0</v>
      </c>
      <c r="AY280" s="11">
        <v>0</v>
      </c>
      <c r="AZ280" s="11">
        <v>0</v>
      </c>
      <c r="BA280" s="11">
        <v>0</v>
      </c>
      <c r="BB280" s="11">
        <v>0</v>
      </c>
      <c r="BC280" s="11">
        <v>0</v>
      </c>
      <c r="BD280" s="11">
        <v>0</v>
      </c>
      <c r="BE280" s="11">
        <v>0</v>
      </c>
      <c r="BF280" s="11">
        <v>0</v>
      </c>
    </row>
    <row r="281" spans="1:58" ht="14.1" customHeight="1">
      <c r="A281" s="247">
        <f t="shared" si="125"/>
        <v>275</v>
      </c>
      <c r="B281" s="27" t="s">
        <v>952</v>
      </c>
      <c r="C281" s="43">
        <f t="shared" si="127"/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0</v>
      </c>
      <c r="AI281" s="11">
        <v>0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>
        <v>0</v>
      </c>
      <c r="AT281" s="11">
        <v>0</v>
      </c>
      <c r="AU281" s="11">
        <v>0</v>
      </c>
      <c r="AV281" s="11">
        <v>0</v>
      </c>
      <c r="AW281" s="11">
        <v>0</v>
      </c>
      <c r="AX281" s="11">
        <v>0</v>
      </c>
      <c r="AY281" s="11">
        <v>0</v>
      </c>
      <c r="AZ281" s="11">
        <v>0</v>
      </c>
      <c r="BA281" s="11">
        <v>0</v>
      </c>
      <c r="BB281" s="11">
        <v>0</v>
      </c>
      <c r="BC281" s="11">
        <v>0</v>
      </c>
      <c r="BD281" s="11">
        <v>0</v>
      </c>
      <c r="BE281" s="11">
        <v>0</v>
      </c>
      <c r="BF281" s="11">
        <v>0</v>
      </c>
    </row>
    <row r="282" spans="1:58" ht="14.1" customHeight="1">
      <c r="A282" s="247">
        <f t="shared" si="125"/>
        <v>276</v>
      </c>
      <c r="B282" s="27" t="s">
        <v>953</v>
      </c>
      <c r="C282" s="43">
        <f t="shared" si="127"/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11">
        <v>0</v>
      </c>
      <c r="AG282" s="11">
        <v>0</v>
      </c>
      <c r="AH282" s="11">
        <v>0</v>
      </c>
      <c r="AI282" s="11">
        <v>0</v>
      </c>
      <c r="AJ282" s="11">
        <v>0</v>
      </c>
      <c r="AK282" s="11">
        <v>0</v>
      </c>
      <c r="AL282" s="11">
        <v>0</v>
      </c>
      <c r="AM282" s="11">
        <v>0</v>
      </c>
      <c r="AN282" s="11">
        <v>0</v>
      </c>
      <c r="AO282" s="11">
        <v>0</v>
      </c>
      <c r="AP282" s="11">
        <v>0</v>
      </c>
      <c r="AQ282" s="11">
        <v>0</v>
      </c>
      <c r="AR282" s="11">
        <v>0</v>
      </c>
      <c r="AS282" s="11">
        <v>0</v>
      </c>
      <c r="AT282" s="11">
        <v>0</v>
      </c>
      <c r="AU282" s="11">
        <v>0</v>
      </c>
      <c r="AV282" s="11">
        <v>0</v>
      </c>
      <c r="AW282" s="11">
        <v>0</v>
      </c>
      <c r="AX282" s="11">
        <v>0</v>
      </c>
      <c r="AY282" s="11">
        <v>0</v>
      </c>
      <c r="AZ282" s="11">
        <v>0</v>
      </c>
      <c r="BA282" s="11">
        <v>0</v>
      </c>
      <c r="BB282" s="11">
        <v>0</v>
      </c>
      <c r="BC282" s="11">
        <v>0</v>
      </c>
      <c r="BD282" s="11">
        <v>0</v>
      </c>
      <c r="BE282" s="11">
        <v>0</v>
      </c>
      <c r="BF282" s="11">
        <v>0</v>
      </c>
    </row>
    <row r="283" spans="1:58" ht="14.1" customHeight="1">
      <c r="A283" s="247">
        <f t="shared" si="125"/>
        <v>277</v>
      </c>
      <c r="B283" s="27" t="s">
        <v>957</v>
      </c>
      <c r="C283" s="43">
        <f t="shared" si="127"/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>
        <v>0</v>
      </c>
      <c r="AT283" s="11">
        <v>0</v>
      </c>
      <c r="AU283" s="11">
        <v>0</v>
      </c>
      <c r="AV283" s="11">
        <v>0</v>
      </c>
      <c r="AW283" s="11">
        <v>0</v>
      </c>
      <c r="AX283" s="11">
        <v>0</v>
      </c>
      <c r="AY283" s="11">
        <v>0</v>
      </c>
      <c r="AZ283" s="11">
        <v>0</v>
      </c>
      <c r="BA283" s="11">
        <v>0</v>
      </c>
      <c r="BB283" s="11">
        <v>0</v>
      </c>
      <c r="BC283" s="11">
        <v>0</v>
      </c>
      <c r="BD283" s="11">
        <v>0</v>
      </c>
      <c r="BE283" s="11">
        <v>0</v>
      </c>
      <c r="BF283" s="11">
        <v>0</v>
      </c>
    </row>
    <row r="284" spans="1:58" ht="14.1" customHeight="1">
      <c r="A284" s="247">
        <f t="shared" si="125"/>
        <v>278</v>
      </c>
      <c r="B284" s="27" t="s">
        <v>954</v>
      </c>
      <c r="C284" s="43">
        <f t="shared" si="127"/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11">
        <v>0</v>
      </c>
      <c r="AG284" s="11">
        <v>0</v>
      </c>
      <c r="AH284" s="11">
        <v>0</v>
      </c>
      <c r="AI284" s="11">
        <v>0</v>
      </c>
      <c r="AJ284" s="11">
        <v>0</v>
      </c>
      <c r="AK284" s="11">
        <v>0</v>
      </c>
      <c r="AL284" s="11">
        <v>0</v>
      </c>
      <c r="AM284" s="11">
        <v>0</v>
      </c>
      <c r="AN284" s="11">
        <v>0</v>
      </c>
      <c r="AO284" s="11">
        <v>0</v>
      </c>
      <c r="AP284" s="11">
        <v>0</v>
      </c>
      <c r="AQ284" s="11">
        <v>0</v>
      </c>
      <c r="AR284" s="11">
        <v>0</v>
      </c>
      <c r="AS284" s="11">
        <v>0</v>
      </c>
      <c r="AT284" s="11">
        <v>0</v>
      </c>
      <c r="AU284" s="11">
        <v>0</v>
      </c>
      <c r="AV284" s="11">
        <v>0</v>
      </c>
      <c r="AW284" s="11">
        <v>0</v>
      </c>
      <c r="AX284" s="11">
        <v>0</v>
      </c>
      <c r="AY284" s="11">
        <v>0</v>
      </c>
      <c r="AZ284" s="11">
        <v>0</v>
      </c>
      <c r="BA284" s="11">
        <v>0</v>
      </c>
      <c r="BB284" s="11">
        <v>0</v>
      </c>
      <c r="BC284" s="11">
        <v>0</v>
      </c>
      <c r="BD284" s="11">
        <v>0</v>
      </c>
      <c r="BE284" s="11">
        <v>0</v>
      </c>
      <c r="BF284" s="11">
        <v>0</v>
      </c>
    </row>
    <row r="285" spans="1:58" ht="14.1" customHeight="1">
      <c r="A285" s="247">
        <f t="shared" si="125"/>
        <v>279</v>
      </c>
      <c r="B285" s="27" t="s">
        <v>955</v>
      </c>
      <c r="C285" s="43">
        <f t="shared" si="127"/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>
        <v>0</v>
      </c>
      <c r="AT285" s="11">
        <v>0</v>
      </c>
      <c r="AU285" s="11">
        <v>0</v>
      </c>
      <c r="AV285" s="11">
        <v>0</v>
      </c>
      <c r="AW285" s="11">
        <v>0</v>
      </c>
      <c r="AX285" s="11">
        <v>0</v>
      </c>
      <c r="AY285" s="11">
        <v>0</v>
      </c>
      <c r="AZ285" s="11">
        <v>0</v>
      </c>
      <c r="BA285" s="11">
        <v>0</v>
      </c>
      <c r="BB285" s="11">
        <v>0</v>
      </c>
      <c r="BC285" s="11">
        <v>0</v>
      </c>
      <c r="BD285" s="11">
        <v>0</v>
      </c>
      <c r="BE285" s="11">
        <v>0</v>
      </c>
      <c r="BF285" s="11">
        <v>0</v>
      </c>
    </row>
    <row r="286" spans="1:58" ht="14.1" customHeight="1">
      <c r="A286" s="247">
        <f t="shared" si="125"/>
        <v>280</v>
      </c>
      <c r="B286" s="92" t="s">
        <v>958</v>
      </c>
      <c r="C286" s="43">
        <f t="shared" si="127"/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v>0</v>
      </c>
      <c r="AG286" s="11">
        <v>0</v>
      </c>
      <c r="AH286" s="11">
        <v>0</v>
      </c>
      <c r="AI286" s="11">
        <v>0</v>
      </c>
      <c r="AJ286" s="11">
        <v>0</v>
      </c>
      <c r="AK286" s="11">
        <v>0</v>
      </c>
      <c r="AL286" s="11">
        <v>0</v>
      </c>
      <c r="AM286" s="11">
        <v>0</v>
      </c>
      <c r="AN286" s="11">
        <v>0</v>
      </c>
      <c r="AO286" s="11">
        <v>0</v>
      </c>
      <c r="AP286" s="11">
        <v>0</v>
      </c>
      <c r="AQ286" s="11">
        <v>0</v>
      </c>
      <c r="AR286" s="11">
        <v>0</v>
      </c>
      <c r="AS286" s="11">
        <v>0</v>
      </c>
      <c r="AT286" s="11">
        <v>0</v>
      </c>
      <c r="AU286" s="11">
        <v>0</v>
      </c>
      <c r="AV286" s="11">
        <v>0</v>
      </c>
      <c r="AW286" s="11">
        <v>0</v>
      </c>
      <c r="AX286" s="11">
        <v>0</v>
      </c>
      <c r="AY286" s="11">
        <v>0</v>
      </c>
      <c r="AZ286" s="11">
        <v>0</v>
      </c>
      <c r="BA286" s="11">
        <v>0</v>
      </c>
      <c r="BB286" s="11">
        <v>0</v>
      </c>
      <c r="BC286" s="11">
        <v>0</v>
      </c>
      <c r="BD286" s="11">
        <v>0</v>
      </c>
      <c r="BE286" s="11">
        <v>0</v>
      </c>
      <c r="BF286" s="11">
        <v>0</v>
      </c>
    </row>
    <row r="287" spans="1:58" ht="14.1" customHeight="1">
      <c r="A287" s="247">
        <f t="shared" si="125"/>
        <v>281</v>
      </c>
      <c r="B287" s="25" t="s">
        <v>542</v>
      </c>
      <c r="C287" s="189">
        <f>SUM(C278:C286)</f>
        <v>0</v>
      </c>
      <c r="D287" s="189">
        <f>SUM(D278:D286)</f>
        <v>0</v>
      </c>
      <c r="E287" s="189">
        <f t="shared" ref="E287:BA287" si="128">SUM(E278:E286)</f>
        <v>0</v>
      </c>
      <c r="F287" s="189">
        <f t="shared" si="128"/>
        <v>0</v>
      </c>
      <c r="G287" s="189">
        <f t="shared" si="128"/>
        <v>0</v>
      </c>
      <c r="H287" s="189">
        <f t="shared" si="128"/>
        <v>0</v>
      </c>
      <c r="I287" s="189">
        <f t="shared" si="128"/>
        <v>0</v>
      </c>
      <c r="J287" s="189">
        <f t="shared" si="128"/>
        <v>0</v>
      </c>
      <c r="K287" s="189">
        <f t="shared" si="128"/>
        <v>0</v>
      </c>
      <c r="L287" s="189">
        <f t="shared" si="128"/>
        <v>0</v>
      </c>
      <c r="M287" s="189">
        <f t="shared" si="128"/>
        <v>0</v>
      </c>
      <c r="N287" s="189">
        <f t="shared" si="128"/>
        <v>0</v>
      </c>
      <c r="O287" s="189">
        <f t="shared" si="128"/>
        <v>0</v>
      </c>
      <c r="P287" s="189">
        <f t="shared" si="128"/>
        <v>0</v>
      </c>
      <c r="Q287" s="189">
        <f t="shared" si="128"/>
        <v>0</v>
      </c>
      <c r="R287" s="189">
        <f t="shared" si="128"/>
        <v>0</v>
      </c>
      <c r="S287" s="189">
        <f t="shared" si="128"/>
        <v>0</v>
      </c>
      <c r="T287" s="189">
        <f t="shared" si="128"/>
        <v>0</v>
      </c>
      <c r="U287" s="189">
        <f t="shared" si="128"/>
        <v>0</v>
      </c>
      <c r="V287" s="189">
        <f t="shared" si="128"/>
        <v>0</v>
      </c>
      <c r="W287" s="189">
        <f t="shared" si="128"/>
        <v>0</v>
      </c>
      <c r="X287" s="189">
        <f t="shared" si="128"/>
        <v>0</v>
      </c>
      <c r="Y287" s="189">
        <f t="shared" si="128"/>
        <v>0</v>
      </c>
      <c r="Z287" s="189">
        <f t="shared" si="128"/>
        <v>0</v>
      </c>
      <c r="AA287" s="189">
        <f t="shared" si="128"/>
        <v>0</v>
      </c>
      <c r="AB287" s="189">
        <f t="shared" si="128"/>
        <v>0</v>
      </c>
      <c r="AC287" s="189">
        <f t="shared" si="128"/>
        <v>0</v>
      </c>
      <c r="AD287" s="189">
        <f t="shared" si="128"/>
        <v>0</v>
      </c>
      <c r="AE287" s="189">
        <f t="shared" si="128"/>
        <v>0</v>
      </c>
      <c r="AF287" s="189">
        <f t="shared" si="128"/>
        <v>0</v>
      </c>
      <c r="AG287" s="189">
        <f t="shared" si="128"/>
        <v>0</v>
      </c>
      <c r="AH287" s="189">
        <f t="shared" si="128"/>
        <v>0</v>
      </c>
      <c r="AI287" s="189">
        <f t="shared" si="128"/>
        <v>0</v>
      </c>
      <c r="AJ287" s="189">
        <f t="shared" si="128"/>
        <v>0</v>
      </c>
      <c r="AK287" s="189">
        <f t="shared" si="128"/>
        <v>0</v>
      </c>
      <c r="AL287" s="189">
        <f t="shared" si="128"/>
        <v>0</v>
      </c>
      <c r="AM287" s="189">
        <f t="shared" si="128"/>
        <v>0</v>
      </c>
      <c r="AN287" s="189">
        <f t="shared" si="128"/>
        <v>0</v>
      </c>
      <c r="AO287" s="189">
        <f t="shared" si="128"/>
        <v>0</v>
      </c>
      <c r="AP287" s="189">
        <f t="shared" si="128"/>
        <v>0</v>
      </c>
      <c r="AQ287" s="189">
        <f t="shared" si="128"/>
        <v>0</v>
      </c>
      <c r="AR287" s="189">
        <f t="shared" si="128"/>
        <v>0</v>
      </c>
      <c r="AS287" s="189">
        <f t="shared" si="128"/>
        <v>0</v>
      </c>
      <c r="AT287" s="189">
        <f t="shared" si="128"/>
        <v>0</v>
      </c>
      <c r="AU287" s="189">
        <f t="shared" si="128"/>
        <v>0</v>
      </c>
      <c r="AV287" s="189">
        <f t="shared" si="128"/>
        <v>0</v>
      </c>
      <c r="AW287" s="189">
        <f t="shared" si="128"/>
        <v>0</v>
      </c>
      <c r="AX287" s="189">
        <f t="shared" si="128"/>
        <v>0</v>
      </c>
      <c r="AY287" s="189">
        <f t="shared" si="128"/>
        <v>0</v>
      </c>
      <c r="AZ287" s="189">
        <f t="shared" si="128"/>
        <v>0</v>
      </c>
      <c r="BA287" s="189">
        <f t="shared" si="128"/>
        <v>0</v>
      </c>
      <c r="BB287" s="189">
        <f>SUM(BB278:BB286)</f>
        <v>0</v>
      </c>
      <c r="BC287" s="189">
        <f>SUM(BC278:BC286)</f>
        <v>0</v>
      </c>
      <c r="BD287" s="189">
        <f>SUM(BD278:BD286)</f>
        <v>0</v>
      </c>
      <c r="BE287" s="189">
        <f>SUM(BE278:BE286)</f>
        <v>0</v>
      </c>
      <c r="BF287" s="189">
        <f>SUM(BF278:BF286)</f>
        <v>0</v>
      </c>
    </row>
    <row r="288" spans="1:58" ht="14.1" customHeight="1">
      <c r="A288" s="247">
        <f t="shared" si="125"/>
        <v>282</v>
      </c>
      <c r="B288" s="93"/>
      <c r="C288" s="326"/>
      <c r="D288" s="326"/>
      <c r="E288" s="326"/>
      <c r="F288" s="326"/>
      <c r="G288" s="326"/>
      <c r="H288" s="326"/>
      <c r="I288" s="326"/>
      <c r="J288" s="326"/>
      <c r="K288" s="326"/>
      <c r="L288" s="326"/>
      <c r="M288" s="326"/>
      <c r="N288" s="326"/>
      <c r="O288" s="326"/>
      <c r="P288" s="326"/>
      <c r="Q288" s="326"/>
      <c r="R288" s="326"/>
      <c r="S288" s="326"/>
      <c r="T288" s="326"/>
      <c r="U288" s="326"/>
      <c r="V288" s="326"/>
      <c r="W288" s="326"/>
      <c r="X288" s="326"/>
      <c r="Y288" s="326"/>
      <c r="Z288" s="326"/>
      <c r="AA288" s="326"/>
      <c r="AB288" s="326"/>
      <c r="AC288" s="326"/>
      <c r="AD288" s="326"/>
      <c r="AE288" s="326"/>
      <c r="AF288" s="326"/>
      <c r="AG288" s="326"/>
      <c r="AH288" s="326"/>
      <c r="AI288" s="326"/>
      <c r="AJ288" s="326"/>
      <c r="AK288" s="326"/>
      <c r="AL288" s="326"/>
      <c r="AM288" s="326"/>
      <c r="AN288" s="326"/>
      <c r="AO288" s="326"/>
      <c r="AP288" s="326"/>
      <c r="AQ288" s="326"/>
      <c r="AR288" s="326"/>
      <c r="AS288" s="326"/>
      <c r="AT288" s="326"/>
      <c r="AU288" s="326"/>
      <c r="AV288" s="326"/>
      <c r="AW288" s="326"/>
      <c r="AX288" s="326"/>
      <c r="AY288" s="326"/>
      <c r="AZ288" s="326"/>
      <c r="BA288" s="326"/>
      <c r="BB288" s="326"/>
      <c r="BC288" s="326"/>
      <c r="BD288" s="326"/>
      <c r="BE288" s="326"/>
      <c r="BF288" s="326"/>
    </row>
    <row r="289" spans="1:58" ht="14.1" customHeight="1">
      <c r="A289" s="247">
        <f t="shared" si="125"/>
        <v>283</v>
      </c>
      <c r="B289" s="25" t="s">
        <v>543</v>
      </c>
      <c r="C289" s="17">
        <f>SUM(C263:C264,C275,C287)</f>
        <v>251903</v>
      </c>
      <c r="D289" s="17">
        <f>SUM(D263:D264,D275,D287)</f>
        <v>0</v>
      </c>
      <c r="E289" s="17">
        <f t="shared" ref="E289:BA289" si="129">SUM(E263:E264,E275,E287)</f>
        <v>0</v>
      </c>
      <c r="F289" s="17">
        <f t="shared" si="129"/>
        <v>0</v>
      </c>
      <c r="G289" s="17">
        <f t="shared" si="129"/>
        <v>0</v>
      </c>
      <c r="H289" s="17">
        <f t="shared" si="129"/>
        <v>0</v>
      </c>
      <c r="I289" s="17">
        <f t="shared" si="129"/>
        <v>251903</v>
      </c>
      <c r="J289" s="17">
        <f t="shared" si="129"/>
        <v>0</v>
      </c>
      <c r="K289" s="17">
        <f t="shared" si="129"/>
        <v>0</v>
      </c>
      <c r="L289" s="17">
        <f t="shared" si="129"/>
        <v>0</v>
      </c>
      <c r="M289" s="17">
        <f t="shared" si="129"/>
        <v>0</v>
      </c>
      <c r="N289" s="17">
        <f t="shared" si="129"/>
        <v>0</v>
      </c>
      <c r="O289" s="17">
        <f t="shared" si="129"/>
        <v>0</v>
      </c>
      <c r="P289" s="17">
        <f t="shared" si="129"/>
        <v>0</v>
      </c>
      <c r="Q289" s="17">
        <f t="shared" si="129"/>
        <v>0</v>
      </c>
      <c r="R289" s="17">
        <f t="shared" si="129"/>
        <v>0</v>
      </c>
      <c r="S289" s="17">
        <f t="shared" si="129"/>
        <v>0</v>
      </c>
      <c r="T289" s="17">
        <f t="shared" si="129"/>
        <v>0</v>
      </c>
      <c r="U289" s="17">
        <f t="shared" si="129"/>
        <v>0</v>
      </c>
      <c r="V289" s="17">
        <f t="shared" si="129"/>
        <v>0</v>
      </c>
      <c r="W289" s="17">
        <f t="shared" si="129"/>
        <v>0</v>
      </c>
      <c r="X289" s="17">
        <f t="shared" si="129"/>
        <v>0</v>
      </c>
      <c r="Y289" s="17">
        <f t="shared" si="129"/>
        <v>0</v>
      </c>
      <c r="Z289" s="17">
        <f t="shared" si="129"/>
        <v>0</v>
      </c>
      <c r="AA289" s="17">
        <f t="shared" si="129"/>
        <v>0</v>
      </c>
      <c r="AB289" s="17">
        <f t="shared" si="129"/>
        <v>0</v>
      </c>
      <c r="AC289" s="17">
        <f t="shared" si="129"/>
        <v>0</v>
      </c>
      <c r="AD289" s="17">
        <f t="shared" si="129"/>
        <v>0</v>
      </c>
      <c r="AE289" s="17">
        <f t="shared" si="129"/>
        <v>0</v>
      </c>
      <c r="AF289" s="17">
        <f t="shared" si="129"/>
        <v>0</v>
      </c>
      <c r="AG289" s="17">
        <f t="shared" si="129"/>
        <v>0</v>
      </c>
      <c r="AH289" s="17">
        <f t="shared" si="129"/>
        <v>0</v>
      </c>
      <c r="AI289" s="17">
        <f t="shared" si="129"/>
        <v>0</v>
      </c>
      <c r="AJ289" s="17">
        <f t="shared" si="129"/>
        <v>0</v>
      </c>
      <c r="AK289" s="17">
        <f t="shared" si="129"/>
        <v>0</v>
      </c>
      <c r="AL289" s="17">
        <f t="shared" si="129"/>
        <v>0</v>
      </c>
      <c r="AM289" s="17">
        <f t="shared" si="129"/>
        <v>0</v>
      </c>
      <c r="AN289" s="17">
        <f t="shared" si="129"/>
        <v>0</v>
      </c>
      <c r="AO289" s="17">
        <f t="shared" si="129"/>
        <v>0</v>
      </c>
      <c r="AP289" s="17">
        <f t="shared" si="129"/>
        <v>0</v>
      </c>
      <c r="AQ289" s="17">
        <f t="shared" si="129"/>
        <v>0</v>
      </c>
      <c r="AR289" s="17">
        <f t="shared" si="129"/>
        <v>0</v>
      </c>
      <c r="AS289" s="17">
        <f t="shared" si="129"/>
        <v>0</v>
      </c>
      <c r="AT289" s="17">
        <f t="shared" si="129"/>
        <v>0</v>
      </c>
      <c r="AU289" s="17">
        <f t="shared" si="129"/>
        <v>0</v>
      </c>
      <c r="AV289" s="17">
        <f t="shared" si="129"/>
        <v>0</v>
      </c>
      <c r="AW289" s="17">
        <f t="shared" si="129"/>
        <v>0</v>
      </c>
      <c r="AX289" s="17">
        <f t="shared" si="129"/>
        <v>0</v>
      </c>
      <c r="AY289" s="17">
        <f t="shared" si="129"/>
        <v>0</v>
      </c>
      <c r="AZ289" s="17">
        <f t="shared" si="129"/>
        <v>0</v>
      </c>
      <c r="BA289" s="17">
        <f t="shared" si="129"/>
        <v>0</v>
      </c>
      <c r="BB289" s="17">
        <f>SUM(BB263:BB264,BB275,BB287)</f>
        <v>0</v>
      </c>
      <c r="BC289" s="17">
        <f>SUM(BC263:BC264,BC275,BC287)</f>
        <v>0</v>
      </c>
      <c r="BD289" s="17">
        <f>SUM(BD263:BD264,BD275,BD287)</f>
        <v>0</v>
      </c>
      <c r="BE289" s="17">
        <f>SUM(BE263:BE264,BE275,BE287)</f>
        <v>0</v>
      </c>
      <c r="BF289" s="17">
        <f>SUM(BF263:BF264,BF275,BF287)</f>
        <v>0</v>
      </c>
    </row>
    <row r="290" spans="1:58" ht="14.1" customHeight="1">
      <c r="A290" s="247">
        <f t="shared" si="125"/>
        <v>284</v>
      </c>
      <c r="B290" s="93"/>
      <c r="C290" s="326"/>
      <c r="D290" s="326"/>
      <c r="E290" s="326"/>
      <c r="F290" s="326"/>
      <c r="G290" s="326"/>
      <c r="H290" s="326"/>
      <c r="I290" s="326"/>
      <c r="J290" s="326"/>
      <c r="K290" s="326"/>
      <c r="L290" s="326"/>
      <c r="M290" s="326"/>
      <c r="N290" s="326"/>
      <c r="O290" s="326"/>
      <c r="P290" s="326"/>
      <c r="Q290" s="326"/>
      <c r="R290" s="326"/>
      <c r="S290" s="326"/>
      <c r="T290" s="326"/>
      <c r="U290" s="326"/>
      <c r="V290" s="326"/>
      <c r="W290" s="326"/>
      <c r="X290" s="326"/>
      <c r="Y290" s="326"/>
      <c r="Z290" s="326"/>
      <c r="AA290" s="326"/>
      <c r="AB290" s="326"/>
      <c r="AC290" s="326"/>
      <c r="AD290" s="326"/>
      <c r="AE290" s="326"/>
      <c r="AF290" s="326"/>
      <c r="AG290" s="326"/>
      <c r="AH290" s="326"/>
      <c r="AI290" s="326"/>
      <c r="AJ290" s="326"/>
      <c r="AK290" s="326"/>
      <c r="AL290" s="326"/>
      <c r="AM290" s="326"/>
      <c r="AN290" s="326"/>
      <c r="AO290" s="326"/>
      <c r="AP290" s="326"/>
      <c r="AQ290" s="326"/>
      <c r="AR290" s="326"/>
      <c r="AS290" s="326"/>
      <c r="AT290" s="326"/>
      <c r="AU290" s="326"/>
      <c r="AV290" s="326"/>
      <c r="AW290" s="326"/>
      <c r="AX290" s="326"/>
      <c r="AY290" s="326"/>
      <c r="AZ290" s="326"/>
      <c r="BA290" s="326"/>
      <c r="BB290" s="326"/>
      <c r="BC290" s="326"/>
      <c r="BD290" s="326"/>
      <c r="BE290" s="326"/>
      <c r="BF290" s="326"/>
    </row>
    <row r="291" spans="1:58" ht="14.1" customHeight="1">
      <c r="A291" s="247">
        <f t="shared" si="125"/>
        <v>285</v>
      </c>
      <c r="B291" s="25" t="s">
        <v>544</v>
      </c>
      <c r="C291" s="17">
        <f>+C252+C253+C254+C260+C289</f>
        <v>-4118593</v>
      </c>
      <c r="D291" s="17">
        <f>+D252+D253+D254+D260+D289</f>
        <v>-5719968</v>
      </c>
      <c r="E291" s="17">
        <f t="shared" ref="E291:BA291" si="130">+E252+E253+E254+E260+E289</f>
        <v>-5929131</v>
      </c>
      <c r="F291" s="17">
        <f t="shared" si="130"/>
        <v>2812947</v>
      </c>
      <c r="G291" s="17">
        <f t="shared" si="130"/>
        <v>149766</v>
      </c>
      <c r="H291" s="17">
        <f t="shared" si="130"/>
        <v>-399403</v>
      </c>
      <c r="I291" s="17">
        <f t="shared" si="130"/>
        <v>251903</v>
      </c>
      <c r="J291" s="17">
        <f t="shared" si="130"/>
        <v>-5298776</v>
      </c>
      <c r="K291" s="17">
        <f t="shared" si="130"/>
        <v>10014069</v>
      </c>
      <c r="L291" s="17">
        <f t="shared" si="130"/>
        <v>0</v>
      </c>
      <c r="M291" s="86">
        <f t="shared" si="130"/>
        <v>0</v>
      </c>
      <c r="N291" s="17">
        <f t="shared" si="130"/>
        <v>0</v>
      </c>
      <c r="O291" s="17">
        <f t="shared" si="130"/>
        <v>0</v>
      </c>
      <c r="P291" s="86">
        <f t="shared" si="130"/>
        <v>0</v>
      </c>
      <c r="Q291" s="86">
        <f t="shared" si="130"/>
        <v>0</v>
      </c>
      <c r="R291" s="86">
        <f t="shared" si="130"/>
        <v>0</v>
      </c>
      <c r="S291" s="86">
        <f t="shared" si="130"/>
        <v>0</v>
      </c>
      <c r="T291" s="86">
        <f t="shared" si="130"/>
        <v>0</v>
      </c>
      <c r="U291" s="86">
        <f t="shared" si="130"/>
        <v>0</v>
      </c>
      <c r="V291" s="17">
        <f t="shared" si="130"/>
        <v>0</v>
      </c>
      <c r="W291" s="17">
        <f t="shared" si="130"/>
        <v>0</v>
      </c>
      <c r="X291" s="17">
        <f t="shared" si="130"/>
        <v>0</v>
      </c>
      <c r="Y291" s="17">
        <f t="shared" si="130"/>
        <v>0</v>
      </c>
      <c r="Z291" s="17">
        <f t="shared" si="130"/>
        <v>0</v>
      </c>
      <c r="AA291" s="17">
        <f t="shared" si="130"/>
        <v>0</v>
      </c>
      <c r="AB291" s="17">
        <f t="shared" si="130"/>
        <v>0</v>
      </c>
      <c r="AC291" s="17">
        <f t="shared" si="130"/>
        <v>0</v>
      </c>
      <c r="AD291" s="17">
        <f t="shared" si="130"/>
        <v>0</v>
      </c>
      <c r="AE291" s="17">
        <f t="shared" si="130"/>
        <v>0</v>
      </c>
      <c r="AF291" s="17">
        <f t="shared" si="130"/>
        <v>0</v>
      </c>
      <c r="AG291" s="17">
        <f t="shared" si="130"/>
        <v>0</v>
      </c>
      <c r="AH291" s="17">
        <f t="shared" si="130"/>
        <v>0</v>
      </c>
      <c r="AI291" s="17">
        <f t="shared" si="130"/>
        <v>0</v>
      </c>
      <c r="AJ291" s="17">
        <f t="shared" si="130"/>
        <v>0</v>
      </c>
      <c r="AK291" s="86">
        <f t="shared" si="130"/>
        <v>0</v>
      </c>
      <c r="AL291" s="17">
        <f t="shared" si="130"/>
        <v>0</v>
      </c>
      <c r="AM291" s="17">
        <f t="shared" si="130"/>
        <v>0</v>
      </c>
      <c r="AN291" s="17">
        <f t="shared" si="130"/>
        <v>0</v>
      </c>
      <c r="AO291" s="17">
        <f t="shared" si="130"/>
        <v>0</v>
      </c>
      <c r="AP291" s="17">
        <f t="shared" si="130"/>
        <v>0</v>
      </c>
      <c r="AQ291" s="17">
        <f t="shared" si="130"/>
        <v>0</v>
      </c>
      <c r="AR291" s="17">
        <f t="shared" si="130"/>
        <v>0</v>
      </c>
      <c r="AS291" s="17">
        <f t="shared" si="130"/>
        <v>0</v>
      </c>
      <c r="AT291" s="17">
        <f t="shared" si="130"/>
        <v>0</v>
      </c>
      <c r="AU291" s="17">
        <f t="shared" si="130"/>
        <v>0</v>
      </c>
      <c r="AV291" s="17">
        <f t="shared" si="130"/>
        <v>0</v>
      </c>
      <c r="AW291" s="17">
        <f t="shared" si="130"/>
        <v>0</v>
      </c>
      <c r="AX291" s="17">
        <f t="shared" si="130"/>
        <v>0</v>
      </c>
      <c r="AY291" s="17">
        <f t="shared" si="130"/>
        <v>0</v>
      </c>
      <c r="AZ291" s="17">
        <f t="shared" si="130"/>
        <v>0</v>
      </c>
      <c r="BA291" s="17">
        <f t="shared" si="130"/>
        <v>0</v>
      </c>
      <c r="BB291" s="17">
        <f>+BB252+BB253+BB254+BB260+BB289</f>
        <v>0</v>
      </c>
      <c r="BC291" s="17">
        <f>+BC252+BC253+BC254+BC260+BC289</f>
        <v>0</v>
      </c>
      <c r="BD291" s="17">
        <f>+BD252+BD253+BD254+BD260+BD289</f>
        <v>0</v>
      </c>
      <c r="BE291" s="17">
        <f>+BE252+BE253+BE254+BE260+BE289</f>
        <v>0</v>
      </c>
      <c r="BF291" s="17">
        <f>+BF252+BF253+BF254+BF260+BF289</f>
        <v>0</v>
      </c>
    </row>
    <row r="292" spans="1:58" ht="14.1" customHeight="1">
      <c r="A292" s="247">
        <f t="shared" si="125"/>
        <v>286</v>
      </c>
      <c r="B292" s="27"/>
      <c r="C292" s="27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  <c r="AN292" s="48"/>
      <c r="AO292" s="48"/>
      <c r="AP292" s="48"/>
      <c r="AQ292" s="48"/>
      <c r="AR292" s="48"/>
      <c r="AS292" s="48"/>
      <c r="AT292" s="48"/>
      <c r="AU292" s="48"/>
      <c r="AV292" s="48"/>
      <c r="AW292" s="48"/>
      <c r="AX292" s="48"/>
      <c r="AY292" s="48"/>
      <c r="AZ292" s="48"/>
      <c r="BA292" s="48"/>
      <c r="BB292" s="48"/>
      <c r="BC292" s="48"/>
      <c r="BD292" s="48"/>
      <c r="BE292" s="48"/>
      <c r="BF292" s="48"/>
    </row>
    <row r="293" spans="1:58" ht="14.1" customHeight="1">
      <c r="A293" s="247">
        <f t="shared" si="125"/>
        <v>287</v>
      </c>
      <c r="B293" s="47" t="s">
        <v>191</v>
      </c>
      <c r="C293" s="47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  <c r="AR293" s="48"/>
      <c r="AS293" s="48"/>
      <c r="AT293" s="48"/>
      <c r="AU293" s="48"/>
      <c r="AV293" s="48"/>
      <c r="AW293" s="48"/>
      <c r="AX293" s="48"/>
      <c r="AY293" s="48"/>
      <c r="AZ293" s="48"/>
      <c r="BA293" s="48"/>
      <c r="BB293" s="48"/>
      <c r="BC293" s="48"/>
      <c r="BD293" s="48"/>
      <c r="BE293" s="48"/>
      <c r="BF293" s="48"/>
    </row>
    <row r="294" spans="1:58" ht="14.1" customHeight="1">
      <c r="A294" s="247">
        <f t="shared" si="125"/>
        <v>288</v>
      </c>
      <c r="B294" s="14" t="s">
        <v>192</v>
      </c>
      <c r="C294" s="14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</row>
    <row r="295" spans="1:58" ht="14.1" customHeight="1">
      <c r="A295" s="247">
        <f t="shared" si="125"/>
        <v>289</v>
      </c>
      <c r="B295" s="27" t="s">
        <v>193</v>
      </c>
      <c r="C295" s="43">
        <f t="shared" ref="C295:C306" si="131">SUM(D295:BF295)</f>
        <v>-1586676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11">
        <v>0</v>
      </c>
      <c r="AC295" s="11">
        <v>0</v>
      </c>
      <c r="AD295" s="11">
        <v>-2015350</v>
      </c>
      <c r="AE295" s="11">
        <v>0</v>
      </c>
      <c r="AF295" s="11">
        <v>428674</v>
      </c>
      <c r="AG295" s="11">
        <v>0</v>
      </c>
      <c r="AH295" s="11">
        <v>0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>
        <v>0</v>
      </c>
      <c r="AT295" s="11">
        <v>0</v>
      </c>
      <c r="AU295" s="11">
        <v>0</v>
      </c>
      <c r="AV295" s="11">
        <v>0</v>
      </c>
      <c r="AW295" s="11">
        <v>0</v>
      </c>
      <c r="AX295" s="11">
        <v>0</v>
      </c>
      <c r="AY295" s="11">
        <v>0</v>
      </c>
      <c r="AZ295" s="11">
        <v>0</v>
      </c>
      <c r="BA295" s="11">
        <v>0</v>
      </c>
      <c r="BB295" s="11">
        <v>0</v>
      </c>
      <c r="BC295" s="11">
        <v>0</v>
      </c>
      <c r="BD295" s="11">
        <v>0</v>
      </c>
      <c r="BE295" s="11">
        <v>0</v>
      </c>
      <c r="BF295" s="11">
        <v>0</v>
      </c>
    </row>
    <row r="296" spans="1:58" ht="14.1" customHeight="1">
      <c r="A296" s="247">
        <f t="shared" si="125"/>
        <v>290</v>
      </c>
      <c r="B296" s="27" t="s">
        <v>394</v>
      </c>
      <c r="C296" s="43">
        <f t="shared" si="131"/>
        <v>-5117088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0</v>
      </c>
      <c r="O296" s="11">
        <v>0</v>
      </c>
      <c r="P296" s="11">
        <v>0</v>
      </c>
      <c r="Q296" s="11">
        <v>0</v>
      </c>
      <c r="R296" s="11">
        <v>0</v>
      </c>
      <c r="S296" s="11">
        <v>0</v>
      </c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11">
        <v>0</v>
      </c>
      <c r="AC296" s="11">
        <v>0</v>
      </c>
      <c r="AD296" s="11">
        <v>-6428915</v>
      </c>
      <c r="AE296" s="11">
        <v>0</v>
      </c>
      <c r="AF296" s="11">
        <v>1311827</v>
      </c>
      <c r="AG296" s="11">
        <v>0</v>
      </c>
      <c r="AH296" s="11">
        <v>0</v>
      </c>
      <c r="AI296" s="11">
        <v>0</v>
      </c>
      <c r="AJ296" s="11">
        <v>0</v>
      </c>
      <c r="AK296" s="11">
        <v>0</v>
      </c>
      <c r="AL296" s="11">
        <v>0</v>
      </c>
      <c r="AM296" s="11">
        <v>0</v>
      </c>
      <c r="AN296" s="11">
        <v>0</v>
      </c>
      <c r="AO296" s="11">
        <v>0</v>
      </c>
      <c r="AP296" s="11">
        <v>0</v>
      </c>
      <c r="AQ296" s="11">
        <v>0</v>
      </c>
      <c r="AR296" s="11">
        <v>0</v>
      </c>
      <c r="AS296" s="11">
        <v>0</v>
      </c>
      <c r="AT296" s="11">
        <v>0</v>
      </c>
      <c r="AU296" s="11">
        <v>0</v>
      </c>
      <c r="AV296" s="11">
        <v>0</v>
      </c>
      <c r="AW296" s="11">
        <v>0</v>
      </c>
      <c r="AX296" s="11">
        <v>0</v>
      </c>
      <c r="AY296" s="11">
        <v>0</v>
      </c>
      <c r="AZ296" s="11">
        <v>0</v>
      </c>
      <c r="BA296" s="11">
        <v>0</v>
      </c>
      <c r="BB296" s="11">
        <v>0</v>
      </c>
      <c r="BC296" s="11">
        <v>0</v>
      </c>
      <c r="BD296" s="11">
        <v>0</v>
      </c>
      <c r="BE296" s="11">
        <v>0</v>
      </c>
      <c r="BF296" s="11">
        <v>0</v>
      </c>
    </row>
    <row r="297" spans="1:58" ht="14.1" customHeight="1">
      <c r="A297" s="247">
        <f t="shared" si="125"/>
        <v>291</v>
      </c>
      <c r="B297" s="27" t="s">
        <v>395</v>
      </c>
      <c r="C297" s="43">
        <f t="shared" si="131"/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0</v>
      </c>
      <c r="AI297" s="11">
        <v>0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>
        <v>0</v>
      </c>
      <c r="AT297" s="11">
        <v>0</v>
      </c>
      <c r="AU297" s="11">
        <v>0</v>
      </c>
      <c r="AV297" s="11">
        <v>0</v>
      </c>
      <c r="AW297" s="11">
        <v>0</v>
      </c>
      <c r="AX297" s="11">
        <v>0</v>
      </c>
      <c r="AY297" s="11">
        <v>0</v>
      </c>
      <c r="AZ297" s="11">
        <v>0</v>
      </c>
      <c r="BA297" s="11">
        <v>0</v>
      </c>
      <c r="BB297" s="11">
        <v>0</v>
      </c>
      <c r="BC297" s="11">
        <v>0</v>
      </c>
      <c r="BD297" s="11">
        <v>0</v>
      </c>
      <c r="BE297" s="11">
        <v>0</v>
      </c>
      <c r="BF297" s="11">
        <v>0</v>
      </c>
    </row>
    <row r="298" spans="1:58" s="26" customFormat="1" ht="14.1" customHeight="1">
      <c r="A298" s="247">
        <f t="shared" si="125"/>
        <v>292</v>
      </c>
      <c r="B298" s="27" t="s">
        <v>325</v>
      </c>
      <c r="C298" s="43">
        <f t="shared" si="131"/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11">
        <v>0</v>
      </c>
      <c r="AG298" s="11">
        <v>0</v>
      </c>
      <c r="AH298" s="11">
        <v>0</v>
      </c>
      <c r="AI298" s="11">
        <v>0</v>
      </c>
      <c r="AJ298" s="11">
        <v>0</v>
      </c>
      <c r="AK298" s="11">
        <v>0</v>
      </c>
      <c r="AL298" s="11">
        <v>0</v>
      </c>
      <c r="AM298" s="11">
        <v>0</v>
      </c>
      <c r="AN298" s="11">
        <v>0</v>
      </c>
      <c r="AO298" s="11">
        <v>0</v>
      </c>
      <c r="AP298" s="11">
        <v>0</v>
      </c>
      <c r="AQ298" s="11">
        <v>0</v>
      </c>
      <c r="AR298" s="11">
        <v>0</v>
      </c>
      <c r="AS298" s="11">
        <v>0</v>
      </c>
      <c r="AT298" s="11">
        <v>0</v>
      </c>
      <c r="AU298" s="11">
        <v>0</v>
      </c>
      <c r="AV298" s="11">
        <v>0</v>
      </c>
      <c r="AW298" s="11">
        <v>0</v>
      </c>
      <c r="AX298" s="11">
        <v>0</v>
      </c>
      <c r="AY298" s="11">
        <v>0</v>
      </c>
      <c r="AZ298" s="11">
        <v>0</v>
      </c>
      <c r="BA298" s="11">
        <v>0</v>
      </c>
      <c r="BB298" s="11">
        <v>0</v>
      </c>
      <c r="BC298" s="11">
        <v>0</v>
      </c>
      <c r="BD298" s="11">
        <v>0</v>
      </c>
      <c r="BE298" s="11">
        <v>0</v>
      </c>
      <c r="BF298" s="11">
        <v>0</v>
      </c>
    </row>
    <row r="299" spans="1:58" ht="14.1" customHeight="1">
      <c r="A299" s="247">
        <f t="shared" si="125"/>
        <v>293</v>
      </c>
      <c r="B299" s="27" t="s">
        <v>781</v>
      </c>
      <c r="C299" s="43">
        <f t="shared" si="131"/>
        <v>-1852162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1">
        <v>0</v>
      </c>
      <c r="N299" s="11">
        <v>0</v>
      </c>
      <c r="O299" s="11">
        <v>0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11">
        <v>0</v>
      </c>
      <c r="AC299" s="11">
        <v>0</v>
      </c>
      <c r="AD299" s="11">
        <v>-3820816</v>
      </c>
      <c r="AE299" s="11">
        <v>0</v>
      </c>
      <c r="AF299" s="11">
        <v>1968654</v>
      </c>
      <c r="AG299" s="11">
        <v>0</v>
      </c>
      <c r="AH299" s="11">
        <v>0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1">
        <v>0</v>
      </c>
      <c r="AS299" s="11">
        <v>0</v>
      </c>
      <c r="AT299" s="11">
        <v>0</v>
      </c>
      <c r="AU299" s="11">
        <v>0</v>
      </c>
      <c r="AV299" s="11">
        <v>0</v>
      </c>
      <c r="AW299" s="11">
        <v>0</v>
      </c>
      <c r="AX299" s="11">
        <v>0</v>
      </c>
      <c r="AY299" s="11">
        <v>0</v>
      </c>
      <c r="AZ299" s="11">
        <v>0</v>
      </c>
      <c r="BA299" s="11">
        <v>0</v>
      </c>
      <c r="BB299" s="11">
        <v>0</v>
      </c>
      <c r="BC299" s="11">
        <v>0</v>
      </c>
      <c r="BD299" s="11">
        <v>0</v>
      </c>
      <c r="BE299" s="11">
        <v>0</v>
      </c>
      <c r="BF299" s="11">
        <v>0</v>
      </c>
    </row>
    <row r="300" spans="1:58" ht="14.1" customHeight="1">
      <c r="A300" s="247">
        <f t="shared" si="125"/>
        <v>294</v>
      </c>
      <c r="B300" s="27" t="s">
        <v>194</v>
      </c>
      <c r="C300" s="43">
        <f t="shared" si="131"/>
        <v>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11">
        <v>0</v>
      </c>
      <c r="AG300" s="11">
        <v>0</v>
      </c>
      <c r="AH300" s="11">
        <v>0</v>
      </c>
      <c r="AI300" s="11">
        <v>0</v>
      </c>
      <c r="AJ300" s="11">
        <v>0</v>
      </c>
      <c r="AK300" s="11">
        <v>0</v>
      </c>
      <c r="AL300" s="11">
        <v>0</v>
      </c>
      <c r="AM300" s="11">
        <v>0</v>
      </c>
      <c r="AN300" s="11">
        <v>0</v>
      </c>
      <c r="AO300" s="11">
        <v>0</v>
      </c>
      <c r="AP300" s="11">
        <v>0</v>
      </c>
      <c r="AQ300" s="11">
        <v>0</v>
      </c>
      <c r="AR300" s="11">
        <v>0</v>
      </c>
      <c r="AS300" s="11">
        <v>0</v>
      </c>
      <c r="AT300" s="11">
        <v>0</v>
      </c>
      <c r="AU300" s="11">
        <v>0</v>
      </c>
      <c r="AV300" s="11">
        <v>0</v>
      </c>
      <c r="AW300" s="11">
        <v>0</v>
      </c>
      <c r="AX300" s="11">
        <v>0</v>
      </c>
      <c r="AY300" s="11">
        <v>0</v>
      </c>
      <c r="AZ300" s="11">
        <v>0</v>
      </c>
      <c r="BA300" s="11">
        <v>0</v>
      </c>
      <c r="BB300" s="11">
        <v>0</v>
      </c>
      <c r="BC300" s="11">
        <v>0</v>
      </c>
      <c r="BD300" s="11">
        <v>0</v>
      </c>
      <c r="BE300" s="11">
        <v>0</v>
      </c>
      <c r="BF300" s="11">
        <v>0</v>
      </c>
    </row>
    <row r="301" spans="1:58" ht="14.1" customHeight="1">
      <c r="A301" s="247">
        <f t="shared" si="125"/>
        <v>295</v>
      </c>
      <c r="B301" s="27" t="s">
        <v>195</v>
      </c>
      <c r="C301" s="43">
        <f t="shared" si="131"/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0</v>
      </c>
      <c r="AI301" s="11">
        <v>0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>
        <v>0</v>
      </c>
      <c r="AT301" s="11">
        <v>0</v>
      </c>
      <c r="AU301" s="11">
        <v>0</v>
      </c>
      <c r="AV301" s="11">
        <v>0</v>
      </c>
      <c r="AW301" s="11">
        <v>0</v>
      </c>
      <c r="AX301" s="11">
        <v>0</v>
      </c>
      <c r="AY301" s="11">
        <v>0</v>
      </c>
      <c r="AZ301" s="11">
        <v>0</v>
      </c>
      <c r="BA301" s="11">
        <v>0</v>
      </c>
      <c r="BB301" s="11">
        <v>0</v>
      </c>
      <c r="BC301" s="11">
        <v>0</v>
      </c>
      <c r="BD301" s="11">
        <v>0</v>
      </c>
      <c r="BE301" s="11">
        <v>0</v>
      </c>
      <c r="BF301" s="11">
        <v>0</v>
      </c>
    </row>
    <row r="302" spans="1:58" ht="14.1" customHeight="1">
      <c r="A302" s="247">
        <f t="shared" si="125"/>
        <v>296</v>
      </c>
      <c r="B302" s="27" t="s">
        <v>196</v>
      </c>
      <c r="C302" s="43">
        <f t="shared" si="131"/>
        <v>-458851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11">
        <v>0</v>
      </c>
      <c r="AC302" s="11">
        <v>0</v>
      </c>
      <c r="AD302" s="11">
        <v>-458852</v>
      </c>
      <c r="AE302" s="11">
        <v>0</v>
      </c>
      <c r="AF302" s="11">
        <v>1</v>
      </c>
      <c r="AG302" s="11">
        <v>0</v>
      </c>
      <c r="AH302" s="11">
        <v>0</v>
      </c>
      <c r="AI302" s="11">
        <v>0</v>
      </c>
      <c r="AJ302" s="11">
        <v>0</v>
      </c>
      <c r="AK302" s="11">
        <v>0</v>
      </c>
      <c r="AL302" s="11">
        <v>0</v>
      </c>
      <c r="AM302" s="11">
        <v>0</v>
      </c>
      <c r="AN302" s="11">
        <v>0</v>
      </c>
      <c r="AO302" s="11">
        <v>0</v>
      </c>
      <c r="AP302" s="11">
        <v>0</v>
      </c>
      <c r="AQ302" s="11">
        <v>0</v>
      </c>
      <c r="AR302" s="11">
        <v>0</v>
      </c>
      <c r="AS302" s="11">
        <v>0</v>
      </c>
      <c r="AT302" s="11">
        <v>0</v>
      </c>
      <c r="AU302" s="11">
        <v>0</v>
      </c>
      <c r="AV302" s="11">
        <v>0</v>
      </c>
      <c r="AW302" s="11">
        <v>0</v>
      </c>
      <c r="AX302" s="11">
        <v>0</v>
      </c>
      <c r="AY302" s="11">
        <v>0</v>
      </c>
      <c r="AZ302" s="11">
        <v>0</v>
      </c>
      <c r="BA302" s="11">
        <v>0</v>
      </c>
      <c r="BB302" s="11">
        <v>0</v>
      </c>
      <c r="BC302" s="11">
        <v>0</v>
      </c>
      <c r="BD302" s="11">
        <v>0</v>
      </c>
      <c r="BE302" s="11">
        <v>0</v>
      </c>
      <c r="BF302" s="11">
        <v>0</v>
      </c>
    </row>
    <row r="303" spans="1:58" s="26" customFormat="1" ht="14.1" customHeight="1">
      <c r="A303" s="247">
        <f t="shared" si="125"/>
        <v>297</v>
      </c>
      <c r="B303" s="27" t="s">
        <v>197</v>
      </c>
      <c r="C303" s="43">
        <f t="shared" si="131"/>
        <v>-3689316</v>
      </c>
      <c r="D303" s="11">
        <v>0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  <c r="V303" s="11">
        <v>0</v>
      </c>
      <c r="W303" s="11">
        <v>0</v>
      </c>
      <c r="X303" s="48">
        <v>52505</v>
      </c>
      <c r="Y303" s="11">
        <v>34425</v>
      </c>
      <c r="Z303" s="48">
        <v>103330</v>
      </c>
      <c r="AA303" s="11">
        <v>0</v>
      </c>
      <c r="AB303" s="11">
        <v>0</v>
      </c>
      <c r="AC303" s="11">
        <v>0</v>
      </c>
      <c r="AD303" s="11">
        <v>-4729207</v>
      </c>
      <c r="AE303" s="11">
        <v>0</v>
      </c>
      <c r="AF303" s="11">
        <v>779936</v>
      </c>
      <c r="AG303" s="11">
        <v>0</v>
      </c>
      <c r="AH303" s="11">
        <v>0</v>
      </c>
      <c r="AI303" s="11">
        <v>69695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>
        <v>0</v>
      </c>
      <c r="AT303" s="11">
        <v>0</v>
      </c>
      <c r="AU303" s="11">
        <v>0</v>
      </c>
      <c r="AV303" s="11">
        <v>0</v>
      </c>
      <c r="AW303" s="11">
        <v>0</v>
      </c>
      <c r="AX303" s="11">
        <v>0</v>
      </c>
      <c r="AY303" s="11">
        <v>0</v>
      </c>
      <c r="AZ303" s="11">
        <v>0</v>
      </c>
      <c r="BA303" s="11">
        <v>0</v>
      </c>
      <c r="BB303" s="11">
        <v>0</v>
      </c>
      <c r="BC303" s="11">
        <v>0</v>
      </c>
      <c r="BD303" s="11">
        <v>0</v>
      </c>
      <c r="BE303" s="11">
        <v>0</v>
      </c>
      <c r="BF303" s="11">
        <v>0</v>
      </c>
    </row>
    <row r="304" spans="1:58" s="26" customFormat="1" ht="14.1" customHeight="1">
      <c r="A304" s="247">
        <f t="shared" si="125"/>
        <v>298</v>
      </c>
      <c r="B304" s="27" t="s">
        <v>198</v>
      </c>
      <c r="C304" s="43">
        <f t="shared" si="131"/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11">
        <v>0</v>
      </c>
      <c r="AG304" s="11">
        <v>0</v>
      </c>
      <c r="AH304" s="11">
        <v>0</v>
      </c>
      <c r="AI304" s="11">
        <v>0</v>
      </c>
      <c r="AJ304" s="11">
        <v>0</v>
      </c>
      <c r="AK304" s="11">
        <v>0</v>
      </c>
      <c r="AL304" s="11">
        <v>0</v>
      </c>
      <c r="AM304" s="11">
        <v>0</v>
      </c>
      <c r="AN304" s="11">
        <v>0</v>
      </c>
      <c r="AO304" s="11">
        <v>0</v>
      </c>
      <c r="AP304" s="11">
        <v>0</v>
      </c>
      <c r="AQ304" s="11">
        <v>0</v>
      </c>
      <c r="AR304" s="11">
        <v>0</v>
      </c>
      <c r="AS304" s="11">
        <v>0</v>
      </c>
      <c r="AT304" s="11">
        <v>0</v>
      </c>
      <c r="AU304" s="11">
        <v>0</v>
      </c>
      <c r="AV304" s="11">
        <v>0</v>
      </c>
      <c r="AW304" s="11">
        <v>0</v>
      </c>
      <c r="AX304" s="11">
        <v>0</v>
      </c>
      <c r="AY304" s="11">
        <v>0</v>
      </c>
      <c r="AZ304" s="11">
        <v>0</v>
      </c>
      <c r="BA304" s="11">
        <v>0</v>
      </c>
      <c r="BB304" s="11">
        <v>0</v>
      </c>
      <c r="BC304" s="11">
        <v>0</v>
      </c>
      <c r="BD304" s="11">
        <v>0</v>
      </c>
      <c r="BE304" s="11">
        <v>0</v>
      </c>
      <c r="BF304" s="11">
        <v>0</v>
      </c>
    </row>
    <row r="305" spans="1:58" ht="14.1" customHeight="1">
      <c r="A305" s="247">
        <f t="shared" si="125"/>
        <v>299</v>
      </c>
      <c r="B305" s="27" t="s">
        <v>199</v>
      </c>
      <c r="C305" s="43">
        <f t="shared" si="131"/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>
        <v>0</v>
      </c>
      <c r="AT305" s="11">
        <v>0</v>
      </c>
      <c r="AU305" s="11">
        <v>0</v>
      </c>
      <c r="AV305" s="11">
        <v>0</v>
      </c>
      <c r="AW305" s="11">
        <v>0</v>
      </c>
      <c r="AX305" s="11">
        <v>0</v>
      </c>
      <c r="AY305" s="11">
        <v>0</v>
      </c>
      <c r="AZ305" s="11">
        <v>0</v>
      </c>
      <c r="BA305" s="11">
        <v>0</v>
      </c>
      <c r="BB305" s="11">
        <v>0</v>
      </c>
      <c r="BC305" s="11">
        <v>0</v>
      </c>
      <c r="BD305" s="11">
        <v>0</v>
      </c>
      <c r="BE305" s="11">
        <v>0</v>
      </c>
      <c r="BF305" s="11">
        <v>0</v>
      </c>
    </row>
    <row r="306" spans="1:58" ht="14.1" customHeight="1">
      <c r="A306" s="247">
        <f t="shared" si="125"/>
        <v>300</v>
      </c>
      <c r="B306" s="92" t="s">
        <v>200</v>
      </c>
      <c r="C306" s="43">
        <f t="shared" si="131"/>
        <v>-6110574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11">
        <v>0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11">
        <v>0</v>
      </c>
      <c r="AC306" s="11">
        <v>0</v>
      </c>
      <c r="AD306" s="11">
        <v>-6220646</v>
      </c>
      <c r="AE306" s="11">
        <v>0</v>
      </c>
      <c r="AF306" s="11">
        <v>110072</v>
      </c>
      <c r="AG306" s="11">
        <v>0</v>
      </c>
      <c r="AH306" s="11">
        <v>0</v>
      </c>
      <c r="AI306" s="11">
        <v>0</v>
      </c>
      <c r="AJ306" s="11">
        <v>0</v>
      </c>
      <c r="AK306" s="11">
        <v>0</v>
      </c>
      <c r="AL306" s="11">
        <v>0</v>
      </c>
      <c r="AM306" s="11">
        <v>0</v>
      </c>
      <c r="AN306" s="11">
        <v>0</v>
      </c>
      <c r="AO306" s="11">
        <v>0</v>
      </c>
      <c r="AP306" s="11">
        <v>0</v>
      </c>
      <c r="AQ306" s="11">
        <v>0</v>
      </c>
      <c r="AR306" s="11">
        <v>0</v>
      </c>
      <c r="AS306" s="11">
        <v>0</v>
      </c>
      <c r="AT306" s="11">
        <v>0</v>
      </c>
      <c r="AU306" s="11">
        <v>0</v>
      </c>
      <c r="AV306" s="11">
        <v>0</v>
      </c>
      <c r="AW306" s="11">
        <v>0</v>
      </c>
      <c r="AX306" s="11">
        <v>0</v>
      </c>
      <c r="AY306" s="11">
        <v>0</v>
      </c>
      <c r="AZ306" s="11">
        <v>0</v>
      </c>
      <c r="BA306" s="11">
        <v>0</v>
      </c>
      <c r="BB306" s="11">
        <v>0</v>
      </c>
      <c r="BC306" s="11">
        <v>0</v>
      </c>
      <c r="BD306" s="11">
        <v>0</v>
      </c>
      <c r="BE306" s="11">
        <v>0</v>
      </c>
      <c r="BF306" s="11">
        <v>0</v>
      </c>
    </row>
    <row r="307" spans="1:58" ht="14.1" customHeight="1">
      <c r="A307" s="247">
        <f t="shared" si="125"/>
        <v>301</v>
      </c>
      <c r="B307" s="25" t="s">
        <v>545</v>
      </c>
      <c r="C307" s="189">
        <f>SUM(C295:C306)</f>
        <v>-18814667</v>
      </c>
      <c r="D307" s="189">
        <f>SUM(D295:D306)</f>
        <v>0</v>
      </c>
      <c r="E307" s="189">
        <f t="shared" ref="E307:BA307" si="132">SUM(E295:E306)</f>
        <v>0</v>
      </c>
      <c r="F307" s="189">
        <f t="shared" si="132"/>
        <v>0</v>
      </c>
      <c r="G307" s="189">
        <f t="shared" si="132"/>
        <v>0</v>
      </c>
      <c r="H307" s="189">
        <f t="shared" si="132"/>
        <v>0</v>
      </c>
      <c r="I307" s="189">
        <f t="shared" si="132"/>
        <v>0</v>
      </c>
      <c r="J307" s="189">
        <f t="shared" si="132"/>
        <v>0</v>
      </c>
      <c r="K307" s="189">
        <f t="shared" si="132"/>
        <v>0</v>
      </c>
      <c r="L307" s="189">
        <f t="shared" si="132"/>
        <v>0</v>
      </c>
      <c r="M307" s="189">
        <f t="shared" si="132"/>
        <v>0</v>
      </c>
      <c r="N307" s="189">
        <f t="shared" si="132"/>
        <v>0</v>
      </c>
      <c r="O307" s="189">
        <f t="shared" si="132"/>
        <v>0</v>
      </c>
      <c r="P307" s="189">
        <f t="shared" si="132"/>
        <v>0</v>
      </c>
      <c r="Q307" s="189">
        <f t="shared" si="132"/>
        <v>0</v>
      </c>
      <c r="R307" s="189">
        <f t="shared" si="132"/>
        <v>0</v>
      </c>
      <c r="S307" s="189">
        <f t="shared" si="132"/>
        <v>0</v>
      </c>
      <c r="T307" s="189">
        <f t="shared" si="132"/>
        <v>0</v>
      </c>
      <c r="U307" s="189">
        <f t="shared" si="132"/>
        <v>0</v>
      </c>
      <c r="V307" s="189">
        <f t="shared" si="132"/>
        <v>0</v>
      </c>
      <c r="W307" s="189">
        <f t="shared" si="132"/>
        <v>0</v>
      </c>
      <c r="X307" s="189">
        <f t="shared" si="132"/>
        <v>52505</v>
      </c>
      <c r="Y307" s="189">
        <f t="shared" si="132"/>
        <v>34425</v>
      </c>
      <c r="Z307" s="189">
        <f t="shared" si="132"/>
        <v>103330</v>
      </c>
      <c r="AA307" s="189">
        <f t="shared" si="132"/>
        <v>0</v>
      </c>
      <c r="AB307" s="189">
        <f t="shared" si="132"/>
        <v>0</v>
      </c>
      <c r="AC307" s="189">
        <f t="shared" si="132"/>
        <v>0</v>
      </c>
      <c r="AD307" s="189">
        <f t="shared" si="132"/>
        <v>-23673786</v>
      </c>
      <c r="AE307" s="189">
        <f t="shared" si="132"/>
        <v>0</v>
      </c>
      <c r="AF307" s="189">
        <f t="shared" si="132"/>
        <v>4599164</v>
      </c>
      <c r="AG307" s="189">
        <f t="shared" si="132"/>
        <v>0</v>
      </c>
      <c r="AH307" s="189">
        <f t="shared" si="132"/>
        <v>0</v>
      </c>
      <c r="AI307" s="189">
        <f t="shared" si="132"/>
        <v>69695</v>
      </c>
      <c r="AJ307" s="189">
        <f t="shared" si="132"/>
        <v>0</v>
      </c>
      <c r="AK307" s="189">
        <f t="shared" si="132"/>
        <v>0</v>
      </c>
      <c r="AL307" s="189">
        <f t="shared" si="132"/>
        <v>0</v>
      </c>
      <c r="AM307" s="189">
        <f t="shared" si="132"/>
        <v>0</v>
      </c>
      <c r="AN307" s="189">
        <f t="shared" si="132"/>
        <v>0</v>
      </c>
      <c r="AO307" s="189">
        <f t="shared" si="132"/>
        <v>0</v>
      </c>
      <c r="AP307" s="189">
        <f t="shared" si="132"/>
        <v>0</v>
      </c>
      <c r="AQ307" s="189">
        <f t="shared" si="132"/>
        <v>0</v>
      </c>
      <c r="AR307" s="189">
        <f t="shared" si="132"/>
        <v>0</v>
      </c>
      <c r="AS307" s="189">
        <f t="shared" si="132"/>
        <v>0</v>
      </c>
      <c r="AT307" s="189">
        <f t="shared" si="132"/>
        <v>0</v>
      </c>
      <c r="AU307" s="189">
        <f t="shared" si="132"/>
        <v>0</v>
      </c>
      <c r="AV307" s="189">
        <f t="shared" si="132"/>
        <v>0</v>
      </c>
      <c r="AW307" s="189">
        <f t="shared" si="132"/>
        <v>0</v>
      </c>
      <c r="AX307" s="189">
        <f t="shared" si="132"/>
        <v>0</v>
      </c>
      <c r="AY307" s="189">
        <f t="shared" si="132"/>
        <v>0</v>
      </c>
      <c r="AZ307" s="189">
        <f t="shared" si="132"/>
        <v>0</v>
      </c>
      <c r="BA307" s="189">
        <f t="shared" si="132"/>
        <v>0</v>
      </c>
      <c r="BB307" s="189">
        <f>SUM(BB295:BB306)</f>
        <v>0</v>
      </c>
      <c r="BC307" s="189">
        <f>SUM(BC295:BC306)</f>
        <v>0</v>
      </c>
      <c r="BD307" s="189">
        <f>SUM(BD295:BD306)</f>
        <v>0</v>
      </c>
      <c r="BE307" s="189">
        <f>SUM(BE295:BE306)</f>
        <v>0</v>
      </c>
      <c r="BF307" s="189">
        <f>SUM(BF295:BF306)</f>
        <v>0</v>
      </c>
    </row>
    <row r="308" spans="1:58" ht="14.1" customHeight="1">
      <c r="A308" s="247">
        <f t="shared" si="125"/>
        <v>302</v>
      </c>
      <c r="B308" s="28"/>
      <c r="C308" s="28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</row>
    <row r="309" spans="1:58" ht="14.1" customHeight="1">
      <c r="A309" s="247">
        <f t="shared" si="125"/>
        <v>303</v>
      </c>
      <c r="B309" s="27" t="s">
        <v>202</v>
      </c>
      <c r="C309" s="158">
        <f>SUM(D309:BF309)</f>
        <v>-1916007</v>
      </c>
      <c r="D309" s="48">
        <v>0</v>
      </c>
      <c r="E309" s="48">
        <v>0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0</v>
      </c>
      <c r="U309" s="48">
        <v>0</v>
      </c>
      <c r="V309" s="48">
        <v>0</v>
      </c>
      <c r="W309" s="48">
        <v>0</v>
      </c>
      <c r="X309" s="48">
        <v>0</v>
      </c>
      <c r="Y309" s="48">
        <v>0</v>
      </c>
      <c r="Z309" s="48">
        <v>0</v>
      </c>
      <c r="AA309" s="48">
        <v>0</v>
      </c>
      <c r="AB309" s="48">
        <v>0</v>
      </c>
      <c r="AC309" s="48">
        <v>0</v>
      </c>
      <c r="AD309" s="48">
        <v>-2235418</v>
      </c>
      <c r="AE309" s="48">
        <v>0</v>
      </c>
      <c r="AF309" s="48">
        <v>319411</v>
      </c>
      <c r="AG309" s="48">
        <v>0</v>
      </c>
      <c r="AH309" s="48">
        <v>0</v>
      </c>
      <c r="AI309" s="48">
        <v>0</v>
      </c>
      <c r="AJ309" s="48">
        <v>0</v>
      </c>
      <c r="AK309" s="48">
        <v>0</v>
      </c>
      <c r="AL309" s="48">
        <v>0</v>
      </c>
      <c r="AM309" s="48">
        <v>0</v>
      </c>
      <c r="AN309" s="48">
        <v>0</v>
      </c>
      <c r="AO309" s="48">
        <v>0</v>
      </c>
      <c r="AP309" s="48">
        <v>0</v>
      </c>
      <c r="AQ309" s="48">
        <v>0</v>
      </c>
      <c r="AR309" s="48">
        <v>0</v>
      </c>
      <c r="AS309" s="48">
        <v>0</v>
      </c>
      <c r="AT309" s="48">
        <v>0</v>
      </c>
      <c r="AU309" s="48">
        <v>0</v>
      </c>
      <c r="AV309" s="48">
        <v>0</v>
      </c>
      <c r="AW309" s="48">
        <v>0</v>
      </c>
      <c r="AX309" s="48">
        <v>0</v>
      </c>
      <c r="AY309" s="48">
        <v>0</v>
      </c>
      <c r="AZ309" s="48">
        <v>0</v>
      </c>
      <c r="BA309" s="48">
        <v>0</v>
      </c>
      <c r="BB309" s="48">
        <v>0</v>
      </c>
      <c r="BC309" s="48">
        <v>0</v>
      </c>
      <c r="BD309" s="48">
        <v>0</v>
      </c>
      <c r="BE309" s="48">
        <v>0</v>
      </c>
      <c r="BF309" s="48">
        <v>0</v>
      </c>
    </row>
    <row r="310" spans="1:58" ht="14.1" customHeight="1">
      <c r="A310" s="247">
        <f t="shared" si="125"/>
        <v>304</v>
      </c>
      <c r="B310" s="27" t="s">
        <v>203</v>
      </c>
      <c r="C310" s="158">
        <f>SUM(D310:BF310)</f>
        <v>-1071890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1">
        <v>-1232436</v>
      </c>
      <c r="AE310" s="11">
        <v>0</v>
      </c>
      <c r="AF310" s="11">
        <v>160546</v>
      </c>
      <c r="AG310" s="11">
        <v>0</v>
      </c>
      <c r="AH310" s="11">
        <v>0</v>
      </c>
      <c r="AI310" s="11">
        <v>0</v>
      </c>
      <c r="AJ310" s="11">
        <v>0</v>
      </c>
      <c r="AK310" s="11">
        <v>0</v>
      </c>
      <c r="AL310" s="11">
        <v>0</v>
      </c>
      <c r="AM310" s="11">
        <v>0</v>
      </c>
      <c r="AN310" s="11">
        <v>0</v>
      </c>
      <c r="AO310" s="11">
        <v>0</v>
      </c>
      <c r="AP310" s="11">
        <v>0</v>
      </c>
      <c r="AQ310" s="11">
        <v>0</v>
      </c>
      <c r="AR310" s="11">
        <v>0</v>
      </c>
      <c r="AS310" s="11">
        <v>0</v>
      </c>
      <c r="AT310" s="11">
        <v>0</v>
      </c>
      <c r="AU310" s="11">
        <v>0</v>
      </c>
      <c r="AV310" s="11">
        <v>0</v>
      </c>
      <c r="AW310" s="11">
        <v>0</v>
      </c>
      <c r="AX310" s="11">
        <v>0</v>
      </c>
      <c r="AY310" s="11">
        <v>0</v>
      </c>
      <c r="AZ310" s="11">
        <v>0</v>
      </c>
      <c r="BA310" s="11">
        <v>0</v>
      </c>
      <c r="BB310" s="11">
        <v>0</v>
      </c>
      <c r="BC310" s="11">
        <v>0</v>
      </c>
      <c r="BD310" s="11">
        <v>0</v>
      </c>
      <c r="BE310" s="11">
        <v>0</v>
      </c>
      <c r="BF310" s="11">
        <v>0</v>
      </c>
    </row>
    <row r="311" spans="1:58" ht="13.5" customHeight="1">
      <c r="A311" s="247">
        <f t="shared" si="125"/>
        <v>305</v>
      </c>
      <c r="B311" s="27" t="s">
        <v>204</v>
      </c>
      <c r="C311" s="158">
        <f>SUM(D311:BF311)</f>
        <v>-21434903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11">
        <v>0</v>
      </c>
      <c r="AC311" s="11">
        <v>0</v>
      </c>
      <c r="AD311" s="11">
        <v>-8564367</v>
      </c>
      <c r="AE311" s="11">
        <v>0</v>
      </c>
      <c r="AF311" s="11">
        <v>2008814</v>
      </c>
      <c r="AG311" s="11">
        <v>0</v>
      </c>
      <c r="AH311" s="11">
        <v>-14879350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>
        <v>0</v>
      </c>
      <c r="AT311" s="11">
        <v>0</v>
      </c>
      <c r="AU311" s="11">
        <v>0</v>
      </c>
      <c r="AV311" s="11">
        <v>0</v>
      </c>
      <c r="AW311" s="11">
        <v>0</v>
      </c>
      <c r="AX311" s="11">
        <v>0</v>
      </c>
      <c r="AY311" s="11">
        <v>0</v>
      </c>
      <c r="AZ311" s="11">
        <v>0</v>
      </c>
      <c r="BA311" s="11">
        <v>0</v>
      </c>
      <c r="BB311" s="11">
        <v>0</v>
      </c>
      <c r="BC311" s="11">
        <v>0</v>
      </c>
      <c r="BD311" s="11">
        <v>0</v>
      </c>
      <c r="BE311" s="11">
        <v>0</v>
      </c>
      <c r="BF311" s="11">
        <v>0</v>
      </c>
    </row>
    <row r="312" spans="1:58" ht="14.1" customHeight="1">
      <c r="A312" s="247">
        <f t="shared" si="125"/>
        <v>306</v>
      </c>
      <c r="B312" s="27" t="s">
        <v>205</v>
      </c>
      <c r="C312" s="158">
        <f>SUM(D312:BF312)</f>
        <v>2192443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11">
        <v>0</v>
      </c>
      <c r="AC312" s="11">
        <v>0</v>
      </c>
      <c r="AD312" s="11">
        <v>185194</v>
      </c>
      <c r="AE312" s="11">
        <v>1571037</v>
      </c>
      <c r="AF312" s="11">
        <v>436212</v>
      </c>
      <c r="AG312" s="11">
        <v>0</v>
      </c>
      <c r="AH312" s="11">
        <v>0</v>
      </c>
      <c r="AI312" s="11">
        <v>0</v>
      </c>
      <c r="AJ312" s="11">
        <v>0</v>
      </c>
      <c r="AK312" s="11">
        <v>0</v>
      </c>
      <c r="AL312" s="11">
        <v>0</v>
      </c>
      <c r="AM312" s="11">
        <v>0</v>
      </c>
      <c r="AN312" s="11">
        <v>0</v>
      </c>
      <c r="AO312" s="11">
        <v>0</v>
      </c>
      <c r="AP312" s="11">
        <v>0</v>
      </c>
      <c r="AQ312" s="11">
        <v>0</v>
      </c>
      <c r="AR312" s="11">
        <v>0</v>
      </c>
      <c r="AS312" s="11">
        <v>0</v>
      </c>
      <c r="AT312" s="11">
        <v>0</v>
      </c>
      <c r="AU312" s="11">
        <v>0</v>
      </c>
      <c r="AV312" s="11">
        <v>0</v>
      </c>
      <c r="AW312" s="11">
        <v>0</v>
      </c>
      <c r="AX312" s="11">
        <v>0</v>
      </c>
      <c r="AY312" s="11">
        <v>0</v>
      </c>
      <c r="AZ312" s="11">
        <v>0</v>
      </c>
      <c r="BA312" s="11">
        <v>0</v>
      </c>
      <c r="BB312" s="11">
        <v>0</v>
      </c>
      <c r="BC312" s="11">
        <v>0</v>
      </c>
      <c r="BD312" s="11">
        <v>0</v>
      </c>
      <c r="BE312" s="11">
        <v>0</v>
      </c>
      <c r="BF312" s="11">
        <v>0</v>
      </c>
    </row>
    <row r="313" spans="1:58" ht="14.1" customHeight="1">
      <c r="A313" s="247">
        <f t="shared" si="125"/>
        <v>307</v>
      </c>
      <c r="B313" s="92" t="s">
        <v>206</v>
      </c>
      <c r="C313" s="158">
        <f>SUM(D313:BF313)</f>
        <v>9719486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1105293</v>
      </c>
      <c r="AB313" s="11">
        <v>0</v>
      </c>
      <c r="AC313" s="11">
        <v>0</v>
      </c>
      <c r="AD313" s="11">
        <v>-772932</v>
      </c>
      <c r="AE313" s="11">
        <v>6013265</v>
      </c>
      <c r="AF313" s="11">
        <v>150051</v>
      </c>
      <c r="AG313" s="11">
        <v>3223809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>
        <v>0</v>
      </c>
      <c r="AT313" s="11">
        <v>0</v>
      </c>
      <c r="AU313" s="11">
        <v>0</v>
      </c>
      <c r="AV313" s="11">
        <v>0</v>
      </c>
      <c r="AW313" s="11">
        <v>0</v>
      </c>
      <c r="AX313" s="11">
        <v>0</v>
      </c>
      <c r="AY313" s="11">
        <v>0</v>
      </c>
      <c r="AZ313" s="11">
        <v>0</v>
      </c>
      <c r="BA313" s="11">
        <v>0</v>
      </c>
      <c r="BB313" s="11">
        <v>0</v>
      </c>
      <c r="BC313" s="11">
        <v>0</v>
      </c>
      <c r="BD313" s="11">
        <v>0</v>
      </c>
      <c r="BE313" s="11">
        <v>0</v>
      </c>
      <c r="BF313" s="11">
        <v>0</v>
      </c>
    </row>
    <row r="314" spans="1:58" ht="14.1" customHeight="1">
      <c r="A314" s="247">
        <f t="shared" si="125"/>
        <v>308</v>
      </c>
      <c r="B314" s="25" t="s">
        <v>546</v>
      </c>
      <c r="C314" s="189">
        <f>SUM(C309:C313)</f>
        <v>-12510871</v>
      </c>
      <c r="D314" s="189">
        <f>SUM(D309:D313)</f>
        <v>0</v>
      </c>
      <c r="E314" s="189">
        <f t="shared" ref="E314:BA314" si="133">SUM(E309:E313)</f>
        <v>0</v>
      </c>
      <c r="F314" s="189">
        <f t="shared" si="133"/>
        <v>0</v>
      </c>
      <c r="G314" s="189">
        <f t="shared" si="133"/>
        <v>0</v>
      </c>
      <c r="H314" s="189">
        <f t="shared" si="133"/>
        <v>0</v>
      </c>
      <c r="I314" s="189">
        <f t="shared" si="133"/>
        <v>0</v>
      </c>
      <c r="J314" s="189">
        <f t="shared" si="133"/>
        <v>0</v>
      </c>
      <c r="K314" s="189">
        <f t="shared" si="133"/>
        <v>0</v>
      </c>
      <c r="L314" s="189">
        <f t="shared" si="133"/>
        <v>0</v>
      </c>
      <c r="M314" s="189">
        <f t="shared" si="133"/>
        <v>0</v>
      </c>
      <c r="N314" s="189">
        <f t="shared" si="133"/>
        <v>0</v>
      </c>
      <c r="O314" s="189">
        <f t="shared" si="133"/>
        <v>0</v>
      </c>
      <c r="P314" s="189">
        <f t="shared" si="133"/>
        <v>0</v>
      </c>
      <c r="Q314" s="189">
        <f t="shared" si="133"/>
        <v>0</v>
      </c>
      <c r="R314" s="189">
        <f t="shared" si="133"/>
        <v>0</v>
      </c>
      <c r="S314" s="189">
        <f t="shared" si="133"/>
        <v>0</v>
      </c>
      <c r="T314" s="189">
        <f t="shared" si="133"/>
        <v>0</v>
      </c>
      <c r="U314" s="189">
        <f t="shared" si="133"/>
        <v>0</v>
      </c>
      <c r="V314" s="189">
        <f t="shared" si="133"/>
        <v>0</v>
      </c>
      <c r="W314" s="189">
        <f t="shared" si="133"/>
        <v>0</v>
      </c>
      <c r="X314" s="189">
        <f t="shared" si="133"/>
        <v>0</v>
      </c>
      <c r="Y314" s="189">
        <f t="shared" si="133"/>
        <v>0</v>
      </c>
      <c r="Z314" s="189">
        <f t="shared" si="133"/>
        <v>0</v>
      </c>
      <c r="AA314" s="189">
        <f t="shared" si="133"/>
        <v>1105293</v>
      </c>
      <c r="AB314" s="189">
        <f t="shared" si="133"/>
        <v>0</v>
      </c>
      <c r="AC314" s="189">
        <f t="shared" si="133"/>
        <v>0</v>
      </c>
      <c r="AD314" s="189">
        <f t="shared" si="133"/>
        <v>-12619959</v>
      </c>
      <c r="AE314" s="189">
        <f t="shared" si="133"/>
        <v>7584302</v>
      </c>
      <c r="AF314" s="189">
        <f t="shared" si="133"/>
        <v>3075034</v>
      </c>
      <c r="AG314" s="189">
        <f t="shared" si="133"/>
        <v>3223809</v>
      </c>
      <c r="AH314" s="189">
        <f t="shared" si="133"/>
        <v>-14879350</v>
      </c>
      <c r="AI314" s="189">
        <f t="shared" si="133"/>
        <v>0</v>
      </c>
      <c r="AJ314" s="189">
        <f t="shared" si="133"/>
        <v>0</v>
      </c>
      <c r="AK314" s="189">
        <f t="shared" si="133"/>
        <v>0</v>
      </c>
      <c r="AL314" s="189">
        <f t="shared" si="133"/>
        <v>0</v>
      </c>
      <c r="AM314" s="189">
        <f t="shared" si="133"/>
        <v>0</v>
      </c>
      <c r="AN314" s="189">
        <f t="shared" si="133"/>
        <v>0</v>
      </c>
      <c r="AO314" s="189">
        <f t="shared" si="133"/>
        <v>0</v>
      </c>
      <c r="AP314" s="189">
        <f t="shared" si="133"/>
        <v>0</v>
      </c>
      <c r="AQ314" s="189">
        <f t="shared" si="133"/>
        <v>0</v>
      </c>
      <c r="AR314" s="189">
        <f t="shared" si="133"/>
        <v>0</v>
      </c>
      <c r="AS314" s="189">
        <f t="shared" si="133"/>
        <v>0</v>
      </c>
      <c r="AT314" s="189">
        <f t="shared" si="133"/>
        <v>0</v>
      </c>
      <c r="AU314" s="189">
        <f t="shared" si="133"/>
        <v>0</v>
      </c>
      <c r="AV314" s="189">
        <f t="shared" si="133"/>
        <v>0</v>
      </c>
      <c r="AW314" s="189">
        <f t="shared" si="133"/>
        <v>0</v>
      </c>
      <c r="AX314" s="189">
        <f t="shared" si="133"/>
        <v>0</v>
      </c>
      <c r="AY314" s="189">
        <f t="shared" si="133"/>
        <v>0</v>
      </c>
      <c r="AZ314" s="189">
        <f t="shared" si="133"/>
        <v>0</v>
      </c>
      <c r="BA314" s="189">
        <f t="shared" si="133"/>
        <v>0</v>
      </c>
      <c r="BB314" s="189">
        <f>SUM(BB309:BB313)</f>
        <v>0</v>
      </c>
      <c r="BC314" s="189">
        <f>SUM(BC309:BC313)</f>
        <v>0</v>
      </c>
      <c r="BD314" s="189">
        <f>SUM(BD309:BD313)</f>
        <v>0</v>
      </c>
      <c r="BE314" s="189">
        <f>SUM(BE309:BE313)</f>
        <v>0</v>
      </c>
      <c r="BF314" s="189">
        <f>SUM(BF309:BF313)</f>
        <v>0</v>
      </c>
    </row>
    <row r="315" spans="1:58" ht="14.1" customHeight="1">
      <c r="A315" s="247">
        <f t="shared" si="125"/>
        <v>309</v>
      </c>
      <c r="B315" s="93"/>
      <c r="C315" s="326"/>
      <c r="D315" s="326"/>
      <c r="E315" s="326"/>
      <c r="F315" s="326"/>
      <c r="G315" s="326"/>
      <c r="H315" s="326"/>
      <c r="I315" s="326"/>
      <c r="J315" s="326"/>
      <c r="K315" s="326"/>
      <c r="L315" s="326"/>
      <c r="M315" s="326"/>
      <c r="N315" s="326"/>
      <c r="O315" s="326"/>
      <c r="P315" s="326"/>
      <c r="Q315" s="326"/>
      <c r="R315" s="326"/>
      <c r="S315" s="326"/>
      <c r="T315" s="326"/>
      <c r="U315" s="326"/>
      <c r="V315" s="326"/>
      <c r="W315" s="326"/>
      <c r="X315" s="326"/>
      <c r="Y315" s="326"/>
      <c r="Z315" s="326"/>
      <c r="AA315" s="326"/>
      <c r="AB315" s="326"/>
      <c r="AC315" s="326"/>
      <c r="AD315" s="326"/>
      <c r="AE315" s="326"/>
      <c r="AF315" s="326"/>
      <c r="AG315" s="326"/>
      <c r="AH315" s="326"/>
      <c r="AI315" s="326"/>
      <c r="AJ315" s="326"/>
      <c r="AK315" s="326"/>
      <c r="AL315" s="326"/>
      <c r="AM315" s="326"/>
      <c r="AN315" s="326"/>
      <c r="AO315" s="326"/>
      <c r="AP315" s="326"/>
      <c r="AQ315" s="326"/>
      <c r="AR315" s="326"/>
      <c r="AS315" s="326"/>
      <c r="AT315" s="326"/>
      <c r="AU315" s="326"/>
      <c r="AV315" s="326"/>
      <c r="AW315" s="326"/>
      <c r="AX315" s="326"/>
      <c r="AY315" s="326"/>
      <c r="AZ315" s="326"/>
      <c r="BA315" s="326"/>
      <c r="BB315" s="326"/>
      <c r="BC315" s="326"/>
      <c r="BD315" s="326"/>
      <c r="BE315" s="326"/>
      <c r="BF315" s="326"/>
    </row>
    <row r="316" spans="1:58" ht="14.1" customHeight="1">
      <c r="A316" s="247">
        <f t="shared" si="125"/>
        <v>310</v>
      </c>
      <c r="B316" s="25" t="s">
        <v>207</v>
      </c>
      <c r="C316" s="17">
        <f>+C314+C307</f>
        <v>-31325538</v>
      </c>
      <c r="D316" s="17">
        <f>+D314+D307</f>
        <v>0</v>
      </c>
      <c r="E316" s="17">
        <f t="shared" ref="E316:BA316" si="134">+E314+E307</f>
        <v>0</v>
      </c>
      <c r="F316" s="17">
        <f t="shared" si="134"/>
        <v>0</v>
      </c>
      <c r="G316" s="17">
        <f t="shared" si="134"/>
        <v>0</v>
      </c>
      <c r="H316" s="17">
        <f t="shared" si="134"/>
        <v>0</v>
      </c>
      <c r="I316" s="17">
        <f t="shared" si="134"/>
        <v>0</v>
      </c>
      <c r="J316" s="17">
        <f t="shared" si="134"/>
        <v>0</v>
      </c>
      <c r="K316" s="17">
        <f t="shared" si="134"/>
        <v>0</v>
      </c>
      <c r="L316" s="17">
        <f t="shared" si="134"/>
        <v>0</v>
      </c>
      <c r="M316" s="17">
        <f t="shared" si="134"/>
        <v>0</v>
      </c>
      <c r="N316" s="17">
        <f t="shared" si="134"/>
        <v>0</v>
      </c>
      <c r="O316" s="17">
        <f t="shared" si="134"/>
        <v>0</v>
      </c>
      <c r="P316" s="17">
        <f t="shared" si="134"/>
        <v>0</v>
      </c>
      <c r="Q316" s="17">
        <f t="shared" si="134"/>
        <v>0</v>
      </c>
      <c r="R316" s="17">
        <f t="shared" si="134"/>
        <v>0</v>
      </c>
      <c r="S316" s="17">
        <f t="shared" si="134"/>
        <v>0</v>
      </c>
      <c r="T316" s="17">
        <f t="shared" si="134"/>
        <v>0</v>
      </c>
      <c r="U316" s="17">
        <f t="shared" si="134"/>
        <v>0</v>
      </c>
      <c r="V316" s="17">
        <f t="shared" si="134"/>
        <v>0</v>
      </c>
      <c r="W316" s="17">
        <f t="shared" si="134"/>
        <v>0</v>
      </c>
      <c r="X316" s="17">
        <f t="shared" si="134"/>
        <v>52505</v>
      </c>
      <c r="Y316" s="17">
        <f t="shared" si="134"/>
        <v>34425</v>
      </c>
      <c r="Z316" s="17">
        <f t="shared" si="134"/>
        <v>103330</v>
      </c>
      <c r="AA316" s="17">
        <f t="shared" si="134"/>
        <v>1105293</v>
      </c>
      <c r="AB316" s="17">
        <f t="shared" si="134"/>
        <v>0</v>
      </c>
      <c r="AC316" s="17">
        <f t="shared" si="134"/>
        <v>0</v>
      </c>
      <c r="AD316" s="17">
        <f t="shared" si="134"/>
        <v>-36293745</v>
      </c>
      <c r="AE316" s="17">
        <f t="shared" si="134"/>
        <v>7584302</v>
      </c>
      <c r="AF316" s="17">
        <f t="shared" si="134"/>
        <v>7674198</v>
      </c>
      <c r="AG316" s="17">
        <f t="shared" si="134"/>
        <v>3223809</v>
      </c>
      <c r="AH316" s="17">
        <f t="shared" si="134"/>
        <v>-14879350</v>
      </c>
      <c r="AI316" s="17">
        <f t="shared" si="134"/>
        <v>69695</v>
      </c>
      <c r="AJ316" s="17">
        <f t="shared" si="134"/>
        <v>0</v>
      </c>
      <c r="AK316" s="17">
        <f t="shared" si="134"/>
        <v>0</v>
      </c>
      <c r="AL316" s="17">
        <f t="shared" si="134"/>
        <v>0</v>
      </c>
      <c r="AM316" s="17">
        <f t="shared" si="134"/>
        <v>0</v>
      </c>
      <c r="AN316" s="17">
        <f t="shared" si="134"/>
        <v>0</v>
      </c>
      <c r="AO316" s="17">
        <f t="shared" si="134"/>
        <v>0</v>
      </c>
      <c r="AP316" s="17">
        <f t="shared" si="134"/>
        <v>0</v>
      </c>
      <c r="AQ316" s="17">
        <f t="shared" si="134"/>
        <v>0</v>
      </c>
      <c r="AR316" s="17">
        <f t="shared" si="134"/>
        <v>0</v>
      </c>
      <c r="AS316" s="17">
        <f t="shared" si="134"/>
        <v>0</v>
      </c>
      <c r="AT316" s="17">
        <f t="shared" si="134"/>
        <v>0</v>
      </c>
      <c r="AU316" s="17">
        <f t="shared" si="134"/>
        <v>0</v>
      </c>
      <c r="AV316" s="17">
        <f t="shared" si="134"/>
        <v>0</v>
      </c>
      <c r="AW316" s="17">
        <f t="shared" si="134"/>
        <v>0</v>
      </c>
      <c r="AX316" s="17">
        <f t="shared" si="134"/>
        <v>0</v>
      </c>
      <c r="AY316" s="17">
        <f t="shared" si="134"/>
        <v>0</v>
      </c>
      <c r="AZ316" s="17">
        <f t="shared" si="134"/>
        <v>0</v>
      </c>
      <c r="BA316" s="17">
        <f t="shared" si="134"/>
        <v>0</v>
      </c>
      <c r="BB316" s="17">
        <f>+BB314+BB307</f>
        <v>0</v>
      </c>
      <c r="BC316" s="17">
        <f>+BC314+BC307</f>
        <v>0</v>
      </c>
      <c r="BD316" s="17">
        <f>+BD314+BD307</f>
        <v>0</v>
      </c>
      <c r="BE316" s="17">
        <f>+BE314+BE307</f>
        <v>0</v>
      </c>
      <c r="BF316" s="17">
        <f>+BF314+BF307</f>
        <v>0</v>
      </c>
    </row>
    <row r="317" spans="1:58" ht="14.1" customHeight="1">
      <c r="A317" s="247">
        <f t="shared" si="125"/>
        <v>311</v>
      </c>
      <c r="B317" s="304"/>
      <c r="C317" s="304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</row>
    <row r="318" spans="1:58" ht="14.1" customHeight="1">
      <c r="A318" s="247">
        <f t="shared" si="125"/>
        <v>312</v>
      </c>
      <c r="B318" s="14" t="s">
        <v>208</v>
      </c>
      <c r="C318" s="14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</row>
    <row r="319" spans="1:58" ht="14.1" customHeight="1">
      <c r="A319" s="247">
        <f t="shared" si="125"/>
        <v>313</v>
      </c>
      <c r="B319" s="27" t="s">
        <v>209</v>
      </c>
      <c r="C319" s="43">
        <f>SUM(D319:BF319)</f>
        <v>-24839277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-24776674</v>
      </c>
      <c r="M319" s="11">
        <v>-62603</v>
      </c>
      <c r="N319" s="11">
        <v>0</v>
      </c>
      <c r="O319" s="11">
        <v>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1">
        <v>0</v>
      </c>
      <c r="AS319" s="11">
        <v>0</v>
      </c>
      <c r="AT319" s="11">
        <v>0</v>
      </c>
      <c r="AU319" s="11">
        <v>0</v>
      </c>
      <c r="AV319" s="11">
        <v>0</v>
      </c>
      <c r="AW319" s="11">
        <v>0</v>
      </c>
      <c r="AX319" s="11">
        <v>0</v>
      </c>
      <c r="AY319" s="11">
        <v>0</v>
      </c>
      <c r="AZ319" s="11">
        <v>0</v>
      </c>
      <c r="BA319" s="11">
        <v>0</v>
      </c>
      <c r="BB319" s="11">
        <v>0</v>
      </c>
      <c r="BC319" s="11">
        <v>0</v>
      </c>
      <c r="BD319" s="11">
        <v>0</v>
      </c>
      <c r="BE319" s="11">
        <v>0</v>
      </c>
      <c r="BF319" s="11">
        <v>0</v>
      </c>
    </row>
    <row r="320" spans="1:58" ht="14.1" customHeight="1">
      <c r="A320" s="247">
        <f t="shared" si="125"/>
        <v>314</v>
      </c>
      <c r="B320" s="27" t="s">
        <v>210</v>
      </c>
      <c r="C320" s="43">
        <f>SUM(D320:BF320)</f>
        <v>75081281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14295833</v>
      </c>
      <c r="M320" s="11">
        <v>60785448</v>
      </c>
      <c r="N320" s="11">
        <v>0</v>
      </c>
      <c r="O320" s="11">
        <v>0</v>
      </c>
      <c r="P320" s="11">
        <v>0</v>
      </c>
      <c r="Q320" s="11">
        <v>0</v>
      </c>
      <c r="R320" s="11">
        <v>0</v>
      </c>
      <c r="S320" s="11">
        <v>0</v>
      </c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11">
        <v>0</v>
      </c>
      <c r="AG320" s="11">
        <v>0</v>
      </c>
      <c r="AH320" s="11">
        <v>0</v>
      </c>
      <c r="AI320" s="11">
        <v>0</v>
      </c>
      <c r="AJ320" s="11">
        <v>0</v>
      </c>
      <c r="AK320" s="11">
        <v>0</v>
      </c>
      <c r="AL320" s="11">
        <v>0</v>
      </c>
      <c r="AM320" s="11">
        <v>0</v>
      </c>
      <c r="AN320" s="11">
        <v>0</v>
      </c>
      <c r="AO320" s="11">
        <v>0</v>
      </c>
      <c r="AP320" s="11">
        <v>0</v>
      </c>
      <c r="AQ320" s="11">
        <v>0</v>
      </c>
      <c r="AR320" s="11">
        <v>0</v>
      </c>
      <c r="AS320" s="11">
        <v>0</v>
      </c>
      <c r="AT320" s="11">
        <v>0</v>
      </c>
      <c r="AU320" s="11">
        <v>0</v>
      </c>
      <c r="AV320" s="11">
        <v>0</v>
      </c>
      <c r="AW320" s="11">
        <v>0</v>
      </c>
      <c r="AX320" s="11">
        <v>0</v>
      </c>
      <c r="AY320" s="11">
        <v>0</v>
      </c>
      <c r="AZ320" s="11">
        <v>0</v>
      </c>
      <c r="BA320" s="11">
        <v>0</v>
      </c>
      <c r="BB320" s="11">
        <v>0</v>
      </c>
      <c r="BC320" s="11">
        <v>0</v>
      </c>
      <c r="BD320" s="11">
        <v>0</v>
      </c>
      <c r="BE320" s="11">
        <v>0</v>
      </c>
      <c r="BF320" s="11">
        <v>0</v>
      </c>
    </row>
    <row r="321" spans="1:58" ht="14.1" customHeight="1">
      <c r="A321" s="247">
        <f t="shared" si="125"/>
        <v>315</v>
      </c>
      <c r="B321" s="27" t="s">
        <v>211</v>
      </c>
      <c r="C321" s="43">
        <f>SUM(D321:BF321)</f>
        <v>-135727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1">
        <v>0</v>
      </c>
      <c r="N321" s="11">
        <v>0</v>
      </c>
      <c r="O321" s="11">
        <v>0</v>
      </c>
      <c r="P321" s="11">
        <v>0</v>
      </c>
      <c r="Q321" s="11">
        <v>0</v>
      </c>
      <c r="R321" s="11">
        <v>0</v>
      </c>
      <c r="S321" s="11">
        <v>0</v>
      </c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11">
        <v>0</v>
      </c>
      <c r="AC321" s="11">
        <v>0</v>
      </c>
      <c r="AD321" s="11">
        <v>-179206</v>
      </c>
      <c r="AE321" s="11">
        <v>0</v>
      </c>
      <c r="AF321" s="11">
        <v>43479</v>
      </c>
      <c r="AG321" s="11">
        <v>0</v>
      </c>
      <c r="AH321" s="11">
        <v>0</v>
      </c>
      <c r="AI321" s="11">
        <v>0</v>
      </c>
      <c r="AJ321" s="11">
        <v>0</v>
      </c>
      <c r="AK321" s="11">
        <v>0</v>
      </c>
      <c r="AL321" s="11">
        <v>0</v>
      </c>
      <c r="AM321" s="11">
        <v>0</v>
      </c>
      <c r="AN321" s="11">
        <v>0</v>
      </c>
      <c r="AO321" s="11">
        <v>0</v>
      </c>
      <c r="AP321" s="11">
        <v>0</v>
      </c>
      <c r="AQ321" s="11">
        <v>0</v>
      </c>
      <c r="AR321" s="11">
        <v>0</v>
      </c>
      <c r="AS321" s="11">
        <v>0</v>
      </c>
      <c r="AT321" s="11">
        <v>0</v>
      </c>
      <c r="AU321" s="11">
        <v>0</v>
      </c>
      <c r="AV321" s="11">
        <v>0</v>
      </c>
      <c r="AW321" s="11">
        <v>0</v>
      </c>
      <c r="AX321" s="11">
        <v>0</v>
      </c>
      <c r="AY321" s="11">
        <v>0</v>
      </c>
      <c r="AZ321" s="11">
        <v>0</v>
      </c>
      <c r="BA321" s="11">
        <v>0</v>
      </c>
      <c r="BB321" s="11">
        <v>0</v>
      </c>
      <c r="BC321" s="11">
        <v>0</v>
      </c>
      <c r="BD321" s="11">
        <v>0</v>
      </c>
      <c r="BE321" s="11">
        <v>0</v>
      </c>
      <c r="BF321" s="11">
        <v>0</v>
      </c>
    </row>
    <row r="322" spans="1:58" ht="14.1" customHeight="1">
      <c r="A322" s="247">
        <f t="shared" si="125"/>
        <v>316</v>
      </c>
      <c r="B322" s="92" t="s">
        <v>212</v>
      </c>
      <c r="C322" s="43">
        <f>SUM(D322:BF322)</f>
        <v>-4313525</v>
      </c>
      <c r="D322" s="48">
        <v>0</v>
      </c>
      <c r="E322" s="48">
        <v>-3548711</v>
      </c>
      <c r="F322" s="48">
        <v>0</v>
      </c>
      <c r="G322" s="48">
        <v>0</v>
      </c>
      <c r="H322" s="48">
        <v>-239052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0</v>
      </c>
      <c r="R322" s="48">
        <v>0</v>
      </c>
      <c r="S322" s="48">
        <v>0</v>
      </c>
      <c r="T322" s="48">
        <v>0</v>
      </c>
      <c r="U322" s="48">
        <v>0</v>
      </c>
      <c r="V322" s="48">
        <v>0</v>
      </c>
      <c r="W322" s="48">
        <v>0</v>
      </c>
      <c r="X322" s="48">
        <v>0</v>
      </c>
      <c r="Y322" s="48">
        <v>0</v>
      </c>
      <c r="Z322" s="48">
        <v>0</v>
      </c>
      <c r="AA322" s="48">
        <v>0</v>
      </c>
      <c r="AB322" s="48">
        <v>0</v>
      </c>
      <c r="AC322" s="48">
        <v>0</v>
      </c>
      <c r="AD322" s="48">
        <v>-694185</v>
      </c>
      <c r="AE322" s="48">
        <v>0</v>
      </c>
      <c r="AF322" s="48">
        <v>168423</v>
      </c>
      <c r="AG322" s="48">
        <v>0</v>
      </c>
      <c r="AH322" s="48">
        <v>0</v>
      </c>
      <c r="AI322" s="48">
        <v>0</v>
      </c>
      <c r="AJ322" s="48">
        <v>0</v>
      </c>
      <c r="AK322" s="48">
        <v>0</v>
      </c>
      <c r="AL322" s="48">
        <v>0</v>
      </c>
      <c r="AM322" s="48">
        <v>0</v>
      </c>
      <c r="AN322" s="48">
        <v>0</v>
      </c>
      <c r="AO322" s="48">
        <v>0</v>
      </c>
      <c r="AP322" s="48">
        <v>0</v>
      </c>
      <c r="AQ322" s="48">
        <v>0</v>
      </c>
      <c r="AR322" s="48">
        <v>0</v>
      </c>
      <c r="AS322" s="48">
        <v>0</v>
      </c>
      <c r="AT322" s="48">
        <v>0</v>
      </c>
      <c r="AU322" s="48">
        <v>0</v>
      </c>
      <c r="AV322" s="48">
        <v>0</v>
      </c>
      <c r="AW322" s="48">
        <v>0</v>
      </c>
      <c r="AX322" s="48">
        <v>0</v>
      </c>
      <c r="AY322" s="48">
        <v>0</v>
      </c>
      <c r="AZ322" s="48">
        <v>0</v>
      </c>
      <c r="BA322" s="48">
        <v>0</v>
      </c>
      <c r="BB322" s="48">
        <v>0</v>
      </c>
      <c r="BC322" s="48">
        <v>0</v>
      </c>
      <c r="BD322" s="48">
        <v>0</v>
      </c>
      <c r="BE322" s="48">
        <v>0</v>
      </c>
      <c r="BF322" s="48">
        <v>0</v>
      </c>
    </row>
    <row r="323" spans="1:58" s="26" customFormat="1" ht="14.1" customHeight="1">
      <c r="A323" s="247">
        <f t="shared" si="125"/>
        <v>317</v>
      </c>
      <c r="B323" s="25" t="s">
        <v>213</v>
      </c>
      <c r="C323" s="189">
        <f>SUM(C319:C322)</f>
        <v>45792752</v>
      </c>
      <c r="D323" s="189">
        <f>SUM(D319:D322)</f>
        <v>0</v>
      </c>
      <c r="E323" s="189">
        <f t="shared" ref="E323:BA323" si="135">SUM(E319:E322)</f>
        <v>-3548711</v>
      </c>
      <c r="F323" s="189">
        <f t="shared" si="135"/>
        <v>0</v>
      </c>
      <c r="G323" s="189">
        <f t="shared" si="135"/>
        <v>0</v>
      </c>
      <c r="H323" s="189">
        <f t="shared" si="135"/>
        <v>-239052</v>
      </c>
      <c r="I323" s="189">
        <f t="shared" si="135"/>
        <v>0</v>
      </c>
      <c r="J323" s="189">
        <f t="shared" si="135"/>
        <v>0</v>
      </c>
      <c r="K323" s="189">
        <f t="shared" si="135"/>
        <v>0</v>
      </c>
      <c r="L323" s="189">
        <f t="shared" si="135"/>
        <v>-10480841</v>
      </c>
      <c r="M323" s="189">
        <f t="shared" si="135"/>
        <v>60722845</v>
      </c>
      <c r="N323" s="189">
        <f t="shared" si="135"/>
        <v>0</v>
      </c>
      <c r="O323" s="189">
        <f t="shared" si="135"/>
        <v>0</v>
      </c>
      <c r="P323" s="189">
        <f t="shared" si="135"/>
        <v>0</v>
      </c>
      <c r="Q323" s="189">
        <f t="shared" si="135"/>
        <v>0</v>
      </c>
      <c r="R323" s="189">
        <f t="shared" si="135"/>
        <v>0</v>
      </c>
      <c r="S323" s="189">
        <f t="shared" si="135"/>
        <v>0</v>
      </c>
      <c r="T323" s="189">
        <f t="shared" si="135"/>
        <v>0</v>
      </c>
      <c r="U323" s="189">
        <f t="shared" si="135"/>
        <v>0</v>
      </c>
      <c r="V323" s="189">
        <f t="shared" si="135"/>
        <v>0</v>
      </c>
      <c r="W323" s="189">
        <f t="shared" si="135"/>
        <v>0</v>
      </c>
      <c r="X323" s="189">
        <f t="shared" si="135"/>
        <v>0</v>
      </c>
      <c r="Y323" s="189">
        <f t="shared" si="135"/>
        <v>0</v>
      </c>
      <c r="Z323" s="189">
        <f t="shared" si="135"/>
        <v>0</v>
      </c>
      <c r="AA323" s="189">
        <f t="shared" si="135"/>
        <v>0</v>
      </c>
      <c r="AB323" s="189">
        <f t="shared" si="135"/>
        <v>0</v>
      </c>
      <c r="AC323" s="189">
        <f t="shared" si="135"/>
        <v>0</v>
      </c>
      <c r="AD323" s="189">
        <f t="shared" si="135"/>
        <v>-873391</v>
      </c>
      <c r="AE323" s="189">
        <f t="shared" si="135"/>
        <v>0</v>
      </c>
      <c r="AF323" s="189">
        <f t="shared" si="135"/>
        <v>211902</v>
      </c>
      <c r="AG323" s="189">
        <f t="shared" si="135"/>
        <v>0</v>
      </c>
      <c r="AH323" s="189">
        <f t="shared" si="135"/>
        <v>0</v>
      </c>
      <c r="AI323" s="189">
        <f t="shared" si="135"/>
        <v>0</v>
      </c>
      <c r="AJ323" s="189">
        <f t="shared" si="135"/>
        <v>0</v>
      </c>
      <c r="AK323" s="189">
        <f t="shared" si="135"/>
        <v>0</v>
      </c>
      <c r="AL323" s="189">
        <f t="shared" si="135"/>
        <v>0</v>
      </c>
      <c r="AM323" s="189">
        <f t="shared" si="135"/>
        <v>0</v>
      </c>
      <c r="AN323" s="189">
        <f t="shared" si="135"/>
        <v>0</v>
      </c>
      <c r="AO323" s="189">
        <f t="shared" si="135"/>
        <v>0</v>
      </c>
      <c r="AP323" s="189">
        <f t="shared" si="135"/>
        <v>0</v>
      </c>
      <c r="AQ323" s="189">
        <f t="shared" si="135"/>
        <v>0</v>
      </c>
      <c r="AR323" s="189">
        <f t="shared" si="135"/>
        <v>0</v>
      </c>
      <c r="AS323" s="189">
        <f t="shared" si="135"/>
        <v>0</v>
      </c>
      <c r="AT323" s="189">
        <f t="shared" si="135"/>
        <v>0</v>
      </c>
      <c r="AU323" s="189">
        <f t="shared" si="135"/>
        <v>0</v>
      </c>
      <c r="AV323" s="189">
        <f t="shared" si="135"/>
        <v>0</v>
      </c>
      <c r="AW323" s="189">
        <f t="shared" si="135"/>
        <v>0</v>
      </c>
      <c r="AX323" s="189">
        <f t="shared" si="135"/>
        <v>0</v>
      </c>
      <c r="AY323" s="189">
        <f t="shared" si="135"/>
        <v>0</v>
      </c>
      <c r="AZ323" s="189">
        <f t="shared" si="135"/>
        <v>0</v>
      </c>
      <c r="BA323" s="189">
        <f t="shared" si="135"/>
        <v>0</v>
      </c>
      <c r="BB323" s="189">
        <f>SUM(BB319:BB322)</f>
        <v>0</v>
      </c>
      <c r="BC323" s="189">
        <f>SUM(BC319:BC322)</f>
        <v>0</v>
      </c>
      <c r="BD323" s="189">
        <f>SUM(BD319:BD322)</f>
        <v>0</v>
      </c>
      <c r="BE323" s="189">
        <f>SUM(BE319:BE322)</f>
        <v>0</v>
      </c>
      <c r="BF323" s="189">
        <f>SUM(BF319:BF322)</f>
        <v>0</v>
      </c>
    </row>
    <row r="324" spans="1:58" s="26" customFormat="1" ht="14.1" customHeight="1">
      <c r="A324" s="247">
        <f t="shared" si="125"/>
        <v>318</v>
      </c>
      <c r="B324" s="93"/>
      <c r="C324" s="326"/>
      <c r="D324" s="326"/>
      <c r="E324" s="326"/>
      <c r="F324" s="326"/>
      <c r="G324" s="326"/>
      <c r="H324" s="326"/>
      <c r="I324" s="326"/>
      <c r="J324" s="326"/>
      <c r="K324" s="326"/>
      <c r="L324" s="326"/>
      <c r="M324" s="326"/>
      <c r="N324" s="326"/>
      <c r="O324" s="326"/>
      <c r="P324" s="326"/>
      <c r="Q324" s="326"/>
      <c r="R324" s="326"/>
      <c r="S324" s="326"/>
      <c r="T324" s="326"/>
      <c r="U324" s="326"/>
      <c r="V324" s="326"/>
      <c r="W324" s="326"/>
      <c r="X324" s="326"/>
      <c r="Y324" s="326"/>
      <c r="Z324" s="326"/>
      <c r="AA324" s="326"/>
      <c r="AB324" s="326"/>
      <c r="AC324" s="326"/>
      <c r="AD324" s="326"/>
      <c r="AE324" s="326"/>
      <c r="AF324" s="326"/>
      <c r="AG324" s="326"/>
      <c r="AH324" s="326"/>
      <c r="AI324" s="326"/>
      <c r="AJ324" s="326"/>
      <c r="AK324" s="326"/>
      <c r="AL324" s="326"/>
      <c r="AM324" s="326"/>
      <c r="AN324" s="326"/>
      <c r="AO324" s="326"/>
      <c r="AP324" s="326"/>
      <c r="AQ324" s="326"/>
      <c r="AR324" s="326"/>
      <c r="AS324" s="326"/>
      <c r="AT324" s="326"/>
      <c r="AU324" s="326"/>
      <c r="AV324" s="326"/>
      <c r="AW324" s="326"/>
      <c r="AX324" s="326"/>
      <c r="AY324" s="326"/>
      <c r="AZ324" s="326"/>
      <c r="BA324" s="326"/>
      <c r="BB324" s="326"/>
      <c r="BC324" s="326"/>
      <c r="BD324" s="326"/>
      <c r="BE324" s="326"/>
      <c r="BF324" s="326"/>
    </row>
    <row r="325" spans="1:58" ht="14.1" customHeight="1">
      <c r="A325" s="247">
        <f t="shared" si="125"/>
        <v>319</v>
      </c>
      <c r="B325" s="25" t="s">
        <v>214</v>
      </c>
      <c r="C325" s="17">
        <f>C323+C316</f>
        <v>14467214</v>
      </c>
      <c r="D325" s="17">
        <f>D323+D316</f>
        <v>0</v>
      </c>
      <c r="E325" s="17">
        <f t="shared" ref="E325:BA325" si="136">E323+E316</f>
        <v>-3548711</v>
      </c>
      <c r="F325" s="17">
        <f t="shared" si="136"/>
        <v>0</v>
      </c>
      <c r="G325" s="17">
        <f t="shared" si="136"/>
        <v>0</v>
      </c>
      <c r="H325" s="17">
        <f t="shared" si="136"/>
        <v>-239052</v>
      </c>
      <c r="I325" s="17">
        <f t="shared" si="136"/>
        <v>0</v>
      </c>
      <c r="J325" s="17">
        <f t="shared" si="136"/>
        <v>0</v>
      </c>
      <c r="K325" s="17">
        <f t="shared" si="136"/>
        <v>0</v>
      </c>
      <c r="L325" s="17">
        <f t="shared" si="136"/>
        <v>-10480841</v>
      </c>
      <c r="M325" s="17">
        <f t="shared" si="136"/>
        <v>60722845</v>
      </c>
      <c r="N325" s="17">
        <f t="shared" si="136"/>
        <v>0</v>
      </c>
      <c r="O325" s="17">
        <f t="shared" si="136"/>
        <v>0</v>
      </c>
      <c r="P325" s="17">
        <f t="shared" si="136"/>
        <v>0</v>
      </c>
      <c r="Q325" s="17">
        <f t="shared" si="136"/>
        <v>0</v>
      </c>
      <c r="R325" s="17">
        <f t="shared" si="136"/>
        <v>0</v>
      </c>
      <c r="S325" s="17">
        <f t="shared" si="136"/>
        <v>0</v>
      </c>
      <c r="T325" s="17">
        <f t="shared" si="136"/>
        <v>0</v>
      </c>
      <c r="U325" s="17">
        <f t="shared" si="136"/>
        <v>0</v>
      </c>
      <c r="V325" s="17">
        <f t="shared" si="136"/>
        <v>0</v>
      </c>
      <c r="W325" s="17">
        <f t="shared" si="136"/>
        <v>0</v>
      </c>
      <c r="X325" s="17">
        <f t="shared" si="136"/>
        <v>52505</v>
      </c>
      <c r="Y325" s="17">
        <f t="shared" si="136"/>
        <v>34425</v>
      </c>
      <c r="Z325" s="17">
        <f t="shared" si="136"/>
        <v>103330</v>
      </c>
      <c r="AA325" s="17">
        <f t="shared" si="136"/>
        <v>1105293</v>
      </c>
      <c r="AB325" s="17">
        <f t="shared" si="136"/>
        <v>0</v>
      </c>
      <c r="AC325" s="17">
        <f t="shared" si="136"/>
        <v>0</v>
      </c>
      <c r="AD325" s="17">
        <f t="shared" si="136"/>
        <v>-37167136</v>
      </c>
      <c r="AE325" s="17">
        <f t="shared" si="136"/>
        <v>7584302</v>
      </c>
      <c r="AF325" s="17">
        <f t="shared" si="136"/>
        <v>7886100</v>
      </c>
      <c r="AG325" s="17">
        <f t="shared" si="136"/>
        <v>3223809</v>
      </c>
      <c r="AH325" s="17">
        <f t="shared" si="136"/>
        <v>-14879350</v>
      </c>
      <c r="AI325" s="17">
        <f t="shared" si="136"/>
        <v>69695</v>
      </c>
      <c r="AJ325" s="17">
        <f t="shared" si="136"/>
        <v>0</v>
      </c>
      <c r="AK325" s="17">
        <f t="shared" si="136"/>
        <v>0</v>
      </c>
      <c r="AL325" s="17">
        <f t="shared" si="136"/>
        <v>0</v>
      </c>
      <c r="AM325" s="17">
        <f t="shared" si="136"/>
        <v>0</v>
      </c>
      <c r="AN325" s="17">
        <f t="shared" si="136"/>
        <v>0</v>
      </c>
      <c r="AO325" s="17">
        <f t="shared" si="136"/>
        <v>0</v>
      </c>
      <c r="AP325" s="17">
        <f t="shared" si="136"/>
        <v>0</v>
      </c>
      <c r="AQ325" s="17">
        <f t="shared" si="136"/>
        <v>0</v>
      </c>
      <c r="AR325" s="17">
        <f t="shared" si="136"/>
        <v>0</v>
      </c>
      <c r="AS325" s="17">
        <f t="shared" si="136"/>
        <v>0</v>
      </c>
      <c r="AT325" s="17">
        <f t="shared" si="136"/>
        <v>0</v>
      </c>
      <c r="AU325" s="17">
        <f t="shared" si="136"/>
        <v>0</v>
      </c>
      <c r="AV325" s="17">
        <f t="shared" si="136"/>
        <v>0</v>
      </c>
      <c r="AW325" s="17">
        <f t="shared" si="136"/>
        <v>0</v>
      </c>
      <c r="AX325" s="17">
        <f t="shared" si="136"/>
        <v>0</v>
      </c>
      <c r="AY325" s="17">
        <f t="shared" si="136"/>
        <v>0</v>
      </c>
      <c r="AZ325" s="17">
        <f t="shared" si="136"/>
        <v>0</v>
      </c>
      <c r="BA325" s="17">
        <f t="shared" si="136"/>
        <v>0</v>
      </c>
      <c r="BB325" s="17">
        <f>BB323+BB316</f>
        <v>0</v>
      </c>
      <c r="BC325" s="17">
        <f>BC323+BC316</f>
        <v>0</v>
      </c>
      <c r="BD325" s="17">
        <f>BD323+BD316</f>
        <v>0</v>
      </c>
      <c r="BE325" s="17">
        <f>BE323+BE316</f>
        <v>0</v>
      </c>
      <c r="BF325" s="17">
        <f>BF323+BF316</f>
        <v>0</v>
      </c>
    </row>
    <row r="326" spans="1:58" ht="14.1" customHeight="1">
      <c r="A326" s="247">
        <f t="shared" si="125"/>
        <v>320</v>
      </c>
      <c r="B326" s="304"/>
      <c r="C326" s="304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</row>
    <row r="327" spans="1:58" ht="14.1" customHeight="1">
      <c r="A327" s="247">
        <f t="shared" si="125"/>
        <v>321</v>
      </c>
      <c r="B327" s="14" t="s">
        <v>215</v>
      </c>
      <c r="C327" s="14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</row>
    <row r="328" spans="1:58" ht="14.1" customHeight="1">
      <c r="A328" s="247">
        <f t="shared" si="125"/>
        <v>322</v>
      </c>
      <c r="B328" s="27" t="s">
        <v>216</v>
      </c>
      <c r="C328" s="43">
        <f t="shared" ref="C328:C338" si="137">SUM(D328:BF328)</f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0</v>
      </c>
      <c r="O328" s="11">
        <v>0</v>
      </c>
      <c r="P328" s="11">
        <v>0</v>
      </c>
      <c r="Q328" s="11">
        <v>0</v>
      </c>
      <c r="R328" s="11">
        <v>0</v>
      </c>
      <c r="S328" s="11">
        <v>0</v>
      </c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11">
        <v>0</v>
      </c>
      <c r="AG328" s="11">
        <v>0</v>
      </c>
      <c r="AH328" s="11">
        <v>0</v>
      </c>
      <c r="AI328" s="11">
        <v>0</v>
      </c>
      <c r="AJ328" s="11">
        <v>0</v>
      </c>
      <c r="AK328" s="11">
        <v>0</v>
      </c>
      <c r="AL328" s="11">
        <v>0</v>
      </c>
      <c r="AM328" s="11">
        <v>0</v>
      </c>
      <c r="AN328" s="11">
        <v>0</v>
      </c>
      <c r="AO328" s="11">
        <v>0</v>
      </c>
      <c r="AP328" s="11">
        <v>0</v>
      </c>
      <c r="AQ328" s="11">
        <v>0</v>
      </c>
      <c r="AR328" s="11">
        <v>0</v>
      </c>
      <c r="AS328" s="11">
        <v>0</v>
      </c>
      <c r="AT328" s="11">
        <v>0</v>
      </c>
      <c r="AU328" s="11">
        <v>0</v>
      </c>
      <c r="AV328" s="11">
        <v>0</v>
      </c>
      <c r="AW328" s="11">
        <v>0</v>
      </c>
      <c r="AX328" s="11">
        <v>0</v>
      </c>
      <c r="AY328" s="11">
        <v>0</v>
      </c>
      <c r="AZ328" s="11">
        <v>0</v>
      </c>
      <c r="BA328" s="11">
        <v>0</v>
      </c>
      <c r="BB328" s="11">
        <v>0</v>
      </c>
      <c r="BC328" s="11">
        <v>0</v>
      </c>
      <c r="BD328" s="11">
        <v>0</v>
      </c>
      <c r="BE328" s="11">
        <v>0</v>
      </c>
      <c r="BF328" s="11">
        <v>0</v>
      </c>
    </row>
    <row r="329" spans="1:58" ht="14.1" customHeight="1">
      <c r="A329" s="247">
        <f t="shared" si="125"/>
        <v>323</v>
      </c>
      <c r="B329" s="27" t="s">
        <v>326</v>
      </c>
      <c r="C329" s="43">
        <f t="shared" si="137"/>
        <v>0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1">
        <v>0</v>
      </c>
      <c r="N329" s="11">
        <v>0</v>
      </c>
      <c r="O329" s="11">
        <v>0</v>
      </c>
      <c r="P329" s="11">
        <v>0</v>
      </c>
      <c r="Q329" s="11">
        <v>0</v>
      </c>
      <c r="R329" s="11">
        <v>0</v>
      </c>
      <c r="S329" s="11">
        <v>0</v>
      </c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11"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1">
        <v>0</v>
      </c>
      <c r="AS329" s="11">
        <v>0</v>
      </c>
      <c r="AT329" s="11">
        <v>0</v>
      </c>
      <c r="AU329" s="11">
        <v>0</v>
      </c>
      <c r="AV329" s="11">
        <v>0</v>
      </c>
      <c r="AW329" s="11">
        <v>0</v>
      </c>
      <c r="AX329" s="11">
        <v>0</v>
      </c>
      <c r="AY329" s="11">
        <v>0</v>
      </c>
      <c r="AZ329" s="11">
        <v>0</v>
      </c>
      <c r="BA329" s="11">
        <v>0</v>
      </c>
      <c r="BB329" s="11">
        <v>0</v>
      </c>
      <c r="BC329" s="11">
        <v>0</v>
      </c>
      <c r="BD329" s="11">
        <v>0</v>
      </c>
      <c r="BE329" s="11">
        <v>0</v>
      </c>
      <c r="BF329" s="11">
        <v>0</v>
      </c>
    </row>
    <row r="330" spans="1:58" ht="14.1" customHeight="1">
      <c r="A330" s="247">
        <f t="shared" si="125"/>
        <v>324</v>
      </c>
      <c r="B330" s="27" t="s">
        <v>217</v>
      </c>
      <c r="C330" s="43">
        <f t="shared" si="137"/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11">
        <v>0</v>
      </c>
      <c r="P330" s="11">
        <v>0</v>
      </c>
      <c r="Q330" s="11">
        <v>0</v>
      </c>
      <c r="R330" s="11">
        <v>0</v>
      </c>
      <c r="S330" s="11">
        <v>0</v>
      </c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11">
        <v>0</v>
      </c>
      <c r="AG330" s="11">
        <v>0</v>
      </c>
      <c r="AH330" s="11">
        <v>0</v>
      </c>
      <c r="AI330" s="11">
        <v>0</v>
      </c>
      <c r="AJ330" s="11">
        <v>0</v>
      </c>
      <c r="AK330" s="11">
        <v>0</v>
      </c>
      <c r="AL330" s="11">
        <v>0</v>
      </c>
      <c r="AM330" s="11">
        <v>0</v>
      </c>
      <c r="AN330" s="11">
        <v>0</v>
      </c>
      <c r="AO330" s="11">
        <v>0</v>
      </c>
      <c r="AP330" s="11">
        <v>0</v>
      </c>
      <c r="AQ330" s="11">
        <v>0</v>
      </c>
      <c r="AR330" s="11">
        <v>0</v>
      </c>
      <c r="AS330" s="11">
        <v>0</v>
      </c>
      <c r="AT330" s="11">
        <v>0</v>
      </c>
      <c r="AU330" s="11">
        <v>0</v>
      </c>
      <c r="AV330" s="11">
        <v>0</v>
      </c>
      <c r="AW330" s="11">
        <v>0</v>
      </c>
      <c r="AX330" s="11">
        <v>0</v>
      </c>
      <c r="AY330" s="11">
        <v>0</v>
      </c>
      <c r="AZ330" s="11">
        <v>0</v>
      </c>
      <c r="BA330" s="11">
        <v>0</v>
      </c>
      <c r="BB330" s="11">
        <v>0</v>
      </c>
      <c r="BC330" s="11">
        <v>0</v>
      </c>
      <c r="BD330" s="11">
        <v>0</v>
      </c>
      <c r="BE330" s="11">
        <v>0</v>
      </c>
      <c r="BF330" s="11">
        <v>0</v>
      </c>
    </row>
    <row r="331" spans="1:58" s="26" customFormat="1" ht="14.1" customHeight="1">
      <c r="A331" s="247">
        <f t="shared" si="125"/>
        <v>325</v>
      </c>
      <c r="B331" s="27" t="s">
        <v>218</v>
      </c>
      <c r="C331" s="43">
        <f t="shared" si="137"/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>
        <v>0</v>
      </c>
      <c r="R331" s="11">
        <v>0</v>
      </c>
      <c r="S331" s="11">
        <v>0</v>
      </c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0</v>
      </c>
      <c r="AI331" s="11">
        <v>0</v>
      </c>
      <c r="AJ331" s="11">
        <v>0</v>
      </c>
      <c r="AK331" s="11">
        <v>0</v>
      </c>
      <c r="AL331" s="11">
        <v>0</v>
      </c>
      <c r="AM331" s="11">
        <v>0</v>
      </c>
      <c r="AN331" s="11">
        <v>0</v>
      </c>
      <c r="AO331" s="11">
        <v>0</v>
      </c>
      <c r="AP331" s="11">
        <v>0</v>
      </c>
      <c r="AQ331" s="11">
        <v>0</v>
      </c>
      <c r="AR331" s="11">
        <v>0</v>
      </c>
      <c r="AS331" s="11">
        <v>0</v>
      </c>
      <c r="AT331" s="11">
        <v>0</v>
      </c>
      <c r="AU331" s="11">
        <v>0</v>
      </c>
      <c r="AV331" s="11">
        <v>0</v>
      </c>
      <c r="AW331" s="11">
        <v>0</v>
      </c>
      <c r="AX331" s="11">
        <v>0</v>
      </c>
      <c r="AY331" s="11">
        <v>0</v>
      </c>
      <c r="AZ331" s="11">
        <v>0</v>
      </c>
      <c r="BA331" s="11">
        <v>0</v>
      </c>
      <c r="BB331" s="11">
        <v>0</v>
      </c>
      <c r="BC331" s="11">
        <v>0</v>
      </c>
      <c r="BD331" s="11">
        <v>0</v>
      </c>
      <c r="BE331" s="11">
        <v>0</v>
      </c>
      <c r="BF331" s="11">
        <v>0</v>
      </c>
    </row>
    <row r="332" spans="1:58" s="26" customFormat="1" ht="14.1" customHeight="1">
      <c r="A332" s="247">
        <f t="shared" ref="A332:A396" si="138">+A331+1</f>
        <v>326</v>
      </c>
      <c r="B332" s="27" t="s">
        <v>219</v>
      </c>
      <c r="C332" s="43">
        <f t="shared" si="137"/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  <c r="S332" s="11">
        <v>0</v>
      </c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11">
        <v>0</v>
      </c>
      <c r="AG332" s="11">
        <v>0</v>
      </c>
      <c r="AH332" s="11">
        <v>0</v>
      </c>
      <c r="AI332" s="11">
        <v>0</v>
      </c>
      <c r="AJ332" s="11">
        <v>0</v>
      </c>
      <c r="AK332" s="11">
        <v>0</v>
      </c>
      <c r="AL332" s="11">
        <v>0</v>
      </c>
      <c r="AM332" s="11">
        <v>0</v>
      </c>
      <c r="AN332" s="11">
        <v>0</v>
      </c>
      <c r="AO332" s="11">
        <v>0</v>
      </c>
      <c r="AP332" s="11">
        <v>0</v>
      </c>
      <c r="AQ332" s="11">
        <v>0</v>
      </c>
      <c r="AR332" s="11">
        <v>0</v>
      </c>
      <c r="AS332" s="11">
        <v>0</v>
      </c>
      <c r="AT332" s="11">
        <v>0</v>
      </c>
      <c r="AU332" s="11">
        <v>0</v>
      </c>
      <c r="AV332" s="11">
        <v>0</v>
      </c>
      <c r="AW332" s="11">
        <v>0</v>
      </c>
      <c r="AX332" s="11">
        <v>0</v>
      </c>
      <c r="AY332" s="11">
        <v>0</v>
      </c>
      <c r="AZ332" s="11">
        <v>0</v>
      </c>
      <c r="BA332" s="11">
        <v>0</v>
      </c>
      <c r="BB332" s="11">
        <v>0</v>
      </c>
      <c r="BC332" s="11">
        <v>0</v>
      </c>
      <c r="BD332" s="11">
        <v>0</v>
      </c>
      <c r="BE332" s="11">
        <v>0</v>
      </c>
      <c r="BF332" s="11">
        <v>0</v>
      </c>
    </row>
    <row r="333" spans="1:58" s="26" customFormat="1" ht="14.1" customHeight="1">
      <c r="A333" s="247">
        <f t="shared" si="138"/>
        <v>327</v>
      </c>
      <c r="B333" s="27" t="s">
        <v>961</v>
      </c>
      <c r="C333" s="43">
        <f t="shared" si="137"/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1">
        <v>0</v>
      </c>
      <c r="N333" s="11">
        <v>0</v>
      </c>
      <c r="O333" s="11">
        <v>0</v>
      </c>
      <c r="P333" s="11">
        <v>0</v>
      </c>
      <c r="Q333" s="11">
        <v>0</v>
      </c>
      <c r="R333" s="11">
        <v>0</v>
      </c>
      <c r="S333" s="11">
        <v>0</v>
      </c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0</v>
      </c>
      <c r="AI333" s="11">
        <v>0</v>
      </c>
      <c r="AJ333" s="11">
        <v>0</v>
      </c>
      <c r="AK333" s="11">
        <v>0</v>
      </c>
      <c r="AL333" s="11">
        <v>0</v>
      </c>
      <c r="AM333" s="11">
        <v>0</v>
      </c>
      <c r="AN333" s="11">
        <v>0</v>
      </c>
      <c r="AO333" s="11">
        <v>0</v>
      </c>
      <c r="AP333" s="11">
        <v>0</v>
      </c>
      <c r="AQ333" s="11">
        <v>0</v>
      </c>
      <c r="AR333" s="11">
        <v>0</v>
      </c>
      <c r="AS333" s="11">
        <v>0</v>
      </c>
      <c r="AT333" s="11">
        <v>0</v>
      </c>
      <c r="AU333" s="11">
        <v>0</v>
      </c>
      <c r="AV333" s="11">
        <v>0</v>
      </c>
      <c r="AW333" s="11">
        <v>0</v>
      </c>
      <c r="AX333" s="11">
        <v>0</v>
      </c>
      <c r="AY333" s="11">
        <v>0</v>
      </c>
      <c r="AZ333" s="11">
        <v>0</v>
      </c>
      <c r="BA333" s="11">
        <v>0</v>
      </c>
      <c r="BB333" s="11">
        <v>0</v>
      </c>
      <c r="BC333" s="11">
        <v>0</v>
      </c>
      <c r="BD333" s="11">
        <v>0</v>
      </c>
      <c r="BE333" s="11">
        <v>0</v>
      </c>
      <c r="BF333" s="11">
        <v>0</v>
      </c>
    </row>
    <row r="334" spans="1:58" s="26" customFormat="1" ht="14.1" customHeight="1">
      <c r="A334" s="247">
        <f t="shared" si="138"/>
        <v>328</v>
      </c>
      <c r="B334" s="27" t="s">
        <v>962</v>
      </c>
      <c r="C334" s="43">
        <f t="shared" si="137"/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>
        <v>0</v>
      </c>
      <c r="R334" s="11">
        <v>0</v>
      </c>
      <c r="S334" s="11">
        <v>0</v>
      </c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11">
        <v>0</v>
      </c>
      <c r="AG334" s="11">
        <v>0</v>
      </c>
      <c r="AH334" s="11">
        <v>0</v>
      </c>
      <c r="AI334" s="11">
        <v>0</v>
      </c>
      <c r="AJ334" s="11">
        <v>0</v>
      </c>
      <c r="AK334" s="11">
        <v>0</v>
      </c>
      <c r="AL334" s="11">
        <v>0</v>
      </c>
      <c r="AM334" s="11">
        <v>0</v>
      </c>
      <c r="AN334" s="11">
        <v>0</v>
      </c>
      <c r="AO334" s="11">
        <v>0</v>
      </c>
      <c r="AP334" s="11">
        <v>0</v>
      </c>
      <c r="AQ334" s="11">
        <v>0</v>
      </c>
      <c r="AR334" s="11">
        <v>0</v>
      </c>
      <c r="AS334" s="11">
        <v>0</v>
      </c>
      <c r="AT334" s="11">
        <v>0</v>
      </c>
      <c r="AU334" s="11">
        <v>0</v>
      </c>
      <c r="AV334" s="11">
        <v>0</v>
      </c>
      <c r="AW334" s="11">
        <v>0</v>
      </c>
      <c r="AX334" s="11">
        <v>0</v>
      </c>
      <c r="AY334" s="11">
        <v>0</v>
      </c>
      <c r="AZ334" s="11">
        <v>0</v>
      </c>
      <c r="BA334" s="11">
        <v>0</v>
      </c>
      <c r="BB334" s="11">
        <v>0</v>
      </c>
      <c r="BC334" s="11">
        <v>0</v>
      </c>
      <c r="BD334" s="11">
        <v>0</v>
      </c>
      <c r="BE334" s="11">
        <v>0</v>
      </c>
      <c r="BF334" s="11">
        <v>0</v>
      </c>
    </row>
    <row r="335" spans="1:58" s="26" customFormat="1" ht="14.1" customHeight="1">
      <c r="A335" s="247">
        <f t="shared" si="138"/>
        <v>329</v>
      </c>
      <c r="B335" s="27" t="s">
        <v>960</v>
      </c>
      <c r="C335" s="43">
        <f t="shared" si="137"/>
        <v>0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11">
        <v>0</v>
      </c>
      <c r="AK335" s="11">
        <v>0</v>
      </c>
      <c r="AL335" s="11">
        <v>0</v>
      </c>
      <c r="AM335" s="11">
        <v>0</v>
      </c>
      <c r="AN335" s="11">
        <v>0</v>
      </c>
      <c r="AO335" s="11">
        <v>0</v>
      </c>
      <c r="AP335" s="11">
        <v>0</v>
      </c>
      <c r="AQ335" s="11">
        <v>0</v>
      </c>
      <c r="AR335" s="11">
        <v>0</v>
      </c>
      <c r="AS335" s="11">
        <v>0</v>
      </c>
      <c r="AT335" s="11">
        <v>0</v>
      </c>
      <c r="AU335" s="11">
        <v>0</v>
      </c>
      <c r="AV335" s="11">
        <v>0</v>
      </c>
      <c r="AW335" s="11">
        <v>0</v>
      </c>
      <c r="AX335" s="11">
        <v>0</v>
      </c>
      <c r="AY335" s="11">
        <v>0</v>
      </c>
      <c r="AZ335" s="11">
        <v>0</v>
      </c>
      <c r="BA335" s="11">
        <v>0</v>
      </c>
      <c r="BB335" s="11">
        <v>0</v>
      </c>
      <c r="BC335" s="11">
        <v>0</v>
      </c>
      <c r="BD335" s="11">
        <v>0</v>
      </c>
      <c r="BE335" s="11">
        <v>0</v>
      </c>
      <c r="BF335" s="11">
        <v>0</v>
      </c>
    </row>
    <row r="336" spans="1:58" s="26" customFormat="1" ht="14.1" customHeight="1">
      <c r="A336" s="247">
        <f t="shared" si="138"/>
        <v>330</v>
      </c>
      <c r="B336" s="27" t="s">
        <v>963</v>
      </c>
      <c r="C336" s="43">
        <f t="shared" si="137"/>
        <v>0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0</v>
      </c>
      <c r="K336" s="11">
        <v>0</v>
      </c>
      <c r="L336" s="11">
        <v>0</v>
      </c>
      <c r="M336" s="11">
        <v>0</v>
      </c>
      <c r="N336" s="11">
        <v>0</v>
      </c>
      <c r="O336" s="11">
        <v>0</v>
      </c>
      <c r="P336" s="11">
        <v>0</v>
      </c>
      <c r="Q336" s="11">
        <v>0</v>
      </c>
      <c r="R336" s="11">
        <v>0</v>
      </c>
      <c r="S336" s="11">
        <v>0</v>
      </c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11">
        <v>0</v>
      </c>
      <c r="AG336" s="11">
        <v>0</v>
      </c>
      <c r="AH336" s="11">
        <v>0</v>
      </c>
      <c r="AI336" s="11">
        <v>0</v>
      </c>
      <c r="AJ336" s="11">
        <v>0</v>
      </c>
      <c r="AK336" s="11">
        <v>0</v>
      </c>
      <c r="AL336" s="11">
        <v>0</v>
      </c>
      <c r="AM336" s="11">
        <v>0</v>
      </c>
      <c r="AN336" s="11">
        <v>0</v>
      </c>
      <c r="AO336" s="11">
        <v>0</v>
      </c>
      <c r="AP336" s="11">
        <v>0</v>
      </c>
      <c r="AQ336" s="11">
        <v>0</v>
      </c>
      <c r="AR336" s="11">
        <v>0</v>
      </c>
      <c r="AS336" s="11">
        <v>0</v>
      </c>
      <c r="AT336" s="11">
        <v>0</v>
      </c>
      <c r="AU336" s="11">
        <v>0</v>
      </c>
      <c r="AV336" s="11">
        <v>0</v>
      </c>
      <c r="AW336" s="11">
        <v>0</v>
      </c>
      <c r="AX336" s="11">
        <v>0</v>
      </c>
      <c r="AY336" s="11">
        <v>0</v>
      </c>
      <c r="AZ336" s="11">
        <v>0</v>
      </c>
      <c r="BA336" s="11">
        <v>0</v>
      </c>
      <c r="BB336" s="11">
        <v>0</v>
      </c>
      <c r="BC336" s="11">
        <v>0</v>
      </c>
      <c r="BD336" s="11">
        <v>0</v>
      </c>
      <c r="BE336" s="11">
        <v>0</v>
      </c>
      <c r="BF336" s="11">
        <v>0</v>
      </c>
    </row>
    <row r="337" spans="1:58" s="26" customFormat="1" ht="14.1" customHeight="1">
      <c r="A337" s="247">
        <f t="shared" si="138"/>
        <v>331</v>
      </c>
      <c r="B337" s="27" t="s">
        <v>220</v>
      </c>
      <c r="C337" s="43">
        <f t="shared" si="137"/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  <c r="AK337" s="11">
        <v>0</v>
      </c>
      <c r="AL337" s="11">
        <v>0</v>
      </c>
      <c r="AM337" s="11">
        <v>0</v>
      </c>
      <c r="AN337" s="11">
        <v>0</v>
      </c>
      <c r="AO337" s="11">
        <v>0</v>
      </c>
      <c r="AP337" s="11">
        <v>0</v>
      </c>
      <c r="AQ337" s="11">
        <v>0</v>
      </c>
      <c r="AR337" s="11">
        <v>0</v>
      </c>
      <c r="AS337" s="11">
        <v>0</v>
      </c>
      <c r="AT337" s="11">
        <v>0</v>
      </c>
      <c r="AU337" s="11">
        <v>0</v>
      </c>
      <c r="AV337" s="11">
        <v>0</v>
      </c>
      <c r="AW337" s="11">
        <v>0</v>
      </c>
      <c r="AX337" s="11">
        <v>0</v>
      </c>
      <c r="AY337" s="11">
        <v>0</v>
      </c>
      <c r="AZ337" s="11">
        <v>0</v>
      </c>
      <c r="BA337" s="11">
        <v>0</v>
      </c>
      <c r="BB337" s="11">
        <v>0</v>
      </c>
      <c r="BC337" s="11">
        <v>0</v>
      </c>
      <c r="BD337" s="11">
        <v>0</v>
      </c>
      <c r="BE337" s="11">
        <v>0</v>
      </c>
      <c r="BF337" s="11">
        <v>0</v>
      </c>
    </row>
    <row r="338" spans="1:58" ht="14.1" customHeight="1">
      <c r="A338" s="247">
        <f t="shared" si="138"/>
        <v>332</v>
      </c>
      <c r="B338" s="92" t="s">
        <v>221</v>
      </c>
      <c r="C338" s="43">
        <f t="shared" si="137"/>
        <v>0</v>
      </c>
      <c r="D338" s="48">
        <v>0</v>
      </c>
      <c r="E338" s="48">
        <v>0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0</v>
      </c>
      <c r="N338" s="48">
        <v>0</v>
      </c>
      <c r="O338" s="48">
        <v>0</v>
      </c>
      <c r="P338" s="48">
        <v>0</v>
      </c>
      <c r="Q338" s="48">
        <v>0</v>
      </c>
      <c r="R338" s="48">
        <v>0</v>
      </c>
      <c r="S338" s="48">
        <v>0</v>
      </c>
      <c r="T338" s="48">
        <v>0</v>
      </c>
      <c r="U338" s="48">
        <v>0</v>
      </c>
      <c r="V338" s="48">
        <v>0</v>
      </c>
      <c r="W338" s="48">
        <v>0</v>
      </c>
      <c r="X338" s="48">
        <v>0</v>
      </c>
      <c r="Y338" s="48">
        <v>0</v>
      </c>
      <c r="Z338" s="48">
        <v>0</v>
      </c>
      <c r="AA338" s="48">
        <v>0</v>
      </c>
      <c r="AB338" s="48">
        <v>0</v>
      </c>
      <c r="AC338" s="48">
        <v>0</v>
      </c>
      <c r="AD338" s="48">
        <v>0</v>
      </c>
      <c r="AE338" s="48">
        <v>0</v>
      </c>
      <c r="AF338" s="48">
        <v>0</v>
      </c>
      <c r="AG338" s="48">
        <v>0</v>
      </c>
      <c r="AH338" s="48">
        <v>0</v>
      </c>
      <c r="AI338" s="48">
        <v>0</v>
      </c>
      <c r="AJ338" s="48">
        <v>0</v>
      </c>
      <c r="AK338" s="48">
        <v>0</v>
      </c>
      <c r="AL338" s="48">
        <v>0</v>
      </c>
      <c r="AM338" s="48">
        <v>0</v>
      </c>
      <c r="AN338" s="48">
        <v>0</v>
      </c>
      <c r="AO338" s="48">
        <v>0</v>
      </c>
      <c r="AP338" s="48">
        <v>0</v>
      </c>
      <c r="AQ338" s="48">
        <v>0</v>
      </c>
      <c r="AR338" s="48">
        <v>0</v>
      </c>
      <c r="AS338" s="48">
        <v>0</v>
      </c>
      <c r="AT338" s="48">
        <v>0</v>
      </c>
      <c r="AU338" s="48">
        <v>0</v>
      </c>
      <c r="AV338" s="48">
        <v>0</v>
      </c>
      <c r="AW338" s="48">
        <v>0</v>
      </c>
      <c r="AX338" s="48">
        <v>0</v>
      </c>
      <c r="AY338" s="48">
        <v>0</v>
      </c>
      <c r="AZ338" s="48">
        <v>0</v>
      </c>
      <c r="BA338" s="48">
        <v>0</v>
      </c>
      <c r="BB338" s="48">
        <v>0</v>
      </c>
      <c r="BC338" s="48">
        <v>0</v>
      </c>
      <c r="BD338" s="48">
        <v>0</v>
      </c>
      <c r="BE338" s="48">
        <v>0</v>
      </c>
      <c r="BF338" s="48">
        <v>0</v>
      </c>
    </row>
    <row r="339" spans="1:58" ht="14.1" customHeight="1">
      <c r="A339" s="247">
        <f t="shared" si="138"/>
        <v>333</v>
      </c>
      <c r="B339" s="25" t="s">
        <v>222</v>
      </c>
      <c r="C339" s="189">
        <f>SUM(C328:C338)</f>
        <v>0</v>
      </c>
      <c r="D339" s="189">
        <f>SUM(D328:D338)</f>
        <v>0</v>
      </c>
      <c r="E339" s="189">
        <f t="shared" ref="E339:BA339" si="139">SUM(E328:E338)</f>
        <v>0</v>
      </c>
      <c r="F339" s="189">
        <f t="shared" si="139"/>
        <v>0</v>
      </c>
      <c r="G339" s="189">
        <f t="shared" si="139"/>
        <v>0</v>
      </c>
      <c r="H339" s="189">
        <f t="shared" si="139"/>
        <v>0</v>
      </c>
      <c r="I339" s="189">
        <f t="shared" si="139"/>
        <v>0</v>
      </c>
      <c r="J339" s="189">
        <f t="shared" si="139"/>
        <v>0</v>
      </c>
      <c r="K339" s="189">
        <f t="shared" si="139"/>
        <v>0</v>
      </c>
      <c r="L339" s="189">
        <f t="shared" si="139"/>
        <v>0</v>
      </c>
      <c r="M339" s="189">
        <f t="shared" si="139"/>
        <v>0</v>
      </c>
      <c r="N339" s="189">
        <f t="shared" si="139"/>
        <v>0</v>
      </c>
      <c r="O339" s="189">
        <f t="shared" si="139"/>
        <v>0</v>
      </c>
      <c r="P339" s="189">
        <f t="shared" si="139"/>
        <v>0</v>
      </c>
      <c r="Q339" s="189">
        <f t="shared" si="139"/>
        <v>0</v>
      </c>
      <c r="R339" s="189">
        <f t="shared" si="139"/>
        <v>0</v>
      </c>
      <c r="S339" s="189">
        <f t="shared" si="139"/>
        <v>0</v>
      </c>
      <c r="T339" s="189">
        <f t="shared" si="139"/>
        <v>0</v>
      </c>
      <c r="U339" s="189">
        <f t="shared" si="139"/>
        <v>0</v>
      </c>
      <c r="V339" s="189">
        <f t="shared" si="139"/>
        <v>0</v>
      </c>
      <c r="W339" s="189">
        <f t="shared" si="139"/>
        <v>0</v>
      </c>
      <c r="X339" s="189">
        <f t="shared" si="139"/>
        <v>0</v>
      </c>
      <c r="Y339" s="189">
        <f t="shared" si="139"/>
        <v>0</v>
      </c>
      <c r="Z339" s="189">
        <f t="shared" si="139"/>
        <v>0</v>
      </c>
      <c r="AA339" s="189">
        <f t="shared" si="139"/>
        <v>0</v>
      </c>
      <c r="AB339" s="189">
        <f t="shared" si="139"/>
        <v>0</v>
      </c>
      <c r="AC339" s="189">
        <f t="shared" si="139"/>
        <v>0</v>
      </c>
      <c r="AD339" s="189">
        <f t="shared" si="139"/>
        <v>0</v>
      </c>
      <c r="AE339" s="189">
        <f t="shared" si="139"/>
        <v>0</v>
      </c>
      <c r="AF339" s="189">
        <f t="shared" si="139"/>
        <v>0</v>
      </c>
      <c r="AG339" s="189">
        <f t="shared" si="139"/>
        <v>0</v>
      </c>
      <c r="AH339" s="189">
        <f t="shared" si="139"/>
        <v>0</v>
      </c>
      <c r="AI339" s="189">
        <f t="shared" si="139"/>
        <v>0</v>
      </c>
      <c r="AJ339" s="189">
        <f t="shared" si="139"/>
        <v>0</v>
      </c>
      <c r="AK339" s="189">
        <f t="shared" si="139"/>
        <v>0</v>
      </c>
      <c r="AL339" s="189">
        <f t="shared" si="139"/>
        <v>0</v>
      </c>
      <c r="AM339" s="189">
        <f t="shared" si="139"/>
        <v>0</v>
      </c>
      <c r="AN339" s="189">
        <f t="shared" si="139"/>
        <v>0</v>
      </c>
      <c r="AO339" s="189">
        <f t="shared" si="139"/>
        <v>0</v>
      </c>
      <c r="AP339" s="189">
        <f t="shared" si="139"/>
        <v>0</v>
      </c>
      <c r="AQ339" s="189">
        <f t="shared" si="139"/>
        <v>0</v>
      </c>
      <c r="AR339" s="189">
        <f t="shared" si="139"/>
        <v>0</v>
      </c>
      <c r="AS339" s="189">
        <f t="shared" si="139"/>
        <v>0</v>
      </c>
      <c r="AT339" s="189">
        <f t="shared" si="139"/>
        <v>0</v>
      </c>
      <c r="AU339" s="189">
        <f t="shared" si="139"/>
        <v>0</v>
      </c>
      <c r="AV339" s="189">
        <f t="shared" si="139"/>
        <v>0</v>
      </c>
      <c r="AW339" s="189">
        <f t="shared" si="139"/>
        <v>0</v>
      </c>
      <c r="AX339" s="189">
        <f t="shared" si="139"/>
        <v>0</v>
      </c>
      <c r="AY339" s="189">
        <f t="shared" si="139"/>
        <v>0</v>
      </c>
      <c r="AZ339" s="189">
        <f t="shared" si="139"/>
        <v>0</v>
      </c>
      <c r="BA339" s="189">
        <f t="shared" si="139"/>
        <v>0</v>
      </c>
      <c r="BB339" s="189">
        <f>SUM(BB328:BB338)</f>
        <v>0</v>
      </c>
      <c r="BC339" s="189">
        <f>SUM(BC328:BC338)</f>
        <v>0</v>
      </c>
      <c r="BD339" s="189">
        <f>SUM(BD328:BD338)</f>
        <v>0</v>
      </c>
      <c r="BE339" s="189">
        <f>SUM(BE328:BE338)</f>
        <v>0</v>
      </c>
      <c r="BF339" s="189">
        <f>SUM(BF328:BF338)</f>
        <v>0</v>
      </c>
    </row>
    <row r="340" spans="1:58" ht="14.1" customHeight="1">
      <c r="A340" s="247">
        <f t="shared" si="138"/>
        <v>334</v>
      </c>
      <c r="B340" s="304"/>
      <c r="C340" s="341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</row>
    <row r="341" spans="1:58" ht="14.1" customHeight="1">
      <c r="A341" s="247">
        <f t="shared" si="138"/>
        <v>335</v>
      </c>
      <c r="B341" s="25" t="s">
        <v>223</v>
      </c>
      <c r="C341" s="28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</row>
    <row r="342" spans="1:58" ht="14.1" customHeight="1">
      <c r="A342" s="247">
        <f t="shared" si="138"/>
        <v>336</v>
      </c>
      <c r="B342" s="27" t="s">
        <v>224</v>
      </c>
      <c r="C342" s="43">
        <f t="shared" ref="C342:C348" si="140">SUM(D342:BF342)</f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  <c r="S342" s="11">
        <v>0</v>
      </c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11">
        <v>0</v>
      </c>
      <c r="AG342" s="11">
        <v>0</v>
      </c>
      <c r="AH342" s="11">
        <v>0</v>
      </c>
      <c r="AI342" s="11">
        <v>0</v>
      </c>
      <c r="AJ342" s="11">
        <v>0</v>
      </c>
      <c r="AK342" s="11">
        <v>0</v>
      </c>
      <c r="AL342" s="11">
        <v>0</v>
      </c>
      <c r="AM342" s="11">
        <v>0</v>
      </c>
      <c r="AN342" s="11">
        <v>0</v>
      </c>
      <c r="AO342" s="11">
        <v>0</v>
      </c>
      <c r="AP342" s="11">
        <v>0</v>
      </c>
      <c r="AQ342" s="11">
        <v>0</v>
      </c>
      <c r="AR342" s="11">
        <v>0</v>
      </c>
      <c r="AS342" s="11">
        <v>0</v>
      </c>
      <c r="AT342" s="11">
        <v>0</v>
      </c>
      <c r="AU342" s="11">
        <v>0</v>
      </c>
      <c r="AV342" s="11">
        <v>0</v>
      </c>
      <c r="AW342" s="11">
        <v>0</v>
      </c>
      <c r="AX342" s="11">
        <v>0</v>
      </c>
      <c r="AY342" s="11">
        <v>0</v>
      </c>
      <c r="AZ342" s="11">
        <v>0</v>
      </c>
      <c r="BA342" s="11">
        <v>0</v>
      </c>
      <c r="BB342" s="11">
        <v>0</v>
      </c>
      <c r="BC342" s="11">
        <v>0</v>
      </c>
      <c r="BD342" s="11">
        <v>0</v>
      </c>
      <c r="BE342" s="11">
        <v>0</v>
      </c>
      <c r="BF342" s="11">
        <v>0</v>
      </c>
    </row>
    <row r="343" spans="1:58" ht="14.1" customHeight="1">
      <c r="A343" s="247">
        <f t="shared" si="138"/>
        <v>337</v>
      </c>
      <c r="B343" s="27" t="s">
        <v>225</v>
      </c>
      <c r="C343" s="43">
        <f t="shared" si="140"/>
        <v>0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0</v>
      </c>
      <c r="AI343" s="11">
        <v>0</v>
      </c>
      <c r="AJ343" s="11">
        <v>0</v>
      </c>
      <c r="AK343" s="11">
        <v>0</v>
      </c>
      <c r="AL343" s="11">
        <v>0</v>
      </c>
      <c r="AM343" s="11">
        <v>0</v>
      </c>
      <c r="AN343" s="11">
        <v>0</v>
      </c>
      <c r="AO343" s="11">
        <v>0</v>
      </c>
      <c r="AP343" s="11">
        <v>0</v>
      </c>
      <c r="AQ343" s="11">
        <v>0</v>
      </c>
      <c r="AR343" s="11">
        <v>0</v>
      </c>
      <c r="AS343" s="11">
        <v>0</v>
      </c>
      <c r="AT343" s="11">
        <v>0</v>
      </c>
      <c r="AU343" s="11">
        <v>0</v>
      </c>
      <c r="AV343" s="11">
        <v>0</v>
      </c>
      <c r="AW343" s="11">
        <v>0</v>
      </c>
      <c r="AX343" s="11">
        <v>0</v>
      </c>
      <c r="AY343" s="11">
        <v>0</v>
      </c>
      <c r="AZ343" s="11">
        <v>0</v>
      </c>
      <c r="BA343" s="11">
        <v>0</v>
      </c>
      <c r="BB343" s="11">
        <v>0</v>
      </c>
      <c r="BC343" s="11">
        <v>0</v>
      </c>
      <c r="BD343" s="11">
        <v>0</v>
      </c>
      <c r="BE343" s="11">
        <v>0</v>
      </c>
      <c r="BF343" s="11">
        <v>0</v>
      </c>
    </row>
    <row r="344" spans="1:58" ht="14.1" customHeight="1">
      <c r="A344" s="247">
        <f t="shared" si="138"/>
        <v>338</v>
      </c>
      <c r="B344" s="27" t="s">
        <v>226</v>
      </c>
      <c r="C344" s="43">
        <f t="shared" si="140"/>
        <v>0</v>
      </c>
      <c r="D344" s="11">
        <v>0</v>
      </c>
      <c r="E344" s="11">
        <v>0</v>
      </c>
      <c r="F344" s="11">
        <v>0</v>
      </c>
      <c r="G344" s="11">
        <v>0</v>
      </c>
      <c r="H344" s="11">
        <v>0</v>
      </c>
      <c r="I344" s="11">
        <v>0</v>
      </c>
      <c r="J344" s="11">
        <v>0</v>
      </c>
      <c r="K344" s="11">
        <v>0</v>
      </c>
      <c r="L344" s="11">
        <v>0</v>
      </c>
      <c r="M344" s="11">
        <v>0</v>
      </c>
      <c r="N344" s="11">
        <v>0</v>
      </c>
      <c r="O344" s="11">
        <v>0</v>
      </c>
      <c r="P344" s="11">
        <v>0</v>
      </c>
      <c r="Q344" s="11">
        <v>0</v>
      </c>
      <c r="R344" s="11">
        <v>0</v>
      </c>
      <c r="S344" s="11">
        <v>0</v>
      </c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11">
        <v>0</v>
      </c>
      <c r="AG344" s="11">
        <v>0</v>
      </c>
      <c r="AH344" s="11">
        <v>0</v>
      </c>
      <c r="AI344" s="11">
        <v>0</v>
      </c>
      <c r="AJ344" s="11">
        <v>0</v>
      </c>
      <c r="AK344" s="11">
        <v>0</v>
      </c>
      <c r="AL344" s="11">
        <v>0</v>
      </c>
      <c r="AM344" s="11">
        <v>0</v>
      </c>
      <c r="AN344" s="11">
        <v>0</v>
      </c>
      <c r="AO344" s="11">
        <v>0</v>
      </c>
      <c r="AP344" s="11">
        <v>0</v>
      </c>
      <c r="AQ344" s="11">
        <v>0</v>
      </c>
      <c r="AR344" s="11">
        <v>0</v>
      </c>
      <c r="AS344" s="11">
        <v>0</v>
      </c>
      <c r="AT344" s="11">
        <v>0</v>
      </c>
      <c r="AU344" s="11">
        <v>0</v>
      </c>
      <c r="AV344" s="11">
        <v>0</v>
      </c>
      <c r="AW344" s="11">
        <v>0</v>
      </c>
      <c r="AX344" s="11">
        <v>0</v>
      </c>
      <c r="AY344" s="11">
        <v>0</v>
      </c>
      <c r="AZ344" s="11">
        <v>0</v>
      </c>
      <c r="BA344" s="11">
        <v>0</v>
      </c>
      <c r="BB344" s="11">
        <v>0</v>
      </c>
      <c r="BC344" s="11">
        <v>0</v>
      </c>
      <c r="BD344" s="11">
        <v>0</v>
      </c>
      <c r="BE344" s="11">
        <v>0</v>
      </c>
      <c r="BF344" s="11">
        <v>0</v>
      </c>
    </row>
    <row r="345" spans="1:58" ht="14.1" customHeight="1">
      <c r="A345" s="247">
        <f t="shared" si="138"/>
        <v>339</v>
      </c>
      <c r="B345" s="27" t="s">
        <v>227</v>
      </c>
      <c r="C345" s="43">
        <f t="shared" si="140"/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  <c r="S345" s="11">
        <v>0</v>
      </c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  <c r="AI345" s="11">
        <v>0</v>
      </c>
      <c r="AJ345" s="11">
        <v>0</v>
      </c>
      <c r="AK345" s="11">
        <v>0</v>
      </c>
      <c r="AL345" s="11">
        <v>0</v>
      </c>
      <c r="AM345" s="11">
        <v>0</v>
      </c>
      <c r="AN345" s="11">
        <v>0</v>
      </c>
      <c r="AO345" s="11">
        <v>0</v>
      </c>
      <c r="AP345" s="11">
        <v>0</v>
      </c>
      <c r="AQ345" s="11">
        <v>0</v>
      </c>
      <c r="AR345" s="11">
        <v>0</v>
      </c>
      <c r="AS345" s="11">
        <v>0</v>
      </c>
      <c r="AT345" s="11">
        <v>0</v>
      </c>
      <c r="AU345" s="11">
        <v>0</v>
      </c>
      <c r="AV345" s="11">
        <v>0</v>
      </c>
      <c r="AW345" s="11">
        <v>0</v>
      </c>
      <c r="AX345" s="11">
        <v>0</v>
      </c>
      <c r="AY345" s="11">
        <v>0</v>
      </c>
      <c r="AZ345" s="11">
        <v>0</v>
      </c>
      <c r="BA345" s="11">
        <v>0</v>
      </c>
      <c r="BB345" s="11">
        <v>0</v>
      </c>
      <c r="BC345" s="11">
        <v>0</v>
      </c>
      <c r="BD345" s="11">
        <v>0</v>
      </c>
      <c r="BE345" s="11">
        <v>0</v>
      </c>
      <c r="BF345" s="11">
        <v>0</v>
      </c>
    </row>
    <row r="346" spans="1:58" ht="14.1" customHeight="1">
      <c r="A346" s="247">
        <f t="shared" si="138"/>
        <v>340</v>
      </c>
      <c r="B346" s="27" t="s">
        <v>228</v>
      </c>
      <c r="C346" s="43">
        <f t="shared" si="140"/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  <c r="Q346" s="11">
        <v>0</v>
      </c>
      <c r="R346" s="11">
        <v>0</v>
      </c>
      <c r="S346" s="11">
        <v>0</v>
      </c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11">
        <v>0</v>
      </c>
      <c r="AG346" s="11">
        <v>0</v>
      </c>
      <c r="AH346" s="11">
        <v>0</v>
      </c>
      <c r="AI346" s="11">
        <v>0</v>
      </c>
      <c r="AJ346" s="11">
        <v>0</v>
      </c>
      <c r="AK346" s="11">
        <v>0</v>
      </c>
      <c r="AL346" s="11">
        <v>0</v>
      </c>
      <c r="AM346" s="11">
        <v>0</v>
      </c>
      <c r="AN346" s="11">
        <v>0</v>
      </c>
      <c r="AO346" s="11">
        <v>0</v>
      </c>
      <c r="AP346" s="11">
        <v>0</v>
      </c>
      <c r="AQ346" s="11">
        <v>0</v>
      </c>
      <c r="AR346" s="11">
        <v>0</v>
      </c>
      <c r="AS346" s="11">
        <v>0</v>
      </c>
      <c r="AT346" s="11">
        <v>0</v>
      </c>
      <c r="AU346" s="11">
        <v>0</v>
      </c>
      <c r="AV346" s="11">
        <v>0</v>
      </c>
      <c r="AW346" s="11">
        <v>0</v>
      </c>
      <c r="AX346" s="11">
        <v>0</v>
      </c>
      <c r="AY346" s="11">
        <v>0</v>
      </c>
      <c r="AZ346" s="11">
        <v>0</v>
      </c>
      <c r="BA346" s="11">
        <v>0</v>
      </c>
      <c r="BB346" s="11">
        <v>0</v>
      </c>
      <c r="BC346" s="11">
        <v>0</v>
      </c>
      <c r="BD346" s="11">
        <v>0</v>
      </c>
      <c r="BE346" s="11">
        <v>0</v>
      </c>
      <c r="BF346" s="11">
        <v>0</v>
      </c>
    </row>
    <row r="347" spans="1:58" ht="14.1" customHeight="1">
      <c r="A347" s="247">
        <f t="shared" si="138"/>
        <v>341</v>
      </c>
      <c r="B347" s="27" t="s">
        <v>229</v>
      </c>
      <c r="C347" s="43">
        <f t="shared" si="140"/>
        <v>0</v>
      </c>
      <c r="D347" s="48">
        <v>0</v>
      </c>
      <c r="E347" s="48">
        <v>0</v>
      </c>
      <c r="F347" s="48">
        <v>0</v>
      </c>
      <c r="G347" s="48">
        <v>0</v>
      </c>
      <c r="H347" s="48">
        <v>0</v>
      </c>
      <c r="I347" s="48">
        <v>0</v>
      </c>
      <c r="J347" s="48">
        <v>0</v>
      </c>
      <c r="K347" s="48">
        <v>0</v>
      </c>
      <c r="L347" s="48">
        <v>0</v>
      </c>
      <c r="M347" s="48">
        <v>0</v>
      </c>
      <c r="N347" s="48">
        <v>0</v>
      </c>
      <c r="O347" s="48">
        <v>0</v>
      </c>
      <c r="P347" s="48">
        <v>0</v>
      </c>
      <c r="Q347" s="48">
        <v>0</v>
      </c>
      <c r="R347" s="48">
        <v>0</v>
      </c>
      <c r="S347" s="48">
        <v>0</v>
      </c>
      <c r="T347" s="48">
        <v>0</v>
      </c>
      <c r="U347" s="48">
        <v>0</v>
      </c>
      <c r="V347" s="48">
        <v>0</v>
      </c>
      <c r="W347" s="48">
        <v>0</v>
      </c>
      <c r="X347" s="48">
        <v>0</v>
      </c>
      <c r="Y347" s="48">
        <v>0</v>
      </c>
      <c r="Z347" s="48">
        <v>0</v>
      </c>
      <c r="AA347" s="48">
        <v>0</v>
      </c>
      <c r="AB347" s="48">
        <v>0</v>
      </c>
      <c r="AC347" s="48">
        <v>0</v>
      </c>
      <c r="AD347" s="48">
        <v>0</v>
      </c>
      <c r="AE347" s="48">
        <v>0</v>
      </c>
      <c r="AF347" s="48">
        <v>0</v>
      </c>
      <c r="AG347" s="48">
        <v>0</v>
      </c>
      <c r="AH347" s="48">
        <v>0</v>
      </c>
      <c r="AI347" s="48">
        <v>0</v>
      </c>
      <c r="AJ347" s="48">
        <v>0</v>
      </c>
      <c r="AK347" s="48">
        <v>0</v>
      </c>
      <c r="AL347" s="48">
        <v>0</v>
      </c>
      <c r="AM347" s="48">
        <v>0</v>
      </c>
      <c r="AN347" s="48">
        <v>0</v>
      </c>
      <c r="AO347" s="48">
        <v>0</v>
      </c>
      <c r="AP347" s="48">
        <v>0</v>
      </c>
      <c r="AQ347" s="48">
        <v>0</v>
      </c>
      <c r="AR347" s="48">
        <v>0</v>
      </c>
      <c r="AS347" s="48">
        <v>0</v>
      </c>
      <c r="AT347" s="48">
        <v>0</v>
      </c>
      <c r="AU347" s="48">
        <v>0</v>
      </c>
      <c r="AV347" s="48">
        <v>0</v>
      </c>
      <c r="AW347" s="48">
        <v>0</v>
      </c>
      <c r="AX347" s="48">
        <v>0</v>
      </c>
      <c r="AY347" s="48">
        <v>0</v>
      </c>
      <c r="AZ347" s="48">
        <v>0</v>
      </c>
      <c r="BA347" s="48">
        <v>0</v>
      </c>
      <c r="BB347" s="48">
        <v>0</v>
      </c>
      <c r="BC347" s="48">
        <v>0</v>
      </c>
      <c r="BD347" s="48">
        <v>0</v>
      </c>
      <c r="BE347" s="48">
        <v>0</v>
      </c>
      <c r="BF347" s="48">
        <v>0</v>
      </c>
    </row>
    <row r="348" spans="1:58" ht="14.1" customHeight="1">
      <c r="A348" s="247">
        <f t="shared" si="138"/>
        <v>342</v>
      </c>
      <c r="B348" s="92" t="s">
        <v>230</v>
      </c>
      <c r="C348" s="43">
        <f t="shared" si="140"/>
        <v>0</v>
      </c>
      <c r="D348" s="48">
        <v>0</v>
      </c>
      <c r="E348" s="48">
        <v>0</v>
      </c>
      <c r="F348" s="48">
        <v>0</v>
      </c>
      <c r="G348" s="48">
        <v>0</v>
      </c>
      <c r="H348" s="48">
        <v>0</v>
      </c>
      <c r="I348" s="48">
        <v>0</v>
      </c>
      <c r="J348" s="48">
        <v>0</v>
      </c>
      <c r="K348" s="48">
        <v>0</v>
      </c>
      <c r="L348" s="48">
        <v>0</v>
      </c>
      <c r="M348" s="48">
        <v>0</v>
      </c>
      <c r="N348" s="48">
        <v>0</v>
      </c>
      <c r="O348" s="48">
        <v>0</v>
      </c>
      <c r="P348" s="48">
        <v>0</v>
      </c>
      <c r="Q348" s="48">
        <v>0</v>
      </c>
      <c r="R348" s="48">
        <v>0</v>
      </c>
      <c r="S348" s="48">
        <v>0</v>
      </c>
      <c r="T348" s="48">
        <v>0</v>
      </c>
      <c r="U348" s="48">
        <v>0</v>
      </c>
      <c r="V348" s="48">
        <v>0</v>
      </c>
      <c r="W348" s="48">
        <v>0</v>
      </c>
      <c r="X348" s="48">
        <v>0</v>
      </c>
      <c r="Y348" s="48">
        <v>0</v>
      </c>
      <c r="Z348" s="48">
        <v>0</v>
      </c>
      <c r="AA348" s="48">
        <v>0</v>
      </c>
      <c r="AB348" s="48">
        <v>0</v>
      </c>
      <c r="AC348" s="48">
        <v>0</v>
      </c>
      <c r="AD348" s="48">
        <v>0</v>
      </c>
      <c r="AE348" s="48">
        <v>0</v>
      </c>
      <c r="AF348" s="48">
        <v>0</v>
      </c>
      <c r="AG348" s="48">
        <v>0</v>
      </c>
      <c r="AH348" s="48">
        <v>0</v>
      </c>
      <c r="AI348" s="48">
        <v>0</v>
      </c>
      <c r="AJ348" s="48">
        <v>0</v>
      </c>
      <c r="AK348" s="48">
        <v>0</v>
      </c>
      <c r="AL348" s="48">
        <v>0</v>
      </c>
      <c r="AM348" s="48">
        <v>0</v>
      </c>
      <c r="AN348" s="48">
        <v>0</v>
      </c>
      <c r="AO348" s="48">
        <v>0</v>
      </c>
      <c r="AP348" s="48">
        <v>0</v>
      </c>
      <c r="AQ348" s="48">
        <v>0</v>
      </c>
      <c r="AR348" s="48">
        <v>0</v>
      </c>
      <c r="AS348" s="48">
        <v>0</v>
      </c>
      <c r="AT348" s="48">
        <v>0</v>
      </c>
      <c r="AU348" s="48">
        <v>0</v>
      </c>
      <c r="AV348" s="48">
        <v>0</v>
      </c>
      <c r="AW348" s="48">
        <v>0</v>
      </c>
      <c r="AX348" s="48">
        <v>0</v>
      </c>
      <c r="AY348" s="48">
        <v>0</v>
      </c>
      <c r="AZ348" s="48">
        <v>0</v>
      </c>
      <c r="BA348" s="48">
        <v>0</v>
      </c>
      <c r="BB348" s="48">
        <v>0</v>
      </c>
      <c r="BC348" s="48">
        <v>0</v>
      </c>
      <c r="BD348" s="48">
        <v>0</v>
      </c>
      <c r="BE348" s="48">
        <v>0</v>
      </c>
      <c r="BF348" s="48">
        <v>0</v>
      </c>
    </row>
    <row r="349" spans="1:58" ht="14.1" customHeight="1">
      <c r="A349" s="247">
        <f t="shared" si="138"/>
        <v>343</v>
      </c>
      <c r="B349" s="25" t="s">
        <v>231</v>
      </c>
      <c r="C349" s="388">
        <f>SUM(C342:C348)</f>
        <v>0</v>
      </c>
      <c r="D349" s="388">
        <f>SUM(D342:D348)</f>
        <v>0</v>
      </c>
      <c r="E349" s="388">
        <f t="shared" ref="E349:BA349" si="141">SUM(E342:E348)</f>
        <v>0</v>
      </c>
      <c r="F349" s="388">
        <f t="shared" si="141"/>
        <v>0</v>
      </c>
      <c r="G349" s="388">
        <f t="shared" si="141"/>
        <v>0</v>
      </c>
      <c r="H349" s="388">
        <f t="shared" si="141"/>
        <v>0</v>
      </c>
      <c r="I349" s="388">
        <f t="shared" si="141"/>
        <v>0</v>
      </c>
      <c r="J349" s="388">
        <f t="shared" si="141"/>
        <v>0</v>
      </c>
      <c r="K349" s="388">
        <f t="shared" si="141"/>
        <v>0</v>
      </c>
      <c r="L349" s="388">
        <f t="shared" si="141"/>
        <v>0</v>
      </c>
      <c r="M349" s="388">
        <f t="shared" si="141"/>
        <v>0</v>
      </c>
      <c r="N349" s="388">
        <f t="shared" si="141"/>
        <v>0</v>
      </c>
      <c r="O349" s="388">
        <f t="shared" si="141"/>
        <v>0</v>
      </c>
      <c r="P349" s="388">
        <f t="shared" si="141"/>
        <v>0</v>
      </c>
      <c r="Q349" s="388">
        <f t="shared" si="141"/>
        <v>0</v>
      </c>
      <c r="R349" s="388">
        <f t="shared" si="141"/>
        <v>0</v>
      </c>
      <c r="S349" s="388">
        <f t="shared" si="141"/>
        <v>0</v>
      </c>
      <c r="T349" s="388">
        <f t="shared" si="141"/>
        <v>0</v>
      </c>
      <c r="U349" s="388">
        <f t="shared" si="141"/>
        <v>0</v>
      </c>
      <c r="V349" s="388">
        <f t="shared" si="141"/>
        <v>0</v>
      </c>
      <c r="W349" s="388">
        <f t="shared" si="141"/>
        <v>0</v>
      </c>
      <c r="X349" s="388">
        <f t="shared" si="141"/>
        <v>0</v>
      </c>
      <c r="Y349" s="388">
        <f t="shared" si="141"/>
        <v>0</v>
      </c>
      <c r="Z349" s="388">
        <f t="shared" si="141"/>
        <v>0</v>
      </c>
      <c r="AA349" s="388">
        <f t="shared" si="141"/>
        <v>0</v>
      </c>
      <c r="AB349" s="388">
        <f t="shared" si="141"/>
        <v>0</v>
      </c>
      <c r="AC349" s="388">
        <f t="shared" si="141"/>
        <v>0</v>
      </c>
      <c r="AD349" s="388">
        <f t="shared" si="141"/>
        <v>0</v>
      </c>
      <c r="AE349" s="388">
        <f t="shared" si="141"/>
        <v>0</v>
      </c>
      <c r="AF349" s="388">
        <f t="shared" si="141"/>
        <v>0</v>
      </c>
      <c r="AG349" s="388">
        <f t="shared" si="141"/>
        <v>0</v>
      </c>
      <c r="AH349" s="388">
        <f t="shared" si="141"/>
        <v>0</v>
      </c>
      <c r="AI349" s="388">
        <f t="shared" si="141"/>
        <v>0</v>
      </c>
      <c r="AJ349" s="388">
        <f t="shared" si="141"/>
        <v>0</v>
      </c>
      <c r="AK349" s="388">
        <f t="shared" si="141"/>
        <v>0</v>
      </c>
      <c r="AL349" s="388">
        <f t="shared" si="141"/>
        <v>0</v>
      </c>
      <c r="AM349" s="388">
        <f t="shared" si="141"/>
        <v>0</v>
      </c>
      <c r="AN349" s="388">
        <f t="shared" si="141"/>
        <v>0</v>
      </c>
      <c r="AO349" s="388">
        <f t="shared" si="141"/>
        <v>0</v>
      </c>
      <c r="AP349" s="388">
        <f t="shared" si="141"/>
        <v>0</v>
      </c>
      <c r="AQ349" s="388">
        <f t="shared" si="141"/>
        <v>0</v>
      </c>
      <c r="AR349" s="388">
        <f t="shared" si="141"/>
        <v>0</v>
      </c>
      <c r="AS349" s="388">
        <f t="shared" si="141"/>
        <v>0</v>
      </c>
      <c r="AT349" s="388">
        <f t="shared" si="141"/>
        <v>0</v>
      </c>
      <c r="AU349" s="388">
        <f t="shared" si="141"/>
        <v>0</v>
      </c>
      <c r="AV349" s="388">
        <f t="shared" si="141"/>
        <v>0</v>
      </c>
      <c r="AW349" s="388">
        <f t="shared" si="141"/>
        <v>0</v>
      </c>
      <c r="AX349" s="388">
        <f t="shared" si="141"/>
        <v>0</v>
      </c>
      <c r="AY349" s="388">
        <f t="shared" si="141"/>
        <v>0</v>
      </c>
      <c r="AZ349" s="388">
        <f t="shared" si="141"/>
        <v>0</v>
      </c>
      <c r="BA349" s="388">
        <f t="shared" si="141"/>
        <v>0</v>
      </c>
      <c r="BB349" s="388">
        <f>SUM(BB342:BB348)</f>
        <v>0</v>
      </c>
      <c r="BC349" s="388">
        <f>SUM(BC342:BC348)</f>
        <v>0</v>
      </c>
      <c r="BD349" s="388">
        <f>SUM(BD342:BD348)</f>
        <v>0</v>
      </c>
      <c r="BE349" s="388">
        <f>SUM(BE342:BE348)</f>
        <v>0</v>
      </c>
      <c r="BF349" s="388">
        <f>SUM(BF342:BF348)</f>
        <v>0</v>
      </c>
    </row>
    <row r="350" spans="1:58" ht="14.1" customHeight="1">
      <c r="A350" s="247">
        <f t="shared" si="138"/>
        <v>344</v>
      </c>
      <c r="B350" s="93"/>
      <c r="C350" s="326"/>
      <c r="D350" s="326"/>
      <c r="E350" s="326"/>
      <c r="F350" s="326"/>
      <c r="G350" s="326"/>
      <c r="H350" s="326"/>
      <c r="I350" s="326"/>
      <c r="J350" s="326"/>
      <c r="K350" s="326"/>
      <c r="L350" s="326"/>
      <c r="M350" s="326"/>
      <c r="N350" s="326"/>
      <c r="O350" s="326"/>
      <c r="P350" s="326"/>
      <c r="Q350" s="326"/>
      <c r="R350" s="326"/>
      <c r="S350" s="326"/>
      <c r="T350" s="326"/>
      <c r="U350" s="326"/>
      <c r="V350" s="326"/>
      <c r="W350" s="326"/>
      <c r="X350" s="326"/>
      <c r="Y350" s="326"/>
      <c r="Z350" s="326"/>
      <c r="AA350" s="326"/>
      <c r="AB350" s="326"/>
      <c r="AC350" s="326"/>
      <c r="AD350" s="326"/>
      <c r="AE350" s="326"/>
      <c r="AF350" s="326"/>
      <c r="AG350" s="326"/>
      <c r="AH350" s="326"/>
      <c r="AI350" s="326"/>
      <c r="AJ350" s="326"/>
      <c r="AK350" s="326"/>
      <c r="AL350" s="326"/>
      <c r="AM350" s="326"/>
      <c r="AN350" s="326"/>
      <c r="AO350" s="326"/>
      <c r="AP350" s="326"/>
      <c r="AQ350" s="326"/>
      <c r="AR350" s="326"/>
      <c r="AS350" s="326"/>
      <c r="AT350" s="326"/>
      <c r="AU350" s="326"/>
      <c r="AV350" s="326"/>
      <c r="AW350" s="326"/>
      <c r="AX350" s="326"/>
      <c r="AY350" s="326"/>
      <c r="AZ350" s="326"/>
      <c r="BA350" s="326"/>
      <c r="BB350" s="326"/>
      <c r="BC350" s="326"/>
      <c r="BD350" s="326"/>
      <c r="BE350" s="326"/>
      <c r="BF350" s="326"/>
    </row>
    <row r="351" spans="1:58" ht="14.1" customHeight="1">
      <c r="A351" s="247">
        <f t="shared" si="138"/>
        <v>345</v>
      </c>
      <c r="B351" s="25" t="s">
        <v>232</v>
      </c>
      <c r="C351" s="346">
        <f>C339+C349</f>
        <v>0</v>
      </c>
      <c r="D351" s="346">
        <f>D339+D349</f>
        <v>0</v>
      </c>
      <c r="E351" s="346">
        <f t="shared" ref="E351:BA351" si="142">E339+E349</f>
        <v>0</v>
      </c>
      <c r="F351" s="346">
        <f t="shared" si="142"/>
        <v>0</v>
      </c>
      <c r="G351" s="346">
        <f t="shared" si="142"/>
        <v>0</v>
      </c>
      <c r="H351" s="346">
        <f t="shared" si="142"/>
        <v>0</v>
      </c>
      <c r="I351" s="346">
        <f t="shared" si="142"/>
        <v>0</v>
      </c>
      <c r="J351" s="346">
        <f t="shared" si="142"/>
        <v>0</v>
      </c>
      <c r="K351" s="346">
        <f t="shared" si="142"/>
        <v>0</v>
      </c>
      <c r="L351" s="346">
        <f t="shared" si="142"/>
        <v>0</v>
      </c>
      <c r="M351" s="346">
        <f t="shared" si="142"/>
        <v>0</v>
      </c>
      <c r="N351" s="346">
        <f t="shared" si="142"/>
        <v>0</v>
      </c>
      <c r="O351" s="346">
        <f t="shared" si="142"/>
        <v>0</v>
      </c>
      <c r="P351" s="346">
        <f t="shared" si="142"/>
        <v>0</v>
      </c>
      <c r="Q351" s="346">
        <f t="shared" si="142"/>
        <v>0</v>
      </c>
      <c r="R351" s="346">
        <f t="shared" si="142"/>
        <v>0</v>
      </c>
      <c r="S351" s="346">
        <f t="shared" si="142"/>
        <v>0</v>
      </c>
      <c r="T351" s="346">
        <f t="shared" si="142"/>
        <v>0</v>
      </c>
      <c r="U351" s="346">
        <f t="shared" si="142"/>
        <v>0</v>
      </c>
      <c r="V351" s="346">
        <f t="shared" si="142"/>
        <v>0</v>
      </c>
      <c r="W351" s="346">
        <f t="shared" si="142"/>
        <v>0</v>
      </c>
      <c r="X351" s="346">
        <f t="shared" si="142"/>
        <v>0</v>
      </c>
      <c r="Y351" s="346">
        <f t="shared" si="142"/>
        <v>0</v>
      </c>
      <c r="Z351" s="346">
        <f t="shared" si="142"/>
        <v>0</v>
      </c>
      <c r="AA351" s="346">
        <f t="shared" si="142"/>
        <v>0</v>
      </c>
      <c r="AB351" s="346">
        <f t="shared" si="142"/>
        <v>0</v>
      </c>
      <c r="AC351" s="346">
        <f t="shared" si="142"/>
        <v>0</v>
      </c>
      <c r="AD351" s="346">
        <f t="shared" si="142"/>
        <v>0</v>
      </c>
      <c r="AE351" s="346">
        <f t="shared" si="142"/>
        <v>0</v>
      </c>
      <c r="AF351" s="346">
        <f t="shared" si="142"/>
        <v>0</v>
      </c>
      <c r="AG351" s="346">
        <f t="shared" si="142"/>
        <v>0</v>
      </c>
      <c r="AH351" s="346">
        <f t="shared" si="142"/>
        <v>0</v>
      </c>
      <c r="AI351" s="346">
        <f t="shared" si="142"/>
        <v>0</v>
      </c>
      <c r="AJ351" s="346">
        <f t="shared" si="142"/>
        <v>0</v>
      </c>
      <c r="AK351" s="346">
        <f t="shared" si="142"/>
        <v>0</v>
      </c>
      <c r="AL351" s="346">
        <f t="shared" si="142"/>
        <v>0</v>
      </c>
      <c r="AM351" s="346">
        <f t="shared" si="142"/>
        <v>0</v>
      </c>
      <c r="AN351" s="346">
        <f t="shared" si="142"/>
        <v>0</v>
      </c>
      <c r="AO351" s="346">
        <f t="shared" si="142"/>
        <v>0</v>
      </c>
      <c r="AP351" s="346">
        <f t="shared" si="142"/>
        <v>0</v>
      </c>
      <c r="AQ351" s="346">
        <f t="shared" si="142"/>
        <v>0</v>
      </c>
      <c r="AR351" s="346">
        <f t="shared" si="142"/>
        <v>0</v>
      </c>
      <c r="AS351" s="346">
        <f t="shared" si="142"/>
        <v>0</v>
      </c>
      <c r="AT351" s="346">
        <f t="shared" si="142"/>
        <v>0</v>
      </c>
      <c r="AU351" s="346">
        <f t="shared" si="142"/>
        <v>0</v>
      </c>
      <c r="AV351" s="346">
        <f t="shared" si="142"/>
        <v>0</v>
      </c>
      <c r="AW351" s="346">
        <f t="shared" si="142"/>
        <v>0</v>
      </c>
      <c r="AX351" s="346">
        <f t="shared" si="142"/>
        <v>0</v>
      </c>
      <c r="AY351" s="346">
        <f t="shared" si="142"/>
        <v>0</v>
      </c>
      <c r="AZ351" s="346">
        <f t="shared" si="142"/>
        <v>0</v>
      </c>
      <c r="BA351" s="346">
        <f t="shared" si="142"/>
        <v>0</v>
      </c>
      <c r="BB351" s="346">
        <f>BB339+BB349</f>
        <v>0</v>
      </c>
      <c r="BC351" s="346">
        <f>BC339+BC349</f>
        <v>0</v>
      </c>
      <c r="BD351" s="346">
        <f>BD339+BD349</f>
        <v>0</v>
      </c>
      <c r="BE351" s="346">
        <f>BE339+BE349</f>
        <v>0</v>
      </c>
      <c r="BF351" s="346">
        <f>BF339+BF349</f>
        <v>0</v>
      </c>
    </row>
    <row r="352" spans="1:58" ht="14.1" customHeight="1">
      <c r="A352" s="247">
        <f t="shared" si="138"/>
        <v>346</v>
      </c>
      <c r="B352" s="304"/>
      <c r="C352" s="341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</row>
    <row r="353" spans="1:58" ht="14.1" customHeight="1">
      <c r="A353" s="247">
        <f t="shared" si="138"/>
        <v>347</v>
      </c>
      <c r="B353" s="14" t="s">
        <v>233</v>
      </c>
      <c r="C353" s="97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  <c r="AN353" s="48"/>
      <c r="AO353" s="48"/>
      <c r="AP353" s="48"/>
      <c r="AQ353" s="48"/>
      <c r="AR353" s="48"/>
      <c r="AS353" s="48"/>
      <c r="AT353" s="48"/>
      <c r="AU353" s="48"/>
      <c r="AV353" s="48"/>
      <c r="AW353" s="48"/>
      <c r="AX353" s="48"/>
      <c r="AY353" s="48"/>
      <c r="AZ353" s="48"/>
      <c r="BA353" s="48"/>
      <c r="BB353" s="48"/>
      <c r="BC353" s="48"/>
      <c r="BD353" s="48"/>
      <c r="BE353" s="48"/>
      <c r="BF353" s="48"/>
    </row>
    <row r="354" spans="1:58" ht="14.1" customHeight="1">
      <c r="A354" s="247">
        <f t="shared" si="138"/>
        <v>348</v>
      </c>
      <c r="B354" s="27" t="s">
        <v>234</v>
      </c>
      <c r="C354" s="43">
        <f t="shared" ref="C354:C363" si="143">SUM(D354:BF354)</f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0</v>
      </c>
      <c r="M354" s="11">
        <v>0</v>
      </c>
      <c r="N354" s="11">
        <v>0</v>
      </c>
      <c r="O354" s="11">
        <v>0</v>
      </c>
      <c r="P354" s="11">
        <v>0</v>
      </c>
      <c r="Q354" s="11">
        <v>0</v>
      </c>
      <c r="R354" s="11">
        <v>0</v>
      </c>
      <c r="S354" s="11">
        <v>0</v>
      </c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1">
        <v>0</v>
      </c>
      <c r="AL354" s="11">
        <v>0</v>
      </c>
      <c r="AM354" s="11">
        <v>0</v>
      </c>
      <c r="AN354" s="11">
        <v>0</v>
      </c>
      <c r="AO354" s="11">
        <v>0</v>
      </c>
      <c r="AP354" s="11">
        <v>0</v>
      </c>
      <c r="AQ354" s="11">
        <v>0</v>
      </c>
      <c r="AR354" s="11">
        <v>0</v>
      </c>
      <c r="AS354" s="11">
        <v>0</v>
      </c>
      <c r="AT354" s="11">
        <v>0</v>
      </c>
      <c r="AU354" s="11">
        <v>0</v>
      </c>
      <c r="AV354" s="11">
        <v>0</v>
      </c>
      <c r="AW354" s="11">
        <v>0</v>
      </c>
      <c r="AX354" s="11">
        <v>0</v>
      </c>
      <c r="AY354" s="11">
        <v>0</v>
      </c>
      <c r="AZ354" s="11">
        <v>0</v>
      </c>
      <c r="BA354" s="11">
        <v>0</v>
      </c>
      <c r="BB354" s="11">
        <v>0</v>
      </c>
      <c r="BC354" s="11">
        <v>0</v>
      </c>
      <c r="BD354" s="11">
        <v>0</v>
      </c>
      <c r="BE354" s="11">
        <v>0</v>
      </c>
      <c r="BF354" s="11">
        <v>0</v>
      </c>
    </row>
    <row r="355" spans="1:58" ht="14.1" customHeight="1">
      <c r="A355" s="247">
        <f t="shared" si="138"/>
        <v>349</v>
      </c>
      <c r="B355" s="27" t="s">
        <v>235</v>
      </c>
      <c r="C355" s="43">
        <f t="shared" si="143"/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11">
        <v>0</v>
      </c>
      <c r="AG355" s="11">
        <v>0</v>
      </c>
      <c r="AH355" s="11">
        <v>0</v>
      </c>
      <c r="AI355" s="11">
        <v>0</v>
      </c>
      <c r="AJ355" s="11">
        <v>0</v>
      </c>
      <c r="AK355" s="11">
        <v>0</v>
      </c>
      <c r="AL355" s="11">
        <v>0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1">
        <v>0</v>
      </c>
      <c r="AS355" s="11">
        <v>0</v>
      </c>
      <c r="AT355" s="11">
        <v>0</v>
      </c>
      <c r="AU355" s="11">
        <v>0</v>
      </c>
      <c r="AV355" s="11">
        <v>0</v>
      </c>
      <c r="AW355" s="11">
        <v>0</v>
      </c>
      <c r="AX355" s="11">
        <v>0</v>
      </c>
      <c r="AY355" s="11">
        <v>0</v>
      </c>
      <c r="AZ355" s="11">
        <v>0</v>
      </c>
      <c r="BA355" s="11">
        <v>0</v>
      </c>
      <c r="BB355" s="11">
        <v>0</v>
      </c>
      <c r="BC355" s="11">
        <v>0</v>
      </c>
      <c r="BD355" s="11">
        <v>0</v>
      </c>
      <c r="BE355" s="11">
        <v>0</v>
      </c>
      <c r="BF355" s="11">
        <v>0</v>
      </c>
    </row>
    <row r="356" spans="1:58" ht="14.1" customHeight="1">
      <c r="A356" s="247">
        <f t="shared" si="138"/>
        <v>350</v>
      </c>
      <c r="B356" s="27" t="s">
        <v>236</v>
      </c>
      <c r="C356" s="43">
        <f t="shared" si="143"/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0</v>
      </c>
      <c r="L356" s="11">
        <v>0</v>
      </c>
      <c r="M356" s="11">
        <v>0</v>
      </c>
      <c r="N356" s="11">
        <v>0</v>
      </c>
      <c r="O356" s="11">
        <v>0</v>
      </c>
      <c r="P356" s="11">
        <v>0</v>
      </c>
      <c r="Q356" s="11">
        <v>0</v>
      </c>
      <c r="R356" s="11">
        <v>0</v>
      </c>
      <c r="S356" s="11">
        <v>0</v>
      </c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11">
        <v>0</v>
      </c>
      <c r="AG356" s="11">
        <v>0</v>
      </c>
      <c r="AH356" s="11">
        <v>0</v>
      </c>
      <c r="AI356" s="11">
        <v>0</v>
      </c>
      <c r="AJ356" s="11">
        <v>0</v>
      </c>
      <c r="AK356" s="11">
        <v>0</v>
      </c>
      <c r="AL356" s="11">
        <v>0</v>
      </c>
      <c r="AM356" s="11">
        <v>0</v>
      </c>
      <c r="AN356" s="11">
        <v>0</v>
      </c>
      <c r="AO356" s="11">
        <v>0</v>
      </c>
      <c r="AP356" s="11">
        <v>0</v>
      </c>
      <c r="AQ356" s="11">
        <v>0</v>
      </c>
      <c r="AR356" s="11">
        <v>0</v>
      </c>
      <c r="AS356" s="11">
        <v>0</v>
      </c>
      <c r="AT356" s="11">
        <v>0</v>
      </c>
      <c r="AU356" s="11">
        <v>0</v>
      </c>
      <c r="AV356" s="11">
        <v>0</v>
      </c>
      <c r="AW356" s="11">
        <v>0</v>
      </c>
      <c r="AX356" s="11">
        <v>0</v>
      </c>
      <c r="AY356" s="11">
        <v>0</v>
      </c>
      <c r="AZ356" s="11">
        <v>0</v>
      </c>
      <c r="BA356" s="11">
        <v>0</v>
      </c>
      <c r="BB356" s="11">
        <v>0</v>
      </c>
      <c r="BC356" s="11">
        <v>0</v>
      </c>
      <c r="BD356" s="11">
        <v>0</v>
      </c>
      <c r="BE356" s="11">
        <v>0</v>
      </c>
      <c r="BF356" s="11">
        <v>0</v>
      </c>
    </row>
    <row r="357" spans="1:58" ht="14.1" customHeight="1">
      <c r="A357" s="247">
        <f t="shared" si="138"/>
        <v>351</v>
      </c>
      <c r="B357" s="27" t="s">
        <v>237</v>
      </c>
      <c r="C357" s="43">
        <f t="shared" si="143"/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  <c r="Q357" s="11">
        <v>0</v>
      </c>
      <c r="R357" s="11">
        <v>0</v>
      </c>
      <c r="S357" s="11">
        <v>0</v>
      </c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0</v>
      </c>
      <c r="AI357" s="11">
        <v>0</v>
      </c>
      <c r="AJ357" s="11"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1">
        <v>0</v>
      </c>
      <c r="AS357" s="11">
        <v>0</v>
      </c>
      <c r="AT357" s="11">
        <v>0</v>
      </c>
      <c r="AU357" s="11">
        <v>0</v>
      </c>
      <c r="AV357" s="11">
        <v>0</v>
      </c>
      <c r="AW357" s="11">
        <v>0</v>
      </c>
      <c r="AX357" s="11">
        <v>0</v>
      </c>
      <c r="AY357" s="11">
        <v>0</v>
      </c>
      <c r="AZ357" s="11">
        <v>0</v>
      </c>
      <c r="BA357" s="11">
        <v>0</v>
      </c>
      <c r="BB357" s="11">
        <v>0</v>
      </c>
      <c r="BC357" s="11">
        <v>0</v>
      </c>
      <c r="BD357" s="11">
        <v>0</v>
      </c>
      <c r="BE357" s="11">
        <v>0</v>
      </c>
      <c r="BF357" s="11">
        <v>0</v>
      </c>
    </row>
    <row r="358" spans="1:58" ht="14.1" customHeight="1">
      <c r="A358" s="247">
        <f t="shared" si="138"/>
        <v>352</v>
      </c>
      <c r="B358" s="27" t="s">
        <v>238</v>
      </c>
      <c r="C358" s="43">
        <f t="shared" si="143"/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0</v>
      </c>
      <c r="P358" s="11">
        <v>0</v>
      </c>
      <c r="Q358" s="11">
        <v>0</v>
      </c>
      <c r="R358" s="11">
        <v>0</v>
      </c>
      <c r="S358" s="11">
        <v>0</v>
      </c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11">
        <v>0</v>
      </c>
      <c r="AG358" s="11">
        <v>0</v>
      </c>
      <c r="AH358" s="11">
        <v>0</v>
      </c>
      <c r="AI358" s="11">
        <v>0</v>
      </c>
      <c r="AJ358" s="11">
        <v>0</v>
      </c>
      <c r="AK358" s="11">
        <v>0</v>
      </c>
      <c r="AL358" s="11">
        <v>0</v>
      </c>
      <c r="AM358" s="11">
        <v>0</v>
      </c>
      <c r="AN358" s="11">
        <v>0</v>
      </c>
      <c r="AO358" s="11">
        <v>0</v>
      </c>
      <c r="AP358" s="11">
        <v>0</v>
      </c>
      <c r="AQ358" s="11">
        <v>0</v>
      </c>
      <c r="AR358" s="11">
        <v>0</v>
      </c>
      <c r="AS358" s="11">
        <v>0</v>
      </c>
      <c r="AT358" s="11">
        <v>0</v>
      </c>
      <c r="AU358" s="11">
        <v>0</v>
      </c>
      <c r="AV358" s="11">
        <v>0</v>
      </c>
      <c r="AW358" s="11">
        <v>0</v>
      </c>
      <c r="AX358" s="11">
        <v>0</v>
      </c>
      <c r="AY358" s="11">
        <v>0</v>
      </c>
      <c r="AZ358" s="11">
        <v>0</v>
      </c>
      <c r="BA358" s="11">
        <v>0</v>
      </c>
      <c r="BB358" s="11">
        <v>0</v>
      </c>
      <c r="BC358" s="11">
        <v>0</v>
      </c>
      <c r="BD358" s="11">
        <v>0</v>
      </c>
      <c r="BE358" s="11">
        <v>0</v>
      </c>
      <c r="BF358" s="11">
        <v>0</v>
      </c>
    </row>
    <row r="359" spans="1:58" ht="14.1" customHeight="1">
      <c r="A359" s="247">
        <f t="shared" si="138"/>
        <v>353</v>
      </c>
      <c r="B359" s="27" t="s">
        <v>239</v>
      </c>
      <c r="C359" s="43">
        <f t="shared" si="143"/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0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0</v>
      </c>
      <c r="AI359" s="11">
        <v>0</v>
      </c>
      <c r="AJ359" s="11"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1">
        <v>0</v>
      </c>
      <c r="AS359" s="11">
        <v>0</v>
      </c>
      <c r="AT359" s="11">
        <v>0</v>
      </c>
      <c r="AU359" s="11">
        <v>0</v>
      </c>
      <c r="AV359" s="11">
        <v>0</v>
      </c>
      <c r="AW359" s="11">
        <v>0</v>
      </c>
      <c r="AX359" s="11">
        <v>0</v>
      </c>
      <c r="AY359" s="11">
        <v>0</v>
      </c>
      <c r="AZ359" s="11">
        <v>0</v>
      </c>
      <c r="BA359" s="11">
        <v>0</v>
      </c>
      <c r="BB359" s="11">
        <v>0</v>
      </c>
      <c r="BC359" s="11">
        <v>0</v>
      </c>
      <c r="BD359" s="11">
        <v>0</v>
      </c>
      <c r="BE359" s="11">
        <v>0</v>
      </c>
      <c r="BF359" s="11">
        <v>0</v>
      </c>
    </row>
    <row r="360" spans="1:58" ht="14.1" customHeight="1">
      <c r="A360" s="247">
        <f t="shared" si="138"/>
        <v>354</v>
      </c>
      <c r="B360" s="27" t="s">
        <v>240</v>
      </c>
      <c r="C360" s="43">
        <f t="shared" si="143"/>
        <v>0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1">
        <v>0</v>
      </c>
      <c r="L360" s="11">
        <v>0</v>
      </c>
      <c r="M360" s="11">
        <v>0</v>
      </c>
      <c r="N360" s="11">
        <v>0</v>
      </c>
      <c r="O360" s="11">
        <v>0</v>
      </c>
      <c r="P360" s="11">
        <v>0</v>
      </c>
      <c r="Q360" s="11">
        <v>0</v>
      </c>
      <c r="R360" s="11">
        <v>0</v>
      </c>
      <c r="S360" s="11">
        <v>0</v>
      </c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11">
        <v>0</v>
      </c>
      <c r="AG360" s="11">
        <v>0</v>
      </c>
      <c r="AH360" s="11">
        <v>0</v>
      </c>
      <c r="AI360" s="11">
        <v>0</v>
      </c>
      <c r="AJ360" s="11">
        <v>0</v>
      </c>
      <c r="AK360" s="11">
        <v>0</v>
      </c>
      <c r="AL360" s="11">
        <v>0</v>
      </c>
      <c r="AM360" s="11">
        <v>0</v>
      </c>
      <c r="AN360" s="11">
        <v>0</v>
      </c>
      <c r="AO360" s="11">
        <v>0</v>
      </c>
      <c r="AP360" s="11">
        <v>0</v>
      </c>
      <c r="AQ360" s="11">
        <v>0</v>
      </c>
      <c r="AR360" s="11">
        <v>0</v>
      </c>
      <c r="AS360" s="11">
        <v>0</v>
      </c>
      <c r="AT360" s="11">
        <v>0</v>
      </c>
      <c r="AU360" s="11">
        <v>0</v>
      </c>
      <c r="AV360" s="11">
        <v>0</v>
      </c>
      <c r="AW360" s="11">
        <v>0</v>
      </c>
      <c r="AX360" s="11">
        <v>0</v>
      </c>
      <c r="AY360" s="11">
        <v>0</v>
      </c>
      <c r="AZ360" s="11">
        <v>0</v>
      </c>
      <c r="BA360" s="11">
        <v>0</v>
      </c>
      <c r="BB360" s="11">
        <v>0</v>
      </c>
      <c r="BC360" s="11">
        <v>0</v>
      </c>
      <c r="BD360" s="11">
        <v>0</v>
      </c>
      <c r="BE360" s="11">
        <v>0</v>
      </c>
      <c r="BF360" s="11">
        <v>0</v>
      </c>
    </row>
    <row r="361" spans="1:58" ht="14.1" customHeight="1">
      <c r="A361" s="247">
        <f t="shared" si="138"/>
        <v>355</v>
      </c>
      <c r="B361" s="27" t="s">
        <v>241</v>
      </c>
      <c r="C361" s="43">
        <f t="shared" si="143"/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11">
        <v>0</v>
      </c>
      <c r="AG361" s="11">
        <v>0</v>
      </c>
      <c r="AH361" s="11">
        <v>0</v>
      </c>
      <c r="AI361" s="11">
        <v>0</v>
      </c>
      <c r="AJ361" s="11"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1">
        <v>0</v>
      </c>
      <c r="AS361" s="11">
        <v>0</v>
      </c>
      <c r="AT361" s="11">
        <v>0</v>
      </c>
      <c r="AU361" s="11">
        <v>0</v>
      </c>
      <c r="AV361" s="11">
        <v>0</v>
      </c>
      <c r="AW361" s="11">
        <v>0</v>
      </c>
      <c r="AX361" s="11">
        <v>0</v>
      </c>
      <c r="AY361" s="11">
        <v>0</v>
      </c>
      <c r="AZ361" s="11">
        <v>0</v>
      </c>
      <c r="BA361" s="11">
        <v>0</v>
      </c>
      <c r="BB361" s="11">
        <v>0</v>
      </c>
      <c r="BC361" s="11">
        <v>0</v>
      </c>
      <c r="BD361" s="11">
        <v>0</v>
      </c>
      <c r="BE361" s="11">
        <v>0</v>
      </c>
      <c r="BF361" s="11">
        <v>0</v>
      </c>
    </row>
    <row r="362" spans="1:58" s="26" customFormat="1" ht="14.1" customHeight="1">
      <c r="A362" s="247">
        <f t="shared" si="138"/>
        <v>356</v>
      </c>
      <c r="B362" s="27" t="s">
        <v>242</v>
      </c>
      <c r="C362" s="43">
        <f t="shared" si="143"/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  <c r="J362" s="11">
        <v>0</v>
      </c>
      <c r="K362" s="11">
        <v>0</v>
      </c>
      <c r="L362" s="11">
        <v>0</v>
      </c>
      <c r="M362" s="11">
        <v>0</v>
      </c>
      <c r="N362" s="11">
        <v>0</v>
      </c>
      <c r="O362" s="11">
        <v>0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11">
        <v>0</v>
      </c>
      <c r="AG362" s="11">
        <v>0</v>
      </c>
      <c r="AH362" s="11">
        <v>0</v>
      </c>
      <c r="AI362" s="11">
        <v>0</v>
      </c>
      <c r="AJ362" s="11">
        <v>0</v>
      </c>
      <c r="AK362" s="11">
        <v>0</v>
      </c>
      <c r="AL362" s="11">
        <v>0</v>
      </c>
      <c r="AM362" s="11">
        <v>0</v>
      </c>
      <c r="AN362" s="11">
        <v>0</v>
      </c>
      <c r="AO362" s="11">
        <v>0</v>
      </c>
      <c r="AP362" s="11">
        <v>0</v>
      </c>
      <c r="AQ362" s="11">
        <v>0</v>
      </c>
      <c r="AR362" s="11">
        <v>0</v>
      </c>
      <c r="AS362" s="11">
        <v>0</v>
      </c>
      <c r="AT362" s="11">
        <v>0</v>
      </c>
      <c r="AU362" s="11">
        <v>0</v>
      </c>
      <c r="AV362" s="11">
        <v>0</v>
      </c>
      <c r="AW362" s="11">
        <v>0</v>
      </c>
      <c r="AX362" s="11">
        <v>0</v>
      </c>
      <c r="AY362" s="11">
        <v>0</v>
      </c>
      <c r="AZ362" s="11">
        <v>0</v>
      </c>
      <c r="BA362" s="11">
        <v>0</v>
      </c>
      <c r="BB362" s="11">
        <v>0</v>
      </c>
      <c r="BC362" s="11">
        <v>0</v>
      </c>
      <c r="BD362" s="11">
        <v>0</v>
      </c>
      <c r="BE362" s="11">
        <v>0</v>
      </c>
      <c r="BF362" s="11">
        <v>0</v>
      </c>
    </row>
    <row r="363" spans="1:58" s="26" customFormat="1" ht="14.1" customHeight="1">
      <c r="A363" s="247">
        <f t="shared" si="138"/>
        <v>357</v>
      </c>
      <c r="B363" s="92" t="s">
        <v>243</v>
      </c>
      <c r="C363" s="43">
        <f t="shared" si="143"/>
        <v>72974</v>
      </c>
      <c r="D363" s="48">
        <v>0</v>
      </c>
      <c r="E363" s="48">
        <v>0</v>
      </c>
      <c r="F363" s="48">
        <v>0</v>
      </c>
      <c r="G363" s="48">
        <v>0</v>
      </c>
      <c r="H363" s="48">
        <v>0</v>
      </c>
      <c r="I363" s="48">
        <v>0</v>
      </c>
      <c r="J363" s="48">
        <v>0</v>
      </c>
      <c r="K363" s="48">
        <v>0</v>
      </c>
      <c r="L363" s="48">
        <v>0</v>
      </c>
      <c r="M363" s="48">
        <v>0</v>
      </c>
      <c r="N363" s="48">
        <v>0</v>
      </c>
      <c r="O363" s="48">
        <v>0</v>
      </c>
      <c r="P363" s="48">
        <v>0</v>
      </c>
      <c r="Q363" s="48">
        <v>0</v>
      </c>
      <c r="R363" s="48">
        <v>0</v>
      </c>
      <c r="S363" s="48">
        <v>0</v>
      </c>
      <c r="T363" s="48">
        <v>0</v>
      </c>
      <c r="U363" s="48">
        <v>72974</v>
      </c>
      <c r="V363" s="48">
        <v>0</v>
      </c>
      <c r="W363" s="48">
        <v>0</v>
      </c>
      <c r="X363" s="48">
        <v>0</v>
      </c>
      <c r="Y363" s="48">
        <v>0</v>
      </c>
      <c r="Z363" s="48">
        <v>0</v>
      </c>
      <c r="AA363" s="48">
        <v>0</v>
      </c>
      <c r="AB363" s="48">
        <v>0</v>
      </c>
      <c r="AC363" s="48">
        <v>0</v>
      </c>
      <c r="AD363" s="48">
        <v>0</v>
      </c>
      <c r="AE363" s="48">
        <v>0</v>
      </c>
      <c r="AF363" s="48">
        <v>0</v>
      </c>
      <c r="AG363" s="48">
        <v>0</v>
      </c>
      <c r="AH363" s="48">
        <v>0</v>
      </c>
      <c r="AI363" s="48">
        <v>0</v>
      </c>
      <c r="AJ363" s="48">
        <v>0</v>
      </c>
      <c r="AK363" s="48">
        <v>0</v>
      </c>
      <c r="AL363" s="48">
        <v>0</v>
      </c>
      <c r="AM363" s="48">
        <v>0</v>
      </c>
      <c r="AN363" s="48">
        <v>0</v>
      </c>
      <c r="AO363" s="48">
        <v>0</v>
      </c>
      <c r="AP363" s="48">
        <v>0</v>
      </c>
      <c r="AQ363" s="48">
        <v>0</v>
      </c>
      <c r="AR363" s="48">
        <v>0</v>
      </c>
      <c r="AS363" s="48">
        <v>0</v>
      </c>
      <c r="AT363" s="48">
        <v>0</v>
      </c>
      <c r="AU363" s="48">
        <v>0</v>
      </c>
      <c r="AV363" s="48">
        <v>0</v>
      </c>
      <c r="AW363" s="48">
        <v>0</v>
      </c>
      <c r="AX363" s="48">
        <v>0</v>
      </c>
      <c r="AY363" s="48">
        <v>0</v>
      </c>
      <c r="AZ363" s="48">
        <v>0</v>
      </c>
      <c r="BA363" s="48">
        <v>0</v>
      </c>
      <c r="BB363" s="48">
        <v>0</v>
      </c>
      <c r="BC363" s="48">
        <v>0</v>
      </c>
      <c r="BD363" s="48">
        <v>0</v>
      </c>
      <c r="BE363" s="48">
        <v>0</v>
      </c>
      <c r="BF363" s="48">
        <v>0</v>
      </c>
    </row>
    <row r="364" spans="1:58" ht="14.1" customHeight="1">
      <c r="A364" s="247">
        <f t="shared" si="138"/>
        <v>358</v>
      </c>
      <c r="B364" s="25" t="s">
        <v>552</v>
      </c>
      <c r="C364" s="189">
        <f>SUM(C354:C363)</f>
        <v>72974</v>
      </c>
      <c r="D364" s="189">
        <f>SUM(D354:D363)</f>
        <v>0</v>
      </c>
      <c r="E364" s="189">
        <f t="shared" ref="E364:BA364" si="144">SUM(E354:E363)</f>
        <v>0</v>
      </c>
      <c r="F364" s="189">
        <f t="shared" si="144"/>
        <v>0</v>
      </c>
      <c r="G364" s="189">
        <f t="shared" si="144"/>
        <v>0</v>
      </c>
      <c r="H364" s="189">
        <f t="shared" si="144"/>
        <v>0</v>
      </c>
      <c r="I364" s="189">
        <f t="shared" si="144"/>
        <v>0</v>
      </c>
      <c r="J364" s="189">
        <f t="shared" si="144"/>
        <v>0</v>
      </c>
      <c r="K364" s="189">
        <f t="shared" si="144"/>
        <v>0</v>
      </c>
      <c r="L364" s="189">
        <f t="shared" si="144"/>
        <v>0</v>
      </c>
      <c r="M364" s="189">
        <f t="shared" si="144"/>
        <v>0</v>
      </c>
      <c r="N364" s="189">
        <f t="shared" si="144"/>
        <v>0</v>
      </c>
      <c r="O364" s="189">
        <f t="shared" si="144"/>
        <v>0</v>
      </c>
      <c r="P364" s="189">
        <f t="shared" si="144"/>
        <v>0</v>
      </c>
      <c r="Q364" s="189">
        <f t="shared" si="144"/>
        <v>0</v>
      </c>
      <c r="R364" s="189">
        <f t="shared" si="144"/>
        <v>0</v>
      </c>
      <c r="S364" s="189">
        <f t="shared" si="144"/>
        <v>0</v>
      </c>
      <c r="T364" s="189">
        <f t="shared" si="144"/>
        <v>0</v>
      </c>
      <c r="U364" s="189">
        <f t="shared" si="144"/>
        <v>72974</v>
      </c>
      <c r="V364" s="189">
        <f t="shared" si="144"/>
        <v>0</v>
      </c>
      <c r="W364" s="189">
        <f t="shared" si="144"/>
        <v>0</v>
      </c>
      <c r="X364" s="189">
        <f t="shared" si="144"/>
        <v>0</v>
      </c>
      <c r="Y364" s="189">
        <f t="shared" si="144"/>
        <v>0</v>
      </c>
      <c r="Z364" s="189">
        <f t="shared" si="144"/>
        <v>0</v>
      </c>
      <c r="AA364" s="189">
        <f t="shared" si="144"/>
        <v>0</v>
      </c>
      <c r="AB364" s="189">
        <f t="shared" si="144"/>
        <v>0</v>
      </c>
      <c r="AC364" s="189">
        <f t="shared" si="144"/>
        <v>0</v>
      </c>
      <c r="AD364" s="189">
        <f t="shared" si="144"/>
        <v>0</v>
      </c>
      <c r="AE364" s="189">
        <f t="shared" si="144"/>
        <v>0</v>
      </c>
      <c r="AF364" s="189">
        <f t="shared" si="144"/>
        <v>0</v>
      </c>
      <c r="AG364" s="189">
        <f t="shared" si="144"/>
        <v>0</v>
      </c>
      <c r="AH364" s="189">
        <f t="shared" si="144"/>
        <v>0</v>
      </c>
      <c r="AI364" s="189">
        <f t="shared" si="144"/>
        <v>0</v>
      </c>
      <c r="AJ364" s="189">
        <f t="shared" si="144"/>
        <v>0</v>
      </c>
      <c r="AK364" s="189">
        <f t="shared" si="144"/>
        <v>0</v>
      </c>
      <c r="AL364" s="189">
        <f t="shared" si="144"/>
        <v>0</v>
      </c>
      <c r="AM364" s="189">
        <f t="shared" si="144"/>
        <v>0</v>
      </c>
      <c r="AN364" s="189">
        <f t="shared" si="144"/>
        <v>0</v>
      </c>
      <c r="AO364" s="189">
        <f t="shared" si="144"/>
        <v>0</v>
      </c>
      <c r="AP364" s="189">
        <f t="shared" si="144"/>
        <v>0</v>
      </c>
      <c r="AQ364" s="189">
        <f t="shared" si="144"/>
        <v>0</v>
      </c>
      <c r="AR364" s="189">
        <f t="shared" si="144"/>
        <v>0</v>
      </c>
      <c r="AS364" s="189">
        <f t="shared" si="144"/>
        <v>0</v>
      </c>
      <c r="AT364" s="189">
        <f t="shared" si="144"/>
        <v>0</v>
      </c>
      <c r="AU364" s="189">
        <f t="shared" si="144"/>
        <v>0</v>
      </c>
      <c r="AV364" s="189">
        <f t="shared" si="144"/>
        <v>0</v>
      </c>
      <c r="AW364" s="189">
        <f t="shared" si="144"/>
        <v>0</v>
      </c>
      <c r="AX364" s="189">
        <f t="shared" si="144"/>
        <v>0</v>
      </c>
      <c r="AY364" s="189">
        <f t="shared" si="144"/>
        <v>0</v>
      </c>
      <c r="AZ364" s="189">
        <f t="shared" si="144"/>
        <v>0</v>
      </c>
      <c r="BA364" s="189">
        <f t="shared" si="144"/>
        <v>0</v>
      </c>
      <c r="BB364" s="189">
        <f>SUM(BB354:BB363)</f>
        <v>0</v>
      </c>
      <c r="BC364" s="189">
        <f>SUM(BC354:BC363)</f>
        <v>0</v>
      </c>
      <c r="BD364" s="189">
        <f>SUM(BD354:BD363)</f>
        <v>0</v>
      </c>
      <c r="BE364" s="189">
        <f>SUM(BE354:BE363)</f>
        <v>0</v>
      </c>
      <c r="BF364" s="189">
        <f>SUM(BF354:BF363)</f>
        <v>0</v>
      </c>
    </row>
    <row r="365" spans="1:58" ht="14.1" customHeight="1">
      <c r="A365" s="247">
        <f t="shared" si="138"/>
        <v>359</v>
      </c>
      <c r="B365" s="341"/>
      <c r="C365" s="341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</row>
    <row r="366" spans="1:58" ht="14.1" customHeight="1">
      <c r="A366" s="247">
        <f t="shared" si="138"/>
        <v>360</v>
      </c>
      <c r="B366" s="27" t="s">
        <v>244</v>
      </c>
      <c r="C366" s="43">
        <f t="shared" ref="C366:C376" si="145">SUM(D366:BF366)</f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1">
        <v>0</v>
      </c>
      <c r="L366" s="11">
        <v>0</v>
      </c>
      <c r="M366" s="11">
        <v>0</v>
      </c>
      <c r="N366" s="11">
        <v>0</v>
      </c>
      <c r="O366" s="11">
        <v>0</v>
      </c>
      <c r="P366" s="11">
        <v>0</v>
      </c>
      <c r="Q366" s="11">
        <v>0</v>
      </c>
      <c r="R366" s="11">
        <v>0</v>
      </c>
      <c r="S366" s="11">
        <v>0</v>
      </c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11">
        <v>0</v>
      </c>
      <c r="AG366" s="11">
        <v>0</v>
      </c>
      <c r="AH366" s="11">
        <v>0</v>
      </c>
      <c r="AI366" s="11">
        <v>0</v>
      </c>
      <c r="AJ366" s="11">
        <v>0</v>
      </c>
      <c r="AK366" s="11">
        <v>0</v>
      </c>
      <c r="AL366" s="11">
        <v>0</v>
      </c>
      <c r="AM366" s="11">
        <v>0</v>
      </c>
      <c r="AN366" s="11">
        <v>0</v>
      </c>
      <c r="AO366" s="11">
        <v>0</v>
      </c>
      <c r="AP366" s="11">
        <v>0</v>
      </c>
      <c r="AQ366" s="11">
        <v>0</v>
      </c>
      <c r="AR366" s="11">
        <v>0</v>
      </c>
      <c r="AS366" s="11">
        <v>0</v>
      </c>
      <c r="AT366" s="11">
        <v>0</v>
      </c>
      <c r="AU366" s="11">
        <v>0</v>
      </c>
      <c r="AV366" s="11">
        <v>0</v>
      </c>
      <c r="AW366" s="11">
        <v>0</v>
      </c>
      <c r="AX366" s="11">
        <v>0</v>
      </c>
      <c r="AY366" s="11">
        <v>0</v>
      </c>
      <c r="AZ366" s="11">
        <v>0</v>
      </c>
      <c r="BA366" s="11">
        <v>0</v>
      </c>
      <c r="BB366" s="11">
        <v>0</v>
      </c>
      <c r="BC366" s="11">
        <v>0</v>
      </c>
      <c r="BD366" s="11">
        <v>0</v>
      </c>
      <c r="BE366" s="11">
        <v>0</v>
      </c>
      <c r="BF366" s="11">
        <v>0</v>
      </c>
    </row>
    <row r="367" spans="1:58" ht="14.1" customHeight="1">
      <c r="A367" s="247">
        <f t="shared" si="138"/>
        <v>361</v>
      </c>
      <c r="B367" s="27" t="s">
        <v>245</v>
      </c>
      <c r="C367" s="43">
        <f t="shared" si="145"/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0</v>
      </c>
      <c r="AJ367" s="11"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0</v>
      </c>
      <c r="AP367" s="11">
        <v>0</v>
      </c>
      <c r="AQ367" s="11">
        <v>0</v>
      </c>
      <c r="AR367" s="11">
        <v>0</v>
      </c>
      <c r="AS367" s="11">
        <v>0</v>
      </c>
      <c r="AT367" s="11">
        <v>0</v>
      </c>
      <c r="AU367" s="11">
        <v>0</v>
      </c>
      <c r="AV367" s="11">
        <v>0</v>
      </c>
      <c r="AW367" s="11">
        <v>0</v>
      </c>
      <c r="AX367" s="11">
        <v>0</v>
      </c>
      <c r="AY367" s="11">
        <v>0</v>
      </c>
      <c r="AZ367" s="11">
        <v>0</v>
      </c>
      <c r="BA367" s="11">
        <v>0</v>
      </c>
      <c r="BB367" s="11">
        <v>0</v>
      </c>
      <c r="BC367" s="11">
        <v>0</v>
      </c>
      <c r="BD367" s="11">
        <v>0</v>
      </c>
      <c r="BE367" s="11">
        <v>0</v>
      </c>
      <c r="BF367" s="11">
        <v>0</v>
      </c>
    </row>
    <row r="368" spans="1:58" ht="13.15" customHeight="1">
      <c r="A368" s="247">
        <f t="shared" si="138"/>
        <v>362</v>
      </c>
      <c r="B368" s="27" t="s">
        <v>246</v>
      </c>
      <c r="C368" s="43">
        <f t="shared" si="145"/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0</v>
      </c>
      <c r="K368" s="11">
        <v>0</v>
      </c>
      <c r="L368" s="11">
        <v>0</v>
      </c>
      <c r="M368" s="11">
        <v>0</v>
      </c>
      <c r="N368" s="11">
        <v>0</v>
      </c>
      <c r="O368" s="11">
        <v>0</v>
      </c>
      <c r="P368" s="11">
        <v>0</v>
      </c>
      <c r="Q368" s="11">
        <v>0</v>
      </c>
      <c r="R368" s="11">
        <v>0</v>
      </c>
      <c r="S368" s="11">
        <v>0</v>
      </c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11">
        <v>0</v>
      </c>
      <c r="AG368" s="11">
        <v>0</v>
      </c>
      <c r="AH368" s="11">
        <v>0</v>
      </c>
      <c r="AI368" s="11">
        <v>0</v>
      </c>
      <c r="AJ368" s="11">
        <v>0</v>
      </c>
      <c r="AK368" s="11">
        <v>0</v>
      </c>
      <c r="AL368" s="11">
        <v>0</v>
      </c>
      <c r="AM368" s="11">
        <v>0</v>
      </c>
      <c r="AN368" s="11">
        <v>0</v>
      </c>
      <c r="AO368" s="11">
        <v>0</v>
      </c>
      <c r="AP368" s="11">
        <v>0</v>
      </c>
      <c r="AQ368" s="11">
        <v>0</v>
      </c>
      <c r="AR368" s="11">
        <v>0</v>
      </c>
      <c r="AS368" s="11">
        <v>0</v>
      </c>
      <c r="AT368" s="11">
        <v>0</v>
      </c>
      <c r="AU368" s="11">
        <v>0</v>
      </c>
      <c r="AV368" s="11">
        <v>0</v>
      </c>
      <c r="AW368" s="11">
        <v>0</v>
      </c>
      <c r="AX368" s="11">
        <v>0</v>
      </c>
      <c r="AY368" s="11">
        <v>0</v>
      </c>
      <c r="AZ368" s="11">
        <v>0</v>
      </c>
      <c r="BA368" s="11">
        <v>0</v>
      </c>
      <c r="BB368" s="11">
        <v>0</v>
      </c>
      <c r="BC368" s="11">
        <v>0</v>
      </c>
      <c r="BD368" s="11">
        <v>0</v>
      </c>
      <c r="BE368" s="11">
        <v>0</v>
      </c>
      <c r="BF368" s="11">
        <v>0</v>
      </c>
    </row>
    <row r="369" spans="1:58" ht="14.1" customHeight="1">
      <c r="A369" s="247">
        <f t="shared" si="138"/>
        <v>363</v>
      </c>
      <c r="B369" s="27" t="s">
        <v>247</v>
      </c>
      <c r="C369" s="43">
        <f t="shared" si="145"/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1">
        <v>0</v>
      </c>
      <c r="K369" s="11">
        <v>0</v>
      </c>
      <c r="L369" s="11">
        <v>0</v>
      </c>
      <c r="M369" s="11">
        <v>0</v>
      </c>
      <c r="N369" s="11">
        <v>0</v>
      </c>
      <c r="O369" s="11">
        <v>0</v>
      </c>
      <c r="P369" s="11">
        <v>0</v>
      </c>
      <c r="Q369" s="11">
        <v>0</v>
      </c>
      <c r="R369" s="11">
        <v>0</v>
      </c>
      <c r="S369" s="11">
        <v>0</v>
      </c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0</v>
      </c>
      <c r="AI369" s="11">
        <v>0</v>
      </c>
      <c r="AJ369" s="11">
        <v>0</v>
      </c>
      <c r="AK369" s="11">
        <v>0</v>
      </c>
      <c r="AL369" s="11">
        <v>0</v>
      </c>
      <c r="AM369" s="11">
        <v>0</v>
      </c>
      <c r="AN369" s="11">
        <v>0</v>
      </c>
      <c r="AO369" s="11">
        <v>0</v>
      </c>
      <c r="AP369" s="11">
        <v>0</v>
      </c>
      <c r="AQ369" s="11">
        <v>0</v>
      </c>
      <c r="AR369" s="11">
        <v>0</v>
      </c>
      <c r="AS369" s="11">
        <v>0</v>
      </c>
      <c r="AT369" s="11">
        <v>0</v>
      </c>
      <c r="AU369" s="11">
        <v>0</v>
      </c>
      <c r="AV369" s="11">
        <v>0</v>
      </c>
      <c r="AW369" s="11">
        <v>0</v>
      </c>
      <c r="AX369" s="11">
        <v>0</v>
      </c>
      <c r="AY369" s="11">
        <v>0</v>
      </c>
      <c r="AZ369" s="11">
        <v>0</v>
      </c>
      <c r="BA369" s="11">
        <v>0</v>
      </c>
      <c r="BB369" s="11">
        <v>0</v>
      </c>
      <c r="BC369" s="11">
        <v>0</v>
      </c>
      <c r="BD369" s="11">
        <v>0</v>
      </c>
      <c r="BE369" s="11">
        <v>0</v>
      </c>
      <c r="BF369" s="11">
        <v>0</v>
      </c>
    </row>
    <row r="370" spans="1:58" ht="12.75" customHeight="1">
      <c r="A370" s="247">
        <f t="shared" si="138"/>
        <v>364</v>
      </c>
      <c r="B370" s="27" t="s">
        <v>327</v>
      </c>
      <c r="C370" s="43">
        <f t="shared" si="145"/>
        <v>-2885238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0</v>
      </c>
      <c r="P370" s="11">
        <v>-647763</v>
      </c>
      <c r="Q370" s="11">
        <v>-2237475</v>
      </c>
      <c r="R370" s="11">
        <v>0</v>
      </c>
      <c r="S370" s="11">
        <v>0</v>
      </c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11">
        <v>0</v>
      </c>
      <c r="AG370" s="11">
        <v>0</v>
      </c>
      <c r="AH370" s="11">
        <v>0</v>
      </c>
      <c r="AI370" s="11">
        <v>0</v>
      </c>
      <c r="AJ370" s="11">
        <v>0</v>
      </c>
      <c r="AK370" s="11">
        <v>0</v>
      </c>
      <c r="AL370" s="11">
        <v>0</v>
      </c>
      <c r="AM370" s="11">
        <v>0</v>
      </c>
      <c r="AN370" s="11">
        <v>0</v>
      </c>
      <c r="AO370" s="11">
        <v>0</v>
      </c>
      <c r="AP370" s="11">
        <v>0</v>
      </c>
      <c r="AQ370" s="11">
        <v>0</v>
      </c>
      <c r="AR370" s="11">
        <v>0</v>
      </c>
      <c r="AS370" s="11">
        <v>0</v>
      </c>
      <c r="AT370" s="11">
        <v>0</v>
      </c>
      <c r="AU370" s="11">
        <v>0</v>
      </c>
      <c r="AV370" s="11">
        <v>0</v>
      </c>
      <c r="AW370" s="11">
        <v>0</v>
      </c>
      <c r="AX370" s="11">
        <v>0</v>
      </c>
      <c r="AY370" s="11">
        <v>0</v>
      </c>
      <c r="AZ370" s="11">
        <v>0</v>
      </c>
      <c r="BA370" s="11">
        <v>0</v>
      </c>
      <c r="BB370" s="11">
        <v>0</v>
      </c>
      <c r="BC370" s="11">
        <v>0</v>
      </c>
      <c r="BD370" s="11">
        <v>0</v>
      </c>
      <c r="BE370" s="11">
        <v>0</v>
      </c>
      <c r="BF370" s="11">
        <v>0</v>
      </c>
    </row>
    <row r="371" spans="1:58" ht="14.1" customHeight="1">
      <c r="A371" s="247">
        <f t="shared" si="138"/>
        <v>365</v>
      </c>
      <c r="B371" s="27" t="s">
        <v>248</v>
      </c>
      <c r="C371" s="43">
        <f t="shared" si="145"/>
        <v>10655900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  <c r="M371" s="11">
        <v>0</v>
      </c>
      <c r="N371" s="11">
        <v>0</v>
      </c>
      <c r="O371" s="11">
        <v>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10655900</v>
      </c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0</v>
      </c>
      <c r="AI371" s="11">
        <v>0</v>
      </c>
      <c r="AJ371" s="11"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0</v>
      </c>
      <c r="AP371" s="11">
        <v>0</v>
      </c>
      <c r="AQ371" s="11">
        <v>0</v>
      </c>
      <c r="AR371" s="11">
        <v>0</v>
      </c>
      <c r="AS371" s="11">
        <v>0</v>
      </c>
      <c r="AT371" s="11">
        <v>0</v>
      </c>
      <c r="AU371" s="11">
        <v>0</v>
      </c>
      <c r="AV371" s="11">
        <v>0</v>
      </c>
      <c r="AW371" s="11">
        <v>0</v>
      </c>
      <c r="AX371" s="11">
        <v>0</v>
      </c>
      <c r="AY371" s="11">
        <v>0</v>
      </c>
      <c r="AZ371" s="11">
        <v>0</v>
      </c>
      <c r="BA371" s="11">
        <v>0</v>
      </c>
      <c r="BB371" s="11">
        <v>0</v>
      </c>
      <c r="BC371" s="11">
        <v>0</v>
      </c>
      <c r="BD371" s="11">
        <v>0</v>
      </c>
      <c r="BE371" s="11">
        <v>0</v>
      </c>
      <c r="BF371" s="11">
        <v>0</v>
      </c>
    </row>
    <row r="372" spans="1:58" ht="14.1" customHeight="1">
      <c r="A372" s="247">
        <f t="shared" si="138"/>
        <v>366</v>
      </c>
      <c r="B372" s="27" t="s">
        <v>249</v>
      </c>
      <c r="C372" s="43">
        <f t="shared" si="145"/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1">
        <v>0</v>
      </c>
      <c r="K372" s="11">
        <v>0</v>
      </c>
      <c r="L372" s="11">
        <v>0</v>
      </c>
      <c r="M372" s="11">
        <v>0</v>
      </c>
      <c r="N372" s="11">
        <v>0</v>
      </c>
      <c r="O372" s="11">
        <v>0</v>
      </c>
      <c r="P372" s="11">
        <v>0</v>
      </c>
      <c r="Q372" s="11">
        <v>0</v>
      </c>
      <c r="R372" s="11">
        <v>0</v>
      </c>
      <c r="S372" s="11">
        <v>0</v>
      </c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11">
        <v>0</v>
      </c>
      <c r="AG372" s="11">
        <v>0</v>
      </c>
      <c r="AH372" s="11">
        <v>0</v>
      </c>
      <c r="AI372" s="11">
        <v>0</v>
      </c>
      <c r="AJ372" s="11">
        <v>0</v>
      </c>
      <c r="AK372" s="11">
        <v>0</v>
      </c>
      <c r="AL372" s="11">
        <v>0</v>
      </c>
      <c r="AM372" s="11">
        <v>0</v>
      </c>
      <c r="AN372" s="11">
        <v>0</v>
      </c>
      <c r="AO372" s="11">
        <v>0</v>
      </c>
      <c r="AP372" s="11">
        <v>0</v>
      </c>
      <c r="AQ372" s="11">
        <v>0</v>
      </c>
      <c r="AR372" s="11">
        <v>0</v>
      </c>
      <c r="AS372" s="11">
        <v>0</v>
      </c>
      <c r="AT372" s="11">
        <v>0</v>
      </c>
      <c r="AU372" s="11">
        <v>0</v>
      </c>
      <c r="AV372" s="11">
        <v>0</v>
      </c>
      <c r="AW372" s="11">
        <v>0</v>
      </c>
      <c r="AX372" s="11">
        <v>0</v>
      </c>
      <c r="AY372" s="11">
        <v>0</v>
      </c>
      <c r="AZ372" s="11">
        <v>0</v>
      </c>
      <c r="BA372" s="11">
        <v>0</v>
      </c>
      <c r="BB372" s="11">
        <v>0</v>
      </c>
      <c r="BC372" s="11">
        <v>0</v>
      </c>
      <c r="BD372" s="11">
        <v>0</v>
      </c>
      <c r="BE372" s="11">
        <v>0</v>
      </c>
      <c r="BF372" s="11">
        <v>0</v>
      </c>
    </row>
    <row r="373" spans="1:58" ht="14.1" customHeight="1">
      <c r="A373" s="247">
        <f t="shared" si="138"/>
        <v>367</v>
      </c>
      <c r="B373" s="27" t="s">
        <v>250</v>
      </c>
      <c r="C373" s="43">
        <f t="shared" si="145"/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1">
        <v>0</v>
      </c>
      <c r="K373" s="11">
        <v>0</v>
      </c>
      <c r="L373" s="11">
        <v>0</v>
      </c>
      <c r="M373" s="11">
        <v>0</v>
      </c>
      <c r="N373" s="11">
        <v>0</v>
      </c>
      <c r="O373" s="11">
        <v>0</v>
      </c>
      <c r="P373" s="11">
        <v>0</v>
      </c>
      <c r="Q373" s="11">
        <v>0</v>
      </c>
      <c r="R373" s="11">
        <v>0</v>
      </c>
      <c r="S373" s="11">
        <v>0</v>
      </c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0</v>
      </c>
      <c r="AI373" s="11">
        <v>0</v>
      </c>
      <c r="AJ373" s="11"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0</v>
      </c>
      <c r="AP373" s="11">
        <v>0</v>
      </c>
      <c r="AQ373" s="11">
        <v>0</v>
      </c>
      <c r="AR373" s="11">
        <v>0</v>
      </c>
      <c r="AS373" s="11">
        <v>0</v>
      </c>
      <c r="AT373" s="11">
        <v>0</v>
      </c>
      <c r="AU373" s="11">
        <v>0</v>
      </c>
      <c r="AV373" s="11">
        <v>0</v>
      </c>
      <c r="AW373" s="11">
        <v>0</v>
      </c>
      <c r="AX373" s="11">
        <v>0</v>
      </c>
      <c r="AY373" s="11">
        <v>0</v>
      </c>
      <c r="AZ373" s="11">
        <v>0</v>
      </c>
      <c r="BA373" s="11">
        <v>0</v>
      </c>
      <c r="BB373" s="11">
        <v>0</v>
      </c>
      <c r="BC373" s="11">
        <v>0</v>
      </c>
      <c r="BD373" s="11">
        <v>0</v>
      </c>
      <c r="BE373" s="11">
        <v>0</v>
      </c>
      <c r="BF373" s="11">
        <v>0</v>
      </c>
    </row>
    <row r="374" spans="1:58" s="26" customFormat="1" ht="14.1" customHeight="1">
      <c r="A374" s="247">
        <f t="shared" si="138"/>
        <v>368</v>
      </c>
      <c r="B374" s="27" t="s">
        <v>251</v>
      </c>
      <c r="C374" s="43">
        <f t="shared" si="145"/>
        <v>0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  <c r="J374" s="11">
        <v>0</v>
      </c>
      <c r="K374" s="11">
        <v>0</v>
      </c>
      <c r="L374" s="11">
        <v>0</v>
      </c>
      <c r="M374" s="11">
        <v>0</v>
      </c>
      <c r="N374" s="11">
        <v>0</v>
      </c>
      <c r="O374" s="11">
        <v>0</v>
      </c>
      <c r="P374" s="11">
        <v>0</v>
      </c>
      <c r="Q374" s="11">
        <v>0</v>
      </c>
      <c r="R374" s="11">
        <v>0</v>
      </c>
      <c r="S374" s="11">
        <v>0</v>
      </c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11">
        <v>0</v>
      </c>
      <c r="AG374" s="11">
        <v>0</v>
      </c>
      <c r="AH374" s="11">
        <v>0</v>
      </c>
      <c r="AI374" s="11">
        <v>0</v>
      </c>
      <c r="AJ374" s="11">
        <v>0</v>
      </c>
      <c r="AK374" s="11">
        <v>0</v>
      </c>
      <c r="AL374" s="11">
        <v>0</v>
      </c>
      <c r="AM374" s="11">
        <v>0</v>
      </c>
      <c r="AN374" s="11">
        <v>0</v>
      </c>
      <c r="AO374" s="11">
        <v>0</v>
      </c>
      <c r="AP374" s="11">
        <v>0</v>
      </c>
      <c r="AQ374" s="11">
        <v>0</v>
      </c>
      <c r="AR374" s="11">
        <v>0</v>
      </c>
      <c r="AS374" s="11">
        <v>0</v>
      </c>
      <c r="AT374" s="11">
        <v>0</v>
      </c>
      <c r="AU374" s="11">
        <v>0</v>
      </c>
      <c r="AV374" s="11">
        <v>0</v>
      </c>
      <c r="AW374" s="11">
        <v>0</v>
      </c>
      <c r="AX374" s="11">
        <v>0</v>
      </c>
      <c r="AY374" s="11">
        <v>0</v>
      </c>
      <c r="AZ374" s="11">
        <v>0</v>
      </c>
      <c r="BA374" s="11">
        <v>0</v>
      </c>
      <c r="BB374" s="11">
        <v>0</v>
      </c>
      <c r="BC374" s="11">
        <v>0</v>
      </c>
      <c r="BD374" s="11">
        <v>0</v>
      </c>
      <c r="BE374" s="11">
        <v>0</v>
      </c>
      <c r="BF374" s="11">
        <v>0</v>
      </c>
    </row>
    <row r="375" spans="1:58" ht="14.1" customHeight="1">
      <c r="A375" s="247">
        <f t="shared" si="138"/>
        <v>369</v>
      </c>
      <c r="B375" s="27" t="s">
        <v>252</v>
      </c>
      <c r="C375" s="43">
        <f t="shared" si="145"/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0</v>
      </c>
      <c r="AI375" s="11">
        <v>0</v>
      </c>
      <c r="AJ375" s="11">
        <v>0</v>
      </c>
      <c r="AK375" s="11">
        <v>0</v>
      </c>
      <c r="AL375" s="11">
        <v>0</v>
      </c>
      <c r="AM375" s="11">
        <v>0</v>
      </c>
      <c r="AN375" s="11">
        <v>0</v>
      </c>
      <c r="AO375" s="11">
        <v>0</v>
      </c>
      <c r="AP375" s="11">
        <v>0</v>
      </c>
      <c r="AQ375" s="11">
        <v>0</v>
      </c>
      <c r="AR375" s="11">
        <v>0</v>
      </c>
      <c r="AS375" s="11">
        <v>0</v>
      </c>
      <c r="AT375" s="11">
        <v>0</v>
      </c>
      <c r="AU375" s="11">
        <v>0</v>
      </c>
      <c r="AV375" s="11">
        <v>0</v>
      </c>
      <c r="AW375" s="11">
        <v>0</v>
      </c>
      <c r="AX375" s="11">
        <v>0</v>
      </c>
      <c r="AY375" s="11">
        <v>0</v>
      </c>
      <c r="AZ375" s="11">
        <v>0</v>
      </c>
      <c r="BA375" s="11">
        <v>0</v>
      </c>
      <c r="BB375" s="11">
        <v>0</v>
      </c>
      <c r="BC375" s="11">
        <v>0</v>
      </c>
      <c r="BD375" s="11">
        <v>0</v>
      </c>
      <c r="BE375" s="11">
        <v>0</v>
      </c>
      <c r="BF375" s="11">
        <v>0</v>
      </c>
    </row>
    <row r="376" spans="1:58" ht="14.1" customHeight="1">
      <c r="A376" s="247">
        <f t="shared" si="138"/>
        <v>370</v>
      </c>
      <c r="B376" s="92" t="s">
        <v>253</v>
      </c>
      <c r="C376" s="43">
        <f t="shared" si="145"/>
        <v>0</v>
      </c>
      <c r="D376" s="48">
        <v>0</v>
      </c>
      <c r="E376" s="48">
        <v>0</v>
      </c>
      <c r="F376" s="48">
        <v>0</v>
      </c>
      <c r="G376" s="48">
        <v>0</v>
      </c>
      <c r="H376" s="48">
        <v>0</v>
      </c>
      <c r="I376" s="48">
        <v>0</v>
      </c>
      <c r="J376" s="48">
        <v>0</v>
      </c>
      <c r="K376" s="48">
        <v>0</v>
      </c>
      <c r="L376" s="48">
        <v>0</v>
      </c>
      <c r="M376" s="48">
        <v>0</v>
      </c>
      <c r="N376" s="48">
        <v>0</v>
      </c>
      <c r="O376" s="48">
        <v>0</v>
      </c>
      <c r="P376" s="48">
        <v>0</v>
      </c>
      <c r="Q376" s="48">
        <v>0</v>
      </c>
      <c r="R376" s="48">
        <v>0</v>
      </c>
      <c r="S376" s="48">
        <v>0</v>
      </c>
      <c r="T376" s="48">
        <v>0</v>
      </c>
      <c r="U376" s="48">
        <v>0</v>
      </c>
      <c r="V376" s="48">
        <v>0</v>
      </c>
      <c r="W376" s="48">
        <v>0</v>
      </c>
      <c r="X376" s="48">
        <v>0</v>
      </c>
      <c r="Y376" s="48">
        <v>0</v>
      </c>
      <c r="Z376" s="48">
        <v>0</v>
      </c>
      <c r="AA376" s="48">
        <v>0</v>
      </c>
      <c r="AB376" s="48">
        <v>0</v>
      </c>
      <c r="AC376" s="48">
        <v>0</v>
      </c>
      <c r="AD376" s="48">
        <v>0</v>
      </c>
      <c r="AE376" s="48">
        <v>0</v>
      </c>
      <c r="AF376" s="48">
        <v>0</v>
      </c>
      <c r="AG376" s="48">
        <v>0</v>
      </c>
      <c r="AH376" s="48">
        <v>0</v>
      </c>
      <c r="AI376" s="48">
        <v>0</v>
      </c>
      <c r="AJ376" s="48">
        <v>0</v>
      </c>
      <c r="AK376" s="48">
        <v>0</v>
      </c>
      <c r="AL376" s="48">
        <v>0</v>
      </c>
      <c r="AM376" s="48">
        <v>0</v>
      </c>
      <c r="AN376" s="48">
        <v>0</v>
      </c>
      <c r="AO376" s="48">
        <v>0</v>
      </c>
      <c r="AP376" s="48">
        <v>0</v>
      </c>
      <c r="AQ376" s="48">
        <v>0</v>
      </c>
      <c r="AR376" s="48">
        <v>0</v>
      </c>
      <c r="AS376" s="48">
        <v>0</v>
      </c>
      <c r="AT376" s="48">
        <v>0</v>
      </c>
      <c r="AU376" s="48">
        <v>0</v>
      </c>
      <c r="AV376" s="48">
        <v>0</v>
      </c>
      <c r="AW376" s="48">
        <v>0</v>
      </c>
      <c r="AX376" s="48">
        <v>0</v>
      </c>
      <c r="AY376" s="48">
        <v>0</v>
      </c>
      <c r="AZ376" s="48">
        <v>0</v>
      </c>
      <c r="BA376" s="48">
        <v>0</v>
      </c>
      <c r="BB376" s="48">
        <v>0</v>
      </c>
      <c r="BC376" s="48">
        <v>0</v>
      </c>
      <c r="BD376" s="48">
        <v>0</v>
      </c>
      <c r="BE376" s="48">
        <v>0</v>
      </c>
      <c r="BF376" s="48">
        <v>0</v>
      </c>
    </row>
    <row r="377" spans="1:58" ht="14.1" customHeight="1">
      <c r="A377" s="247">
        <f t="shared" si="138"/>
        <v>371</v>
      </c>
      <c r="B377" s="25" t="s">
        <v>553</v>
      </c>
      <c r="C377" s="83">
        <f>SUM(C366:C376)</f>
        <v>7770662</v>
      </c>
      <c r="D377" s="83">
        <f>SUM(D366:D376)</f>
        <v>0</v>
      </c>
      <c r="E377" s="83">
        <f t="shared" ref="E377:BA377" si="146">SUM(E366:E376)</f>
        <v>0</v>
      </c>
      <c r="F377" s="83">
        <f t="shared" si="146"/>
        <v>0</v>
      </c>
      <c r="G377" s="83">
        <f t="shared" si="146"/>
        <v>0</v>
      </c>
      <c r="H377" s="83">
        <f t="shared" si="146"/>
        <v>0</v>
      </c>
      <c r="I377" s="83">
        <f t="shared" si="146"/>
        <v>0</v>
      </c>
      <c r="J377" s="83">
        <f t="shared" si="146"/>
        <v>0</v>
      </c>
      <c r="K377" s="83">
        <f t="shared" si="146"/>
        <v>0</v>
      </c>
      <c r="L377" s="83">
        <f t="shared" si="146"/>
        <v>0</v>
      </c>
      <c r="M377" s="83">
        <f t="shared" si="146"/>
        <v>0</v>
      </c>
      <c r="N377" s="83">
        <f t="shared" si="146"/>
        <v>0</v>
      </c>
      <c r="O377" s="83">
        <f t="shared" si="146"/>
        <v>0</v>
      </c>
      <c r="P377" s="83">
        <f t="shared" si="146"/>
        <v>-647763</v>
      </c>
      <c r="Q377" s="83">
        <f t="shared" si="146"/>
        <v>-2237475</v>
      </c>
      <c r="R377" s="83">
        <f t="shared" si="146"/>
        <v>0</v>
      </c>
      <c r="S377" s="83">
        <f t="shared" si="146"/>
        <v>0</v>
      </c>
      <c r="T377" s="83">
        <f t="shared" si="146"/>
        <v>0</v>
      </c>
      <c r="U377" s="83">
        <f t="shared" si="146"/>
        <v>0</v>
      </c>
      <c r="V377" s="83">
        <f t="shared" si="146"/>
        <v>10655900</v>
      </c>
      <c r="W377" s="83">
        <f t="shared" si="146"/>
        <v>0</v>
      </c>
      <c r="X377" s="83">
        <f t="shared" si="146"/>
        <v>0</v>
      </c>
      <c r="Y377" s="83">
        <f t="shared" si="146"/>
        <v>0</v>
      </c>
      <c r="Z377" s="83">
        <f t="shared" si="146"/>
        <v>0</v>
      </c>
      <c r="AA377" s="83">
        <f t="shared" si="146"/>
        <v>0</v>
      </c>
      <c r="AB377" s="83">
        <f t="shared" si="146"/>
        <v>0</v>
      </c>
      <c r="AC377" s="83">
        <f t="shared" si="146"/>
        <v>0</v>
      </c>
      <c r="AD377" s="83">
        <f t="shared" si="146"/>
        <v>0</v>
      </c>
      <c r="AE377" s="83">
        <f t="shared" si="146"/>
        <v>0</v>
      </c>
      <c r="AF377" s="83">
        <f t="shared" si="146"/>
        <v>0</v>
      </c>
      <c r="AG377" s="83">
        <f t="shared" si="146"/>
        <v>0</v>
      </c>
      <c r="AH377" s="83">
        <f t="shared" si="146"/>
        <v>0</v>
      </c>
      <c r="AI377" s="83">
        <f t="shared" si="146"/>
        <v>0</v>
      </c>
      <c r="AJ377" s="83">
        <f t="shared" si="146"/>
        <v>0</v>
      </c>
      <c r="AK377" s="83">
        <f t="shared" si="146"/>
        <v>0</v>
      </c>
      <c r="AL377" s="83">
        <f t="shared" si="146"/>
        <v>0</v>
      </c>
      <c r="AM377" s="83">
        <f t="shared" si="146"/>
        <v>0</v>
      </c>
      <c r="AN377" s="83">
        <f t="shared" si="146"/>
        <v>0</v>
      </c>
      <c r="AO377" s="83">
        <f t="shared" si="146"/>
        <v>0</v>
      </c>
      <c r="AP377" s="83">
        <f t="shared" si="146"/>
        <v>0</v>
      </c>
      <c r="AQ377" s="83">
        <f t="shared" si="146"/>
        <v>0</v>
      </c>
      <c r="AR377" s="83">
        <f t="shared" si="146"/>
        <v>0</v>
      </c>
      <c r="AS377" s="83">
        <f t="shared" si="146"/>
        <v>0</v>
      </c>
      <c r="AT377" s="83">
        <f t="shared" si="146"/>
        <v>0</v>
      </c>
      <c r="AU377" s="83">
        <f t="shared" si="146"/>
        <v>0</v>
      </c>
      <c r="AV377" s="83">
        <f t="shared" si="146"/>
        <v>0</v>
      </c>
      <c r="AW377" s="83">
        <f t="shared" si="146"/>
        <v>0</v>
      </c>
      <c r="AX377" s="83">
        <f t="shared" si="146"/>
        <v>0</v>
      </c>
      <c r="AY377" s="83">
        <f t="shared" si="146"/>
        <v>0</v>
      </c>
      <c r="AZ377" s="83">
        <f t="shared" si="146"/>
        <v>0</v>
      </c>
      <c r="BA377" s="83">
        <f t="shared" si="146"/>
        <v>0</v>
      </c>
      <c r="BB377" s="83">
        <f>SUM(BB366:BB376)</f>
        <v>0</v>
      </c>
      <c r="BC377" s="83">
        <f>SUM(BC366:BC376)</f>
        <v>0</v>
      </c>
      <c r="BD377" s="83">
        <f>SUM(BD366:BD376)</f>
        <v>0</v>
      </c>
      <c r="BE377" s="83">
        <f>SUM(BE366:BE376)</f>
        <v>0</v>
      </c>
      <c r="BF377" s="83">
        <f>SUM(BF366:BF376)</f>
        <v>0</v>
      </c>
    </row>
    <row r="378" spans="1:58" ht="14.1" customHeight="1">
      <c r="A378" s="247">
        <f t="shared" si="138"/>
        <v>372</v>
      </c>
      <c r="B378" s="342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100"/>
      <c r="AG378" s="100"/>
      <c r="AH378" s="100"/>
      <c r="AI378" s="100"/>
      <c r="AJ378" s="100"/>
      <c r="AK378" s="100"/>
      <c r="AL378" s="100"/>
      <c r="AM378" s="100"/>
      <c r="AN378" s="100"/>
      <c r="AO378" s="100"/>
      <c r="AP378" s="100"/>
      <c r="AQ378" s="100"/>
      <c r="AR378" s="100"/>
      <c r="AS378" s="100"/>
      <c r="AT378" s="100"/>
      <c r="AU378" s="100"/>
      <c r="AV378" s="100"/>
      <c r="AW378" s="100"/>
      <c r="AX378" s="100"/>
      <c r="AY378" s="100"/>
      <c r="AZ378" s="100"/>
      <c r="BA378" s="100"/>
      <c r="BB378" s="100"/>
      <c r="BC378" s="100"/>
      <c r="BD378" s="100"/>
      <c r="BE378" s="100"/>
      <c r="BF378" s="100"/>
    </row>
    <row r="379" spans="1:58" ht="14.1" customHeight="1">
      <c r="A379" s="247">
        <f t="shared" si="138"/>
        <v>373</v>
      </c>
      <c r="B379" s="25" t="s">
        <v>254</v>
      </c>
      <c r="C379" s="17">
        <f>C364+C377</f>
        <v>7843636</v>
      </c>
      <c r="D379" s="17">
        <f>D364+D377</f>
        <v>0</v>
      </c>
      <c r="E379" s="17">
        <f t="shared" ref="E379:BA379" si="147">E364+E377</f>
        <v>0</v>
      </c>
      <c r="F379" s="17">
        <f t="shared" si="147"/>
        <v>0</v>
      </c>
      <c r="G379" s="17">
        <f t="shared" si="147"/>
        <v>0</v>
      </c>
      <c r="H379" s="17">
        <f t="shared" si="147"/>
        <v>0</v>
      </c>
      <c r="I379" s="17">
        <f t="shared" si="147"/>
        <v>0</v>
      </c>
      <c r="J379" s="17">
        <f t="shared" si="147"/>
        <v>0</v>
      </c>
      <c r="K379" s="17">
        <f t="shared" si="147"/>
        <v>0</v>
      </c>
      <c r="L379" s="17">
        <f t="shared" si="147"/>
        <v>0</v>
      </c>
      <c r="M379" s="17">
        <f t="shared" si="147"/>
        <v>0</v>
      </c>
      <c r="N379" s="17">
        <f t="shared" si="147"/>
        <v>0</v>
      </c>
      <c r="O379" s="17">
        <f t="shared" si="147"/>
        <v>0</v>
      </c>
      <c r="P379" s="17">
        <f t="shared" si="147"/>
        <v>-647763</v>
      </c>
      <c r="Q379" s="17">
        <f t="shared" si="147"/>
        <v>-2237475</v>
      </c>
      <c r="R379" s="17">
        <f t="shared" si="147"/>
        <v>0</v>
      </c>
      <c r="S379" s="17">
        <f t="shared" si="147"/>
        <v>0</v>
      </c>
      <c r="T379" s="17">
        <f t="shared" si="147"/>
        <v>0</v>
      </c>
      <c r="U379" s="17">
        <f t="shared" si="147"/>
        <v>72974</v>
      </c>
      <c r="V379" s="17">
        <f t="shared" si="147"/>
        <v>10655900</v>
      </c>
      <c r="W379" s="17">
        <f t="shared" si="147"/>
        <v>0</v>
      </c>
      <c r="X379" s="17">
        <f t="shared" si="147"/>
        <v>0</v>
      </c>
      <c r="Y379" s="17">
        <f t="shared" si="147"/>
        <v>0</v>
      </c>
      <c r="Z379" s="17">
        <f t="shared" si="147"/>
        <v>0</v>
      </c>
      <c r="AA379" s="17">
        <f t="shared" si="147"/>
        <v>0</v>
      </c>
      <c r="AB379" s="17">
        <f t="shared" si="147"/>
        <v>0</v>
      </c>
      <c r="AC379" s="17">
        <f t="shared" si="147"/>
        <v>0</v>
      </c>
      <c r="AD379" s="17">
        <f t="shared" si="147"/>
        <v>0</v>
      </c>
      <c r="AE379" s="17">
        <f t="shared" si="147"/>
        <v>0</v>
      </c>
      <c r="AF379" s="17">
        <f t="shared" si="147"/>
        <v>0</v>
      </c>
      <c r="AG379" s="17">
        <f t="shared" si="147"/>
        <v>0</v>
      </c>
      <c r="AH379" s="17">
        <f t="shared" si="147"/>
        <v>0</v>
      </c>
      <c r="AI379" s="17">
        <f t="shared" si="147"/>
        <v>0</v>
      </c>
      <c r="AJ379" s="17">
        <f t="shared" si="147"/>
        <v>0</v>
      </c>
      <c r="AK379" s="17">
        <f t="shared" si="147"/>
        <v>0</v>
      </c>
      <c r="AL379" s="17">
        <f t="shared" si="147"/>
        <v>0</v>
      </c>
      <c r="AM379" s="17">
        <f t="shared" si="147"/>
        <v>0</v>
      </c>
      <c r="AN379" s="17">
        <f t="shared" si="147"/>
        <v>0</v>
      </c>
      <c r="AO379" s="17">
        <f t="shared" si="147"/>
        <v>0</v>
      </c>
      <c r="AP379" s="17">
        <f t="shared" si="147"/>
        <v>0</v>
      </c>
      <c r="AQ379" s="17">
        <f t="shared" si="147"/>
        <v>0</v>
      </c>
      <c r="AR379" s="17">
        <f t="shared" si="147"/>
        <v>0</v>
      </c>
      <c r="AS379" s="17">
        <f t="shared" si="147"/>
        <v>0</v>
      </c>
      <c r="AT379" s="17">
        <f t="shared" si="147"/>
        <v>0</v>
      </c>
      <c r="AU379" s="17">
        <f t="shared" si="147"/>
        <v>0</v>
      </c>
      <c r="AV379" s="17">
        <f t="shared" si="147"/>
        <v>0</v>
      </c>
      <c r="AW379" s="17">
        <f t="shared" si="147"/>
        <v>0</v>
      </c>
      <c r="AX379" s="17">
        <f t="shared" si="147"/>
        <v>0</v>
      </c>
      <c r="AY379" s="17">
        <f t="shared" si="147"/>
        <v>0</v>
      </c>
      <c r="AZ379" s="17">
        <f t="shared" si="147"/>
        <v>0</v>
      </c>
      <c r="BA379" s="17">
        <f t="shared" si="147"/>
        <v>0</v>
      </c>
      <c r="BB379" s="17">
        <f>BB364+BB377</f>
        <v>0</v>
      </c>
      <c r="BC379" s="17">
        <f>BC364+BC377</f>
        <v>0</v>
      </c>
      <c r="BD379" s="17">
        <f>BD364+BD377</f>
        <v>0</v>
      </c>
      <c r="BE379" s="17">
        <f>BE364+BE377</f>
        <v>0</v>
      </c>
      <c r="BF379" s="17">
        <f>BF364+BF377</f>
        <v>0</v>
      </c>
    </row>
    <row r="380" spans="1:58" ht="14.1" customHeight="1">
      <c r="A380" s="247">
        <f t="shared" si="138"/>
        <v>374</v>
      </c>
      <c r="B380" s="304"/>
      <c r="C380" s="341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</row>
    <row r="381" spans="1:58" ht="14.1" customHeight="1">
      <c r="A381" s="247">
        <f t="shared" si="138"/>
        <v>375</v>
      </c>
      <c r="B381" s="14" t="s">
        <v>255</v>
      </c>
      <c r="C381" s="97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  <c r="AN381" s="48"/>
      <c r="AO381" s="48"/>
      <c r="AP381" s="48"/>
      <c r="AQ381" s="48"/>
      <c r="AR381" s="48"/>
      <c r="AS381" s="48"/>
      <c r="AT381" s="48"/>
      <c r="AU381" s="48"/>
      <c r="AV381" s="48"/>
      <c r="AW381" s="48"/>
      <c r="AX381" s="48"/>
      <c r="AY381" s="48"/>
      <c r="AZ381" s="48"/>
      <c r="BA381" s="48"/>
      <c r="BB381" s="48"/>
      <c r="BC381" s="48"/>
      <c r="BD381" s="48"/>
      <c r="BE381" s="48"/>
      <c r="BF381" s="48"/>
    </row>
    <row r="382" spans="1:58" ht="14.1" customHeight="1">
      <c r="A382" s="247">
        <f t="shared" si="138"/>
        <v>376</v>
      </c>
      <c r="B382" s="27" t="s">
        <v>256</v>
      </c>
      <c r="C382" s="43">
        <f t="shared" ref="C382:C387" si="148">SUM(D382:BF382)</f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0</v>
      </c>
      <c r="P382" s="11">
        <v>0</v>
      </c>
      <c r="Q382" s="11">
        <v>0</v>
      </c>
      <c r="R382" s="11">
        <v>0</v>
      </c>
      <c r="S382" s="11">
        <v>0</v>
      </c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11">
        <v>0</v>
      </c>
      <c r="AG382" s="11">
        <v>0</v>
      </c>
      <c r="AH382" s="11">
        <v>0</v>
      </c>
      <c r="AI382" s="11">
        <v>0</v>
      </c>
      <c r="AJ382" s="11">
        <v>0</v>
      </c>
      <c r="AK382" s="11">
        <v>0</v>
      </c>
      <c r="AL382" s="11">
        <v>0</v>
      </c>
      <c r="AM382" s="11">
        <v>0</v>
      </c>
      <c r="AN382" s="11">
        <v>0</v>
      </c>
      <c r="AO382" s="11">
        <v>0</v>
      </c>
      <c r="AP382" s="11">
        <v>0</v>
      </c>
      <c r="AQ382" s="11">
        <v>0</v>
      </c>
      <c r="AR382" s="11">
        <v>0</v>
      </c>
      <c r="AS382" s="11">
        <v>0</v>
      </c>
      <c r="AT382" s="11">
        <v>0</v>
      </c>
      <c r="AU382" s="11">
        <v>0</v>
      </c>
      <c r="AV382" s="11">
        <v>0</v>
      </c>
      <c r="AW382" s="11">
        <v>0</v>
      </c>
      <c r="AX382" s="11">
        <v>0</v>
      </c>
      <c r="AY382" s="11">
        <v>0</v>
      </c>
      <c r="AZ382" s="11">
        <v>0</v>
      </c>
      <c r="BA382" s="11">
        <v>0</v>
      </c>
      <c r="BB382" s="11">
        <v>0</v>
      </c>
      <c r="BC382" s="11">
        <v>0</v>
      </c>
      <c r="BD382" s="11">
        <v>0</v>
      </c>
      <c r="BE382" s="11">
        <v>0</v>
      </c>
      <c r="BF382" s="11">
        <v>0</v>
      </c>
    </row>
    <row r="383" spans="1:58" ht="14.1" customHeight="1">
      <c r="A383" s="247">
        <f t="shared" si="138"/>
        <v>377</v>
      </c>
      <c r="B383" s="27" t="s">
        <v>257</v>
      </c>
      <c r="C383" s="43">
        <f t="shared" si="148"/>
        <v>0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0</v>
      </c>
      <c r="AI383" s="11">
        <v>0</v>
      </c>
      <c r="AJ383" s="11"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1">
        <v>0</v>
      </c>
      <c r="AS383" s="11">
        <v>0</v>
      </c>
      <c r="AT383" s="11">
        <v>0</v>
      </c>
      <c r="AU383" s="11">
        <v>0</v>
      </c>
      <c r="AV383" s="11">
        <v>0</v>
      </c>
      <c r="AW383" s="11">
        <v>0</v>
      </c>
      <c r="AX383" s="11">
        <v>0</v>
      </c>
      <c r="AY383" s="11">
        <v>0</v>
      </c>
      <c r="AZ383" s="11">
        <v>0</v>
      </c>
      <c r="BA383" s="11">
        <v>0</v>
      </c>
      <c r="BB383" s="11">
        <v>0</v>
      </c>
      <c r="BC383" s="11">
        <v>0</v>
      </c>
      <c r="BD383" s="11">
        <v>0</v>
      </c>
      <c r="BE383" s="11">
        <v>0</v>
      </c>
      <c r="BF383" s="11">
        <v>0</v>
      </c>
    </row>
    <row r="384" spans="1:58" ht="14.1" customHeight="1">
      <c r="A384" s="247">
        <f t="shared" si="138"/>
        <v>378</v>
      </c>
      <c r="B384" s="27" t="s">
        <v>258</v>
      </c>
      <c r="C384" s="43">
        <f t="shared" si="148"/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0</v>
      </c>
      <c r="N384" s="11">
        <v>0</v>
      </c>
      <c r="O384" s="11">
        <v>0</v>
      </c>
      <c r="P384" s="11">
        <v>0</v>
      </c>
      <c r="Q384" s="11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1">
        <v>0</v>
      </c>
      <c r="AK384" s="11">
        <v>0</v>
      </c>
      <c r="AL384" s="11">
        <v>0</v>
      </c>
      <c r="AM384" s="11">
        <v>0</v>
      </c>
      <c r="AN384" s="11">
        <v>0</v>
      </c>
      <c r="AO384" s="11">
        <v>0</v>
      </c>
      <c r="AP384" s="11">
        <v>0</v>
      </c>
      <c r="AQ384" s="11">
        <v>0</v>
      </c>
      <c r="AR384" s="11">
        <v>0</v>
      </c>
      <c r="AS384" s="11">
        <v>0</v>
      </c>
      <c r="AT384" s="11">
        <v>0</v>
      </c>
      <c r="AU384" s="11">
        <v>0</v>
      </c>
      <c r="AV384" s="11">
        <v>0</v>
      </c>
      <c r="AW384" s="11">
        <v>0</v>
      </c>
      <c r="AX384" s="11">
        <v>0</v>
      </c>
      <c r="AY384" s="11">
        <v>0</v>
      </c>
      <c r="AZ384" s="11">
        <v>0</v>
      </c>
      <c r="BA384" s="11">
        <v>0</v>
      </c>
      <c r="BB384" s="11">
        <v>0</v>
      </c>
      <c r="BC384" s="11">
        <v>0</v>
      </c>
      <c r="BD384" s="11">
        <v>0</v>
      </c>
      <c r="BE384" s="11">
        <v>0</v>
      </c>
      <c r="BF384" s="11">
        <v>0</v>
      </c>
    </row>
    <row r="385" spans="1:58" ht="14.1" customHeight="1">
      <c r="A385" s="247">
        <f t="shared" si="138"/>
        <v>379</v>
      </c>
      <c r="B385" s="27" t="s">
        <v>259</v>
      </c>
      <c r="C385" s="43">
        <f t="shared" si="148"/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  <c r="AK385" s="11">
        <v>0</v>
      </c>
      <c r="AL385" s="11">
        <v>0</v>
      </c>
      <c r="AM385" s="11">
        <v>0</v>
      </c>
      <c r="AN385" s="11">
        <v>0</v>
      </c>
      <c r="AO385" s="11">
        <v>0</v>
      </c>
      <c r="AP385" s="11">
        <v>0</v>
      </c>
      <c r="AQ385" s="11">
        <v>0</v>
      </c>
      <c r="AR385" s="11">
        <v>0</v>
      </c>
      <c r="AS385" s="11">
        <v>0</v>
      </c>
      <c r="AT385" s="11">
        <v>0</v>
      </c>
      <c r="AU385" s="11">
        <v>0</v>
      </c>
      <c r="AV385" s="11">
        <v>0</v>
      </c>
      <c r="AW385" s="11">
        <v>0</v>
      </c>
      <c r="AX385" s="11">
        <v>0</v>
      </c>
      <c r="AY385" s="11">
        <v>0</v>
      </c>
      <c r="AZ385" s="11">
        <v>0</v>
      </c>
      <c r="BA385" s="11">
        <v>0</v>
      </c>
      <c r="BB385" s="11">
        <v>0</v>
      </c>
      <c r="BC385" s="11">
        <v>0</v>
      </c>
      <c r="BD385" s="11">
        <v>0</v>
      </c>
      <c r="BE385" s="11">
        <v>0</v>
      </c>
      <c r="BF385" s="11">
        <v>0</v>
      </c>
    </row>
    <row r="386" spans="1:58" s="26" customFormat="1" ht="14.1" customHeight="1">
      <c r="A386" s="247">
        <f t="shared" si="138"/>
        <v>380</v>
      </c>
      <c r="B386" s="27" t="s">
        <v>260</v>
      </c>
      <c r="C386" s="43">
        <f t="shared" si="148"/>
        <v>0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  <c r="J386" s="11">
        <v>0</v>
      </c>
      <c r="K386" s="11">
        <v>0</v>
      </c>
      <c r="L386" s="11">
        <v>0</v>
      </c>
      <c r="M386" s="11">
        <v>0</v>
      </c>
      <c r="N386" s="11">
        <v>0</v>
      </c>
      <c r="O386" s="11">
        <v>0</v>
      </c>
      <c r="P386" s="11">
        <v>0</v>
      </c>
      <c r="Q386" s="11">
        <v>0</v>
      </c>
      <c r="R386" s="11">
        <v>0</v>
      </c>
      <c r="S386" s="11">
        <v>0</v>
      </c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11">
        <v>0</v>
      </c>
      <c r="AG386" s="11">
        <v>0</v>
      </c>
      <c r="AH386" s="11">
        <v>0</v>
      </c>
      <c r="AI386" s="11">
        <v>0</v>
      </c>
      <c r="AJ386" s="11">
        <v>0</v>
      </c>
      <c r="AK386" s="11">
        <v>0</v>
      </c>
      <c r="AL386" s="11">
        <v>0</v>
      </c>
      <c r="AM386" s="11">
        <v>0</v>
      </c>
      <c r="AN386" s="11">
        <v>0</v>
      </c>
      <c r="AO386" s="11">
        <v>0</v>
      </c>
      <c r="AP386" s="11">
        <v>0</v>
      </c>
      <c r="AQ386" s="11">
        <v>0</v>
      </c>
      <c r="AR386" s="11">
        <v>0</v>
      </c>
      <c r="AS386" s="11">
        <v>0</v>
      </c>
      <c r="AT386" s="11">
        <v>0</v>
      </c>
      <c r="AU386" s="11">
        <v>0</v>
      </c>
      <c r="AV386" s="11">
        <v>0</v>
      </c>
      <c r="AW386" s="11">
        <v>0</v>
      </c>
      <c r="AX386" s="11">
        <v>0</v>
      </c>
      <c r="AY386" s="11">
        <v>0</v>
      </c>
      <c r="AZ386" s="11">
        <v>0</v>
      </c>
      <c r="BA386" s="11">
        <v>0</v>
      </c>
      <c r="BB386" s="11">
        <v>0</v>
      </c>
      <c r="BC386" s="11">
        <v>0</v>
      </c>
      <c r="BD386" s="11">
        <v>0</v>
      </c>
      <c r="BE386" s="11">
        <v>0</v>
      </c>
      <c r="BF386" s="11">
        <v>0</v>
      </c>
    </row>
    <row r="387" spans="1:58" ht="14.1" customHeight="1">
      <c r="A387" s="247">
        <f t="shared" si="138"/>
        <v>381</v>
      </c>
      <c r="B387" s="92" t="s">
        <v>261</v>
      </c>
      <c r="C387" s="43">
        <f t="shared" si="148"/>
        <v>0</v>
      </c>
      <c r="D387" s="48">
        <v>0</v>
      </c>
      <c r="E387" s="48">
        <v>0</v>
      </c>
      <c r="F387" s="48">
        <v>0</v>
      </c>
      <c r="G387" s="48">
        <v>0</v>
      </c>
      <c r="H387" s="48">
        <v>0</v>
      </c>
      <c r="I387" s="48">
        <v>0</v>
      </c>
      <c r="J387" s="48">
        <v>0</v>
      </c>
      <c r="K387" s="48">
        <v>0</v>
      </c>
      <c r="L387" s="48">
        <v>0</v>
      </c>
      <c r="M387" s="48">
        <v>0</v>
      </c>
      <c r="N387" s="11">
        <v>0</v>
      </c>
      <c r="O387" s="48">
        <v>0</v>
      </c>
      <c r="P387" s="48">
        <v>0</v>
      </c>
      <c r="Q387" s="48">
        <v>0</v>
      </c>
      <c r="R387" s="48">
        <v>0</v>
      </c>
      <c r="S387" s="48">
        <v>0</v>
      </c>
      <c r="T387" s="48">
        <v>0</v>
      </c>
      <c r="U387" s="48">
        <v>0</v>
      </c>
      <c r="V387" s="48">
        <v>0</v>
      </c>
      <c r="W387" s="48">
        <v>0</v>
      </c>
      <c r="X387" s="48">
        <v>0</v>
      </c>
      <c r="Y387" s="48">
        <v>0</v>
      </c>
      <c r="Z387" s="48">
        <v>0</v>
      </c>
      <c r="AA387" s="48">
        <v>0</v>
      </c>
      <c r="AB387" s="48">
        <v>0</v>
      </c>
      <c r="AC387" s="48">
        <v>0</v>
      </c>
      <c r="AD387" s="48">
        <v>0</v>
      </c>
      <c r="AE387" s="48">
        <v>0</v>
      </c>
      <c r="AF387" s="48">
        <v>0</v>
      </c>
      <c r="AG387" s="48">
        <v>0</v>
      </c>
      <c r="AH387" s="48">
        <v>0</v>
      </c>
      <c r="AI387" s="48">
        <v>0</v>
      </c>
      <c r="AJ387" s="48">
        <v>0</v>
      </c>
      <c r="AK387" s="48">
        <v>0</v>
      </c>
      <c r="AL387" s="48">
        <v>0</v>
      </c>
      <c r="AM387" s="48">
        <v>0</v>
      </c>
      <c r="AN387" s="48">
        <v>0</v>
      </c>
      <c r="AO387" s="48">
        <v>0</v>
      </c>
      <c r="AP387" s="48">
        <v>0</v>
      </c>
      <c r="AQ387" s="48">
        <v>0</v>
      </c>
      <c r="AR387" s="48">
        <v>0</v>
      </c>
      <c r="AS387" s="48">
        <v>0</v>
      </c>
      <c r="AT387" s="48">
        <v>0</v>
      </c>
      <c r="AU387" s="48">
        <v>0</v>
      </c>
      <c r="AV387" s="48">
        <v>0</v>
      </c>
      <c r="AW387" s="48">
        <v>0</v>
      </c>
      <c r="AX387" s="48">
        <v>0</v>
      </c>
      <c r="AY387" s="48">
        <v>0</v>
      </c>
      <c r="AZ387" s="48">
        <v>0</v>
      </c>
      <c r="BA387" s="48">
        <v>0</v>
      </c>
      <c r="BB387" s="48">
        <v>0</v>
      </c>
      <c r="BC387" s="48">
        <v>0</v>
      </c>
      <c r="BD387" s="48">
        <v>0</v>
      </c>
      <c r="BE387" s="48">
        <v>0</v>
      </c>
      <c r="BF387" s="48">
        <v>0</v>
      </c>
    </row>
    <row r="388" spans="1:58" ht="14.1" customHeight="1">
      <c r="A388" s="247">
        <f t="shared" si="138"/>
        <v>382</v>
      </c>
      <c r="B388" s="25" t="s">
        <v>554</v>
      </c>
      <c r="C388" s="189">
        <f>SUM(C382:C387)</f>
        <v>0</v>
      </c>
      <c r="D388" s="189">
        <f>SUM(D382:D387)</f>
        <v>0</v>
      </c>
      <c r="E388" s="189">
        <f t="shared" ref="E388:BA388" si="149">SUM(E382:E387)</f>
        <v>0</v>
      </c>
      <c r="F388" s="189">
        <f t="shared" si="149"/>
        <v>0</v>
      </c>
      <c r="G388" s="189">
        <f t="shared" si="149"/>
        <v>0</v>
      </c>
      <c r="H388" s="189">
        <f t="shared" si="149"/>
        <v>0</v>
      </c>
      <c r="I388" s="189">
        <f t="shared" si="149"/>
        <v>0</v>
      </c>
      <c r="J388" s="189">
        <f t="shared" si="149"/>
        <v>0</v>
      </c>
      <c r="K388" s="189">
        <f t="shared" si="149"/>
        <v>0</v>
      </c>
      <c r="L388" s="189">
        <f t="shared" si="149"/>
        <v>0</v>
      </c>
      <c r="M388" s="189">
        <f t="shared" si="149"/>
        <v>0</v>
      </c>
      <c r="N388" s="189">
        <f t="shared" si="149"/>
        <v>0</v>
      </c>
      <c r="O388" s="189">
        <f t="shared" si="149"/>
        <v>0</v>
      </c>
      <c r="P388" s="189">
        <f t="shared" si="149"/>
        <v>0</v>
      </c>
      <c r="Q388" s="189">
        <f t="shared" si="149"/>
        <v>0</v>
      </c>
      <c r="R388" s="189">
        <f t="shared" si="149"/>
        <v>0</v>
      </c>
      <c r="S388" s="189">
        <f t="shared" si="149"/>
        <v>0</v>
      </c>
      <c r="T388" s="189">
        <f t="shared" si="149"/>
        <v>0</v>
      </c>
      <c r="U388" s="189">
        <f t="shared" si="149"/>
        <v>0</v>
      </c>
      <c r="V388" s="189">
        <f t="shared" si="149"/>
        <v>0</v>
      </c>
      <c r="W388" s="189">
        <f t="shared" si="149"/>
        <v>0</v>
      </c>
      <c r="X388" s="189">
        <f t="shared" si="149"/>
        <v>0</v>
      </c>
      <c r="Y388" s="189">
        <f t="shared" si="149"/>
        <v>0</v>
      </c>
      <c r="Z388" s="189">
        <f t="shared" si="149"/>
        <v>0</v>
      </c>
      <c r="AA388" s="189">
        <f t="shared" si="149"/>
        <v>0</v>
      </c>
      <c r="AB388" s="189">
        <f t="shared" si="149"/>
        <v>0</v>
      </c>
      <c r="AC388" s="189">
        <f t="shared" si="149"/>
        <v>0</v>
      </c>
      <c r="AD388" s="189">
        <f t="shared" si="149"/>
        <v>0</v>
      </c>
      <c r="AE388" s="189">
        <f t="shared" si="149"/>
        <v>0</v>
      </c>
      <c r="AF388" s="189">
        <f t="shared" si="149"/>
        <v>0</v>
      </c>
      <c r="AG388" s="189">
        <f t="shared" si="149"/>
        <v>0</v>
      </c>
      <c r="AH388" s="189">
        <f t="shared" si="149"/>
        <v>0</v>
      </c>
      <c r="AI388" s="189">
        <f t="shared" si="149"/>
        <v>0</v>
      </c>
      <c r="AJ388" s="189">
        <f t="shared" si="149"/>
        <v>0</v>
      </c>
      <c r="AK388" s="189">
        <f t="shared" si="149"/>
        <v>0</v>
      </c>
      <c r="AL388" s="189">
        <f t="shared" si="149"/>
        <v>0</v>
      </c>
      <c r="AM388" s="189">
        <f t="shared" si="149"/>
        <v>0</v>
      </c>
      <c r="AN388" s="189">
        <f t="shared" si="149"/>
        <v>0</v>
      </c>
      <c r="AO388" s="189">
        <f t="shared" si="149"/>
        <v>0</v>
      </c>
      <c r="AP388" s="189">
        <f t="shared" si="149"/>
        <v>0</v>
      </c>
      <c r="AQ388" s="189">
        <f t="shared" si="149"/>
        <v>0</v>
      </c>
      <c r="AR388" s="189">
        <f t="shared" si="149"/>
        <v>0</v>
      </c>
      <c r="AS388" s="189">
        <f t="shared" si="149"/>
        <v>0</v>
      </c>
      <c r="AT388" s="189">
        <f t="shared" si="149"/>
        <v>0</v>
      </c>
      <c r="AU388" s="189">
        <f t="shared" si="149"/>
        <v>0</v>
      </c>
      <c r="AV388" s="189">
        <f t="shared" si="149"/>
        <v>0</v>
      </c>
      <c r="AW388" s="189">
        <f t="shared" si="149"/>
        <v>0</v>
      </c>
      <c r="AX388" s="189">
        <f t="shared" si="149"/>
        <v>0</v>
      </c>
      <c r="AY388" s="189">
        <f t="shared" si="149"/>
        <v>0</v>
      </c>
      <c r="AZ388" s="189">
        <f t="shared" si="149"/>
        <v>0</v>
      </c>
      <c r="BA388" s="189">
        <f t="shared" si="149"/>
        <v>0</v>
      </c>
      <c r="BB388" s="189">
        <f>SUM(BB382:BB387)</f>
        <v>0</v>
      </c>
      <c r="BC388" s="189">
        <f>SUM(BC382:BC387)</f>
        <v>0</v>
      </c>
      <c r="BD388" s="189">
        <f>SUM(BD382:BD387)</f>
        <v>0</v>
      </c>
      <c r="BE388" s="189">
        <f>SUM(BE382:BE387)</f>
        <v>0</v>
      </c>
      <c r="BF388" s="189">
        <f>SUM(BF382:BF387)</f>
        <v>0</v>
      </c>
    </row>
    <row r="389" spans="1:58" ht="14.1" customHeight="1">
      <c r="A389" s="247">
        <f t="shared" si="138"/>
        <v>383</v>
      </c>
      <c r="B389" s="304"/>
      <c r="C389" s="304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</row>
    <row r="390" spans="1:58" ht="14.1" customHeight="1">
      <c r="A390" s="247">
        <f t="shared" si="138"/>
        <v>384</v>
      </c>
      <c r="B390" s="14" t="s">
        <v>262</v>
      </c>
      <c r="C390" s="14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  <c r="AM390" s="48"/>
      <c r="AN390" s="48"/>
      <c r="AO390" s="48"/>
      <c r="AP390" s="48"/>
      <c r="AQ390" s="48"/>
      <c r="AR390" s="48"/>
      <c r="AS390" s="48"/>
      <c r="AT390" s="48"/>
      <c r="AU390" s="48"/>
      <c r="AV390" s="48"/>
      <c r="AW390" s="48"/>
      <c r="AX390" s="48"/>
      <c r="AY390" s="48"/>
      <c r="AZ390" s="48"/>
      <c r="BA390" s="48"/>
      <c r="BB390" s="48"/>
      <c r="BC390" s="48"/>
      <c r="BD390" s="48"/>
      <c r="BE390" s="48"/>
      <c r="BF390" s="48"/>
    </row>
    <row r="391" spans="1:58" ht="14.1" customHeight="1">
      <c r="A391" s="247">
        <f t="shared" si="138"/>
        <v>385</v>
      </c>
      <c r="B391" s="27" t="s">
        <v>263</v>
      </c>
      <c r="C391" s="43">
        <f>SUM(D391:BF391)</f>
        <v>0</v>
      </c>
      <c r="D391" s="48">
        <v>0</v>
      </c>
      <c r="E391" s="48">
        <v>0</v>
      </c>
      <c r="F391" s="48">
        <v>0</v>
      </c>
      <c r="G391" s="48">
        <v>0</v>
      </c>
      <c r="H391" s="48">
        <v>0</v>
      </c>
      <c r="I391" s="48">
        <v>0</v>
      </c>
      <c r="J391" s="48">
        <v>0</v>
      </c>
      <c r="K391" s="48">
        <v>0</v>
      </c>
      <c r="L391" s="48">
        <v>0</v>
      </c>
      <c r="M391" s="48">
        <v>0</v>
      </c>
      <c r="N391" s="48">
        <v>0</v>
      </c>
      <c r="O391" s="48">
        <v>0</v>
      </c>
      <c r="P391" s="48">
        <v>0</v>
      </c>
      <c r="Q391" s="48">
        <v>0</v>
      </c>
      <c r="R391" s="48">
        <v>0</v>
      </c>
      <c r="S391" s="48">
        <v>0</v>
      </c>
      <c r="T391" s="48">
        <v>0</v>
      </c>
      <c r="U391" s="48">
        <v>0</v>
      </c>
      <c r="V391" s="48">
        <v>0</v>
      </c>
      <c r="W391" s="48">
        <v>0</v>
      </c>
      <c r="X391" s="48">
        <v>0</v>
      </c>
      <c r="Y391" s="48">
        <v>0</v>
      </c>
      <c r="Z391" s="48">
        <v>0</v>
      </c>
      <c r="AA391" s="48">
        <v>0</v>
      </c>
      <c r="AB391" s="48">
        <v>0</v>
      </c>
      <c r="AC391" s="48">
        <v>0</v>
      </c>
      <c r="AD391" s="48">
        <v>0</v>
      </c>
      <c r="AE391" s="48">
        <v>0</v>
      </c>
      <c r="AF391" s="48">
        <v>0</v>
      </c>
      <c r="AG391" s="48">
        <v>0</v>
      </c>
      <c r="AH391" s="48">
        <v>0</v>
      </c>
      <c r="AI391" s="48">
        <v>0</v>
      </c>
      <c r="AJ391" s="48">
        <v>0</v>
      </c>
      <c r="AK391" s="48">
        <v>0</v>
      </c>
      <c r="AL391" s="48">
        <v>0</v>
      </c>
      <c r="AM391" s="48">
        <v>0</v>
      </c>
      <c r="AN391" s="48">
        <v>0</v>
      </c>
      <c r="AO391" s="48">
        <v>0</v>
      </c>
      <c r="AP391" s="48">
        <v>0</v>
      </c>
      <c r="AQ391" s="48">
        <v>0</v>
      </c>
      <c r="AR391" s="48">
        <v>0</v>
      </c>
      <c r="AS391" s="48">
        <v>0</v>
      </c>
      <c r="AT391" s="48">
        <v>0</v>
      </c>
      <c r="AU391" s="48">
        <v>0</v>
      </c>
      <c r="AV391" s="48">
        <v>0</v>
      </c>
      <c r="AW391" s="48">
        <v>0</v>
      </c>
      <c r="AX391" s="48">
        <v>0</v>
      </c>
      <c r="AY391" s="48">
        <v>0</v>
      </c>
      <c r="AZ391" s="48">
        <v>0</v>
      </c>
      <c r="BA391" s="48">
        <v>0</v>
      </c>
      <c r="BB391" s="48">
        <v>0</v>
      </c>
      <c r="BC391" s="48">
        <v>0</v>
      </c>
      <c r="BD391" s="48">
        <v>0</v>
      </c>
      <c r="BE391" s="48">
        <v>0</v>
      </c>
      <c r="BF391" s="48">
        <v>0</v>
      </c>
    </row>
    <row r="392" spans="1:58" ht="13.5" customHeight="1">
      <c r="A392" s="247">
        <f t="shared" si="138"/>
        <v>386</v>
      </c>
      <c r="B392" s="27" t="s">
        <v>264</v>
      </c>
      <c r="C392" s="43">
        <f>SUM(D392:BF392)</f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1">
        <v>0</v>
      </c>
      <c r="M392" s="11">
        <v>0</v>
      </c>
      <c r="N392" s="11">
        <v>0</v>
      </c>
      <c r="O392" s="11">
        <v>0</v>
      </c>
      <c r="P392" s="11">
        <v>0</v>
      </c>
      <c r="Q392" s="11">
        <v>0</v>
      </c>
      <c r="R392" s="11">
        <v>0</v>
      </c>
      <c r="S392" s="11">
        <v>0</v>
      </c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11">
        <v>0</v>
      </c>
      <c r="AG392" s="11">
        <v>0</v>
      </c>
      <c r="AH392" s="11">
        <v>0</v>
      </c>
      <c r="AI392" s="11">
        <v>0</v>
      </c>
      <c r="AJ392" s="11">
        <v>0</v>
      </c>
      <c r="AK392" s="11">
        <v>0</v>
      </c>
      <c r="AL392" s="11">
        <v>0</v>
      </c>
      <c r="AM392" s="11">
        <v>0</v>
      </c>
      <c r="AN392" s="11">
        <v>0</v>
      </c>
      <c r="AO392" s="11">
        <v>0</v>
      </c>
      <c r="AP392" s="11">
        <v>0</v>
      </c>
      <c r="AQ392" s="11">
        <v>0</v>
      </c>
      <c r="AR392" s="11">
        <v>0</v>
      </c>
      <c r="AS392" s="11">
        <v>0</v>
      </c>
      <c r="AT392" s="11">
        <v>0</v>
      </c>
      <c r="AU392" s="11">
        <v>0</v>
      </c>
      <c r="AV392" s="11">
        <v>0</v>
      </c>
      <c r="AW392" s="11">
        <v>0</v>
      </c>
      <c r="AX392" s="11">
        <v>0</v>
      </c>
      <c r="AY392" s="11">
        <v>0</v>
      </c>
      <c r="AZ392" s="11">
        <v>0</v>
      </c>
      <c r="BA392" s="11">
        <v>0</v>
      </c>
      <c r="BB392" s="11">
        <v>0</v>
      </c>
      <c r="BC392" s="11">
        <v>0</v>
      </c>
      <c r="BD392" s="11">
        <v>0</v>
      </c>
      <c r="BE392" s="11">
        <v>0</v>
      </c>
      <c r="BF392" s="11">
        <v>0</v>
      </c>
    </row>
    <row r="393" spans="1:58" ht="14.1" customHeight="1">
      <c r="A393" s="247">
        <f t="shared" si="138"/>
        <v>387</v>
      </c>
      <c r="B393" s="27" t="s">
        <v>265</v>
      </c>
      <c r="C393" s="43">
        <f>SUM(D393:BF393)</f>
        <v>0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0</v>
      </c>
      <c r="J393" s="11">
        <v>0</v>
      </c>
      <c r="K393" s="11">
        <v>0</v>
      </c>
      <c r="L393" s="11">
        <v>0</v>
      </c>
      <c r="M393" s="11">
        <v>0</v>
      </c>
      <c r="N393" s="11">
        <v>0</v>
      </c>
      <c r="O393" s="11">
        <v>0</v>
      </c>
      <c r="P393" s="11">
        <v>0</v>
      </c>
      <c r="Q393" s="11">
        <v>0</v>
      </c>
      <c r="R393" s="11">
        <v>0</v>
      </c>
      <c r="S393" s="11">
        <v>0</v>
      </c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0</v>
      </c>
      <c r="AI393" s="11">
        <v>0</v>
      </c>
      <c r="AJ393" s="11"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1">
        <v>0</v>
      </c>
      <c r="AS393" s="11">
        <v>0</v>
      </c>
      <c r="AT393" s="11">
        <v>0</v>
      </c>
      <c r="AU393" s="11">
        <v>0</v>
      </c>
      <c r="AV393" s="11">
        <v>0</v>
      </c>
      <c r="AW393" s="11">
        <v>0</v>
      </c>
      <c r="AX393" s="11">
        <v>0</v>
      </c>
      <c r="AY393" s="11">
        <v>0</v>
      </c>
      <c r="AZ393" s="11">
        <v>0</v>
      </c>
      <c r="BA393" s="11">
        <v>0</v>
      </c>
      <c r="BB393" s="11">
        <v>0</v>
      </c>
      <c r="BC393" s="11">
        <v>0</v>
      </c>
      <c r="BD393" s="11">
        <v>0</v>
      </c>
      <c r="BE393" s="11">
        <v>0</v>
      </c>
      <c r="BF393" s="11">
        <v>0</v>
      </c>
    </row>
    <row r="394" spans="1:58" ht="14.1" customHeight="1">
      <c r="A394" s="247">
        <f t="shared" si="138"/>
        <v>388</v>
      </c>
      <c r="B394" s="92" t="s">
        <v>266</v>
      </c>
      <c r="C394" s="43">
        <f>SUM(D394:BF394)</f>
        <v>0</v>
      </c>
      <c r="D394" s="48">
        <v>0</v>
      </c>
      <c r="E394" s="48">
        <v>0</v>
      </c>
      <c r="F394" s="48">
        <v>0</v>
      </c>
      <c r="G394" s="48">
        <v>0</v>
      </c>
      <c r="H394" s="48">
        <v>0</v>
      </c>
      <c r="I394" s="48">
        <v>0</v>
      </c>
      <c r="J394" s="48">
        <v>0</v>
      </c>
      <c r="K394" s="48">
        <v>0</v>
      </c>
      <c r="L394" s="48">
        <v>0</v>
      </c>
      <c r="M394" s="48">
        <v>0</v>
      </c>
      <c r="N394" s="48">
        <v>0</v>
      </c>
      <c r="O394" s="48">
        <v>0</v>
      </c>
      <c r="P394" s="48">
        <v>0</v>
      </c>
      <c r="Q394" s="48">
        <v>0</v>
      </c>
      <c r="R394" s="48">
        <v>0</v>
      </c>
      <c r="S394" s="48">
        <v>0</v>
      </c>
      <c r="T394" s="48">
        <v>0</v>
      </c>
      <c r="U394" s="48">
        <v>0</v>
      </c>
      <c r="V394" s="48">
        <v>0</v>
      </c>
      <c r="W394" s="48">
        <v>0</v>
      </c>
      <c r="X394" s="48">
        <v>0</v>
      </c>
      <c r="Y394" s="48">
        <v>0</v>
      </c>
      <c r="Z394" s="48">
        <v>0</v>
      </c>
      <c r="AA394" s="48">
        <v>0</v>
      </c>
      <c r="AB394" s="48">
        <v>0</v>
      </c>
      <c r="AC394" s="48">
        <v>0</v>
      </c>
      <c r="AD394" s="48">
        <v>0</v>
      </c>
      <c r="AE394" s="48">
        <v>0</v>
      </c>
      <c r="AF394" s="48">
        <v>0</v>
      </c>
      <c r="AG394" s="48">
        <v>0</v>
      </c>
      <c r="AH394" s="48">
        <v>0</v>
      </c>
      <c r="AI394" s="48">
        <v>0</v>
      </c>
      <c r="AJ394" s="48">
        <v>0</v>
      </c>
      <c r="AK394" s="48">
        <v>0</v>
      </c>
      <c r="AL394" s="48">
        <v>0</v>
      </c>
      <c r="AM394" s="48">
        <v>0</v>
      </c>
      <c r="AN394" s="48">
        <v>0</v>
      </c>
      <c r="AO394" s="48">
        <v>0</v>
      </c>
      <c r="AP394" s="48">
        <v>0</v>
      </c>
      <c r="AQ394" s="48">
        <v>0</v>
      </c>
      <c r="AR394" s="48">
        <v>0</v>
      </c>
      <c r="AS394" s="48">
        <v>0</v>
      </c>
      <c r="AT394" s="48">
        <v>0</v>
      </c>
      <c r="AU394" s="48">
        <v>0</v>
      </c>
      <c r="AV394" s="48">
        <v>0</v>
      </c>
      <c r="AW394" s="48">
        <v>0</v>
      </c>
      <c r="AX394" s="48">
        <v>0</v>
      </c>
      <c r="AY394" s="48">
        <v>0</v>
      </c>
      <c r="AZ394" s="48">
        <v>0</v>
      </c>
      <c r="BA394" s="48">
        <v>0</v>
      </c>
      <c r="BB394" s="48">
        <v>0</v>
      </c>
      <c r="BC394" s="48">
        <v>0</v>
      </c>
      <c r="BD394" s="48">
        <v>0</v>
      </c>
      <c r="BE394" s="48">
        <v>0</v>
      </c>
      <c r="BF394" s="48">
        <v>0</v>
      </c>
    </row>
    <row r="395" spans="1:58" ht="14.1" customHeight="1">
      <c r="A395" s="247">
        <f t="shared" si="138"/>
        <v>389</v>
      </c>
      <c r="B395" s="25" t="s">
        <v>555</v>
      </c>
      <c r="C395" s="189">
        <f>SUM(C391:C394)</f>
        <v>0</v>
      </c>
      <c r="D395" s="189">
        <f>SUM(D391:D394)</f>
        <v>0</v>
      </c>
      <c r="E395" s="189">
        <f t="shared" ref="E395:BA395" si="150">SUM(E391:E394)</f>
        <v>0</v>
      </c>
      <c r="F395" s="189">
        <f t="shared" si="150"/>
        <v>0</v>
      </c>
      <c r="G395" s="189">
        <f t="shared" si="150"/>
        <v>0</v>
      </c>
      <c r="H395" s="189">
        <f t="shared" si="150"/>
        <v>0</v>
      </c>
      <c r="I395" s="189">
        <f t="shared" si="150"/>
        <v>0</v>
      </c>
      <c r="J395" s="189">
        <f t="shared" si="150"/>
        <v>0</v>
      </c>
      <c r="K395" s="189">
        <f t="shared" si="150"/>
        <v>0</v>
      </c>
      <c r="L395" s="189">
        <f t="shared" si="150"/>
        <v>0</v>
      </c>
      <c r="M395" s="189">
        <f t="shared" si="150"/>
        <v>0</v>
      </c>
      <c r="N395" s="189">
        <f t="shared" si="150"/>
        <v>0</v>
      </c>
      <c r="O395" s="189">
        <f t="shared" si="150"/>
        <v>0</v>
      </c>
      <c r="P395" s="189">
        <f t="shared" si="150"/>
        <v>0</v>
      </c>
      <c r="Q395" s="189">
        <f t="shared" si="150"/>
        <v>0</v>
      </c>
      <c r="R395" s="189">
        <f t="shared" si="150"/>
        <v>0</v>
      </c>
      <c r="S395" s="189">
        <f t="shared" si="150"/>
        <v>0</v>
      </c>
      <c r="T395" s="189">
        <f t="shared" si="150"/>
        <v>0</v>
      </c>
      <c r="U395" s="189">
        <f t="shared" si="150"/>
        <v>0</v>
      </c>
      <c r="V395" s="189">
        <f t="shared" si="150"/>
        <v>0</v>
      </c>
      <c r="W395" s="189">
        <f t="shared" si="150"/>
        <v>0</v>
      </c>
      <c r="X395" s="189">
        <f t="shared" si="150"/>
        <v>0</v>
      </c>
      <c r="Y395" s="189">
        <f t="shared" si="150"/>
        <v>0</v>
      </c>
      <c r="Z395" s="189">
        <f t="shared" si="150"/>
        <v>0</v>
      </c>
      <c r="AA395" s="189">
        <f t="shared" si="150"/>
        <v>0</v>
      </c>
      <c r="AB395" s="189">
        <f t="shared" si="150"/>
        <v>0</v>
      </c>
      <c r="AC395" s="189">
        <f t="shared" si="150"/>
        <v>0</v>
      </c>
      <c r="AD395" s="189">
        <f t="shared" si="150"/>
        <v>0</v>
      </c>
      <c r="AE395" s="189">
        <f t="shared" si="150"/>
        <v>0</v>
      </c>
      <c r="AF395" s="189">
        <f t="shared" si="150"/>
        <v>0</v>
      </c>
      <c r="AG395" s="189">
        <f t="shared" si="150"/>
        <v>0</v>
      </c>
      <c r="AH395" s="189">
        <f t="shared" si="150"/>
        <v>0</v>
      </c>
      <c r="AI395" s="189">
        <f t="shared" si="150"/>
        <v>0</v>
      </c>
      <c r="AJ395" s="189">
        <f t="shared" si="150"/>
        <v>0</v>
      </c>
      <c r="AK395" s="189">
        <f t="shared" si="150"/>
        <v>0</v>
      </c>
      <c r="AL395" s="189">
        <f t="shared" si="150"/>
        <v>0</v>
      </c>
      <c r="AM395" s="189">
        <f t="shared" si="150"/>
        <v>0</v>
      </c>
      <c r="AN395" s="189">
        <f t="shared" si="150"/>
        <v>0</v>
      </c>
      <c r="AO395" s="189">
        <f t="shared" si="150"/>
        <v>0</v>
      </c>
      <c r="AP395" s="189">
        <f t="shared" si="150"/>
        <v>0</v>
      </c>
      <c r="AQ395" s="189">
        <f t="shared" si="150"/>
        <v>0</v>
      </c>
      <c r="AR395" s="189">
        <f t="shared" si="150"/>
        <v>0</v>
      </c>
      <c r="AS395" s="189">
        <f t="shared" si="150"/>
        <v>0</v>
      </c>
      <c r="AT395" s="189">
        <f t="shared" si="150"/>
        <v>0</v>
      </c>
      <c r="AU395" s="189">
        <f t="shared" si="150"/>
        <v>0</v>
      </c>
      <c r="AV395" s="189">
        <f t="shared" si="150"/>
        <v>0</v>
      </c>
      <c r="AW395" s="189">
        <f t="shared" si="150"/>
        <v>0</v>
      </c>
      <c r="AX395" s="189">
        <f t="shared" si="150"/>
        <v>0</v>
      </c>
      <c r="AY395" s="189">
        <f t="shared" si="150"/>
        <v>0</v>
      </c>
      <c r="AZ395" s="189">
        <f t="shared" si="150"/>
        <v>0</v>
      </c>
      <c r="BA395" s="189">
        <f t="shared" si="150"/>
        <v>0</v>
      </c>
      <c r="BB395" s="189">
        <f>SUM(BB391:BB394)</f>
        <v>0</v>
      </c>
      <c r="BC395" s="189">
        <f>SUM(BC391:BC394)</f>
        <v>0</v>
      </c>
      <c r="BD395" s="189">
        <f>SUM(BD391:BD394)</f>
        <v>0</v>
      </c>
      <c r="BE395" s="189">
        <f>SUM(BE391:BE394)</f>
        <v>0</v>
      </c>
      <c r="BF395" s="189">
        <f>SUM(BF391:BF394)</f>
        <v>0</v>
      </c>
    </row>
    <row r="396" spans="1:58" ht="14.1" customHeight="1">
      <c r="A396" s="247">
        <f t="shared" si="138"/>
        <v>390</v>
      </c>
      <c r="B396" s="304"/>
      <c r="C396" s="304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</row>
    <row r="397" spans="1:58" ht="14.1" customHeight="1">
      <c r="A397" s="247">
        <f t="shared" ref="A397:A460" si="151">+A396+1</f>
        <v>391</v>
      </c>
      <c r="B397" s="14" t="s">
        <v>267</v>
      </c>
      <c r="C397" s="14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  <c r="AN397" s="48"/>
      <c r="AO397" s="48"/>
      <c r="AP397" s="48"/>
      <c r="AQ397" s="48"/>
      <c r="AR397" s="48"/>
      <c r="AS397" s="48"/>
      <c r="AT397" s="48"/>
      <c r="AU397" s="48"/>
      <c r="AV397" s="48"/>
      <c r="AW397" s="48"/>
      <c r="AX397" s="48"/>
      <c r="AY397" s="48"/>
      <c r="AZ397" s="48"/>
      <c r="BA397" s="48"/>
      <c r="BB397" s="48"/>
      <c r="BC397" s="48"/>
      <c r="BD397" s="48"/>
      <c r="BE397" s="48"/>
      <c r="BF397" s="48"/>
    </row>
    <row r="398" spans="1:58" ht="14.1" customHeight="1">
      <c r="A398" s="247">
        <f t="shared" si="151"/>
        <v>392</v>
      </c>
      <c r="B398" s="27" t="s">
        <v>268</v>
      </c>
      <c r="C398" s="43">
        <f>SUM(D398:BF398)</f>
        <v>0</v>
      </c>
      <c r="D398" s="48">
        <v>0</v>
      </c>
      <c r="E398" s="48">
        <v>0</v>
      </c>
      <c r="F398" s="48">
        <v>0</v>
      </c>
      <c r="G398" s="48">
        <v>0</v>
      </c>
      <c r="H398" s="48">
        <v>0</v>
      </c>
      <c r="I398" s="48">
        <v>0</v>
      </c>
      <c r="J398" s="48">
        <v>0</v>
      </c>
      <c r="K398" s="48">
        <v>0</v>
      </c>
      <c r="L398" s="48">
        <v>0</v>
      </c>
      <c r="M398" s="48">
        <v>0</v>
      </c>
      <c r="N398" s="48">
        <v>0</v>
      </c>
      <c r="O398" s="48">
        <v>0</v>
      </c>
      <c r="P398" s="48">
        <v>0</v>
      </c>
      <c r="Q398" s="48">
        <v>0</v>
      </c>
      <c r="R398" s="48">
        <v>0</v>
      </c>
      <c r="S398" s="48">
        <v>0</v>
      </c>
      <c r="T398" s="48">
        <v>0</v>
      </c>
      <c r="U398" s="48">
        <v>0</v>
      </c>
      <c r="V398" s="48">
        <v>0</v>
      </c>
      <c r="W398" s="48">
        <v>0</v>
      </c>
      <c r="X398" s="48">
        <v>0</v>
      </c>
      <c r="Y398" s="48">
        <v>0</v>
      </c>
      <c r="Z398" s="48">
        <v>0</v>
      </c>
      <c r="AA398" s="48">
        <v>0</v>
      </c>
      <c r="AB398" s="48">
        <v>0</v>
      </c>
      <c r="AC398" s="48">
        <v>0</v>
      </c>
      <c r="AD398" s="48">
        <v>0</v>
      </c>
      <c r="AE398" s="48">
        <v>0</v>
      </c>
      <c r="AF398" s="48">
        <v>0</v>
      </c>
      <c r="AG398" s="48">
        <v>0</v>
      </c>
      <c r="AH398" s="48">
        <v>0</v>
      </c>
      <c r="AI398" s="48">
        <v>0</v>
      </c>
      <c r="AJ398" s="48">
        <v>0</v>
      </c>
      <c r="AK398" s="48">
        <v>0</v>
      </c>
      <c r="AL398" s="48">
        <v>0</v>
      </c>
      <c r="AM398" s="48">
        <v>0</v>
      </c>
      <c r="AN398" s="48">
        <v>0</v>
      </c>
      <c r="AO398" s="48">
        <v>0</v>
      </c>
      <c r="AP398" s="48">
        <v>0</v>
      </c>
      <c r="AQ398" s="48">
        <v>0</v>
      </c>
      <c r="AR398" s="48">
        <v>0</v>
      </c>
      <c r="AS398" s="48">
        <v>0</v>
      </c>
      <c r="AT398" s="48">
        <v>0</v>
      </c>
      <c r="AU398" s="48">
        <v>0</v>
      </c>
      <c r="AV398" s="48">
        <v>0</v>
      </c>
      <c r="AW398" s="48">
        <v>0</v>
      </c>
      <c r="AX398" s="48">
        <v>0</v>
      </c>
      <c r="AY398" s="48">
        <v>0</v>
      </c>
      <c r="AZ398" s="48">
        <v>0</v>
      </c>
      <c r="BA398" s="48">
        <v>0</v>
      </c>
      <c r="BB398" s="48">
        <v>0</v>
      </c>
      <c r="BC398" s="48">
        <v>0</v>
      </c>
      <c r="BD398" s="48">
        <v>0</v>
      </c>
      <c r="BE398" s="48">
        <v>0</v>
      </c>
      <c r="BF398" s="48">
        <v>0</v>
      </c>
    </row>
    <row r="399" spans="1:58" ht="14.1" customHeight="1">
      <c r="A399" s="247">
        <f t="shared" si="151"/>
        <v>393</v>
      </c>
      <c r="B399" s="27" t="s">
        <v>269</v>
      </c>
      <c r="C399" s="43">
        <f>SUM(D399:BF399)</f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1">
        <v>0</v>
      </c>
      <c r="AS399" s="11">
        <v>0</v>
      </c>
      <c r="AT399" s="11">
        <v>0</v>
      </c>
      <c r="AU399" s="11">
        <v>0</v>
      </c>
      <c r="AV399" s="11">
        <v>0</v>
      </c>
      <c r="AW399" s="11">
        <v>0</v>
      </c>
      <c r="AX399" s="11">
        <v>0</v>
      </c>
      <c r="AY399" s="11">
        <v>0</v>
      </c>
      <c r="AZ399" s="11">
        <v>0</v>
      </c>
      <c r="BA399" s="11">
        <v>0</v>
      </c>
      <c r="BB399" s="11">
        <v>0</v>
      </c>
      <c r="BC399" s="11">
        <v>0</v>
      </c>
      <c r="BD399" s="11">
        <v>0</v>
      </c>
      <c r="BE399" s="11">
        <v>0</v>
      </c>
      <c r="BF399" s="11">
        <v>0</v>
      </c>
    </row>
    <row r="400" spans="1:58" ht="14.1" customHeight="1">
      <c r="A400" s="247">
        <f t="shared" si="151"/>
        <v>394</v>
      </c>
      <c r="B400" s="27" t="s">
        <v>270</v>
      </c>
      <c r="C400" s="43">
        <f>SUM(D400:BF400)</f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0</v>
      </c>
      <c r="K400" s="11">
        <v>0</v>
      </c>
      <c r="L400" s="11">
        <v>0</v>
      </c>
      <c r="M400" s="11">
        <v>0</v>
      </c>
      <c r="N400" s="11">
        <v>0</v>
      </c>
      <c r="O400" s="11">
        <v>0</v>
      </c>
      <c r="P400" s="11">
        <v>0</v>
      </c>
      <c r="Q400" s="11">
        <v>0</v>
      </c>
      <c r="R400" s="11">
        <v>0</v>
      </c>
      <c r="S400" s="11">
        <v>0</v>
      </c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11">
        <v>0</v>
      </c>
      <c r="AG400" s="11">
        <v>0</v>
      </c>
      <c r="AH400" s="11">
        <v>0</v>
      </c>
      <c r="AI400" s="11">
        <v>0</v>
      </c>
      <c r="AJ400" s="11">
        <v>0</v>
      </c>
      <c r="AK400" s="11">
        <v>0</v>
      </c>
      <c r="AL400" s="11">
        <v>0</v>
      </c>
      <c r="AM400" s="11">
        <v>0</v>
      </c>
      <c r="AN400" s="11">
        <v>0</v>
      </c>
      <c r="AO400" s="11">
        <v>0</v>
      </c>
      <c r="AP400" s="11">
        <v>0</v>
      </c>
      <c r="AQ400" s="11">
        <v>0</v>
      </c>
      <c r="AR400" s="11">
        <v>0</v>
      </c>
      <c r="AS400" s="11">
        <v>0</v>
      </c>
      <c r="AT400" s="11">
        <v>0</v>
      </c>
      <c r="AU400" s="11">
        <v>0</v>
      </c>
      <c r="AV400" s="11">
        <v>0</v>
      </c>
      <c r="AW400" s="11">
        <v>0</v>
      </c>
      <c r="AX400" s="11">
        <v>0</v>
      </c>
      <c r="AY400" s="11">
        <v>0</v>
      </c>
      <c r="AZ400" s="11">
        <v>0</v>
      </c>
      <c r="BA400" s="11">
        <v>0</v>
      </c>
      <c r="BB400" s="11">
        <v>0</v>
      </c>
      <c r="BC400" s="11">
        <v>0</v>
      </c>
      <c r="BD400" s="11">
        <v>0</v>
      </c>
      <c r="BE400" s="11">
        <v>0</v>
      </c>
      <c r="BF400" s="11">
        <v>0</v>
      </c>
    </row>
    <row r="401" spans="1:58" ht="14.1" customHeight="1">
      <c r="A401" s="247">
        <f t="shared" si="151"/>
        <v>395</v>
      </c>
      <c r="B401" s="92" t="s">
        <v>271</v>
      </c>
      <c r="C401" s="43">
        <f>SUM(D401:BF401)</f>
        <v>0</v>
      </c>
      <c r="D401" s="48">
        <v>0</v>
      </c>
      <c r="E401" s="48">
        <v>0</v>
      </c>
      <c r="F401" s="48">
        <v>0</v>
      </c>
      <c r="G401" s="48">
        <v>0</v>
      </c>
      <c r="H401" s="48">
        <v>0</v>
      </c>
      <c r="I401" s="48">
        <v>0</v>
      </c>
      <c r="J401" s="48">
        <v>0</v>
      </c>
      <c r="K401" s="48">
        <v>0</v>
      </c>
      <c r="L401" s="48">
        <v>0</v>
      </c>
      <c r="M401" s="48">
        <v>0</v>
      </c>
      <c r="N401" s="48">
        <v>0</v>
      </c>
      <c r="O401" s="48">
        <v>0</v>
      </c>
      <c r="P401" s="48">
        <v>0</v>
      </c>
      <c r="Q401" s="48">
        <v>0</v>
      </c>
      <c r="R401" s="48">
        <v>0</v>
      </c>
      <c r="S401" s="48">
        <v>0</v>
      </c>
      <c r="T401" s="48">
        <v>0</v>
      </c>
      <c r="U401" s="48">
        <v>0</v>
      </c>
      <c r="V401" s="48">
        <v>0</v>
      </c>
      <c r="W401" s="48">
        <v>0</v>
      </c>
      <c r="X401" s="48">
        <v>0</v>
      </c>
      <c r="Y401" s="48">
        <v>0</v>
      </c>
      <c r="Z401" s="48">
        <v>0</v>
      </c>
      <c r="AA401" s="48">
        <v>0</v>
      </c>
      <c r="AB401" s="48">
        <v>0</v>
      </c>
      <c r="AC401" s="48">
        <v>0</v>
      </c>
      <c r="AD401" s="48">
        <v>0</v>
      </c>
      <c r="AE401" s="48">
        <v>0</v>
      </c>
      <c r="AF401" s="48">
        <v>0</v>
      </c>
      <c r="AG401" s="48">
        <v>0</v>
      </c>
      <c r="AH401" s="48">
        <v>0</v>
      </c>
      <c r="AI401" s="48">
        <v>0</v>
      </c>
      <c r="AJ401" s="48">
        <v>0</v>
      </c>
      <c r="AK401" s="48">
        <v>0</v>
      </c>
      <c r="AL401" s="48">
        <v>0</v>
      </c>
      <c r="AM401" s="48">
        <v>0</v>
      </c>
      <c r="AN401" s="48">
        <v>0</v>
      </c>
      <c r="AO401" s="48">
        <v>0</v>
      </c>
      <c r="AP401" s="48">
        <v>0</v>
      </c>
      <c r="AQ401" s="48">
        <v>0</v>
      </c>
      <c r="AR401" s="48">
        <v>0</v>
      </c>
      <c r="AS401" s="48">
        <v>0</v>
      </c>
      <c r="AT401" s="48">
        <v>0</v>
      </c>
      <c r="AU401" s="48">
        <v>0</v>
      </c>
      <c r="AV401" s="48">
        <v>0</v>
      </c>
      <c r="AW401" s="48">
        <v>0</v>
      </c>
      <c r="AX401" s="48">
        <v>0</v>
      </c>
      <c r="AY401" s="48">
        <v>0</v>
      </c>
      <c r="AZ401" s="48">
        <v>0</v>
      </c>
      <c r="BA401" s="48">
        <v>0</v>
      </c>
      <c r="BB401" s="48">
        <v>0</v>
      </c>
      <c r="BC401" s="48">
        <v>0</v>
      </c>
      <c r="BD401" s="48">
        <v>0</v>
      </c>
      <c r="BE401" s="48">
        <v>0</v>
      </c>
      <c r="BF401" s="48">
        <v>0</v>
      </c>
    </row>
    <row r="402" spans="1:58" ht="14.1" customHeight="1">
      <c r="A402" s="247">
        <f t="shared" si="151"/>
        <v>396</v>
      </c>
      <c r="B402" s="25" t="s">
        <v>556</v>
      </c>
      <c r="C402" s="189">
        <f>SUM(C397:C401)</f>
        <v>0</v>
      </c>
      <c r="D402" s="189">
        <f>SUM(D397:D401)</f>
        <v>0</v>
      </c>
      <c r="E402" s="189">
        <f t="shared" ref="E402:BA402" si="152">SUM(E397:E401)</f>
        <v>0</v>
      </c>
      <c r="F402" s="189">
        <f t="shared" si="152"/>
        <v>0</v>
      </c>
      <c r="G402" s="189">
        <f t="shared" si="152"/>
        <v>0</v>
      </c>
      <c r="H402" s="189">
        <f t="shared" si="152"/>
        <v>0</v>
      </c>
      <c r="I402" s="189">
        <f t="shared" si="152"/>
        <v>0</v>
      </c>
      <c r="J402" s="189">
        <f t="shared" si="152"/>
        <v>0</v>
      </c>
      <c r="K402" s="189">
        <f t="shared" si="152"/>
        <v>0</v>
      </c>
      <c r="L402" s="189">
        <f t="shared" si="152"/>
        <v>0</v>
      </c>
      <c r="M402" s="189">
        <f t="shared" si="152"/>
        <v>0</v>
      </c>
      <c r="N402" s="189">
        <f t="shared" si="152"/>
        <v>0</v>
      </c>
      <c r="O402" s="189">
        <f t="shared" si="152"/>
        <v>0</v>
      </c>
      <c r="P402" s="189">
        <f t="shared" si="152"/>
        <v>0</v>
      </c>
      <c r="Q402" s="189">
        <f t="shared" si="152"/>
        <v>0</v>
      </c>
      <c r="R402" s="189">
        <f t="shared" si="152"/>
        <v>0</v>
      </c>
      <c r="S402" s="189">
        <f t="shared" si="152"/>
        <v>0</v>
      </c>
      <c r="T402" s="189">
        <f t="shared" si="152"/>
        <v>0</v>
      </c>
      <c r="U402" s="189">
        <f t="shared" si="152"/>
        <v>0</v>
      </c>
      <c r="V402" s="189">
        <f t="shared" si="152"/>
        <v>0</v>
      </c>
      <c r="W402" s="189">
        <f t="shared" si="152"/>
        <v>0</v>
      </c>
      <c r="X402" s="189">
        <f t="shared" si="152"/>
        <v>0</v>
      </c>
      <c r="Y402" s="189">
        <f t="shared" si="152"/>
        <v>0</v>
      </c>
      <c r="Z402" s="189">
        <f t="shared" si="152"/>
        <v>0</v>
      </c>
      <c r="AA402" s="189">
        <f t="shared" si="152"/>
        <v>0</v>
      </c>
      <c r="AB402" s="189">
        <f t="shared" si="152"/>
        <v>0</v>
      </c>
      <c r="AC402" s="189">
        <f t="shared" si="152"/>
        <v>0</v>
      </c>
      <c r="AD402" s="189">
        <f t="shared" si="152"/>
        <v>0</v>
      </c>
      <c r="AE402" s="189">
        <f t="shared" si="152"/>
        <v>0</v>
      </c>
      <c r="AF402" s="189">
        <f t="shared" si="152"/>
        <v>0</v>
      </c>
      <c r="AG402" s="189">
        <f t="shared" si="152"/>
        <v>0</v>
      </c>
      <c r="AH402" s="189">
        <f t="shared" si="152"/>
        <v>0</v>
      </c>
      <c r="AI402" s="189">
        <f t="shared" si="152"/>
        <v>0</v>
      </c>
      <c r="AJ402" s="189">
        <f t="shared" si="152"/>
        <v>0</v>
      </c>
      <c r="AK402" s="189">
        <f t="shared" si="152"/>
        <v>0</v>
      </c>
      <c r="AL402" s="189">
        <f t="shared" si="152"/>
        <v>0</v>
      </c>
      <c r="AM402" s="189">
        <f t="shared" si="152"/>
        <v>0</v>
      </c>
      <c r="AN402" s="189">
        <f t="shared" si="152"/>
        <v>0</v>
      </c>
      <c r="AO402" s="189">
        <f t="shared" si="152"/>
        <v>0</v>
      </c>
      <c r="AP402" s="189">
        <f t="shared" si="152"/>
        <v>0</v>
      </c>
      <c r="AQ402" s="189">
        <f t="shared" si="152"/>
        <v>0</v>
      </c>
      <c r="AR402" s="189">
        <f t="shared" si="152"/>
        <v>0</v>
      </c>
      <c r="AS402" s="189">
        <f t="shared" si="152"/>
        <v>0</v>
      </c>
      <c r="AT402" s="189">
        <f t="shared" si="152"/>
        <v>0</v>
      </c>
      <c r="AU402" s="189">
        <f t="shared" si="152"/>
        <v>0</v>
      </c>
      <c r="AV402" s="189">
        <f t="shared" si="152"/>
        <v>0</v>
      </c>
      <c r="AW402" s="189">
        <f t="shared" si="152"/>
        <v>0</v>
      </c>
      <c r="AX402" s="189">
        <f t="shared" si="152"/>
        <v>0</v>
      </c>
      <c r="AY402" s="189">
        <f t="shared" si="152"/>
        <v>0</v>
      </c>
      <c r="AZ402" s="189">
        <f t="shared" si="152"/>
        <v>0</v>
      </c>
      <c r="BA402" s="189">
        <f t="shared" si="152"/>
        <v>0</v>
      </c>
      <c r="BB402" s="189">
        <f>SUM(BB397:BB401)</f>
        <v>0</v>
      </c>
      <c r="BC402" s="189">
        <f>SUM(BC397:BC401)</f>
        <v>0</v>
      </c>
      <c r="BD402" s="189">
        <f>SUM(BD397:BD401)</f>
        <v>0</v>
      </c>
      <c r="BE402" s="189">
        <f>SUM(BE397:BE401)</f>
        <v>0</v>
      </c>
      <c r="BF402" s="189">
        <f>SUM(BF397:BF401)</f>
        <v>0</v>
      </c>
    </row>
    <row r="403" spans="1:58" ht="14.1" customHeight="1">
      <c r="A403" s="247">
        <f t="shared" si="151"/>
        <v>397</v>
      </c>
      <c r="B403" s="304"/>
      <c r="C403" s="304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</row>
    <row r="404" spans="1:58" ht="14.1" customHeight="1">
      <c r="A404" s="247">
        <f t="shared" si="151"/>
        <v>398</v>
      </c>
      <c r="B404" s="14" t="s">
        <v>272</v>
      </c>
      <c r="C404" s="14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  <c r="AN404" s="48"/>
      <c r="AO404" s="48"/>
      <c r="AP404" s="48"/>
      <c r="AQ404" s="48"/>
      <c r="AR404" s="48"/>
      <c r="AS404" s="48"/>
      <c r="AT404" s="48"/>
      <c r="AU404" s="48"/>
      <c r="AV404" s="48"/>
      <c r="AW404" s="48"/>
      <c r="AX404" s="48"/>
      <c r="AY404" s="48"/>
      <c r="AZ404" s="48"/>
      <c r="BA404" s="48"/>
      <c r="BB404" s="48"/>
      <c r="BC404" s="48"/>
      <c r="BD404" s="48"/>
      <c r="BE404" s="48"/>
      <c r="BF404" s="48"/>
    </row>
    <row r="405" spans="1:58" ht="14.1" customHeight="1">
      <c r="A405" s="247">
        <f t="shared" si="151"/>
        <v>399</v>
      </c>
      <c r="B405" s="27" t="s">
        <v>273</v>
      </c>
      <c r="C405" s="43">
        <f t="shared" ref="C405:C418" si="153">SUM(D405:BF405)</f>
        <v>-2021864</v>
      </c>
      <c r="D405" s="158">
        <v>0</v>
      </c>
      <c r="E405" s="48">
        <v>0</v>
      </c>
      <c r="F405" s="48">
        <v>0</v>
      </c>
      <c r="G405" s="48">
        <v>0</v>
      </c>
      <c r="H405" s="48">
        <v>0</v>
      </c>
      <c r="I405" s="158">
        <v>0</v>
      </c>
      <c r="J405" s="48">
        <v>0</v>
      </c>
      <c r="K405" s="48">
        <v>0</v>
      </c>
      <c r="L405" s="158">
        <v>0</v>
      </c>
      <c r="M405" s="48">
        <v>0</v>
      </c>
      <c r="N405" s="158">
        <v>0</v>
      </c>
      <c r="O405" s="158">
        <v>0</v>
      </c>
      <c r="P405" s="48">
        <v>0</v>
      </c>
      <c r="Q405" s="48">
        <v>0</v>
      </c>
      <c r="R405" s="48">
        <v>0</v>
      </c>
      <c r="S405" s="48">
        <v>0</v>
      </c>
      <c r="T405" s="48">
        <v>0</v>
      </c>
      <c r="U405" s="48">
        <v>0</v>
      </c>
      <c r="V405" s="48">
        <v>0</v>
      </c>
      <c r="W405" s="48">
        <v>0</v>
      </c>
      <c r="X405" s="48">
        <v>0</v>
      </c>
      <c r="Y405" s="48">
        <v>0</v>
      </c>
      <c r="Z405" s="48">
        <v>0</v>
      </c>
      <c r="AA405" s="48">
        <v>0</v>
      </c>
      <c r="AB405" s="48">
        <v>0</v>
      </c>
      <c r="AC405" s="48">
        <v>0</v>
      </c>
      <c r="AD405" s="48">
        <v>-2387241</v>
      </c>
      <c r="AE405" s="48">
        <v>0</v>
      </c>
      <c r="AF405" s="48">
        <v>365377</v>
      </c>
      <c r="AG405" s="48">
        <v>0</v>
      </c>
      <c r="AH405" s="48">
        <v>0</v>
      </c>
      <c r="AI405" s="48">
        <v>0</v>
      </c>
      <c r="AJ405" s="48">
        <v>0</v>
      </c>
      <c r="AK405" s="48">
        <v>0</v>
      </c>
      <c r="AL405" s="48">
        <v>0</v>
      </c>
      <c r="AM405" s="48">
        <v>0</v>
      </c>
      <c r="AN405" s="48">
        <v>0</v>
      </c>
      <c r="AO405" s="48">
        <v>0</v>
      </c>
      <c r="AP405" s="48">
        <v>0</v>
      </c>
      <c r="AQ405" s="48">
        <v>0</v>
      </c>
      <c r="AR405" s="158">
        <v>0</v>
      </c>
      <c r="AS405" s="48">
        <v>0</v>
      </c>
      <c r="AT405" s="48">
        <v>0</v>
      </c>
      <c r="AU405" s="48">
        <v>0</v>
      </c>
      <c r="AV405" s="48">
        <v>0</v>
      </c>
      <c r="AW405" s="48">
        <v>0</v>
      </c>
      <c r="AX405" s="48">
        <v>0</v>
      </c>
      <c r="AY405" s="48">
        <v>0</v>
      </c>
      <c r="AZ405" s="48">
        <v>0</v>
      </c>
      <c r="BA405" s="48">
        <v>0</v>
      </c>
      <c r="BB405" s="48">
        <v>0</v>
      </c>
      <c r="BC405" s="48">
        <v>0</v>
      </c>
      <c r="BD405" s="48">
        <v>0</v>
      </c>
      <c r="BE405" s="48">
        <v>0</v>
      </c>
      <c r="BF405" s="48">
        <v>0</v>
      </c>
    </row>
    <row r="406" spans="1:58" ht="14.1" customHeight="1">
      <c r="A406" s="247">
        <f t="shared" si="151"/>
        <v>400</v>
      </c>
      <c r="B406" s="27" t="s">
        <v>274</v>
      </c>
      <c r="C406" s="43">
        <f t="shared" si="153"/>
        <v>-128553</v>
      </c>
      <c r="D406" s="158">
        <v>0</v>
      </c>
      <c r="E406" s="48">
        <v>0</v>
      </c>
      <c r="F406" s="48">
        <v>0</v>
      </c>
      <c r="G406" s="48">
        <v>0</v>
      </c>
      <c r="H406" s="48">
        <v>0</v>
      </c>
      <c r="I406" s="158">
        <v>0</v>
      </c>
      <c r="J406" s="48">
        <v>0</v>
      </c>
      <c r="K406" s="48">
        <v>0</v>
      </c>
      <c r="L406" s="158">
        <v>0</v>
      </c>
      <c r="M406" s="48">
        <v>0</v>
      </c>
      <c r="N406" s="158">
        <v>0</v>
      </c>
      <c r="O406" s="158">
        <v>0</v>
      </c>
      <c r="P406" s="48">
        <v>0</v>
      </c>
      <c r="Q406" s="48">
        <v>0</v>
      </c>
      <c r="R406" s="48">
        <v>0</v>
      </c>
      <c r="S406" s="48">
        <v>0</v>
      </c>
      <c r="T406" s="48">
        <v>0</v>
      </c>
      <c r="U406" s="48">
        <v>0</v>
      </c>
      <c r="V406" s="48">
        <v>0</v>
      </c>
      <c r="W406" s="48">
        <v>0</v>
      </c>
      <c r="X406" s="48">
        <v>0</v>
      </c>
      <c r="Y406" s="48">
        <v>0</v>
      </c>
      <c r="Z406" s="48">
        <v>0</v>
      </c>
      <c r="AA406" s="48">
        <v>0</v>
      </c>
      <c r="AB406" s="48">
        <v>0</v>
      </c>
      <c r="AC406" s="48">
        <v>0</v>
      </c>
      <c r="AD406" s="48">
        <v>-147009</v>
      </c>
      <c r="AE406" s="48">
        <v>0</v>
      </c>
      <c r="AF406" s="48">
        <v>18456</v>
      </c>
      <c r="AG406" s="48">
        <v>0</v>
      </c>
      <c r="AH406" s="48">
        <v>0</v>
      </c>
      <c r="AI406" s="48">
        <v>0</v>
      </c>
      <c r="AJ406" s="48">
        <v>0</v>
      </c>
      <c r="AK406" s="48">
        <v>0</v>
      </c>
      <c r="AL406" s="48">
        <v>0</v>
      </c>
      <c r="AM406" s="48">
        <v>0</v>
      </c>
      <c r="AN406" s="48">
        <v>0</v>
      </c>
      <c r="AO406" s="48">
        <v>0</v>
      </c>
      <c r="AP406" s="48">
        <v>0</v>
      </c>
      <c r="AQ406" s="48">
        <v>0</v>
      </c>
      <c r="AR406" s="158">
        <v>0</v>
      </c>
      <c r="AS406" s="48">
        <v>0</v>
      </c>
      <c r="AT406" s="48">
        <v>0</v>
      </c>
      <c r="AU406" s="48">
        <v>0</v>
      </c>
      <c r="AV406" s="48">
        <v>0</v>
      </c>
      <c r="AW406" s="48">
        <v>0</v>
      </c>
      <c r="AX406" s="48">
        <v>0</v>
      </c>
      <c r="AY406" s="48">
        <v>0</v>
      </c>
      <c r="AZ406" s="48">
        <v>0</v>
      </c>
      <c r="BA406" s="48">
        <v>0</v>
      </c>
      <c r="BB406" s="48">
        <v>0</v>
      </c>
      <c r="BC406" s="48">
        <v>0</v>
      </c>
      <c r="BD406" s="48">
        <v>0</v>
      </c>
      <c r="BE406" s="48">
        <v>0</v>
      </c>
      <c r="BF406" s="48">
        <v>0</v>
      </c>
    </row>
    <row r="407" spans="1:58" ht="14.1" customHeight="1">
      <c r="A407" s="247">
        <f t="shared" si="151"/>
        <v>401</v>
      </c>
      <c r="B407" s="27" t="s">
        <v>275</v>
      </c>
      <c r="C407" s="43">
        <f t="shared" si="153"/>
        <v>0</v>
      </c>
      <c r="D407" s="158">
        <v>0</v>
      </c>
      <c r="E407" s="48">
        <v>0</v>
      </c>
      <c r="F407" s="48">
        <v>0</v>
      </c>
      <c r="G407" s="48">
        <v>0</v>
      </c>
      <c r="H407" s="48">
        <v>0</v>
      </c>
      <c r="I407" s="158">
        <v>0</v>
      </c>
      <c r="J407" s="48">
        <v>0</v>
      </c>
      <c r="K407" s="48">
        <v>0</v>
      </c>
      <c r="L407" s="158">
        <v>0</v>
      </c>
      <c r="M407" s="48">
        <v>0</v>
      </c>
      <c r="N407" s="158">
        <v>0</v>
      </c>
      <c r="O407" s="158">
        <v>0</v>
      </c>
      <c r="P407" s="48">
        <v>0</v>
      </c>
      <c r="Q407" s="48">
        <v>0</v>
      </c>
      <c r="R407" s="48">
        <v>0</v>
      </c>
      <c r="S407" s="48">
        <v>0</v>
      </c>
      <c r="T407" s="48">
        <v>0</v>
      </c>
      <c r="U407" s="48">
        <v>0</v>
      </c>
      <c r="V407" s="48">
        <v>0</v>
      </c>
      <c r="W407" s="48">
        <v>0</v>
      </c>
      <c r="X407" s="48">
        <v>0</v>
      </c>
      <c r="Y407" s="48">
        <v>0</v>
      </c>
      <c r="Z407" s="48">
        <v>0</v>
      </c>
      <c r="AA407" s="48">
        <v>0</v>
      </c>
      <c r="AB407" s="48">
        <v>0</v>
      </c>
      <c r="AC407" s="48">
        <v>0</v>
      </c>
      <c r="AD407" s="48">
        <v>0</v>
      </c>
      <c r="AE407" s="48">
        <v>0</v>
      </c>
      <c r="AF407" s="48">
        <v>0</v>
      </c>
      <c r="AG407" s="48">
        <v>0</v>
      </c>
      <c r="AH407" s="48">
        <v>0</v>
      </c>
      <c r="AI407" s="48">
        <v>0</v>
      </c>
      <c r="AJ407" s="48">
        <v>0</v>
      </c>
      <c r="AK407" s="48">
        <v>0</v>
      </c>
      <c r="AL407" s="48">
        <v>0</v>
      </c>
      <c r="AM407" s="48">
        <v>0</v>
      </c>
      <c r="AN407" s="48">
        <v>0</v>
      </c>
      <c r="AO407" s="48">
        <v>0</v>
      </c>
      <c r="AP407" s="48">
        <v>0</v>
      </c>
      <c r="AQ407" s="48">
        <v>0</v>
      </c>
      <c r="AR407" s="158">
        <v>0</v>
      </c>
      <c r="AS407" s="48">
        <v>0</v>
      </c>
      <c r="AT407" s="48">
        <v>0</v>
      </c>
      <c r="AU407" s="48">
        <v>0</v>
      </c>
      <c r="AV407" s="48">
        <v>0</v>
      </c>
      <c r="AW407" s="48">
        <v>0</v>
      </c>
      <c r="AX407" s="48">
        <v>0</v>
      </c>
      <c r="AY407" s="48">
        <v>0</v>
      </c>
      <c r="AZ407" s="48">
        <v>0</v>
      </c>
      <c r="BA407" s="48">
        <v>0</v>
      </c>
      <c r="BB407" s="48">
        <v>0</v>
      </c>
      <c r="BC407" s="48">
        <v>0</v>
      </c>
      <c r="BD407" s="48">
        <v>0</v>
      </c>
      <c r="BE407" s="48">
        <v>0</v>
      </c>
      <c r="BF407" s="48">
        <v>0</v>
      </c>
    </row>
    <row r="408" spans="1:58" s="26" customFormat="1" ht="14.1" customHeight="1">
      <c r="A408" s="247">
        <f t="shared" si="151"/>
        <v>402</v>
      </c>
      <c r="B408" s="27" t="s">
        <v>276</v>
      </c>
      <c r="C408" s="43">
        <f t="shared" si="153"/>
        <v>-703612</v>
      </c>
      <c r="D408" s="43">
        <v>0</v>
      </c>
      <c r="E408" s="11">
        <v>0</v>
      </c>
      <c r="F408" s="11">
        <v>0</v>
      </c>
      <c r="G408" s="11">
        <v>0</v>
      </c>
      <c r="H408" s="11">
        <v>0</v>
      </c>
      <c r="I408" s="43">
        <v>0</v>
      </c>
      <c r="J408" s="11">
        <v>0</v>
      </c>
      <c r="K408" s="11">
        <v>0</v>
      </c>
      <c r="L408" s="43">
        <v>0</v>
      </c>
      <c r="M408" s="11">
        <v>0</v>
      </c>
      <c r="N408" s="43">
        <v>0</v>
      </c>
      <c r="O408" s="43">
        <v>0</v>
      </c>
      <c r="P408" s="11">
        <v>0</v>
      </c>
      <c r="Q408" s="11">
        <v>0</v>
      </c>
      <c r="R408" s="11">
        <v>0</v>
      </c>
      <c r="S408" s="11">
        <v>0</v>
      </c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11">
        <v>0</v>
      </c>
      <c r="AC408" s="11">
        <v>0</v>
      </c>
      <c r="AD408" s="11">
        <v>-737770</v>
      </c>
      <c r="AE408" s="11">
        <v>0</v>
      </c>
      <c r="AF408" s="11">
        <v>34158</v>
      </c>
      <c r="AG408" s="11">
        <v>0</v>
      </c>
      <c r="AH408" s="11">
        <v>0</v>
      </c>
      <c r="AI408" s="11">
        <v>0</v>
      </c>
      <c r="AJ408" s="11">
        <v>0</v>
      </c>
      <c r="AK408" s="11">
        <v>0</v>
      </c>
      <c r="AL408" s="11">
        <v>0</v>
      </c>
      <c r="AM408" s="11">
        <v>0</v>
      </c>
      <c r="AN408" s="11">
        <v>0</v>
      </c>
      <c r="AO408" s="11">
        <v>0</v>
      </c>
      <c r="AP408" s="11">
        <v>0</v>
      </c>
      <c r="AQ408" s="11">
        <v>0</v>
      </c>
      <c r="AR408" s="43">
        <v>0</v>
      </c>
      <c r="AS408" s="11">
        <v>0</v>
      </c>
      <c r="AT408" s="11">
        <v>0</v>
      </c>
      <c r="AU408" s="11">
        <v>0</v>
      </c>
      <c r="AV408" s="11">
        <v>0</v>
      </c>
      <c r="AW408" s="11">
        <v>0</v>
      </c>
      <c r="AX408" s="11">
        <v>0</v>
      </c>
      <c r="AY408" s="11">
        <v>0</v>
      </c>
      <c r="AZ408" s="11">
        <v>0</v>
      </c>
      <c r="BA408" s="11">
        <v>0</v>
      </c>
      <c r="BB408" s="11">
        <v>0</v>
      </c>
      <c r="BC408" s="11">
        <v>0</v>
      </c>
      <c r="BD408" s="11">
        <v>0</v>
      </c>
      <c r="BE408" s="11">
        <v>0</v>
      </c>
      <c r="BF408" s="11">
        <v>0</v>
      </c>
    </row>
    <row r="409" spans="1:58" s="26" customFormat="1" ht="14.1" customHeight="1">
      <c r="A409" s="247">
        <f t="shared" si="151"/>
        <v>403</v>
      </c>
      <c r="B409" s="27" t="s">
        <v>277</v>
      </c>
      <c r="C409" s="43">
        <f t="shared" si="153"/>
        <v>-101381</v>
      </c>
      <c r="D409" s="43">
        <v>0</v>
      </c>
      <c r="E409" s="11">
        <v>0</v>
      </c>
      <c r="F409" s="11">
        <v>0</v>
      </c>
      <c r="G409" s="11">
        <v>0</v>
      </c>
      <c r="H409" s="11">
        <v>0</v>
      </c>
      <c r="I409" s="43">
        <v>0</v>
      </c>
      <c r="J409" s="11">
        <v>0</v>
      </c>
      <c r="K409" s="11">
        <v>0</v>
      </c>
      <c r="L409" s="43">
        <v>0</v>
      </c>
      <c r="M409" s="11">
        <v>0</v>
      </c>
      <c r="N409" s="43">
        <v>0</v>
      </c>
      <c r="O409" s="43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1">
        <v>0</v>
      </c>
      <c r="AD409" s="11">
        <v>-113816</v>
      </c>
      <c r="AE409" s="11">
        <v>0</v>
      </c>
      <c r="AF409" s="11">
        <v>12435</v>
      </c>
      <c r="AG409" s="11">
        <v>0</v>
      </c>
      <c r="AH409" s="11">
        <v>0</v>
      </c>
      <c r="AI409" s="11">
        <v>0</v>
      </c>
      <c r="AJ409" s="11">
        <v>0</v>
      </c>
      <c r="AK409" s="11">
        <v>0</v>
      </c>
      <c r="AL409" s="11">
        <v>0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43">
        <v>0</v>
      </c>
      <c r="AS409" s="11">
        <v>0</v>
      </c>
      <c r="AT409" s="11">
        <v>0</v>
      </c>
      <c r="AU409" s="11">
        <v>0</v>
      </c>
      <c r="AV409" s="11">
        <v>0</v>
      </c>
      <c r="AW409" s="11">
        <v>0</v>
      </c>
      <c r="AX409" s="11">
        <v>0</v>
      </c>
      <c r="AY409" s="11">
        <v>0</v>
      </c>
      <c r="AZ409" s="11">
        <v>0</v>
      </c>
      <c r="BA409" s="11">
        <v>0</v>
      </c>
      <c r="BB409" s="11">
        <v>0</v>
      </c>
      <c r="BC409" s="11">
        <v>0</v>
      </c>
      <c r="BD409" s="11">
        <v>0</v>
      </c>
      <c r="BE409" s="11">
        <v>0</v>
      </c>
      <c r="BF409" s="11">
        <v>0</v>
      </c>
    </row>
    <row r="410" spans="1:58" s="26" customFormat="1" ht="14.1" customHeight="1">
      <c r="A410" s="247">
        <f t="shared" si="151"/>
        <v>404</v>
      </c>
      <c r="B410" s="27" t="s">
        <v>278</v>
      </c>
      <c r="C410" s="43">
        <f t="shared" si="153"/>
        <v>-273762</v>
      </c>
      <c r="D410" s="158">
        <v>0</v>
      </c>
      <c r="E410" s="11">
        <v>0</v>
      </c>
      <c r="F410" s="11">
        <v>0</v>
      </c>
      <c r="G410" s="11">
        <v>0</v>
      </c>
      <c r="H410" s="11">
        <v>0</v>
      </c>
      <c r="I410" s="158">
        <v>0</v>
      </c>
      <c r="J410" s="11">
        <v>0</v>
      </c>
      <c r="K410" s="11">
        <v>0</v>
      </c>
      <c r="L410" s="158">
        <v>0</v>
      </c>
      <c r="M410" s="11">
        <v>0</v>
      </c>
      <c r="N410" s="158">
        <v>0</v>
      </c>
      <c r="O410" s="158">
        <v>0</v>
      </c>
      <c r="P410" s="11">
        <v>0</v>
      </c>
      <c r="Q410" s="11">
        <v>0</v>
      </c>
      <c r="R410" s="11">
        <v>0</v>
      </c>
      <c r="S410" s="11">
        <v>0</v>
      </c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11">
        <v>0</v>
      </c>
      <c r="AC410" s="11">
        <v>0</v>
      </c>
      <c r="AD410" s="11">
        <v>-305758</v>
      </c>
      <c r="AE410" s="11">
        <v>0</v>
      </c>
      <c r="AF410" s="11">
        <v>31996</v>
      </c>
      <c r="AG410" s="11">
        <v>0</v>
      </c>
      <c r="AH410" s="11">
        <v>0</v>
      </c>
      <c r="AI410" s="11">
        <v>0</v>
      </c>
      <c r="AJ410" s="11">
        <v>0</v>
      </c>
      <c r="AK410" s="11">
        <v>0</v>
      </c>
      <c r="AL410" s="11">
        <v>0</v>
      </c>
      <c r="AM410" s="11">
        <v>0</v>
      </c>
      <c r="AN410" s="11">
        <v>0</v>
      </c>
      <c r="AO410" s="11">
        <v>0</v>
      </c>
      <c r="AP410" s="11">
        <v>0</v>
      </c>
      <c r="AQ410" s="11">
        <v>0</v>
      </c>
      <c r="AR410" s="158">
        <v>0</v>
      </c>
      <c r="AS410" s="11">
        <v>0</v>
      </c>
      <c r="AT410" s="11">
        <v>0</v>
      </c>
      <c r="AU410" s="11">
        <v>0</v>
      </c>
      <c r="AV410" s="11">
        <v>0</v>
      </c>
      <c r="AW410" s="11">
        <v>0</v>
      </c>
      <c r="AX410" s="11">
        <v>0</v>
      </c>
      <c r="AY410" s="11">
        <v>0</v>
      </c>
      <c r="AZ410" s="11">
        <v>0</v>
      </c>
      <c r="BA410" s="11">
        <v>0</v>
      </c>
      <c r="BB410" s="11">
        <v>0</v>
      </c>
      <c r="BC410" s="11">
        <v>0</v>
      </c>
      <c r="BD410" s="11">
        <v>0</v>
      </c>
      <c r="BE410" s="11">
        <v>0</v>
      </c>
      <c r="BF410" s="11">
        <v>0</v>
      </c>
    </row>
    <row r="411" spans="1:58" s="26" customFormat="1" ht="14.1" customHeight="1">
      <c r="A411" s="247">
        <f t="shared" si="151"/>
        <v>405</v>
      </c>
      <c r="B411" s="27" t="s">
        <v>279</v>
      </c>
      <c r="C411" s="43">
        <f t="shared" si="153"/>
        <v>-1994836</v>
      </c>
      <c r="D411" s="158">
        <v>0</v>
      </c>
      <c r="E411" s="11">
        <v>0</v>
      </c>
      <c r="F411" s="11">
        <v>0</v>
      </c>
      <c r="G411" s="11">
        <v>0</v>
      </c>
      <c r="H411" s="11">
        <v>0</v>
      </c>
      <c r="I411" s="158">
        <v>0</v>
      </c>
      <c r="J411" s="11">
        <v>0</v>
      </c>
      <c r="K411" s="11">
        <v>0</v>
      </c>
      <c r="L411" s="158">
        <v>0</v>
      </c>
      <c r="M411" s="11">
        <v>0</v>
      </c>
      <c r="N411" s="158">
        <v>0</v>
      </c>
      <c r="O411" s="158">
        <v>0</v>
      </c>
      <c r="P411" s="11">
        <v>0</v>
      </c>
      <c r="Q411" s="11">
        <v>0</v>
      </c>
      <c r="R411" s="11">
        <v>0</v>
      </c>
      <c r="S411" s="11">
        <v>0</v>
      </c>
      <c r="T411" s="11">
        <v>0</v>
      </c>
      <c r="U411" s="11">
        <v>0</v>
      </c>
      <c r="V411" s="11">
        <v>0</v>
      </c>
      <c r="W411" s="11">
        <v>-206580</v>
      </c>
      <c r="X411" s="11">
        <v>0</v>
      </c>
      <c r="Y411" s="11">
        <v>0</v>
      </c>
      <c r="Z411" s="11">
        <v>0</v>
      </c>
      <c r="AA411" s="11">
        <v>0</v>
      </c>
      <c r="AB411" s="11">
        <v>-973508</v>
      </c>
      <c r="AC411" s="11">
        <v>29576</v>
      </c>
      <c r="AD411" s="11">
        <v>-1252697</v>
      </c>
      <c r="AE411" s="11">
        <v>0</v>
      </c>
      <c r="AF411" s="11">
        <v>408373</v>
      </c>
      <c r="AG411" s="11">
        <v>0</v>
      </c>
      <c r="AH411" s="11">
        <v>0</v>
      </c>
      <c r="AI411" s="11">
        <v>0</v>
      </c>
      <c r="AJ411" s="11"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58">
        <v>0</v>
      </c>
      <c r="AS411" s="11">
        <v>0</v>
      </c>
      <c r="AT411" s="11">
        <v>0</v>
      </c>
      <c r="AU411" s="11">
        <v>0</v>
      </c>
      <c r="AV411" s="11">
        <v>0</v>
      </c>
      <c r="AW411" s="11">
        <v>0</v>
      </c>
      <c r="AX411" s="11">
        <v>0</v>
      </c>
      <c r="AY411" s="11">
        <v>0</v>
      </c>
      <c r="AZ411" s="11">
        <v>0</v>
      </c>
      <c r="BA411" s="11">
        <v>0</v>
      </c>
      <c r="BB411" s="11">
        <v>0</v>
      </c>
      <c r="BC411" s="11">
        <v>0</v>
      </c>
      <c r="BD411" s="11">
        <v>0</v>
      </c>
      <c r="BE411" s="11">
        <v>0</v>
      </c>
      <c r="BF411" s="11">
        <v>0</v>
      </c>
    </row>
    <row r="412" spans="1:58" ht="14.1" customHeight="1">
      <c r="A412" s="247">
        <f t="shared" si="151"/>
        <v>406</v>
      </c>
      <c r="B412" s="203" t="s">
        <v>280</v>
      </c>
      <c r="C412" s="43">
        <f t="shared" si="153"/>
        <v>-218170</v>
      </c>
      <c r="D412" s="158">
        <v>0</v>
      </c>
      <c r="E412" s="11">
        <v>0</v>
      </c>
      <c r="F412" s="11">
        <v>0</v>
      </c>
      <c r="G412" s="11">
        <v>0</v>
      </c>
      <c r="H412" s="11">
        <v>0</v>
      </c>
      <c r="I412" s="158">
        <v>0</v>
      </c>
      <c r="J412" s="11">
        <v>0</v>
      </c>
      <c r="K412" s="11">
        <v>0</v>
      </c>
      <c r="L412" s="158">
        <v>0</v>
      </c>
      <c r="M412" s="11">
        <v>0</v>
      </c>
      <c r="N412" s="158">
        <v>0</v>
      </c>
      <c r="O412" s="158">
        <v>0</v>
      </c>
      <c r="P412" s="11">
        <v>0</v>
      </c>
      <c r="Q412" s="11">
        <v>0</v>
      </c>
      <c r="R412" s="11">
        <v>0</v>
      </c>
      <c r="S412" s="11">
        <v>0</v>
      </c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11">
        <v>0</v>
      </c>
      <c r="AC412" s="11">
        <v>0</v>
      </c>
      <c r="AD412" s="11">
        <v>-237819</v>
      </c>
      <c r="AE412" s="11">
        <v>0</v>
      </c>
      <c r="AF412" s="11">
        <v>19649</v>
      </c>
      <c r="AG412" s="11">
        <v>0</v>
      </c>
      <c r="AH412" s="11">
        <v>0</v>
      </c>
      <c r="AI412" s="11">
        <v>0</v>
      </c>
      <c r="AJ412" s="11">
        <v>0</v>
      </c>
      <c r="AK412" s="11">
        <v>0</v>
      </c>
      <c r="AL412" s="11">
        <v>0</v>
      </c>
      <c r="AM412" s="11">
        <v>0</v>
      </c>
      <c r="AN412" s="11">
        <v>0</v>
      </c>
      <c r="AO412" s="11">
        <v>0</v>
      </c>
      <c r="AP412" s="11">
        <v>0</v>
      </c>
      <c r="AQ412" s="11">
        <v>0</v>
      </c>
      <c r="AR412" s="158">
        <v>0</v>
      </c>
      <c r="AS412" s="11">
        <v>0</v>
      </c>
      <c r="AT412" s="11">
        <v>0</v>
      </c>
      <c r="AU412" s="11">
        <v>0</v>
      </c>
      <c r="AV412" s="11">
        <v>0</v>
      </c>
      <c r="AW412" s="11">
        <v>0</v>
      </c>
      <c r="AX412" s="11">
        <v>0</v>
      </c>
      <c r="AY412" s="11">
        <v>0</v>
      </c>
      <c r="AZ412" s="11">
        <v>0</v>
      </c>
      <c r="BA412" s="11">
        <v>0</v>
      </c>
      <c r="BB412" s="11">
        <v>0</v>
      </c>
      <c r="BC412" s="11">
        <v>0</v>
      </c>
      <c r="BD412" s="11">
        <v>0</v>
      </c>
      <c r="BE412" s="11">
        <v>0</v>
      </c>
      <c r="BF412" s="11">
        <v>0</v>
      </c>
    </row>
    <row r="413" spans="1:58" ht="13.5" customHeight="1">
      <c r="A413" s="247">
        <f t="shared" si="151"/>
        <v>407</v>
      </c>
      <c r="B413" s="27" t="s">
        <v>281</v>
      </c>
      <c r="C413" s="43">
        <f t="shared" si="153"/>
        <v>0</v>
      </c>
      <c r="D413" s="43">
        <v>0</v>
      </c>
      <c r="E413" s="11">
        <v>0</v>
      </c>
      <c r="F413" s="11">
        <v>0</v>
      </c>
      <c r="G413" s="11">
        <v>0</v>
      </c>
      <c r="H413" s="11">
        <v>0</v>
      </c>
      <c r="I413" s="43">
        <v>0</v>
      </c>
      <c r="J413" s="11">
        <v>0</v>
      </c>
      <c r="K413" s="11">
        <v>0</v>
      </c>
      <c r="L413" s="43">
        <v>0</v>
      </c>
      <c r="M413" s="11">
        <v>0</v>
      </c>
      <c r="N413" s="43">
        <v>0</v>
      </c>
      <c r="O413" s="43">
        <v>0</v>
      </c>
      <c r="P413" s="11">
        <v>0</v>
      </c>
      <c r="Q413" s="11">
        <v>0</v>
      </c>
      <c r="R413" s="11">
        <v>0</v>
      </c>
      <c r="S413" s="11">
        <v>0</v>
      </c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0</v>
      </c>
      <c r="AI413" s="11">
        <v>0</v>
      </c>
      <c r="AJ413" s="11"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43">
        <v>0</v>
      </c>
      <c r="AS413" s="11">
        <v>0</v>
      </c>
      <c r="AT413" s="11">
        <v>0</v>
      </c>
      <c r="AU413" s="11">
        <v>0</v>
      </c>
      <c r="AV413" s="11">
        <v>0</v>
      </c>
      <c r="AW413" s="11">
        <v>0</v>
      </c>
      <c r="AX413" s="11">
        <v>0</v>
      </c>
      <c r="AY413" s="11">
        <v>0</v>
      </c>
      <c r="AZ413" s="11">
        <v>0</v>
      </c>
      <c r="BA413" s="11">
        <v>0</v>
      </c>
      <c r="BB413" s="11">
        <v>0</v>
      </c>
      <c r="BC413" s="11">
        <v>0</v>
      </c>
      <c r="BD413" s="11">
        <v>0</v>
      </c>
      <c r="BE413" s="11">
        <v>0</v>
      </c>
      <c r="BF413" s="11">
        <v>0</v>
      </c>
    </row>
    <row r="414" spans="1:58" ht="14.1" customHeight="1">
      <c r="A414" s="247">
        <f t="shared" si="151"/>
        <v>408</v>
      </c>
      <c r="B414" s="27" t="s">
        <v>282</v>
      </c>
      <c r="C414" s="43">
        <f t="shared" si="153"/>
        <v>65278</v>
      </c>
      <c r="D414" s="43">
        <v>0</v>
      </c>
      <c r="E414" s="11">
        <v>0</v>
      </c>
      <c r="F414" s="11">
        <v>0</v>
      </c>
      <c r="G414" s="11">
        <v>0</v>
      </c>
      <c r="H414" s="11">
        <v>0</v>
      </c>
      <c r="I414" s="43">
        <v>0</v>
      </c>
      <c r="J414" s="11">
        <v>0</v>
      </c>
      <c r="K414" s="11">
        <v>0</v>
      </c>
      <c r="L414" s="43">
        <v>0</v>
      </c>
      <c r="M414" s="11">
        <v>0</v>
      </c>
      <c r="N414" s="43">
        <v>0</v>
      </c>
      <c r="O414" s="43">
        <v>84864</v>
      </c>
      <c r="P414" s="11">
        <v>0</v>
      </c>
      <c r="Q414" s="11">
        <v>0</v>
      </c>
      <c r="R414" s="11">
        <v>0</v>
      </c>
      <c r="S414" s="11">
        <v>0</v>
      </c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11">
        <v>0</v>
      </c>
      <c r="AC414" s="11">
        <v>0</v>
      </c>
      <c r="AD414" s="11">
        <v>-21015</v>
      </c>
      <c r="AE414" s="11">
        <v>0</v>
      </c>
      <c r="AF414" s="11">
        <v>1429</v>
      </c>
      <c r="AG414" s="11">
        <v>0</v>
      </c>
      <c r="AH414" s="11">
        <v>0</v>
      </c>
      <c r="AI414" s="11">
        <v>0</v>
      </c>
      <c r="AJ414" s="11">
        <v>0</v>
      </c>
      <c r="AK414" s="11">
        <v>0</v>
      </c>
      <c r="AL414" s="11">
        <v>0</v>
      </c>
      <c r="AM414" s="11">
        <v>0</v>
      </c>
      <c r="AN414" s="11">
        <v>0</v>
      </c>
      <c r="AO414" s="11">
        <v>0</v>
      </c>
      <c r="AP414" s="11">
        <v>0</v>
      </c>
      <c r="AQ414" s="11">
        <v>0</v>
      </c>
      <c r="AR414" s="43">
        <v>0</v>
      </c>
      <c r="AS414" s="11">
        <v>0</v>
      </c>
      <c r="AT414" s="11">
        <v>0</v>
      </c>
      <c r="AU414" s="11">
        <v>0</v>
      </c>
      <c r="AV414" s="11">
        <v>0</v>
      </c>
      <c r="AW414" s="11">
        <v>0</v>
      </c>
      <c r="AX414" s="11">
        <v>0</v>
      </c>
      <c r="AY414" s="11">
        <v>0</v>
      </c>
      <c r="AZ414" s="11">
        <v>0</v>
      </c>
      <c r="BA414" s="11">
        <v>0</v>
      </c>
      <c r="BB414" s="11">
        <v>0</v>
      </c>
      <c r="BC414" s="11">
        <v>0</v>
      </c>
      <c r="BD414" s="11">
        <v>0</v>
      </c>
      <c r="BE414" s="11">
        <v>0</v>
      </c>
      <c r="BF414" s="11">
        <v>0</v>
      </c>
    </row>
    <row r="415" spans="1:58" ht="14.1" customHeight="1">
      <c r="A415" s="247">
        <f t="shared" si="151"/>
        <v>409</v>
      </c>
      <c r="B415" s="27" t="s">
        <v>328</v>
      </c>
      <c r="C415" s="43">
        <f t="shared" si="153"/>
        <v>202556</v>
      </c>
      <c r="D415" s="158">
        <v>0</v>
      </c>
      <c r="E415" s="11">
        <v>0</v>
      </c>
      <c r="F415" s="11">
        <v>0</v>
      </c>
      <c r="G415" s="11">
        <v>0</v>
      </c>
      <c r="H415" s="11">
        <v>0</v>
      </c>
      <c r="I415" s="158">
        <v>0</v>
      </c>
      <c r="J415" s="11">
        <v>0</v>
      </c>
      <c r="K415" s="11">
        <v>0</v>
      </c>
      <c r="L415" s="158">
        <v>0</v>
      </c>
      <c r="M415" s="11">
        <v>0</v>
      </c>
      <c r="N415" s="158">
        <v>0</v>
      </c>
      <c r="O415" s="158">
        <v>0</v>
      </c>
      <c r="P415" s="11">
        <v>0</v>
      </c>
      <c r="Q415" s="11">
        <v>0</v>
      </c>
      <c r="R415" s="11">
        <v>258037</v>
      </c>
      <c r="S415" s="11">
        <v>0</v>
      </c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11">
        <v>0</v>
      </c>
      <c r="AC415" s="11">
        <v>0</v>
      </c>
      <c r="AD415" s="11">
        <v>-66470</v>
      </c>
      <c r="AE415" s="11">
        <v>0</v>
      </c>
      <c r="AF415" s="11">
        <v>10989</v>
      </c>
      <c r="AG415" s="11">
        <v>0</v>
      </c>
      <c r="AH415" s="11">
        <v>0</v>
      </c>
      <c r="AI415" s="11">
        <v>0</v>
      </c>
      <c r="AJ415" s="11"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58">
        <v>0</v>
      </c>
      <c r="AS415" s="11">
        <v>0</v>
      </c>
      <c r="AT415" s="11">
        <v>0</v>
      </c>
      <c r="AU415" s="11">
        <v>0</v>
      </c>
      <c r="AV415" s="11">
        <v>0</v>
      </c>
      <c r="AW415" s="11">
        <v>0</v>
      </c>
      <c r="AX415" s="11">
        <v>0</v>
      </c>
      <c r="AY415" s="11">
        <v>0</v>
      </c>
      <c r="AZ415" s="11">
        <v>0</v>
      </c>
      <c r="BA415" s="11">
        <v>0</v>
      </c>
      <c r="BB415" s="11">
        <v>0</v>
      </c>
      <c r="BC415" s="11">
        <v>0</v>
      </c>
      <c r="BD415" s="11">
        <v>0</v>
      </c>
      <c r="BE415" s="11">
        <v>0</v>
      </c>
      <c r="BF415" s="11">
        <v>0</v>
      </c>
    </row>
    <row r="416" spans="1:58" ht="14.1" customHeight="1">
      <c r="A416" s="247">
        <f t="shared" si="151"/>
        <v>410</v>
      </c>
      <c r="B416" s="27" t="s">
        <v>283</v>
      </c>
      <c r="C416" s="43">
        <f t="shared" si="153"/>
        <v>-38849</v>
      </c>
      <c r="D416" s="158">
        <v>0</v>
      </c>
      <c r="E416" s="11">
        <v>0</v>
      </c>
      <c r="F416" s="11">
        <v>0</v>
      </c>
      <c r="G416" s="11">
        <v>0</v>
      </c>
      <c r="H416" s="11">
        <v>0</v>
      </c>
      <c r="I416" s="158">
        <v>0</v>
      </c>
      <c r="J416" s="11">
        <v>0</v>
      </c>
      <c r="K416" s="11">
        <v>0</v>
      </c>
      <c r="L416" s="158">
        <v>0</v>
      </c>
      <c r="M416" s="11">
        <v>0</v>
      </c>
      <c r="N416" s="158">
        <v>0</v>
      </c>
      <c r="O416" s="158">
        <v>0</v>
      </c>
      <c r="P416" s="11">
        <v>0</v>
      </c>
      <c r="Q416" s="11">
        <v>0</v>
      </c>
      <c r="R416" s="11">
        <v>0</v>
      </c>
      <c r="S416" s="11">
        <v>0</v>
      </c>
      <c r="T416" s="11">
        <v>-30610</v>
      </c>
      <c r="U416" s="11">
        <v>0</v>
      </c>
      <c r="V416" s="11">
        <v>0</v>
      </c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11">
        <v>0</v>
      </c>
      <c r="AC416" s="11">
        <v>0</v>
      </c>
      <c r="AD416" s="11">
        <v>-9520</v>
      </c>
      <c r="AE416" s="11">
        <v>0</v>
      </c>
      <c r="AF416" s="11">
        <v>1281</v>
      </c>
      <c r="AG416" s="11">
        <v>0</v>
      </c>
      <c r="AH416" s="11">
        <v>0</v>
      </c>
      <c r="AI416" s="11">
        <v>0</v>
      </c>
      <c r="AJ416" s="11">
        <v>0</v>
      </c>
      <c r="AK416" s="11">
        <v>0</v>
      </c>
      <c r="AL416" s="11">
        <v>0</v>
      </c>
      <c r="AM416" s="11">
        <v>0</v>
      </c>
      <c r="AN416" s="11">
        <v>0</v>
      </c>
      <c r="AO416" s="11">
        <v>0</v>
      </c>
      <c r="AP416" s="11">
        <v>0</v>
      </c>
      <c r="AQ416" s="11">
        <v>0</v>
      </c>
      <c r="AR416" s="158">
        <v>0</v>
      </c>
      <c r="AS416" s="11">
        <v>0</v>
      </c>
      <c r="AT416" s="11">
        <v>0</v>
      </c>
      <c r="AU416" s="11">
        <v>0</v>
      </c>
      <c r="AV416" s="11">
        <v>0</v>
      </c>
      <c r="AW416" s="11">
        <v>0</v>
      </c>
      <c r="AX416" s="11">
        <v>0</v>
      </c>
      <c r="AY416" s="11">
        <v>0</v>
      </c>
      <c r="AZ416" s="11">
        <v>0</v>
      </c>
      <c r="BA416" s="11">
        <v>0</v>
      </c>
      <c r="BB416" s="11">
        <v>0</v>
      </c>
      <c r="BC416" s="11">
        <v>0</v>
      </c>
      <c r="BD416" s="11">
        <v>0</v>
      </c>
      <c r="BE416" s="11">
        <v>0</v>
      </c>
      <c r="BF416" s="11">
        <v>0</v>
      </c>
    </row>
    <row r="417" spans="1:58" ht="14.1" customHeight="1">
      <c r="A417" s="247">
        <f t="shared" si="151"/>
        <v>411</v>
      </c>
      <c r="B417" s="27" t="s">
        <v>284</v>
      </c>
      <c r="C417" s="43">
        <f t="shared" si="153"/>
        <v>-23957</v>
      </c>
      <c r="D417" s="158">
        <v>0</v>
      </c>
      <c r="E417" s="11">
        <v>0</v>
      </c>
      <c r="F417" s="11">
        <v>0</v>
      </c>
      <c r="G417" s="11">
        <v>0</v>
      </c>
      <c r="H417" s="11">
        <v>0</v>
      </c>
      <c r="I417" s="158">
        <v>0</v>
      </c>
      <c r="J417" s="11">
        <v>0</v>
      </c>
      <c r="K417" s="11">
        <v>0</v>
      </c>
      <c r="L417" s="158">
        <v>0</v>
      </c>
      <c r="M417" s="11">
        <v>0</v>
      </c>
      <c r="N417" s="158">
        <v>0</v>
      </c>
      <c r="O417" s="158">
        <v>0</v>
      </c>
      <c r="P417" s="11">
        <v>0</v>
      </c>
      <c r="Q417" s="11">
        <v>0</v>
      </c>
      <c r="R417" s="11">
        <v>0</v>
      </c>
      <c r="S417" s="11">
        <v>12219</v>
      </c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11">
        <v>0</v>
      </c>
      <c r="AC417" s="11">
        <v>0</v>
      </c>
      <c r="AD417" s="11">
        <v>-46045</v>
      </c>
      <c r="AE417" s="11">
        <v>0</v>
      </c>
      <c r="AF417" s="11">
        <v>9869</v>
      </c>
      <c r="AG417" s="11">
        <v>0</v>
      </c>
      <c r="AH417" s="11">
        <v>0</v>
      </c>
      <c r="AI417" s="11">
        <v>0</v>
      </c>
      <c r="AJ417" s="11"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58">
        <v>0</v>
      </c>
      <c r="AS417" s="11">
        <v>0</v>
      </c>
      <c r="AT417" s="11">
        <v>0</v>
      </c>
      <c r="AU417" s="11">
        <v>0</v>
      </c>
      <c r="AV417" s="11">
        <v>0</v>
      </c>
      <c r="AW417" s="11">
        <v>0</v>
      </c>
      <c r="AX417" s="11">
        <v>0</v>
      </c>
      <c r="AY417" s="11">
        <v>0</v>
      </c>
      <c r="AZ417" s="11">
        <v>0</v>
      </c>
      <c r="BA417" s="11">
        <v>0</v>
      </c>
      <c r="BB417" s="11">
        <v>0</v>
      </c>
      <c r="BC417" s="11">
        <v>0</v>
      </c>
      <c r="BD417" s="11">
        <v>0</v>
      </c>
      <c r="BE417" s="11">
        <v>0</v>
      </c>
      <c r="BF417" s="11">
        <v>0</v>
      </c>
    </row>
    <row r="418" spans="1:58" ht="14.1" customHeight="1">
      <c r="A418" s="247">
        <f t="shared" si="151"/>
        <v>412</v>
      </c>
      <c r="B418" s="92" t="s">
        <v>285</v>
      </c>
      <c r="C418" s="43">
        <f t="shared" si="153"/>
        <v>-41928</v>
      </c>
      <c r="D418" s="386">
        <v>0</v>
      </c>
      <c r="E418" s="48">
        <v>0</v>
      </c>
      <c r="F418" s="48">
        <v>0</v>
      </c>
      <c r="G418" s="48">
        <v>0</v>
      </c>
      <c r="H418" s="48">
        <v>0</v>
      </c>
      <c r="I418" s="386">
        <v>0</v>
      </c>
      <c r="J418" s="48">
        <v>0</v>
      </c>
      <c r="K418" s="48">
        <v>0</v>
      </c>
      <c r="L418" s="386">
        <v>0</v>
      </c>
      <c r="M418" s="48">
        <v>0</v>
      </c>
      <c r="N418" s="386">
        <v>0</v>
      </c>
      <c r="O418" s="386">
        <v>0</v>
      </c>
      <c r="P418" s="48">
        <v>0</v>
      </c>
      <c r="Q418" s="48">
        <v>0</v>
      </c>
      <c r="R418" s="48">
        <v>0</v>
      </c>
      <c r="S418" s="48">
        <v>0</v>
      </c>
      <c r="T418" s="48">
        <v>0</v>
      </c>
      <c r="U418" s="48">
        <v>0</v>
      </c>
      <c r="V418" s="48">
        <v>0</v>
      </c>
      <c r="W418" s="48">
        <v>0</v>
      </c>
      <c r="X418" s="48">
        <v>0</v>
      </c>
      <c r="Y418" s="48">
        <v>0</v>
      </c>
      <c r="Z418" s="48">
        <v>0</v>
      </c>
      <c r="AA418" s="48">
        <v>0</v>
      </c>
      <c r="AB418" s="48">
        <v>0</v>
      </c>
      <c r="AC418" s="48">
        <v>0</v>
      </c>
      <c r="AD418" s="48">
        <v>-47866</v>
      </c>
      <c r="AE418" s="48">
        <v>0</v>
      </c>
      <c r="AF418" s="48">
        <v>5938</v>
      </c>
      <c r="AG418" s="48">
        <v>0</v>
      </c>
      <c r="AH418" s="48">
        <v>0</v>
      </c>
      <c r="AI418" s="48">
        <v>0</v>
      </c>
      <c r="AJ418" s="48">
        <v>0</v>
      </c>
      <c r="AK418" s="48">
        <v>0</v>
      </c>
      <c r="AL418" s="48">
        <v>0</v>
      </c>
      <c r="AM418" s="48">
        <v>0</v>
      </c>
      <c r="AN418" s="48">
        <v>0</v>
      </c>
      <c r="AO418" s="48">
        <v>0</v>
      </c>
      <c r="AP418" s="48">
        <v>0</v>
      </c>
      <c r="AQ418" s="48">
        <v>0</v>
      </c>
      <c r="AR418" s="386">
        <v>0</v>
      </c>
      <c r="AS418" s="48">
        <v>0</v>
      </c>
      <c r="AT418" s="48">
        <v>0</v>
      </c>
      <c r="AU418" s="48">
        <v>0</v>
      </c>
      <c r="AV418" s="48">
        <v>0</v>
      </c>
      <c r="AW418" s="48">
        <v>0</v>
      </c>
      <c r="AX418" s="48">
        <v>0</v>
      </c>
      <c r="AY418" s="48">
        <v>0</v>
      </c>
      <c r="AZ418" s="48">
        <v>0</v>
      </c>
      <c r="BA418" s="48">
        <v>0</v>
      </c>
      <c r="BB418" s="48">
        <v>0</v>
      </c>
      <c r="BC418" s="48">
        <v>0</v>
      </c>
      <c r="BD418" s="48">
        <v>0</v>
      </c>
      <c r="BE418" s="48">
        <v>0</v>
      </c>
      <c r="BF418" s="48">
        <v>0</v>
      </c>
    </row>
    <row r="419" spans="1:58" ht="14.1" customHeight="1">
      <c r="A419" s="247">
        <f t="shared" si="151"/>
        <v>413</v>
      </c>
      <c r="B419" s="25" t="s">
        <v>557</v>
      </c>
      <c r="C419" s="189">
        <f>SUM(C405:C418)</f>
        <v>-5279078</v>
      </c>
      <c r="D419" s="158">
        <f>SUM(D405:D418)</f>
        <v>0</v>
      </c>
      <c r="E419" s="189">
        <f t="shared" ref="E419:BA419" si="154">SUM(E405:E418)</f>
        <v>0</v>
      </c>
      <c r="F419" s="189">
        <f t="shared" si="154"/>
        <v>0</v>
      </c>
      <c r="G419" s="189">
        <f t="shared" si="154"/>
        <v>0</v>
      </c>
      <c r="H419" s="189">
        <f t="shared" si="154"/>
        <v>0</v>
      </c>
      <c r="I419" s="158">
        <f t="shared" si="154"/>
        <v>0</v>
      </c>
      <c r="J419" s="189">
        <f t="shared" si="154"/>
        <v>0</v>
      </c>
      <c r="K419" s="189">
        <f t="shared" si="154"/>
        <v>0</v>
      </c>
      <c r="L419" s="158">
        <f t="shared" si="154"/>
        <v>0</v>
      </c>
      <c r="M419" s="189">
        <f t="shared" si="154"/>
        <v>0</v>
      </c>
      <c r="N419" s="158">
        <f t="shared" si="154"/>
        <v>0</v>
      </c>
      <c r="O419" s="158">
        <f t="shared" si="154"/>
        <v>84864</v>
      </c>
      <c r="P419" s="189">
        <f t="shared" si="154"/>
        <v>0</v>
      </c>
      <c r="Q419" s="189">
        <f t="shared" si="154"/>
        <v>0</v>
      </c>
      <c r="R419" s="189">
        <f t="shared" si="154"/>
        <v>258037</v>
      </c>
      <c r="S419" s="189">
        <f t="shared" si="154"/>
        <v>12219</v>
      </c>
      <c r="T419" s="189">
        <f t="shared" si="154"/>
        <v>-30610</v>
      </c>
      <c r="U419" s="189">
        <f t="shared" si="154"/>
        <v>0</v>
      </c>
      <c r="V419" s="189">
        <f t="shared" si="154"/>
        <v>0</v>
      </c>
      <c r="W419" s="189">
        <f t="shared" si="154"/>
        <v>-206580</v>
      </c>
      <c r="X419" s="189">
        <f t="shared" si="154"/>
        <v>0</v>
      </c>
      <c r="Y419" s="189">
        <f t="shared" si="154"/>
        <v>0</v>
      </c>
      <c r="Z419" s="189">
        <f t="shared" si="154"/>
        <v>0</v>
      </c>
      <c r="AA419" s="189">
        <f t="shared" si="154"/>
        <v>0</v>
      </c>
      <c r="AB419" s="189">
        <f t="shared" si="154"/>
        <v>-973508</v>
      </c>
      <c r="AC419" s="189">
        <f t="shared" si="154"/>
        <v>29576</v>
      </c>
      <c r="AD419" s="189">
        <f t="shared" si="154"/>
        <v>-5373026</v>
      </c>
      <c r="AE419" s="189">
        <f t="shared" si="154"/>
        <v>0</v>
      </c>
      <c r="AF419" s="189">
        <f t="shared" si="154"/>
        <v>919950</v>
      </c>
      <c r="AG419" s="189">
        <f t="shared" si="154"/>
        <v>0</v>
      </c>
      <c r="AH419" s="189">
        <f t="shared" si="154"/>
        <v>0</v>
      </c>
      <c r="AI419" s="189">
        <f t="shared" si="154"/>
        <v>0</v>
      </c>
      <c r="AJ419" s="189">
        <f t="shared" si="154"/>
        <v>0</v>
      </c>
      <c r="AK419" s="189">
        <f t="shared" si="154"/>
        <v>0</v>
      </c>
      <c r="AL419" s="189">
        <f t="shared" si="154"/>
        <v>0</v>
      </c>
      <c r="AM419" s="189">
        <f t="shared" si="154"/>
        <v>0</v>
      </c>
      <c r="AN419" s="189">
        <f t="shared" si="154"/>
        <v>0</v>
      </c>
      <c r="AO419" s="189">
        <f t="shared" si="154"/>
        <v>0</v>
      </c>
      <c r="AP419" s="189">
        <f t="shared" si="154"/>
        <v>0</v>
      </c>
      <c r="AQ419" s="189">
        <f t="shared" si="154"/>
        <v>0</v>
      </c>
      <c r="AR419" s="158">
        <f t="shared" si="154"/>
        <v>0</v>
      </c>
      <c r="AS419" s="189">
        <f t="shared" si="154"/>
        <v>0</v>
      </c>
      <c r="AT419" s="189">
        <f t="shared" si="154"/>
        <v>0</v>
      </c>
      <c r="AU419" s="189">
        <f t="shared" si="154"/>
        <v>0</v>
      </c>
      <c r="AV419" s="189">
        <f t="shared" si="154"/>
        <v>0</v>
      </c>
      <c r="AW419" s="189">
        <f t="shared" si="154"/>
        <v>0</v>
      </c>
      <c r="AX419" s="189">
        <f t="shared" si="154"/>
        <v>0</v>
      </c>
      <c r="AY419" s="189">
        <f t="shared" si="154"/>
        <v>0</v>
      </c>
      <c r="AZ419" s="189">
        <f t="shared" si="154"/>
        <v>0</v>
      </c>
      <c r="BA419" s="189">
        <f t="shared" si="154"/>
        <v>0</v>
      </c>
      <c r="BB419" s="189">
        <f>SUM(BB405:BB418)</f>
        <v>0</v>
      </c>
      <c r="BC419" s="189">
        <f>SUM(BC405:BC418)</f>
        <v>0</v>
      </c>
      <c r="BD419" s="189">
        <f>SUM(BD405:BD418)</f>
        <v>0</v>
      </c>
      <c r="BE419" s="189">
        <f>SUM(BE405:BE418)</f>
        <v>0</v>
      </c>
      <c r="BF419" s="189">
        <f>SUM(BF405:BF418)</f>
        <v>0</v>
      </c>
    </row>
    <row r="420" spans="1:58" ht="14.1" customHeight="1">
      <c r="A420" s="247">
        <f t="shared" si="151"/>
        <v>414</v>
      </c>
      <c r="B420" s="27"/>
      <c r="C420" s="2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</row>
    <row r="421" spans="1:58" ht="14.1" customHeight="1">
      <c r="A421" s="247">
        <f t="shared" si="151"/>
        <v>415</v>
      </c>
      <c r="B421" s="304" t="s">
        <v>286</v>
      </c>
      <c r="C421" s="43">
        <f>SUM(D421:BF421)</f>
        <v>-31201</v>
      </c>
      <c r="D421" s="48">
        <v>0</v>
      </c>
      <c r="E421" s="48">
        <v>0</v>
      </c>
      <c r="F421" s="48">
        <v>0</v>
      </c>
      <c r="G421" s="48">
        <v>0</v>
      </c>
      <c r="H421" s="48">
        <v>0</v>
      </c>
      <c r="I421" s="48">
        <v>0</v>
      </c>
      <c r="J421" s="48">
        <v>0</v>
      </c>
      <c r="K421" s="48">
        <v>0</v>
      </c>
      <c r="L421" s="48">
        <v>0</v>
      </c>
      <c r="M421" s="48">
        <v>0</v>
      </c>
      <c r="N421" s="48">
        <v>0</v>
      </c>
      <c r="O421" s="48">
        <v>0</v>
      </c>
      <c r="P421" s="48">
        <v>0</v>
      </c>
      <c r="Q421" s="48">
        <v>0</v>
      </c>
      <c r="R421" s="48">
        <v>0</v>
      </c>
      <c r="S421" s="48">
        <v>0</v>
      </c>
      <c r="T421" s="48">
        <v>0</v>
      </c>
      <c r="U421" s="48">
        <v>0</v>
      </c>
      <c r="V421" s="48">
        <v>0</v>
      </c>
      <c r="W421" s="48">
        <v>0</v>
      </c>
      <c r="X421" s="48">
        <v>0</v>
      </c>
      <c r="Y421" s="48">
        <v>0</v>
      </c>
      <c r="Z421" s="48">
        <v>0</v>
      </c>
      <c r="AA421" s="48">
        <v>0</v>
      </c>
      <c r="AB421" s="48">
        <v>0</v>
      </c>
      <c r="AC421" s="48">
        <v>0</v>
      </c>
      <c r="AD421" s="48">
        <v>-38269</v>
      </c>
      <c r="AE421" s="48">
        <v>0</v>
      </c>
      <c r="AF421" s="48">
        <f>6973+95</f>
        <v>7068</v>
      </c>
      <c r="AG421" s="48">
        <v>0</v>
      </c>
      <c r="AH421" s="48">
        <v>0</v>
      </c>
      <c r="AI421" s="48">
        <v>0</v>
      </c>
      <c r="AJ421" s="48">
        <v>0</v>
      </c>
      <c r="AK421" s="48">
        <v>0</v>
      </c>
      <c r="AL421" s="48">
        <v>0</v>
      </c>
      <c r="AM421" s="48">
        <v>0</v>
      </c>
      <c r="AN421" s="48">
        <v>0</v>
      </c>
      <c r="AO421" s="48">
        <v>0</v>
      </c>
      <c r="AP421" s="48">
        <v>0</v>
      </c>
      <c r="AQ421" s="48">
        <v>0</v>
      </c>
      <c r="AR421" s="48">
        <v>0</v>
      </c>
      <c r="AS421" s="48">
        <v>0</v>
      </c>
      <c r="AT421" s="48">
        <v>0</v>
      </c>
      <c r="AU421" s="48">
        <v>0</v>
      </c>
      <c r="AV421" s="48">
        <v>0</v>
      </c>
      <c r="AW421" s="48">
        <v>0</v>
      </c>
      <c r="AX421" s="48">
        <v>0</v>
      </c>
      <c r="AY421" s="48">
        <v>0</v>
      </c>
      <c r="AZ421" s="48">
        <v>0</v>
      </c>
      <c r="BA421" s="48">
        <v>0</v>
      </c>
      <c r="BB421" s="48">
        <v>0</v>
      </c>
      <c r="BC421" s="48">
        <v>0</v>
      </c>
      <c r="BD421" s="48">
        <v>0</v>
      </c>
      <c r="BE421" s="48">
        <v>0</v>
      </c>
      <c r="BF421" s="48">
        <v>0</v>
      </c>
    </row>
    <row r="422" spans="1:58" ht="14.1" customHeight="1">
      <c r="A422" s="247">
        <f t="shared" si="151"/>
        <v>416</v>
      </c>
      <c r="B422" s="93" t="s">
        <v>287</v>
      </c>
      <c r="C422" s="43">
        <f>SUM(D422:BF422)</f>
        <v>-112174</v>
      </c>
      <c r="D422" s="48">
        <v>0</v>
      </c>
      <c r="E422" s="48">
        <v>0</v>
      </c>
      <c r="F422" s="48">
        <v>0</v>
      </c>
      <c r="G422" s="48">
        <v>0</v>
      </c>
      <c r="H422" s="48">
        <v>0</v>
      </c>
      <c r="I422" s="48">
        <v>0</v>
      </c>
      <c r="J422" s="48">
        <v>0</v>
      </c>
      <c r="K422" s="48">
        <v>0</v>
      </c>
      <c r="L422" s="48">
        <v>0</v>
      </c>
      <c r="M422" s="48">
        <v>0</v>
      </c>
      <c r="N422" s="48">
        <v>0</v>
      </c>
      <c r="O422" s="48">
        <v>0</v>
      </c>
      <c r="P422" s="48">
        <v>0</v>
      </c>
      <c r="Q422" s="48">
        <v>0</v>
      </c>
      <c r="R422" s="48">
        <v>0</v>
      </c>
      <c r="S422" s="48">
        <v>0</v>
      </c>
      <c r="T422" s="48">
        <v>0</v>
      </c>
      <c r="U422" s="48">
        <v>0</v>
      </c>
      <c r="V422" s="48">
        <v>0</v>
      </c>
      <c r="W422" s="48">
        <v>0</v>
      </c>
      <c r="X422" s="48">
        <v>0</v>
      </c>
      <c r="Y422" s="48">
        <v>0</v>
      </c>
      <c r="Z422" s="48">
        <v>0</v>
      </c>
      <c r="AA422" s="48">
        <v>0</v>
      </c>
      <c r="AB422" s="48">
        <v>0</v>
      </c>
      <c r="AC422" s="48">
        <v>0</v>
      </c>
      <c r="AD422" s="48">
        <v>-138906</v>
      </c>
      <c r="AE422" s="48">
        <v>0</v>
      </c>
      <c r="AF422" s="48">
        <v>26732</v>
      </c>
      <c r="AG422" s="48">
        <v>0</v>
      </c>
      <c r="AH422" s="48">
        <v>0</v>
      </c>
      <c r="AI422" s="48">
        <v>0</v>
      </c>
      <c r="AJ422" s="48">
        <v>0</v>
      </c>
      <c r="AK422" s="48">
        <v>0</v>
      </c>
      <c r="AL422" s="48">
        <v>0</v>
      </c>
      <c r="AM422" s="48">
        <v>0</v>
      </c>
      <c r="AN422" s="48">
        <v>0</v>
      </c>
      <c r="AO422" s="48">
        <v>0</v>
      </c>
      <c r="AP422" s="48">
        <v>0</v>
      </c>
      <c r="AQ422" s="48">
        <v>0</v>
      </c>
      <c r="AR422" s="48">
        <v>0</v>
      </c>
      <c r="AS422" s="48">
        <v>0</v>
      </c>
      <c r="AT422" s="48">
        <v>0</v>
      </c>
      <c r="AU422" s="48">
        <v>0</v>
      </c>
      <c r="AV422" s="48">
        <v>0</v>
      </c>
      <c r="AW422" s="48">
        <v>0</v>
      </c>
      <c r="AX422" s="48">
        <v>0</v>
      </c>
      <c r="AY422" s="48">
        <v>0</v>
      </c>
      <c r="AZ422" s="48">
        <v>0</v>
      </c>
      <c r="BA422" s="48">
        <v>0</v>
      </c>
      <c r="BB422" s="48">
        <v>0</v>
      </c>
      <c r="BC422" s="48">
        <v>0</v>
      </c>
      <c r="BD422" s="48">
        <v>0</v>
      </c>
      <c r="BE422" s="48">
        <v>0</v>
      </c>
      <c r="BF422" s="48">
        <v>0</v>
      </c>
    </row>
    <row r="423" spans="1:58" ht="14.1" customHeight="1">
      <c r="A423" s="247">
        <f t="shared" si="151"/>
        <v>417</v>
      </c>
      <c r="B423" s="25" t="s">
        <v>288</v>
      </c>
      <c r="C423" s="189">
        <f t="shared" ref="C423:P423" si="155">C419+SUM(C421:C422)</f>
        <v>-5422453</v>
      </c>
      <c r="D423" s="189">
        <f t="shared" si="155"/>
        <v>0</v>
      </c>
      <c r="E423" s="189">
        <f t="shared" si="155"/>
        <v>0</v>
      </c>
      <c r="F423" s="189">
        <f t="shared" si="155"/>
        <v>0</v>
      </c>
      <c r="G423" s="189">
        <f t="shared" si="155"/>
        <v>0</v>
      </c>
      <c r="H423" s="189">
        <f t="shared" si="155"/>
        <v>0</v>
      </c>
      <c r="I423" s="189">
        <f t="shared" si="155"/>
        <v>0</v>
      </c>
      <c r="J423" s="189">
        <f t="shared" si="155"/>
        <v>0</v>
      </c>
      <c r="K423" s="189">
        <f t="shared" si="155"/>
        <v>0</v>
      </c>
      <c r="L423" s="189">
        <f t="shared" si="155"/>
        <v>0</v>
      </c>
      <c r="M423" s="189">
        <f t="shared" si="155"/>
        <v>0</v>
      </c>
      <c r="N423" s="189">
        <f t="shared" si="155"/>
        <v>0</v>
      </c>
      <c r="O423" s="189">
        <f t="shared" si="155"/>
        <v>84864</v>
      </c>
      <c r="P423" s="189">
        <f t="shared" si="155"/>
        <v>0</v>
      </c>
      <c r="Q423" s="189">
        <f t="shared" ref="Q423:AQ423" si="156">Q419+SUM(Q421:Q422)</f>
        <v>0</v>
      </c>
      <c r="R423" s="189">
        <f t="shared" si="156"/>
        <v>258037</v>
      </c>
      <c r="S423" s="189">
        <f t="shared" si="156"/>
        <v>12219</v>
      </c>
      <c r="T423" s="189">
        <f t="shared" si="156"/>
        <v>-30610</v>
      </c>
      <c r="U423" s="189">
        <f t="shared" si="156"/>
        <v>0</v>
      </c>
      <c r="V423" s="189">
        <f t="shared" si="156"/>
        <v>0</v>
      </c>
      <c r="W423" s="189">
        <f t="shared" si="156"/>
        <v>-206580</v>
      </c>
      <c r="X423" s="189">
        <f t="shared" si="156"/>
        <v>0</v>
      </c>
      <c r="Y423" s="189">
        <f t="shared" si="156"/>
        <v>0</v>
      </c>
      <c r="Z423" s="189">
        <f t="shared" si="156"/>
        <v>0</v>
      </c>
      <c r="AA423" s="189">
        <f t="shared" si="156"/>
        <v>0</v>
      </c>
      <c r="AB423" s="189">
        <f t="shared" si="156"/>
        <v>-973508</v>
      </c>
      <c r="AC423" s="189">
        <f t="shared" si="156"/>
        <v>29576</v>
      </c>
      <c r="AD423" s="189">
        <f t="shared" si="156"/>
        <v>-5550201</v>
      </c>
      <c r="AE423" s="189">
        <f t="shared" si="156"/>
        <v>0</v>
      </c>
      <c r="AF423" s="189">
        <f t="shared" si="156"/>
        <v>953750</v>
      </c>
      <c r="AG423" s="189">
        <f t="shared" si="156"/>
        <v>0</v>
      </c>
      <c r="AH423" s="189">
        <f t="shared" si="156"/>
        <v>0</v>
      </c>
      <c r="AI423" s="189">
        <f t="shared" si="156"/>
        <v>0</v>
      </c>
      <c r="AJ423" s="189">
        <f t="shared" si="156"/>
        <v>0</v>
      </c>
      <c r="AK423" s="189">
        <f t="shared" si="156"/>
        <v>0</v>
      </c>
      <c r="AL423" s="189">
        <f t="shared" si="156"/>
        <v>0</v>
      </c>
      <c r="AM423" s="189">
        <f t="shared" si="156"/>
        <v>0</v>
      </c>
      <c r="AN423" s="189">
        <f t="shared" si="156"/>
        <v>0</v>
      </c>
      <c r="AO423" s="189">
        <f t="shared" si="156"/>
        <v>0</v>
      </c>
      <c r="AP423" s="189">
        <f t="shared" si="156"/>
        <v>0</v>
      </c>
      <c r="AQ423" s="189">
        <f t="shared" si="156"/>
        <v>0</v>
      </c>
      <c r="AR423" s="189">
        <f>AR419+SUM(AR421:AR422)</f>
        <v>0</v>
      </c>
      <c r="AS423" s="189">
        <f t="shared" ref="AS423:BA423" si="157">AS419+SUM(AS421:AS422)</f>
        <v>0</v>
      </c>
      <c r="AT423" s="189">
        <f t="shared" si="157"/>
        <v>0</v>
      </c>
      <c r="AU423" s="189">
        <f t="shared" si="157"/>
        <v>0</v>
      </c>
      <c r="AV423" s="189">
        <f t="shared" si="157"/>
        <v>0</v>
      </c>
      <c r="AW423" s="189">
        <f t="shared" si="157"/>
        <v>0</v>
      </c>
      <c r="AX423" s="189">
        <f t="shared" si="157"/>
        <v>0</v>
      </c>
      <c r="AY423" s="189">
        <f t="shared" si="157"/>
        <v>0</v>
      </c>
      <c r="AZ423" s="189">
        <f t="shared" si="157"/>
        <v>0</v>
      </c>
      <c r="BA423" s="189">
        <f t="shared" si="157"/>
        <v>0</v>
      </c>
      <c r="BB423" s="189">
        <f>BB419+SUM(BB421:BB422)</f>
        <v>0</v>
      </c>
      <c r="BC423" s="189">
        <f>BC419+SUM(BC421:BC422)</f>
        <v>0</v>
      </c>
      <c r="BD423" s="189">
        <f>BD419+SUM(BD421:BD422)</f>
        <v>0</v>
      </c>
      <c r="BE423" s="189">
        <f>BE419+SUM(BE421:BE422)</f>
        <v>0</v>
      </c>
      <c r="BF423" s="189">
        <f>BF419+SUM(BF421:BF422)</f>
        <v>0</v>
      </c>
    </row>
    <row r="424" spans="1:58" ht="14.1" customHeight="1">
      <c r="A424" s="247">
        <f t="shared" si="151"/>
        <v>418</v>
      </c>
      <c r="B424" s="93"/>
      <c r="C424" s="326"/>
      <c r="D424" s="326"/>
      <c r="E424" s="326"/>
      <c r="F424" s="326"/>
      <c r="G424" s="326"/>
      <c r="H424" s="326"/>
      <c r="I424" s="326"/>
      <c r="J424" s="326"/>
      <c r="K424" s="326"/>
      <c r="L424" s="326"/>
      <c r="M424" s="326"/>
      <c r="N424" s="326"/>
      <c r="O424" s="326"/>
      <c r="P424" s="326"/>
      <c r="Q424" s="326"/>
      <c r="R424" s="326"/>
      <c r="S424" s="326"/>
      <c r="T424" s="326"/>
      <c r="U424" s="326"/>
      <c r="V424" s="326"/>
      <c r="W424" s="326"/>
      <c r="X424" s="326"/>
      <c r="Y424" s="326"/>
      <c r="Z424" s="326"/>
      <c r="AA424" s="326"/>
      <c r="AB424" s="326"/>
      <c r="AC424" s="326"/>
      <c r="AD424" s="326"/>
      <c r="AE424" s="326"/>
      <c r="AF424" s="326"/>
      <c r="AG424" s="326"/>
      <c r="AH424" s="326"/>
      <c r="AI424" s="326"/>
      <c r="AJ424" s="326"/>
      <c r="AK424" s="326"/>
      <c r="AL424" s="326"/>
      <c r="AM424" s="326"/>
      <c r="AN424" s="326"/>
      <c r="AO424" s="326"/>
      <c r="AP424" s="326"/>
      <c r="AQ424" s="326"/>
      <c r="AR424" s="326"/>
      <c r="AS424" s="326"/>
      <c r="AT424" s="326"/>
      <c r="AU424" s="326"/>
      <c r="AV424" s="326"/>
      <c r="AW424" s="326"/>
      <c r="AX424" s="326"/>
      <c r="AY424" s="326"/>
      <c r="AZ424" s="326"/>
      <c r="BA424" s="326"/>
      <c r="BB424" s="326"/>
      <c r="BC424" s="326"/>
      <c r="BD424" s="326"/>
      <c r="BE424" s="326"/>
      <c r="BF424" s="326"/>
    </row>
    <row r="425" spans="1:58" s="26" customFormat="1" ht="14.1" customHeight="1">
      <c r="A425" s="247">
        <f t="shared" si="151"/>
        <v>419</v>
      </c>
      <c r="B425" s="25" t="s">
        <v>558</v>
      </c>
      <c r="C425" s="346">
        <f>C423+C402+C395+C388+C379+C351+C325</f>
        <v>16888397</v>
      </c>
      <c r="D425" s="346">
        <f>D423+D402+D395+D388+D379+D351+D325</f>
        <v>0</v>
      </c>
      <c r="E425" s="346">
        <f t="shared" ref="E425:BA425" si="158">E423+E402+E395+E388+E379+E351+E325</f>
        <v>-3548711</v>
      </c>
      <c r="F425" s="346">
        <f t="shared" si="158"/>
        <v>0</v>
      </c>
      <c r="G425" s="346">
        <f t="shared" si="158"/>
        <v>0</v>
      </c>
      <c r="H425" s="346">
        <f t="shared" si="158"/>
        <v>-239052</v>
      </c>
      <c r="I425" s="346">
        <f t="shared" si="158"/>
        <v>0</v>
      </c>
      <c r="J425" s="346">
        <f t="shared" si="158"/>
        <v>0</v>
      </c>
      <c r="K425" s="346">
        <f t="shared" si="158"/>
        <v>0</v>
      </c>
      <c r="L425" s="346">
        <f t="shared" si="158"/>
        <v>-10480841</v>
      </c>
      <c r="M425" s="346">
        <f t="shared" si="158"/>
        <v>60722845</v>
      </c>
      <c r="N425" s="346">
        <f t="shared" si="158"/>
        <v>0</v>
      </c>
      <c r="O425" s="346">
        <f t="shared" si="158"/>
        <v>84864</v>
      </c>
      <c r="P425" s="346">
        <f t="shared" si="158"/>
        <v>-647763</v>
      </c>
      <c r="Q425" s="346">
        <f t="shared" si="158"/>
        <v>-2237475</v>
      </c>
      <c r="R425" s="346">
        <f t="shared" si="158"/>
        <v>258037</v>
      </c>
      <c r="S425" s="346">
        <f t="shared" si="158"/>
        <v>12219</v>
      </c>
      <c r="T425" s="346">
        <f t="shared" si="158"/>
        <v>-30610</v>
      </c>
      <c r="U425" s="346">
        <f t="shared" si="158"/>
        <v>72974</v>
      </c>
      <c r="V425" s="346">
        <f t="shared" si="158"/>
        <v>10655900</v>
      </c>
      <c r="W425" s="346">
        <f t="shared" si="158"/>
        <v>-206580</v>
      </c>
      <c r="X425" s="346">
        <f t="shared" si="158"/>
        <v>52505</v>
      </c>
      <c r="Y425" s="346">
        <f t="shared" si="158"/>
        <v>34425</v>
      </c>
      <c r="Z425" s="346">
        <f t="shared" si="158"/>
        <v>103330</v>
      </c>
      <c r="AA425" s="346">
        <f t="shared" si="158"/>
        <v>1105293</v>
      </c>
      <c r="AB425" s="346">
        <f t="shared" si="158"/>
        <v>-973508</v>
      </c>
      <c r="AC425" s="346">
        <f t="shared" si="158"/>
        <v>29576</v>
      </c>
      <c r="AD425" s="346">
        <f t="shared" si="158"/>
        <v>-42717337</v>
      </c>
      <c r="AE425" s="346">
        <f t="shared" si="158"/>
        <v>7584302</v>
      </c>
      <c r="AF425" s="346">
        <f t="shared" si="158"/>
        <v>8839850</v>
      </c>
      <c r="AG425" s="346">
        <f t="shared" si="158"/>
        <v>3223809</v>
      </c>
      <c r="AH425" s="346">
        <f t="shared" si="158"/>
        <v>-14879350</v>
      </c>
      <c r="AI425" s="346">
        <f t="shared" si="158"/>
        <v>69695</v>
      </c>
      <c r="AJ425" s="346">
        <f t="shared" si="158"/>
        <v>0</v>
      </c>
      <c r="AK425" s="346">
        <f t="shared" si="158"/>
        <v>0</v>
      </c>
      <c r="AL425" s="346">
        <f t="shared" si="158"/>
        <v>0</v>
      </c>
      <c r="AM425" s="346">
        <f t="shared" si="158"/>
        <v>0</v>
      </c>
      <c r="AN425" s="346">
        <f t="shared" si="158"/>
        <v>0</v>
      </c>
      <c r="AO425" s="346">
        <f t="shared" si="158"/>
        <v>0</v>
      </c>
      <c r="AP425" s="346">
        <f t="shared" si="158"/>
        <v>0</v>
      </c>
      <c r="AQ425" s="346">
        <f t="shared" si="158"/>
        <v>0</v>
      </c>
      <c r="AR425" s="346">
        <f t="shared" si="158"/>
        <v>0</v>
      </c>
      <c r="AS425" s="346">
        <f t="shared" si="158"/>
        <v>0</v>
      </c>
      <c r="AT425" s="346">
        <f t="shared" si="158"/>
        <v>0</v>
      </c>
      <c r="AU425" s="346">
        <f t="shared" si="158"/>
        <v>0</v>
      </c>
      <c r="AV425" s="346">
        <f t="shared" si="158"/>
        <v>0</v>
      </c>
      <c r="AW425" s="346">
        <f t="shared" si="158"/>
        <v>0</v>
      </c>
      <c r="AX425" s="346">
        <f t="shared" si="158"/>
        <v>0</v>
      </c>
      <c r="AY425" s="346">
        <f t="shared" si="158"/>
        <v>0</v>
      </c>
      <c r="AZ425" s="346">
        <f t="shared" si="158"/>
        <v>0</v>
      </c>
      <c r="BA425" s="346">
        <f t="shared" si="158"/>
        <v>0</v>
      </c>
      <c r="BB425" s="346">
        <f>BB423+BB402+BB395+BB388+BB379+BB351+BB325</f>
        <v>0</v>
      </c>
      <c r="BC425" s="346">
        <f>BC423+BC402+BC395+BC388+BC379+BC351+BC325</f>
        <v>0</v>
      </c>
      <c r="BD425" s="346">
        <f>BD423+BD402+BD395+BD388+BD379+BD351+BD325</f>
        <v>0</v>
      </c>
      <c r="BE425" s="346">
        <f>BE423+BE402+BE395+BE388+BE379+BE351+BE325</f>
        <v>0</v>
      </c>
      <c r="BF425" s="346">
        <f>BF423+BF402+BF395+BF388+BF379+BF351+BF325</f>
        <v>0</v>
      </c>
    </row>
    <row r="426" spans="1:58" s="26" customFormat="1" ht="14.1" customHeight="1">
      <c r="A426" s="247">
        <f t="shared" si="151"/>
        <v>420</v>
      </c>
      <c r="B426" s="304"/>
      <c r="C426" s="304"/>
      <c r="D426" s="340"/>
      <c r="E426" s="340"/>
      <c r="F426" s="340"/>
      <c r="G426" s="340"/>
      <c r="H426" s="340"/>
      <c r="I426" s="340"/>
      <c r="J426" s="340"/>
      <c r="K426" s="340"/>
      <c r="L426" s="340"/>
      <c r="M426" s="340"/>
      <c r="N426" s="340"/>
      <c r="O426" s="340"/>
      <c r="P426" s="340"/>
      <c r="Q426" s="340"/>
      <c r="R426" s="340"/>
      <c r="S426" s="340"/>
      <c r="T426" s="340"/>
      <c r="U426" s="340"/>
      <c r="V426" s="340"/>
      <c r="W426" s="340"/>
      <c r="X426" s="340"/>
      <c r="Y426" s="340"/>
      <c r="Z426" s="340"/>
      <c r="AA426" s="340"/>
      <c r="AB426" s="340"/>
      <c r="AC426" s="340"/>
      <c r="AD426" s="340"/>
      <c r="AE426" s="340"/>
      <c r="AF426" s="340"/>
      <c r="AG426" s="340"/>
      <c r="AH426" s="340"/>
      <c r="AI426" s="340"/>
      <c r="AJ426" s="340"/>
      <c r="AK426" s="340"/>
      <c r="AL426" s="340"/>
      <c r="AM426" s="340"/>
      <c r="AN426" s="340"/>
      <c r="AO426" s="340"/>
      <c r="AP426" s="340"/>
      <c r="AQ426" s="340"/>
      <c r="AR426" s="340"/>
      <c r="AS426" s="340"/>
      <c r="AT426" s="340"/>
      <c r="AU426" s="340"/>
      <c r="AV426" s="340"/>
      <c r="AW426" s="340"/>
      <c r="AX426" s="340"/>
      <c r="AY426" s="340"/>
      <c r="AZ426" s="340"/>
      <c r="BA426" s="340"/>
      <c r="BB426" s="340"/>
      <c r="BC426" s="340"/>
      <c r="BD426" s="340"/>
      <c r="BE426" s="340"/>
      <c r="BF426" s="340"/>
    </row>
    <row r="427" spans="1:58" s="26" customFormat="1" ht="14.1" customHeight="1">
      <c r="A427" s="247">
        <f t="shared" si="151"/>
        <v>421</v>
      </c>
      <c r="B427" s="25" t="s">
        <v>385</v>
      </c>
      <c r="C427" s="25"/>
      <c r="D427" s="340"/>
      <c r="E427" s="340"/>
      <c r="F427" s="340"/>
      <c r="G427" s="340"/>
      <c r="H427" s="340"/>
      <c r="I427" s="340"/>
      <c r="J427" s="340"/>
      <c r="K427" s="340"/>
      <c r="L427" s="340"/>
      <c r="M427" s="340"/>
      <c r="N427" s="340"/>
      <c r="O427" s="340"/>
      <c r="P427" s="340"/>
      <c r="Q427" s="340"/>
      <c r="R427" s="340"/>
      <c r="S427" s="340"/>
      <c r="T427" s="340"/>
      <c r="U427" s="340"/>
      <c r="V427" s="340"/>
      <c r="W427" s="340"/>
      <c r="X427" s="340"/>
      <c r="Y427" s="340"/>
      <c r="Z427" s="340"/>
      <c r="AA427" s="340"/>
      <c r="AB427" s="340"/>
      <c r="AC427" s="340"/>
      <c r="AD427" s="340"/>
      <c r="AE427" s="340"/>
      <c r="AF427" s="340"/>
      <c r="AG427" s="340"/>
      <c r="AH427" s="340"/>
      <c r="AI427" s="340"/>
      <c r="AJ427" s="340"/>
      <c r="AK427" s="340"/>
      <c r="AL427" s="340"/>
      <c r="AM427" s="340"/>
      <c r="AN427" s="340"/>
      <c r="AO427" s="340"/>
      <c r="AP427" s="340"/>
      <c r="AQ427" s="340"/>
      <c r="AR427" s="340"/>
      <c r="AS427" s="340"/>
      <c r="AT427" s="340"/>
      <c r="AU427" s="340"/>
      <c r="AV427" s="340"/>
      <c r="AW427" s="340"/>
      <c r="AX427" s="340"/>
      <c r="AY427" s="340"/>
      <c r="AZ427" s="340"/>
      <c r="BA427" s="340"/>
      <c r="BB427" s="340"/>
      <c r="BC427" s="340"/>
      <c r="BD427" s="340"/>
      <c r="BE427" s="340"/>
      <c r="BF427" s="340"/>
    </row>
    <row r="428" spans="1:58" s="26" customFormat="1" ht="14.1" customHeight="1">
      <c r="A428" s="247">
        <f t="shared" si="151"/>
        <v>422</v>
      </c>
      <c r="B428" s="27" t="s">
        <v>390</v>
      </c>
      <c r="C428" s="43">
        <f>SUM(D428:BF428)</f>
        <v>14467214</v>
      </c>
      <c r="D428" s="43">
        <f>D316+D323</f>
        <v>0</v>
      </c>
      <c r="E428" s="11">
        <f t="shared" ref="E428:AC428" si="159">E316+E323</f>
        <v>-3548711</v>
      </c>
      <c r="F428" s="11">
        <f t="shared" si="159"/>
        <v>0</v>
      </c>
      <c r="G428" s="11">
        <f t="shared" si="159"/>
        <v>0</v>
      </c>
      <c r="H428" s="340">
        <f t="shared" si="159"/>
        <v>-239052</v>
      </c>
      <c r="I428" s="43">
        <f t="shared" si="159"/>
        <v>0</v>
      </c>
      <c r="J428" s="11">
        <f t="shared" si="159"/>
        <v>0</v>
      </c>
      <c r="K428" s="11">
        <f t="shared" si="159"/>
        <v>0</v>
      </c>
      <c r="L428" s="340">
        <f t="shared" si="159"/>
        <v>-10480841</v>
      </c>
      <c r="M428" s="340">
        <f t="shared" si="159"/>
        <v>60722845</v>
      </c>
      <c r="N428" s="43">
        <f t="shared" si="159"/>
        <v>0</v>
      </c>
      <c r="O428" s="43">
        <f t="shared" si="159"/>
        <v>0</v>
      </c>
      <c r="P428" s="11">
        <f t="shared" si="159"/>
        <v>0</v>
      </c>
      <c r="Q428" s="11">
        <f t="shared" si="159"/>
        <v>0</v>
      </c>
      <c r="R428" s="11">
        <f t="shared" si="159"/>
        <v>0</v>
      </c>
      <c r="S428" s="11">
        <f t="shared" si="159"/>
        <v>0</v>
      </c>
      <c r="T428" s="11">
        <f t="shared" si="159"/>
        <v>0</v>
      </c>
      <c r="U428" s="11">
        <f t="shared" si="159"/>
        <v>0</v>
      </c>
      <c r="V428" s="11">
        <f t="shared" si="159"/>
        <v>0</v>
      </c>
      <c r="W428" s="11">
        <f t="shared" si="159"/>
        <v>0</v>
      </c>
      <c r="X428" s="340">
        <f t="shared" si="159"/>
        <v>52505</v>
      </c>
      <c r="Y428" s="340">
        <f t="shared" si="159"/>
        <v>34425</v>
      </c>
      <c r="Z428" s="11">
        <f t="shared" si="159"/>
        <v>103330</v>
      </c>
      <c r="AA428" s="340">
        <f t="shared" si="159"/>
        <v>1105293</v>
      </c>
      <c r="AB428" s="11">
        <f t="shared" si="159"/>
        <v>0</v>
      </c>
      <c r="AC428" s="11">
        <f t="shared" si="159"/>
        <v>0</v>
      </c>
      <c r="AD428" s="11">
        <f>AD316+AD323</f>
        <v>-37167136</v>
      </c>
      <c r="AE428" s="340">
        <f t="shared" ref="AE428:BA428" si="160">AE316+AE323</f>
        <v>7584302</v>
      </c>
      <c r="AF428" s="340">
        <f t="shared" si="160"/>
        <v>7886100</v>
      </c>
      <c r="AG428" s="11">
        <f t="shared" si="160"/>
        <v>3223809</v>
      </c>
      <c r="AH428" s="11">
        <f t="shared" si="160"/>
        <v>-14879350</v>
      </c>
      <c r="AI428" s="11">
        <f t="shared" si="160"/>
        <v>69695</v>
      </c>
      <c r="AJ428" s="11">
        <f t="shared" si="160"/>
        <v>0</v>
      </c>
      <c r="AK428" s="11">
        <f t="shared" si="160"/>
        <v>0</v>
      </c>
      <c r="AL428" s="11">
        <f t="shared" si="160"/>
        <v>0</v>
      </c>
      <c r="AM428" s="340">
        <f t="shared" si="160"/>
        <v>0</v>
      </c>
      <c r="AN428" s="11">
        <f t="shared" si="160"/>
        <v>0</v>
      </c>
      <c r="AO428" s="11">
        <f t="shared" si="160"/>
        <v>0</v>
      </c>
      <c r="AP428" s="11">
        <f t="shared" si="160"/>
        <v>0</v>
      </c>
      <c r="AQ428" s="11">
        <f t="shared" si="160"/>
        <v>0</v>
      </c>
      <c r="AR428" s="43">
        <f t="shared" si="160"/>
        <v>0</v>
      </c>
      <c r="AS428" s="11">
        <f t="shared" si="160"/>
        <v>0</v>
      </c>
      <c r="AT428" s="11">
        <f t="shared" si="160"/>
        <v>0</v>
      </c>
      <c r="AU428" s="11">
        <f t="shared" si="160"/>
        <v>0</v>
      </c>
      <c r="AV428" s="11">
        <f t="shared" si="160"/>
        <v>0</v>
      </c>
      <c r="AW428" s="11">
        <f t="shared" si="160"/>
        <v>0</v>
      </c>
      <c r="AX428" s="11">
        <f t="shared" si="160"/>
        <v>0</v>
      </c>
      <c r="AY428" s="11">
        <f t="shared" si="160"/>
        <v>0</v>
      </c>
      <c r="AZ428" s="11">
        <f t="shared" si="160"/>
        <v>0</v>
      </c>
      <c r="BA428" s="11">
        <f t="shared" si="160"/>
        <v>0</v>
      </c>
      <c r="BB428" s="11">
        <f>BB316+BB323</f>
        <v>0</v>
      </c>
      <c r="BC428" s="11">
        <f>BC316+BC323</f>
        <v>0</v>
      </c>
      <c r="BD428" s="11">
        <f>BD316+BD323</f>
        <v>0</v>
      </c>
      <c r="BE428" s="11">
        <f>BE316+BE323</f>
        <v>0</v>
      </c>
      <c r="BF428" s="11">
        <f>BF316+BF323</f>
        <v>0</v>
      </c>
    </row>
    <row r="429" spans="1:58" s="26" customFormat="1" ht="14.1" customHeight="1">
      <c r="A429" s="247">
        <f t="shared" si="151"/>
        <v>423</v>
      </c>
      <c r="B429" s="27" t="s">
        <v>391</v>
      </c>
      <c r="C429" s="43">
        <f>SUM(D429:BF429)</f>
        <v>0</v>
      </c>
      <c r="D429" s="43">
        <f>D339+D349</f>
        <v>0</v>
      </c>
      <c r="E429" s="43">
        <f t="shared" ref="E429:M429" si="161">E339+E349</f>
        <v>0</v>
      </c>
      <c r="F429" s="43">
        <f t="shared" si="161"/>
        <v>0</v>
      </c>
      <c r="G429" s="43">
        <f t="shared" si="161"/>
        <v>0</v>
      </c>
      <c r="H429" s="43">
        <f t="shared" si="161"/>
        <v>0</v>
      </c>
      <c r="I429" s="43">
        <f t="shared" si="161"/>
        <v>0</v>
      </c>
      <c r="J429" s="43">
        <f t="shared" si="161"/>
        <v>0</v>
      </c>
      <c r="K429" s="43">
        <f t="shared" si="161"/>
        <v>0</v>
      </c>
      <c r="L429" s="43">
        <f t="shared" si="161"/>
        <v>0</v>
      </c>
      <c r="M429" s="43">
        <f t="shared" si="161"/>
        <v>0</v>
      </c>
      <c r="N429" s="43">
        <f>N339+N349</f>
        <v>0</v>
      </c>
      <c r="O429" s="43">
        <f t="shared" ref="O429:BA429" si="162">O339+O349</f>
        <v>0</v>
      </c>
      <c r="P429" s="43">
        <f t="shared" si="162"/>
        <v>0</v>
      </c>
      <c r="Q429" s="43">
        <f t="shared" si="162"/>
        <v>0</v>
      </c>
      <c r="R429" s="43">
        <f t="shared" si="162"/>
        <v>0</v>
      </c>
      <c r="S429" s="43">
        <f t="shared" si="162"/>
        <v>0</v>
      </c>
      <c r="T429" s="43">
        <f t="shared" si="162"/>
        <v>0</v>
      </c>
      <c r="U429" s="43">
        <f t="shared" si="162"/>
        <v>0</v>
      </c>
      <c r="V429" s="43">
        <f t="shared" si="162"/>
        <v>0</v>
      </c>
      <c r="W429" s="43">
        <f t="shared" si="162"/>
        <v>0</v>
      </c>
      <c r="X429" s="43">
        <f t="shared" si="162"/>
        <v>0</v>
      </c>
      <c r="Y429" s="43">
        <f t="shared" si="162"/>
        <v>0</v>
      </c>
      <c r="Z429" s="43">
        <f t="shared" si="162"/>
        <v>0</v>
      </c>
      <c r="AA429" s="43">
        <f t="shared" si="162"/>
        <v>0</v>
      </c>
      <c r="AB429" s="43">
        <f t="shared" si="162"/>
        <v>0</v>
      </c>
      <c r="AC429" s="43">
        <f t="shared" si="162"/>
        <v>0</v>
      </c>
      <c r="AD429" s="43">
        <f t="shared" si="162"/>
        <v>0</v>
      </c>
      <c r="AE429" s="43">
        <f t="shared" si="162"/>
        <v>0</v>
      </c>
      <c r="AF429" s="43">
        <f t="shared" si="162"/>
        <v>0</v>
      </c>
      <c r="AG429" s="43">
        <f t="shared" si="162"/>
        <v>0</v>
      </c>
      <c r="AH429" s="43">
        <f t="shared" si="162"/>
        <v>0</v>
      </c>
      <c r="AI429" s="43">
        <f t="shared" si="162"/>
        <v>0</v>
      </c>
      <c r="AJ429" s="43">
        <f t="shared" si="162"/>
        <v>0</v>
      </c>
      <c r="AK429" s="43">
        <f t="shared" si="162"/>
        <v>0</v>
      </c>
      <c r="AL429" s="43">
        <f t="shared" si="162"/>
        <v>0</v>
      </c>
      <c r="AM429" s="43">
        <f t="shared" si="162"/>
        <v>0</v>
      </c>
      <c r="AN429" s="43">
        <f t="shared" si="162"/>
        <v>0</v>
      </c>
      <c r="AO429" s="43">
        <f t="shared" si="162"/>
        <v>0</v>
      </c>
      <c r="AP429" s="43">
        <f t="shared" si="162"/>
        <v>0</v>
      </c>
      <c r="AQ429" s="43">
        <f t="shared" si="162"/>
        <v>0</v>
      </c>
      <c r="AR429" s="43">
        <f t="shared" si="162"/>
        <v>0</v>
      </c>
      <c r="AS429" s="43">
        <f t="shared" si="162"/>
        <v>0</v>
      </c>
      <c r="AT429" s="43">
        <f t="shared" si="162"/>
        <v>0</v>
      </c>
      <c r="AU429" s="43">
        <f t="shared" si="162"/>
        <v>0</v>
      </c>
      <c r="AV429" s="43">
        <f t="shared" si="162"/>
        <v>0</v>
      </c>
      <c r="AW429" s="43">
        <f t="shared" si="162"/>
        <v>0</v>
      </c>
      <c r="AX429" s="43">
        <f t="shared" si="162"/>
        <v>0</v>
      </c>
      <c r="AY429" s="43">
        <f t="shared" si="162"/>
        <v>0</v>
      </c>
      <c r="AZ429" s="43">
        <f t="shared" si="162"/>
        <v>0</v>
      </c>
      <c r="BA429" s="43">
        <f t="shared" si="162"/>
        <v>0</v>
      </c>
      <c r="BB429" s="43">
        <f>BB339+BB349</f>
        <v>0</v>
      </c>
      <c r="BC429" s="43">
        <f>BC339+BC349</f>
        <v>0</v>
      </c>
      <c r="BD429" s="43">
        <f>BD339+BD349</f>
        <v>0</v>
      </c>
      <c r="BE429" s="43">
        <f>BE339+BE349</f>
        <v>0</v>
      </c>
      <c r="BF429" s="43">
        <f>BF339+BF349</f>
        <v>0</v>
      </c>
    </row>
    <row r="430" spans="1:58" s="26" customFormat="1" ht="14.1" customHeight="1">
      <c r="A430" s="247">
        <f t="shared" si="151"/>
        <v>424</v>
      </c>
      <c r="B430" s="27" t="s">
        <v>254</v>
      </c>
      <c r="C430" s="43">
        <f>SUM(D430:BF430)</f>
        <v>7841214</v>
      </c>
      <c r="D430" s="43">
        <f>D379</f>
        <v>0</v>
      </c>
      <c r="E430" s="11">
        <f t="shared" ref="E430:M430" si="163">E379</f>
        <v>0</v>
      </c>
      <c r="F430" s="11">
        <f t="shared" si="163"/>
        <v>0</v>
      </c>
      <c r="G430" s="11">
        <f t="shared" si="163"/>
        <v>0</v>
      </c>
      <c r="H430" s="11">
        <f t="shared" si="163"/>
        <v>0</v>
      </c>
      <c r="I430" s="43">
        <f t="shared" si="163"/>
        <v>0</v>
      </c>
      <c r="J430" s="11">
        <f t="shared" si="163"/>
        <v>0</v>
      </c>
      <c r="K430" s="11">
        <f t="shared" si="163"/>
        <v>0</v>
      </c>
      <c r="L430" s="43">
        <f t="shared" si="163"/>
        <v>0</v>
      </c>
      <c r="M430" s="11">
        <f t="shared" si="163"/>
        <v>0</v>
      </c>
      <c r="N430" s="43">
        <f>N379+N481</f>
        <v>-2422</v>
      </c>
      <c r="O430" s="43">
        <f t="shared" ref="O430:BA430" si="164">O379</f>
        <v>0</v>
      </c>
      <c r="P430" s="340">
        <f t="shared" si="164"/>
        <v>-647763</v>
      </c>
      <c r="Q430" s="340">
        <f t="shared" si="164"/>
        <v>-2237475</v>
      </c>
      <c r="R430" s="11">
        <f t="shared" si="164"/>
        <v>0</v>
      </c>
      <c r="S430" s="11">
        <f t="shared" si="164"/>
        <v>0</v>
      </c>
      <c r="T430" s="11">
        <f t="shared" si="164"/>
        <v>0</v>
      </c>
      <c r="U430" s="340">
        <f t="shared" si="164"/>
        <v>72974</v>
      </c>
      <c r="V430" s="340">
        <f t="shared" si="164"/>
        <v>10655900</v>
      </c>
      <c r="W430" s="11">
        <f t="shared" si="164"/>
        <v>0</v>
      </c>
      <c r="X430" s="11">
        <f t="shared" si="164"/>
        <v>0</v>
      </c>
      <c r="Y430" s="11">
        <f t="shared" si="164"/>
        <v>0</v>
      </c>
      <c r="Z430" s="340">
        <f t="shared" si="164"/>
        <v>0</v>
      </c>
      <c r="AA430" s="11">
        <f t="shared" si="164"/>
        <v>0</v>
      </c>
      <c r="AB430" s="11">
        <f t="shared" si="164"/>
        <v>0</v>
      </c>
      <c r="AC430" s="11">
        <f t="shared" si="164"/>
        <v>0</v>
      </c>
      <c r="AD430" s="11">
        <f t="shared" si="164"/>
        <v>0</v>
      </c>
      <c r="AE430" s="11">
        <f t="shared" si="164"/>
        <v>0</v>
      </c>
      <c r="AF430" s="11">
        <f t="shared" si="164"/>
        <v>0</v>
      </c>
      <c r="AG430" s="11">
        <f t="shared" si="164"/>
        <v>0</v>
      </c>
      <c r="AH430" s="11">
        <f t="shared" si="164"/>
        <v>0</v>
      </c>
      <c r="AI430" s="11">
        <f t="shared" si="164"/>
        <v>0</v>
      </c>
      <c r="AJ430" s="11">
        <f t="shared" si="164"/>
        <v>0</v>
      </c>
      <c r="AK430" s="11">
        <f t="shared" si="164"/>
        <v>0</v>
      </c>
      <c r="AL430" s="11">
        <f t="shared" si="164"/>
        <v>0</v>
      </c>
      <c r="AM430" s="11">
        <f t="shared" si="164"/>
        <v>0</v>
      </c>
      <c r="AN430" s="11">
        <f t="shared" si="164"/>
        <v>0</v>
      </c>
      <c r="AO430" s="11">
        <f t="shared" si="164"/>
        <v>0</v>
      </c>
      <c r="AP430" s="11">
        <f t="shared" si="164"/>
        <v>0</v>
      </c>
      <c r="AQ430" s="11">
        <f t="shared" si="164"/>
        <v>0</v>
      </c>
      <c r="AR430" s="43">
        <f t="shared" si="164"/>
        <v>0</v>
      </c>
      <c r="AS430" s="11">
        <f t="shared" si="164"/>
        <v>0</v>
      </c>
      <c r="AT430" s="11">
        <f t="shared" si="164"/>
        <v>0</v>
      </c>
      <c r="AU430" s="11">
        <f t="shared" si="164"/>
        <v>0</v>
      </c>
      <c r="AV430" s="11">
        <f t="shared" si="164"/>
        <v>0</v>
      </c>
      <c r="AW430" s="11">
        <f t="shared" si="164"/>
        <v>0</v>
      </c>
      <c r="AX430" s="11">
        <f t="shared" si="164"/>
        <v>0</v>
      </c>
      <c r="AY430" s="11">
        <f t="shared" si="164"/>
        <v>0</v>
      </c>
      <c r="AZ430" s="11">
        <f t="shared" si="164"/>
        <v>0</v>
      </c>
      <c r="BA430" s="11">
        <f t="shared" si="164"/>
        <v>0</v>
      </c>
      <c r="BB430" s="11">
        <f>BB379</f>
        <v>0</v>
      </c>
      <c r="BC430" s="11">
        <f>BC379</f>
        <v>0</v>
      </c>
      <c r="BD430" s="11">
        <f>BD379</f>
        <v>0</v>
      </c>
      <c r="BE430" s="11">
        <f>BE379</f>
        <v>0</v>
      </c>
      <c r="BF430" s="11">
        <f>BF379</f>
        <v>0</v>
      </c>
    </row>
    <row r="431" spans="1:58" s="26" customFormat="1" ht="14.1" customHeight="1">
      <c r="A431" s="247">
        <f t="shared" si="151"/>
        <v>425</v>
      </c>
      <c r="B431" s="27" t="s">
        <v>392</v>
      </c>
      <c r="C431" s="43">
        <f>SUM(D431:BF431)</f>
        <v>0</v>
      </c>
      <c r="D431" s="43">
        <f>D388+D395+D402</f>
        <v>0</v>
      </c>
      <c r="E431" s="11">
        <f t="shared" ref="E431:BA431" si="165">E388+E395+E402</f>
        <v>0</v>
      </c>
      <c r="F431" s="11">
        <f t="shared" si="165"/>
        <v>0</v>
      </c>
      <c r="G431" s="11">
        <f t="shared" si="165"/>
        <v>0</v>
      </c>
      <c r="H431" s="11">
        <f t="shared" si="165"/>
        <v>0</v>
      </c>
      <c r="I431" s="43">
        <f t="shared" si="165"/>
        <v>0</v>
      </c>
      <c r="J431" s="11">
        <f t="shared" si="165"/>
        <v>0</v>
      </c>
      <c r="K431" s="11">
        <f t="shared" si="165"/>
        <v>0</v>
      </c>
      <c r="L431" s="43">
        <f t="shared" si="165"/>
        <v>0</v>
      </c>
      <c r="M431" s="11">
        <f t="shared" si="165"/>
        <v>0</v>
      </c>
      <c r="N431" s="43">
        <f t="shared" si="165"/>
        <v>0</v>
      </c>
      <c r="O431" s="43">
        <f t="shared" si="165"/>
        <v>0</v>
      </c>
      <c r="P431" s="11">
        <f t="shared" si="165"/>
        <v>0</v>
      </c>
      <c r="Q431" s="11">
        <f t="shared" si="165"/>
        <v>0</v>
      </c>
      <c r="R431" s="11">
        <f t="shared" si="165"/>
        <v>0</v>
      </c>
      <c r="S431" s="11">
        <f t="shared" si="165"/>
        <v>0</v>
      </c>
      <c r="T431" s="11">
        <f t="shared" si="165"/>
        <v>0</v>
      </c>
      <c r="U431" s="11">
        <f t="shared" si="165"/>
        <v>0</v>
      </c>
      <c r="V431" s="11">
        <f t="shared" si="165"/>
        <v>0</v>
      </c>
      <c r="W431" s="11">
        <f t="shared" si="165"/>
        <v>0</v>
      </c>
      <c r="X431" s="11">
        <f t="shared" si="165"/>
        <v>0</v>
      </c>
      <c r="Y431" s="11">
        <f t="shared" si="165"/>
        <v>0</v>
      </c>
      <c r="Z431" s="11">
        <f t="shared" si="165"/>
        <v>0</v>
      </c>
      <c r="AA431" s="11">
        <f t="shared" si="165"/>
        <v>0</v>
      </c>
      <c r="AB431" s="11">
        <f t="shared" si="165"/>
        <v>0</v>
      </c>
      <c r="AC431" s="11">
        <f t="shared" si="165"/>
        <v>0</v>
      </c>
      <c r="AD431" s="11">
        <f t="shared" si="165"/>
        <v>0</v>
      </c>
      <c r="AE431" s="11">
        <f t="shared" si="165"/>
        <v>0</v>
      </c>
      <c r="AF431" s="11">
        <f t="shared" si="165"/>
        <v>0</v>
      </c>
      <c r="AG431" s="11">
        <f t="shared" si="165"/>
        <v>0</v>
      </c>
      <c r="AH431" s="11">
        <f t="shared" si="165"/>
        <v>0</v>
      </c>
      <c r="AI431" s="11">
        <f t="shared" si="165"/>
        <v>0</v>
      </c>
      <c r="AJ431" s="11">
        <f t="shared" si="165"/>
        <v>0</v>
      </c>
      <c r="AK431" s="11">
        <f t="shared" si="165"/>
        <v>0</v>
      </c>
      <c r="AL431" s="11">
        <f t="shared" si="165"/>
        <v>0</v>
      </c>
      <c r="AM431" s="11">
        <f t="shared" si="165"/>
        <v>0</v>
      </c>
      <c r="AN431" s="11">
        <f t="shared" si="165"/>
        <v>0</v>
      </c>
      <c r="AO431" s="11">
        <f t="shared" si="165"/>
        <v>0</v>
      </c>
      <c r="AP431" s="11">
        <f t="shared" si="165"/>
        <v>0</v>
      </c>
      <c r="AQ431" s="11">
        <f t="shared" si="165"/>
        <v>0</v>
      </c>
      <c r="AR431" s="43">
        <f t="shared" si="165"/>
        <v>0</v>
      </c>
      <c r="AS431" s="11">
        <f t="shared" si="165"/>
        <v>0</v>
      </c>
      <c r="AT431" s="11">
        <f t="shared" si="165"/>
        <v>0</v>
      </c>
      <c r="AU431" s="11">
        <f t="shared" si="165"/>
        <v>0</v>
      </c>
      <c r="AV431" s="11">
        <f t="shared" si="165"/>
        <v>0</v>
      </c>
      <c r="AW431" s="11">
        <f t="shared" si="165"/>
        <v>0</v>
      </c>
      <c r="AX431" s="11">
        <f t="shared" si="165"/>
        <v>0</v>
      </c>
      <c r="AY431" s="11">
        <f t="shared" si="165"/>
        <v>0</v>
      </c>
      <c r="AZ431" s="11">
        <f t="shared" si="165"/>
        <v>0</v>
      </c>
      <c r="BA431" s="11">
        <f t="shared" si="165"/>
        <v>0</v>
      </c>
      <c r="BB431" s="11">
        <f>BB388+BB395+BB402</f>
        <v>0</v>
      </c>
      <c r="BC431" s="11">
        <f>BC388+BC395+BC402</f>
        <v>0</v>
      </c>
      <c r="BD431" s="11">
        <f>BD388+BD395+BD402</f>
        <v>0</v>
      </c>
      <c r="BE431" s="11">
        <f>BE388+BE395+BE402</f>
        <v>0</v>
      </c>
      <c r="BF431" s="11">
        <f>BF388+BF395+BF402</f>
        <v>0</v>
      </c>
    </row>
    <row r="432" spans="1:58" s="26" customFormat="1" ht="14.1" customHeight="1">
      <c r="A432" s="247">
        <f t="shared" si="151"/>
        <v>426</v>
      </c>
      <c r="B432" s="92" t="s">
        <v>393</v>
      </c>
      <c r="C432" s="43">
        <f>SUM(D432:BF432)</f>
        <v>-5507317</v>
      </c>
      <c r="D432" s="386">
        <f>D423</f>
        <v>0</v>
      </c>
      <c r="E432" s="100">
        <f t="shared" ref="E432:L432" si="166">E423</f>
        <v>0</v>
      </c>
      <c r="F432" s="100">
        <f t="shared" si="166"/>
        <v>0</v>
      </c>
      <c r="G432" s="100">
        <f t="shared" si="166"/>
        <v>0</v>
      </c>
      <c r="H432" s="11">
        <f t="shared" si="166"/>
        <v>0</v>
      </c>
      <c r="I432" s="386">
        <f t="shared" si="166"/>
        <v>0</v>
      </c>
      <c r="J432" s="100">
        <f t="shared" si="166"/>
        <v>0</v>
      </c>
      <c r="K432" s="100">
        <f t="shared" si="166"/>
        <v>0</v>
      </c>
      <c r="L432" s="43">
        <f t="shared" si="166"/>
        <v>0</v>
      </c>
      <c r="M432" s="11">
        <f>M389+M396+M403</f>
        <v>0</v>
      </c>
      <c r="N432" s="43">
        <f>N423</f>
        <v>0</v>
      </c>
      <c r="O432" s="386">
        <v>0</v>
      </c>
      <c r="P432" s="11">
        <f t="shared" ref="P432:BA432" si="167">P423</f>
        <v>0</v>
      </c>
      <c r="Q432" s="11">
        <f t="shared" si="167"/>
        <v>0</v>
      </c>
      <c r="R432" s="351">
        <f t="shared" si="167"/>
        <v>258037</v>
      </c>
      <c r="S432" s="351">
        <f t="shared" si="167"/>
        <v>12219</v>
      </c>
      <c r="T432" s="351">
        <f t="shared" si="167"/>
        <v>-30610</v>
      </c>
      <c r="U432" s="11">
        <f t="shared" si="167"/>
        <v>0</v>
      </c>
      <c r="V432" s="11">
        <f t="shared" si="167"/>
        <v>0</v>
      </c>
      <c r="W432" s="351">
        <f t="shared" si="167"/>
        <v>-206580</v>
      </c>
      <c r="X432" s="11">
        <f t="shared" si="167"/>
        <v>0</v>
      </c>
      <c r="Y432" s="11">
        <f t="shared" si="167"/>
        <v>0</v>
      </c>
      <c r="Z432" s="11">
        <f t="shared" si="167"/>
        <v>0</v>
      </c>
      <c r="AA432" s="11">
        <f t="shared" si="167"/>
        <v>0</v>
      </c>
      <c r="AB432" s="351">
        <f t="shared" si="167"/>
        <v>-973508</v>
      </c>
      <c r="AC432" s="351">
        <f t="shared" si="167"/>
        <v>29576</v>
      </c>
      <c r="AD432" s="100">
        <f t="shared" si="167"/>
        <v>-5550201</v>
      </c>
      <c r="AE432" s="11">
        <f t="shared" si="167"/>
        <v>0</v>
      </c>
      <c r="AF432" s="11">
        <f t="shared" si="167"/>
        <v>953750</v>
      </c>
      <c r="AG432" s="100">
        <f t="shared" si="167"/>
        <v>0</v>
      </c>
      <c r="AH432" s="100">
        <f t="shared" si="167"/>
        <v>0</v>
      </c>
      <c r="AI432" s="100">
        <f t="shared" si="167"/>
        <v>0</v>
      </c>
      <c r="AJ432" s="100">
        <f t="shared" si="167"/>
        <v>0</v>
      </c>
      <c r="AK432" s="100">
        <f t="shared" si="167"/>
        <v>0</v>
      </c>
      <c r="AL432" s="100">
        <f t="shared" si="167"/>
        <v>0</v>
      </c>
      <c r="AM432" s="11">
        <f t="shared" si="167"/>
        <v>0</v>
      </c>
      <c r="AN432" s="100">
        <f t="shared" si="167"/>
        <v>0</v>
      </c>
      <c r="AO432" s="100">
        <f t="shared" si="167"/>
        <v>0</v>
      </c>
      <c r="AP432" s="100">
        <f t="shared" si="167"/>
        <v>0</v>
      </c>
      <c r="AQ432" s="100">
        <f t="shared" si="167"/>
        <v>0</v>
      </c>
      <c r="AR432" s="386">
        <f t="shared" si="167"/>
        <v>0</v>
      </c>
      <c r="AS432" s="100">
        <f t="shared" si="167"/>
        <v>0</v>
      </c>
      <c r="AT432" s="100">
        <f t="shared" si="167"/>
        <v>0</v>
      </c>
      <c r="AU432" s="100">
        <f t="shared" si="167"/>
        <v>0</v>
      </c>
      <c r="AV432" s="100">
        <f t="shared" si="167"/>
        <v>0</v>
      </c>
      <c r="AW432" s="100">
        <f t="shared" si="167"/>
        <v>0</v>
      </c>
      <c r="AX432" s="100">
        <f t="shared" si="167"/>
        <v>0</v>
      </c>
      <c r="AY432" s="100">
        <f t="shared" si="167"/>
        <v>0</v>
      </c>
      <c r="AZ432" s="100">
        <f t="shared" si="167"/>
        <v>0</v>
      </c>
      <c r="BA432" s="100">
        <f t="shared" si="167"/>
        <v>0</v>
      </c>
      <c r="BB432" s="100">
        <f>BB423</f>
        <v>0</v>
      </c>
      <c r="BC432" s="100">
        <f>BC423</f>
        <v>0</v>
      </c>
      <c r="BD432" s="100">
        <f>BD423</f>
        <v>0</v>
      </c>
      <c r="BE432" s="100">
        <f>BE423</f>
        <v>0</v>
      </c>
      <c r="BF432" s="100">
        <f>BF423</f>
        <v>0</v>
      </c>
    </row>
    <row r="433" spans="1:58" s="26" customFormat="1" ht="14.1" customHeight="1">
      <c r="A433" s="247">
        <f t="shared" si="151"/>
        <v>427</v>
      </c>
      <c r="B433" s="98" t="s">
        <v>559</v>
      </c>
      <c r="C433" s="354">
        <f>SUM(C428:C432)</f>
        <v>16801111</v>
      </c>
      <c r="D433" s="389">
        <f>SUM(D428:D432)</f>
        <v>0</v>
      </c>
      <c r="E433" s="100">
        <f t="shared" ref="E433:BA433" si="168">SUM(E428:E432)</f>
        <v>-3548711</v>
      </c>
      <c r="F433" s="100">
        <f t="shared" si="168"/>
        <v>0</v>
      </c>
      <c r="G433" s="100">
        <f t="shared" si="168"/>
        <v>0</v>
      </c>
      <c r="H433" s="354">
        <f t="shared" si="168"/>
        <v>-239052</v>
      </c>
      <c r="I433" s="386">
        <f t="shared" si="168"/>
        <v>0</v>
      </c>
      <c r="J433" s="355">
        <f t="shared" si="168"/>
        <v>0</v>
      </c>
      <c r="K433" s="100">
        <f t="shared" si="168"/>
        <v>0</v>
      </c>
      <c r="L433" s="354">
        <f t="shared" si="168"/>
        <v>-10480841</v>
      </c>
      <c r="M433" s="354">
        <f t="shared" si="168"/>
        <v>60722845</v>
      </c>
      <c r="N433" s="354">
        <f t="shared" si="168"/>
        <v>-2422</v>
      </c>
      <c r="O433" s="386">
        <f t="shared" si="168"/>
        <v>0</v>
      </c>
      <c r="P433" s="354">
        <f t="shared" si="168"/>
        <v>-647763</v>
      </c>
      <c r="Q433" s="354">
        <f t="shared" si="168"/>
        <v>-2237475</v>
      </c>
      <c r="R433" s="354">
        <f t="shared" si="168"/>
        <v>258037</v>
      </c>
      <c r="S433" s="354">
        <f t="shared" si="168"/>
        <v>12219</v>
      </c>
      <c r="T433" s="354">
        <f t="shared" si="168"/>
        <v>-30610</v>
      </c>
      <c r="U433" s="354">
        <f t="shared" si="168"/>
        <v>72974</v>
      </c>
      <c r="V433" s="354">
        <f t="shared" si="168"/>
        <v>10655900</v>
      </c>
      <c r="W433" s="354">
        <f t="shared" si="168"/>
        <v>-206580</v>
      </c>
      <c r="X433" s="354">
        <f t="shared" si="168"/>
        <v>52505</v>
      </c>
      <c r="Y433" s="354">
        <f t="shared" si="168"/>
        <v>34425</v>
      </c>
      <c r="Z433" s="354">
        <f t="shared" si="168"/>
        <v>103330</v>
      </c>
      <c r="AA433" s="354">
        <f t="shared" si="168"/>
        <v>1105293</v>
      </c>
      <c r="AB433" s="354">
        <f t="shared" si="168"/>
        <v>-973508</v>
      </c>
      <c r="AC433" s="354">
        <f t="shared" si="168"/>
        <v>29576</v>
      </c>
      <c r="AD433" s="100">
        <f t="shared" si="168"/>
        <v>-42717337</v>
      </c>
      <c r="AE433" s="354">
        <f t="shared" si="168"/>
        <v>7584302</v>
      </c>
      <c r="AF433" s="354">
        <f t="shared" si="168"/>
        <v>8839850</v>
      </c>
      <c r="AG433" s="100">
        <f t="shared" si="168"/>
        <v>3223809</v>
      </c>
      <c r="AH433" s="100">
        <f t="shared" si="168"/>
        <v>-14879350</v>
      </c>
      <c r="AI433" s="100">
        <f t="shared" si="168"/>
        <v>69695</v>
      </c>
      <c r="AJ433" s="100">
        <f t="shared" si="168"/>
        <v>0</v>
      </c>
      <c r="AK433" s="100">
        <f t="shared" si="168"/>
        <v>0</v>
      </c>
      <c r="AL433" s="100">
        <f t="shared" si="168"/>
        <v>0</v>
      </c>
      <c r="AM433" s="354">
        <f t="shared" si="168"/>
        <v>0</v>
      </c>
      <c r="AN433" s="100">
        <f t="shared" si="168"/>
        <v>0</v>
      </c>
      <c r="AO433" s="100">
        <f t="shared" si="168"/>
        <v>0</v>
      </c>
      <c r="AP433" s="100">
        <f t="shared" si="168"/>
        <v>0</v>
      </c>
      <c r="AQ433" s="355">
        <f t="shared" si="168"/>
        <v>0</v>
      </c>
      <c r="AR433" s="386">
        <f t="shared" si="168"/>
        <v>0</v>
      </c>
      <c r="AS433" s="100">
        <f t="shared" si="168"/>
        <v>0</v>
      </c>
      <c r="AT433" s="100">
        <f t="shared" si="168"/>
        <v>0</v>
      </c>
      <c r="AU433" s="100">
        <f t="shared" si="168"/>
        <v>0</v>
      </c>
      <c r="AV433" s="100">
        <f t="shared" si="168"/>
        <v>0</v>
      </c>
      <c r="AW433" s="100">
        <f t="shared" si="168"/>
        <v>0</v>
      </c>
      <c r="AX433" s="100">
        <f t="shared" si="168"/>
        <v>0</v>
      </c>
      <c r="AY433" s="355">
        <f t="shared" si="168"/>
        <v>0</v>
      </c>
      <c r="AZ433" s="100">
        <f t="shared" si="168"/>
        <v>0</v>
      </c>
      <c r="BA433" s="100">
        <f t="shared" si="168"/>
        <v>0</v>
      </c>
      <c r="BB433" s="355">
        <f>SUM(BB428:BB432)</f>
        <v>0</v>
      </c>
      <c r="BC433" s="100">
        <f>SUM(BC428:BC432)</f>
        <v>0</v>
      </c>
      <c r="BD433" s="100">
        <f>SUM(BD428:BD432)</f>
        <v>0</v>
      </c>
      <c r="BE433" s="100">
        <f>SUM(BE428:BE432)</f>
        <v>0</v>
      </c>
      <c r="BF433" s="100">
        <f>SUM(BF428:BF432)</f>
        <v>0</v>
      </c>
    </row>
    <row r="434" spans="1:58" s="26" customFormat="1" ht="14.1" customHeight="1" thickBot="1">
      <c r="A434" s="247">
        <f t="shared" si="151"/>
        <v>428</v>
      </c>
      <c r="B434" s="99" t="s">
        <v>560</v>
      </c>
      <c r="C434" s="358">
        <f>C433*0.125</f>
        <v>2100138.875</v>
      </c>
      <c r="D434" s="358">
        <f>D433*0.125</f>
        <v>0</v>
      </c>
      <c r="E434" s="390">
        <f t="shared" ref="E434:BA434" si="169">E433*0.125</f>
        <v>-443588.875</v>
      </c>
      <c r="F434" s="390">
        <f t="shared" si="169"/>
        <v>0</v>
      </c>
      <c r="G434" s="358">
        <f t="shared" si="169"/>
        <v>0</v>
      </c>
      <c r="H434" s="358">
        <f t="shared" si="169"/>
        <v>-29881.5</v>
      </c>
      <c r="I434" s="358">
        <f t="shared" si="169"/>
        <v>0</v>
      </c>
      <c r="J434" s="358">
        <f t="shared" si="169"/>
        <v>0</v>
      </c>
      <c r="K434" s="390">
        <f t="shared" si="169"/>
        <v>0</v>
      </c>
      <c r="L434" s="358">
        <f t="shared" si="169"/>
        <v>-1310105.125</v>
      </c>
      <c r="M434" s="358">
        <f t="shared" si="169"/>
        <v>7590355.625</v>
      </c>
      <c r="N434" s="358">
        <f t="shared" si="169"/>
        <v>-302.75</v>
      </c>
      <c r="O434" s="358">
        <f t="shared" si="169"/>
        <v>0</v>
      </c>
      <c r="P434" s="358">
        <f t="shared" si="169"/>
        <v>-80970.375</v>
      </c>
      <c r="Q434" s="358">
        <f t="shared" si="169"/>
        <v>-279684.375</v>
      </c>
      <c r="R434" s="358">
        <f t="shared" si="169"/>
        <v>32254.625</v>
      </c>
      <c r="S434" s="358">
        <f t="shared" si="169"/>
        <v>1527.375</v>
      </c>
      <c r="T434" s="358">
        <f t="shared" si="169"/>
        <v>-3826.25</v>
      </c>
      <c r="U434" s="358">
        <f t="shared" si="169"/>
        <v>9121.75</v>
      </c>
      <c r="V434" s="358">
        <f t="shared" si="169"/>
        <v>1331987.5</v>
      </c>
      <c r="W434" s="358">
        <f t="shared" si="169"/>
        <v>-25822.5</v>
      </c>
      <c r="X434" s="358">
        <f t="shared" si="169"/>
        <v>6563.125</v>
      </c>
      <c r="Y434" s="358">
        <f t="shared" si="169"/>
        <v>4303.125</v>
      </c>
      <c r="Z434" s="358">
        <f t="shared" si="169"/>
        <v>12916.25</v>
      </c>
      <c r="AA434" s="358">
        <f t="shared" si="169"/>
        <v>138161.625</v>
      </c>
      <c r="AB434" s="358">
        <f t="shared" si="169"/>
        <v>-121688.5</v>
      </c>
      <c r="AC434" s="358">
        <f t="shared" si="169"/>
        <v>3697</v>
      </c>
      <c r="AD434" s="390">
        <f t="shared" si="169"/>
        <v>-5339667.125</v>
      </c>
      <c r="AE434" s="358">
        <f t="shared" si="169"/>
        <v>948037.75</v>
      </c>
      <c r="AF434" s="358">
        <f t="shared" si="169"/>
        <v>1104981.25</v>
      </c>
      <c r="AG434" s="358">
        <f t="shared" si="169"/>
        <v>402976.125</v>
      </c>
      <c r="AH434" s="390">
        <f t="shared" si="169"/>
        <v>-1859918.75</v>
      </c>
      <c r="AI434" s="390">
        <f t="shared" si="169"/>
        <v>8711.875</v>
      </c>
      <c r="AJ434" s="358">
        <f t="shared" si="169"/>
        <v>0</v>
      </c>
      <c r="AK434" s="358">
        <f t="shared" si="169"/>
        <v>0</v>
      </c>
      <c r="AL434" s="358">
        <f t="shared" si="169"/>
        <v>0</v>
      </c>
      <c r="AM434" s="358">
        <f t="shared" si="169"/>
        <v>0</v>
      </c>
      <c r="AN434" s="390">
        <f t="shared" si="169"/>
        <v>0</v>
      </c>
      <c r="AO434" s="390">
        <f t="shared" si="169"/>
        <v>0</v>
      </c>
      <c r="AP434" s="390">
        <f t="shared" si="169"/>
        <v>0</v>
      </c>
      <c r="AQ434" s="358">
        <f t="shared" si="169"/>
        <v>0</v>
      </c>
      <c r="AR434" s="358">
        <f t="shared" si="169"/>
        <v>0</v>
      </c>
      <c r="AS434" s="390">
        <f t="shared" si="169"/>
        <v>0</v>
      </c>
      <c r="AT434" s="390">
        <f t="shared" si="169"/>
        <v>0</v>
      </c>
      <c r="AU434" s="358">
        <f t="shared" si="169"/>
        <v>0</v>
      </c>
      <c r="AV434" s="358">
        <f t="shared" si="169"/>
        <v>0</v>
      </c>
      <c r="AW434" s="358">
        <f t="shared" si="169"/>
        <v>0</v>
      </c>
      <c r="AX434" s="358">
        <f t="shared" si="169"/>
        <v>0</v>
      </c>
      <c r="AY434" s="358">
        <f t="shared" si="169"/>
        <v>0</v>
      </c>
      <c r="AZ434" s="390">
        <f t="shared" si="169"/>
        <v>0</v>
      </c>
      <c r="BA434" s="358">
        <f t="shared" si="169"/>
        <v>0</v>
      </c>
      <c r="BB434" s="358">
        <f>BB433*0.125</f>
        <v>0</v>
      </c>
      <c r="BC434" s="390">
        <f>BC433*0.125</f>
        <v>0</v>
      </c>
      <c r="BD434" s="390">
        <f>BD433*0.125</f>
        <v>0</v>
      </c>
      <c r="BE434" s="390">
        <f>BE433*0.125</f>
        <v>0</v>
      </c>
      <c r="BF434" s="358">
        <f>BF433*0.125</f>
        <v>0</v>
      </c>
    </row>
    <row r="435" spans="1:58" s="26" customFormat="1" ht="14.1" customHeight="1" thickTop="1">
      <c r="A435" s="247">
        <f t="shared" si="151"/>
        <v>429</v>
      </c>
      <c r="B435" s="304"/>
      <c r="C435" s="304"/>
      <c r="D435" s="340"/>
      <c r="E435" s="340"/>
      <c r="F435" s="340"/>
      <c r="G435" s="340"/>
      <c r="H435" s="340"/>
      <c r="I435" s="340"/>
      <c r="J435" s="340"/>
      <c r="K435" s="340"/>
      <c r="L435" s="340"/>
      <c r="M435" s="340"/>
      <c r="N435" s="340"/>
      <c r="O435" s="340"/>
      <c r="P435" s="340"/>
      <c r="Q435" s="340"/>
      <c r="R435" s="340"/>
      <c r="S435" s="340"/>
      <c r="T435" s="340"/>
      <c r="U435" s="340"/>
      <c r="V435" s="340"/>
      <c r="W435" s="340"/>
      <c r="X435" s="340"/>
      <c r="Y435" s="340"/>
      <c r="Z435" s="340"/>
      <c r="AA435" s="340"/>
      <c r="AB435" s="340"/>
      <c r="AC435" s="340"/>
      <c r="AD435" s="340"/>
      <c r="AE435" s="340"/>
      <c r="AF435" s="340"/>
      <c r="AG435" s="340"/>
      <c r="AH435" s="340"/>
      <c r="AI435" s="340"/>
      <c r="AJ435" s="340"/>
      <c r="AK435" s="340"/>
      <c r="AL435" s="340"/>
      <c r="AM435" s="340"/>
      <c r="AN435" s="340"/>
      <c r="AO435" s="340"/>
      <c r="AP435" s="340"/>
      <c r="AQ435" s="340"/>
      <c r="AR435" s="340"/>
      <c r="AS435" s="340"/>
      <c r="AT435" s="340"/>
      <c r="AU435" s="340"/>
      <c r="AV435" s="340"/>
      <c r="AW435" s="340"/>
      <c r="AX435" s="340"/>
      <c r="AY435" s="340"/>
      <c r="AZ435" s="340"/>
      <c r="BA435" s="340"/>
      <c r="BB435" s="340"/>
      <c r="BC435" s="340"/>
      <c r="BD435" s="340"/>
      <c r="BE435" s="340"/>
      <c r="BF435" s="340"/>
    </row>
    <row r="436" spans="1:58" ht="14.1" customHeight="1">
      <c r="A436" s="247">
        <f t="shared" si="151"/>
        <v>430</v>
      </c>
      <c r="B436" s="14" t="s">
        <v>289</v>
      </c>
      <c r="C436" s="47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K436" s="48"/>
      <c r="AL436" s="48"/>
      <c r="AM436" s="48"/>
      <c r="AN436" s="48"/>
      <c r="AO436" s="48"/>
      <c r="AP436" s="48"/>
      <c r="AQ436" s="48"/>
      <c r="AR436" s="48"/>
      <c r="AS436" s="48"/>
      <c r="AT436" s="48"/>
      <c r="AU436" s="48"/>
      <c r="AV436" s="48"/>
      <c r="AW436" s="48"/>
      <c r="AX436" s="48"/>
      <c r="AY436" s="48"/>
      <c r="AZ436" s="48"/>
      <c r="BA436" s="48"/>
      <c r="BB436" s="48"/>
      <c r="BC436" s="48"/>
      <c r="BD436" s="48"/>
      <c r="BE436" s="48"/>
      <c r="BF436" s="48"/>
    </row>
    <row r="437" spans="1:58" ht="14.1" customHeight="1">
      <c r="A437" s="247">
        <f t="shared" si="151"/>
        <v>431</v>
      </c>
      <c r="B437" s="27" t="s">
        <v>290</v>
      </c>
      <c r="C437" s="43">
        <f>SUM(D437:BF437)</f>
        <v>-13195526.846999999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11">
        <v>0</v>
      </c>
      <c r="L437" s="11">
        <v>0</v>
      </c>
      <c r="M437" s="11">
        <v>0</v>
      </c>
      <c r="N437" s="11">
        <v>0</v>
      </c>
      <c r="O437" s="11">
        <v>0</v>
      </c>
      <c r="P437" s="11">
        <v>0</v>
      </c>
      <c r="Q437" s="11">
        <v>0</v>
      </c>
      <c r="R437" s="11">
        <v>0</v>
      </c>
      <c r="S437" s="11">
        <v>0</v>
      </c>
      <c r="T437" s="11">
        <v>0</v>
      </c>
      <c r="U437" s="11">
        <v>0</v>
      </c>
      <c r="V437" s="11">
        <v>0</v>
      </c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11">
        <v>0</v>
      </c>
      <c r="AC437" s="11">
        <v>0</v>
      </c>
      <c r="AD437" s="11">
        <v>0</v>
      </c>
      <c r="AE437" s="11">
        <v>0</v>
      </c>
      <c r="AF437" s="11">
        <v>0</v>
      </c>
      <c r="AG437" s="11">
        <v>0</v>
      </c>
      <c r="AH437" s="11">
        <v>0</v>
      </c>
      <c r="AI437" s="11">
        <v>0</v>
      </c>
      <c r="AJ437" s="11">
        <v>0</v>
      </c>
      <c r="AK437" s="11">
        <v>0</v>
      </c>
      <c r="AL437" s="11">
        <v>3764718</v>
      </c>
      <c r="AM437" s="11">
        <f>-17388923*'Allocation Factors'!$G$24</f>
        <v>-17197644.846999999</v>
      </c>
      <c r="AN437" s="11">
        <v>237400</v>
      </c>
      <c r="AO437" s="11">
        <v>0</v>
      </c>
      <c r="AP437" s="11">
        <v>0</v>
      </c>
      <c r="AQ437" s="11">
        <v>0</v>
      </c>
      <c r="AR437" s="11">
        <v>0</v>
      </c>
      <c r="AS437" s="11">
        <v>0</v>
      </c>
      <c r="AT437" s="11">
        <v>0</v>
      </c>
      <c r="AU437" s="11">
        <v>0</v>
      </c>
      <c r="AV437" s="11">
        <v>0</v>
      </c>
      <c r="AW437" s="11">
        <v>0</v>
      </c>
      <c r="AX437" s="11">
        <v>0</v>
      </c>
      <c r="AY437" s="11">
        <v>0</v>
      </c>
      <c r="AZ437" s="11">
        <v>0</v>
      </c>
      <c r="BA437" s="11">
        <v>0</v>
      </c>
      <c r="BB437" s="11">
        <v>0</v>
      </c>
      <c r="BC437" s="11">
        <v>0</v>
      </c>
      <c r="BD437" s="11">
        <v>0</v>
      </c>
      <c r="BE437" s="11">
        <v>0</v>
      </c>
      <c r="BF437" s="11">
        <v>0</v>
      </c>
    </row>
    <row r="438" spans="1:58" s="27" customFormat="1" ht="14.1" customHeight="1">
      <c r="A438" s="247">
        <f t="shared" si="151"/>
        <v>432</v>
      </c>
      <c r="B438" s="27" t="s">
        <v>291</v>
      </c>
      <c r="C438" s="43">
        <f>SUM(D438:BF438)</f>
        <v>4807979.9840000002</v>
      </c>
      <c r="D438" s="48">
        <v>0</v>
      </c>
      <c r="E438" s="48">
        <v>0</v>
      </c>
      <c r="F438" s="48">
        <v>0</v>
      </c>
      <c r="G438" s="48">
        <v>0</v>
      </c>
      <c r="H438" s="48">
        <v>0</v>
      </c>
      <c r="I438" s="48">
        <v>0</v>
      </c>
      <c r="J438" s="48">
        <v>0</v>
      </c>
      <c r="K438" s="48">
        <v>0</v>
      </c>
      <c r="L438" s="48">
        <v>0</v>
      </c>
      <c r="M438" s="48">
        <v>0</v>
      </c>
      <c r="N438" s="48">
        <v>0</v>
      </c>
      <c r="O438" s="48">
        <v>0</v>
      </c>
      <c r="P438" s="48">
        <v>0</v>
      </c>
      <c r="Q438" s="48">
        <v>0</v>
      </c>
      <c r="R438" s="48">
        <v>0</v>
      </c>
      <c r="S438" s="48">
        <v>0</v>
      </c>
      <c r="T438" s="48">
        <v>0</v>
      </c>
      <c r="U438" s="48">
        <v>0</v>
      </c>
      <c r="V438" s="48">
        <v>0</v>
      </c>
      <c r="W438" s="48">
        <v>0</v>
      </c>
      <c r="X438" s="48">
        <v>0</v>
      </c>
      <c r="Y438" s="48">
        <v>0</v>
      </c>
      <c r="Z438" s="48">
        <v>0</v>
      </c>
      <c r="AA438" s="48">
        <v>0</v>
      </c>
      <c r="AB438" s="48">
        <v>0</v>
      </c>
      <c r="AC438" s="48">
        <v>0</v>
      </c>
      <c r="AD438" s="48">
        <v>0</v>
      </c>
      <c r="AE438" s="48">
        <v>0</v>
      </c>
      <c r="AF438" s="48">
        <v>0</v>
      </c>
      <c r="AG438" s="48">
        <v>0</v>
      </c>
      <c r="AH438" s="48">
        <v>0</v>
      </c>
      <c r="AI438" s="48">
        <v>0</v>
      </c>
      <c r="AJ438" s="48">
        <f>4861456*'Allocation Factors'!$G$24</f>
        <v>4807979.9840000002</v>
      </c>
      <c r="AK438" s="48">
        <v>0</v>
      </c>
      <c r="AL438" s="48">
        <v>0</v>
      </c>
      <c r="AM438" s="48">
        <v>0</v>
      </c>
      <c r="AN438" s="48">
        <v>0</v>
      </c>
      <c r="AO438" s="48">
        <v>0</v>
      </c>
      <c r="AP438" s="48">
        <v>0</v>
      </c>
      <c r="AQ438" s="48">
        <v>0</v>
      </c>
      <c r="AR438" s="48">
        <v>0</v>
      </c>
      <c r="AS438" s="48">
        <v>0</v>
      </c>
      <c r="AT438" s="48">
        <v>0</v>
      </c>
      <c r="AU438" s="48">
        <v>0</v>
      </c>
      <c r="AV438" s="48">
        <v>0</v>
      </c>
      <c r="AW438" s="48">
        <v>0</v>
      </c>
      <c r="AX438" s="48">
        <v>0</v>
      </c>
      <c r="AY438" s="48">
        <v>0</v>
      </c>
      <c r="AZ438" s="48">
        <v>0</v>
      </c>
      <c r="BA438" s="48">
        <v>0</v>
      </c>
      <c r="BB438" s="48">
        <v>0</v>
      </c>
      <c r="BC438" s="48">
        <v>0</v>
      </c>
      <c r="BD438" s="48">
        <v>0</v>
      </c>
      <c r="BE438" s="48">
        <v>0</v>
      </c>
      <c r="BF438" s="48">
        <v>0</v>
      </c>
    </row>
    <row r="439" spans="1:58" s="27" customFormat="1" ht="13.5" customHeight="1">
      <c r="A439" s="247">
        <f t="shared" si="151"/>
        <v>433</v>
      </c>
      <c r="B439" s="27" t="s">
        <v>292</v>
      </c>
      <c r="C439" s="43">
        <f>SUM(D439:BF439)</f>
        <v>-14811.263999999999</v>
      </c>
      <c r="D439" s="48">
        <v>0</v>
      </c>
      <c r="E439" s="48">
        <v>0</v>
      </c>
      <c r="F439" s="48">
        <v>0</v>
      </c>
      <c r="G439" s="48">
        <v>0</v>
      </c>
      <c r="H439" s="48">
        <v>0</v>
      </c>
      <c r="I439" s="48">
        <v>0</v>
      </c>
      <c r="J439" s="48">
        <v>0</v>
      </c>
      <c r="K439" s="48">
        <v>0</v>
      </c>
      <c r="L439" s="48">
        <v>0</v>
      </c>
      <c r="M439" s="48">
        <v>0</v>
      </c>
      <c r="N439" s="48">
        <v>0</v>
      </c>
      <c r="O439" s="48">
        <v>0</v>
      </c>
      <c r="P439" s="48">
        <v>0</v>
      </c>
      <c r="Q439" s="48">
        <v>0</v>
      </c>
      <c r="R439" s="48">
        <v>0</v>
      </c>
      <c r="S439" s="48">
        <v>0</v>
      </c>
      <c r="T439" s="48">
        <v>0</v>
      </c>
      <c r="U439" s="48">
        <v>0</v>
      </c>
      <c r="V439" s="48">
        <v>0</v>
      </c>
      <c r="W439" s="48">
        <v>0</v>
      </c>
      <c r="X439" s="48">
        <v>0</v>
      </c>
      <c r="Y439" s="48">
        <v>0</v>
      </c>
      <c r="Z439" s="48">
        <v>0</v>
      </c>
      <c r="AA439" s="48">
        <v>0</v>
      </c>
      <c r="AB439" s="48">
        <v>0</v>
      </c>
      <c r="AC439" s="48">
        <v>0</v>
      </c>
      <c r="AD439" s="48">
        <v>0</v>
      </c>
      <c r="AE439" s="48">
        <v>0</v>
      </c>
      <c r="AF439" s="48">
        <v>0</v>
      </c>
      <c r="AG439" s="48">
        <v>0</v>
      </c>
      <c r="AH439" s="48">
        <v>0</v>
      </c>
      <c r="AI439" s="48">
        <v>0</v>
      </c>
      <c r="AJ439" s="48">
        <v>0</v>
      </c>
      <c r="AK439" s="48">
        <v>0</v>
      </c>
      <c r="AL439" s="48">
        <v>0</v>
      </c>
      <c r="AM439" s="48">
        <f>-14976*'Allocation Factors'!$G$24</f>
        <v>-14811.263999999999</v>
      </c>
      <c r="AN439" s="48">
        <v>0</v>
      </c>
      <c r="AO439" s="48">
        <v>0</v>
      </c>
      <c r="AP439" s="48">
        <v>0</v>
      </c>
      <c r="AQ439" s="48">
        <v>0</v>
      </c>
      <c r="AR439" s="48">
        <v>0</v>
      </c>
      <c r="AS439" s="48">
        <v>0</v>
      </c>
      <c r="AT439" s="48">
        <v>0</v>
      </c>
      <c r="AU439" s="48">
        <v>0</v>
      </c>
      <c r="AV439" s="48">
        <v>0</v>
      </c>
      <c r="AW439" s="48">
        <v>0</v>
      </c>
      <c r="AX439" s="48">
        <v>0</v>
      </c>
      <c r="AY439" s="48">
        <v>0</v>
      </c>
      <c r="AZ439" s="48">
        <v>0</v>
      </c>
      <c r="BA439" s="48">
        <v>0</v>
      </c>
      <c r="BB439" s="48">
        <v>0</v>
      </c>
      <c r="BC439" s="48">
        <v>0</v>
      </c>
      <c r="BD439" s="48">
        <v>0</v>
      </c>
      <c r="BE439" s="48">
        <v>0</v>
      </c>
      <c r="BF439" s="48">
        <v>0</v>
      </c>
    </row>
    <row r="440" spans="1:58" s="27" customFormat="1" ht="14.1" customHeight="1">
      <c r="A440" s="247">
        <f t="shared" si="151"/>
        <v>434</v>
      </c>
      <c r="B440" s="27" t="s">
        <v>141</v>
      </c>
      <c r="C440" s="43">
        <f>SUM(D440:BF440)</f>
        <v>7225674.5489999996</v>
      </c>
      <c r="D440" s="48">
        <v>0</v>
      </c>
      <c r="E440" s="48">
        <v>0</v>
      </c>
      <c r="F440" s="48">
        <v>0</v>
      </c>
      <c r="G440" s="48">
        <v>0</v>
      </c>
      <c r="H440" s="48">
        <v>0</v>
      </c>
      <c r="I440" s="48">
        <v>0</v>
      </c>
      <c r="J440" s="48">
        <v>0</v>
      </c>
      <c r="K440" s="48">
        <v>0</v>
      </c>
      <c r="L440" s="48">
        <v>0</v>
      </c>
      <c r="M440" s="48">
        <v>0</v>
      </c>
      <c r="N440" s="48">
        <v>0</v>
      </c>
      <c r="O440" s="48">
        <v>0</v>
      </c>
      <c r="P440" s="48">
        <v>0</v>
      </c>
      <c r="Q440" s="48">
        <v>0</v>
      </c>
      <c r="R440" s="48">
        <v>0</v>
      </c>
      <c r="S440" s="48">
        <v>0</v>
      </c>
      <c r="T440" s="48">
        <v>0</v>
      </c>
      <c r="U440" s="48">
        <v>0</v>
      </c>
      <c r="V440" s="48">
        <v>0</v>
      </c>
      <c r="W440" s="48">
        <v>0</v>
      </c>
      <c r="X440" s="48">
        <v>0</v>
      </c>
      <c r="Y440" s="48">
        <v>0</v>
      </c>
      <c r="Z440" s="48">
        <v>0</v>
      </c>
      <c r="AA440" s="48">
        <v>0</v>
      </c>
      <c r="AB440" s="48">
        <v>0</v>
      </c>
      <c r="AC440" s="48">
        <v>0</v>
      </c>
      <c r="AD440" s="48">
        <v>0</v>
      </c>
      <c r="AE440" s="48">
        <v>0</v>
      </c>
      <c r="AF440" s="48">
        <v>0</v>
      </c>
      <c r="AG440" s="48">
        <v>0</v>
      </c>
      <c r="AH440" s="48">
        <v>0</v>
      </c>
      <c r="AI440" s="48">
        <v>0</v>
      </c>
      <c r="AJ440" s="48">
        <f>7306041*'Allocation Factors'!$G$24</f>
        <v>7225674.5489999996</v>
      </c>
      <c r="AK440" s="48">
        <v>0</v>
      </c>
      <c r="AL440" s="48">
        <v>0</v>
      </c>
      <c r="AM440" s="48">
        <v>0</v>
      </c>
      <c r="AN440" s="48">
        <v>0</v>
      </c>
      <c r="AO440" s="48">
        <v>0</v>
      </c>
      <c r="AP440" s="48">
        <v>0</v>
      </c>
      <c r="AQ440" s="48">
        <v>0</v>
      </c>
      <c r="AR440" s="48">
        <v>0</v>
      </c>
      <c r="AS440" s="48">
        <v>0</v>
      </c>
      <c r="AT440" s="48">
        <v>0</v>
      </c>
      <c r="AU440" s="48">
        <v>0</v>
      </c>
      <c r="AV440" s="48">
        <v>0</v>
      </c>
      <c r="AW440" s="48">
        <v>0</v>
      </c>
      <c r="AX440" s="48">
        <v>0</v>
      </c>
      <c r="AY440" s="48">
        <v>0</v>
      </c>
      <c r="AZ440" s="48">
        <v>0</v>
      </c>
      <c r="BA440" s="48">
        <v>0</v>
      </c>
      <c r="BB440" s="48">
        <v>0</v>
      </c>
      <c r="BC440" s="48">
        <v>0</v>
      </c>
      <c r="BD440" s="48">
        <v>0</v>
      </c>
      <c r="BE440" s="48">
        <v>0</v>
      </c>
      <c r="BF440" s="48">
        <v>0</v>
      </c>
    </row>
    <row r="441" spans="1:58" s="304" customFormat="1" ht="14.1" customHeight="1">
      <c r="A441" s="247">
        <f t="shared" si="151"/>
        <v>435</v>
      </c>
      <c r="B441" s="92" t="s">
        <v>142</v>
      </c>
      <c r="C441" s="386">
        <f>SUM(D441:BF441)</f>
        <v>737606.09</v>
      </c>
      <c r="D441" s="100">
        <v>0</v>
      </c>
      <c r="E441" s="100">
        <v>0</v>
      </c>
      <c r="F441" s="100">
        <v>0</v>
      </c>
      <c r="G441" s="100">
        <v>0</v>
      </c>
      <c r="H441" s="100">
        <v>0</v>
      </c>
      <c r="I441" s="100">
        <v>0</v>
      </c>
      <c r="J441" s="100">
        <v>0</v>
      </c>
      <c r="K441" s="100">
        <v>0</v>
      </c>
      <c r="L441" s="100">
        <v>0</v>
      </c>
      <c r="M441" s="100">
        <v>0</v>
      </c>
      <c r="N441" s="100">
        <v>0</v>
      </c>
      <c r="O441" s="100">
        <v>0</v>
      </c>
      <c r="P441" s="100">
        <v>0</v>
      </c>
      <c r="Q441" s="100">
        <v>0</v>
      </c>
      <c r="R441" s="100">
        <v>0</v>
      </c>
      <c r="S441" s="100">
        <v>0</v>
      </c>
      <c r="T441" s="100">
        <v>0</v>
      </c>
      <c r="U441" s="100">
        <v>0</v>
      </c>
      <c r="V441" s="100">
        <v>0</v>
      </c>
      <c r="W441" s="100">
        <v>0</v>
      </c>
      <c r="X441" s="100">
        <v>0</v>
      </c>
      <c r="Y441" s="100">
        <v>0</v>
      </c>
      <c r="Z441" s="100">
        <v>0</v>
      </c>
      <c r="AA441" s="100">
        <v>0</v>
      </c>
      <c r="AB441" s="100">
        <v>0</v>
      </c>
      <c r="AC441" s="100">
        <v>0</v>
      </c>
      <c r="AD441" s="100">
        <v>0</v>
      </c>
      <c r="AE441" s="100">
        <v>0</v>
      </c>
      <c r="AF441" s="100">
        <v>0</v>
      </c>
      <c r="AG441" s="100">
        <v>0</v>
      </c>
      <c r="AH441" s="100">
        <v>0</v>
      </c>
      <c r="AI441" s="100">
        <v>0</v>
      </c>
      <c r="AJ441" s="100">
        <f>745810*'Allocation Factors'!$G$24</f>
        <v>737606.09</v>
      </c>
      <c r="AK441" s="100">
        <v>0</v>
      </c>
      <c r="AL441" s="100">
        <v>0</v>
      </c>
      <c r="AM441" s="100">
        <v>0</v>
      </c>
      <c r="AN441" s="100">
        <v>0</v>
      </c>
      <c r="AO441" s="100">
        <v>0</v>
      </c>
      <c r="AP441" s="100">
        <v>0</v>
      </c>
      <c r="AQ441" s="100">
        <v>0</v>
      </c>
      <c r="AR441" s="100">
        <v>0</v>
      </c>
      <c r="AS441" s="100">
        <v>0</v>
      </c>
      <c r="AT441" s="100">
        <v>0</v>
      </c>
      <c r="AU441" s="100">
        <v>0</v>
      </c>
      <c r="AV441" s="100">
        <v>0</v>
      </c>
      <c r="AW441" s="100">
        <v>0</v>
      </c>
      <c r="AX441" s="100">
        <v>0</v>
      </c>
      <c r="AY441" s="100">
        <v>0</v>
      </c>
      <c r="AZ441" s="100">
        <v>0</v>
      </c>
      <c r="BA441" s="100">
        <v>0</v>
      </c>
      <c r="BB441" s="100">
        <v>0</v>
      </c>
      <c r="BC441" s="100">
        <v>0</v>
      </c>
      <c r="BD441" s="100">
        <v>0</v>
      </c>
      <c r="BE441" s="100">
        <v>0</v>
      </c>
      <c r="BF441" s="100">
        <v>0</v>
      </c>
    </row>
    <row r="442" spans="1:58" ht="14.1" customHeight="1">
      <c r="A442" s="247">
        <f t="shared" si="151"/>
        <v>436</v>
      </c>
      <c r="B442" s="25" t="s">
        <v>561</v>
      </c>
      <c r="C442" s="17">
        <f>SUM(C437:C441)</f>
        <v>-439077.48799999885</v>
      </c>
      <c r="D442" s="17">
        <f>SUM(D437:D441)</f>
        <v>0</v>
      </c>
      <c r="E442" s="17">
        <f t="shared" ref="E442:BA442" si="170">SUM(E437:E441)</f>
        <v>0</v>
      </c>
      <c r="F442" s="17">
        <f t="shared" si="170"/>
        <v>0</v>
      </c>
      <c r="G442" s="17">
        <f t="shared" si="170"/>
        <v>0</v>
      </c>
      <c r="H442" s="17">
        <f t="shared" si="170"/>
        <v>0</v>
      </c>
      <c r="I442" s="17">
        <f t="shared" si="170"/>
        <v>0</v>
      </c>
      <c r="J442" s="17">
        <f t="shared" si="170"/>
        <v>0</v>
      </c>
      <c r="K442" s="17">
        <f t="shared" si="170"/>
        <v>0</v>
      </c>
      <c r="L442" s="17">
        <f t="shared" si="170"/>
        <v>0</v>
      </c>
      <c r="M442" s="17">
        <f t="shared" si="170"/>
        <v>0</v>
      </c>
      <c r="N442" s="17">
        <f t="shared" si="170"/>
        <v>0</v>
      </c>
      <c r="O442" s="17">
        <f t="shared" si="170"/>
        <v>0</v>
      </c>
      <c r="P442" s="17">
        <f t="shared" si="170"/>
        <v>0</v>
      </c>
      <c r="Q442" s="17">
        <f t="shared" si="170"/>
        <v>0</v>
      </c>
      <c r="R442" s="17">
        <f t="shared" si="170"/>
        <v>0</v>
      </c>
      <c r="S442" s="17">
        <f t="shared" si="170"/>
        <v>0</v>
      </c>
      <c r="T442" s="17">
        <f t="shared" si="170"/>
        <v>0</v>
      </c>
      <c r="U442" s="17">
        <f t="shared" si="170"/>
        <v>0</v>
      </c>
      <c r="V442" s="17">
        <f t="shared" si="170"/>
        <v>0</v>
      </c>
      <c r="W442" s="17">
        <f t="shared" si="170"/>
        <v>0</v>
      </c>
      <c r="X442" s="17">
        <f t="shared" si="170"/>
        <v>0</v>
      </c>
      <c r="Y442" s="17">
        <f t="shared" si="170"/>
        <v>0</v>
      </c>
      <c r="Z442" s="17">
        <f t="shared" si="170"/>
        <v>0</v>
      </c>
      <c r="AA442" s="17">
        <f t="shared" si="170"/>
        <v>0</v>
      </c>
      <c r="AB442" s="17">
        <f t="shared" si="170"/>
        <v>0</v>
      </c>
      <c r="AC442" s="17">
        <f t="shared" si="170"/>
        <v>0</v>
      </c>
      <c r="AD442" s="17">
        <f t="shared" si="170"/>
        <v>0</v>
      </c>
      <c r="AE442" s="17">
        <f t="shared" si="170"/>
        <v>0</v>
      </c>
      <c r="AF442" s="17">
        <f t="shared" si="170"/>
        <v>0</v>
      </c>
      <c r="AG442" s="17">
        <f t="shared" si="170"/>
        <v>0</v>
      </c>
      <c r="AH442" s="17">
        <f t="shared" si="170"/>
        <v>0</v>
      </c>
      <c r="AI442" s="17">
        <f t="shared" si="170"/>
        <v>0</v>
      </c>
      <c r="AJ442" s="17">
        <f t="shared" si="170"/>
        <v>12771260.623</v>
      </c>
      <c r="AK442" s="17">
        <f t="shared" si="170"/>
        <v>0</v>
      </c>
      <c r="AL442" s="17">
        <f t="shared" si="170"/>
        <v>3764718</v>
      </c>
      <c r="AM442" s="17">
        <f t="shared" si="170"/>
        <v>-17212456.110999998</v>
      </c>
      <c r="AN442" s="17">
        <f t="shared" si="170"/>
        <v>237400</v>
      </c>
      <c r="AO442" s="17">
        <f t="shared" si="170"/>
        <v>0</v>
      </c>
      <c r="AP442" s="17">
        <f t="shared" si="170"/>
        <v>0</v>
      </c>
      <c r="AQ442" s="17">
        <f t="shared" si="170"/>
        <v>0</v>
      </c>
      <c r="AR442" s="17">
        <f t="shared" si="170"/>
        <v>0</v>
      </c>
      <c r="AS442" s="17">
        <f t="shared" si="170"/>
        <v>0</v>
      </c>
      <c r="AT442" s="17">
        <f t="shared" si="170"/>
        <v>0</v>
      </c>
      <c r="AU442" s="17">
        <f t="shared" si="170"/>
        <v>0</v>
      </c>
      <c r="AV442" s="17">
        <f t="shared" si="170"/>
        <v>0</v>
      </c>
      <c r="AW442" s="17">
        <f t="shared" si="170"/>
        <v>0</v>
      </c>
      <c r="AX442" s="17">
        <f t="shared" si="170"/>
        <v>0</v>
      </c>
      <c r="AY442" s="17">
        <f t="shared" si="170"/>
        <v>0</v>
      </c>
      <c r="AZ442" s="17">
        <f t="shared" si="170"/>
        <v>0</v>
      </c>
      <c r="BA442" s="17">
        <f t="shared" si="170"/>
        <v>0</v>
      </c>
      <c r="BB442" s="17">
        <f>SUM(BB437:BB441)</f>
        <v>0</v>
      </c>
      <c r="BC442" s="17">
        <f>SUM(BC437:BC441)</f>
        <v>0</v>
      </c>
      <c r="BD442" s="17">
        <f>SUM(BD437:BD441)</f>
        <v>0</v>
      </c>
      <c r="BE442" s="17">
        <f>SUM(BE437:BE441)</f>
        <v>0</v>
      </c>
      <c r="BF442" s="17">
        <f>SUM(BF437:BF441)</f>
        <v>0</v>
      </c>
    </row>
    <row r="443" spans="1:58" ht="14.1" customHeight="1">
      <c r="A443" s="247">
        <f t="shared" si="151"/>
        <v>437</v>
      </c>
      <c r="B443" s="304"/>
      <c r="C443" s="304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</row>
    <row r="444" spans="1:58" ht="14.1" customHeight="1">
      <c r="A444" s="247">
        <f t="shared" si="151"/>
        <v>438</v>
      </c>
      <c r="B444" s="14" t="s">
        <v>293</v>
      </c>
      <c r="C444" s="14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  <c r="AK444" s="48"/>
      <c r="AL444" s="48"/>
      <c r="AM444" s="48"/>
      <c r="AN444" s="48"/>
      <c r="AO444" s="48"/>
      <c r="AP444" s="48"/>
      <c r="AQ444" s="48"/>
      <c r="AR444" s="48"/>
      <c r="AS444" s="48"/>
      <c r="AT444" s="48"/>
      <c r="AU444" s="48"/>
      <c r="AV444" s="48"/>
      <c r="AW444" s="48"/>
      <c r="AX444" s="48"/>
      <c r="AY444" s="48"/>
      <c r="AZ444" s="48"/>
      <c r="BA444" s="48"/>
      <c r="BB444" s="48"/>
      <c r="BC444" s="48"/>
      <c r="BD444" s="48"/>
      <c r="BE444" s="48"/>
      <c r="BF444" s="48"/>
    </row>
    <row r="445" spans="1:58" ht="14.1" customHeight="1">
      <c r="A445" s="247">
        <f t="shared" si="151"/>
        <v>439</v>
      </c>
      <c r="B445" s="27" t="s">
        <v>294</v>
      </c>
      <c r="C445" s="43">
        <f>SUM(D445:BF445)</f>
        <v>209475</v>
      </c>
      <c r="D445" s="48">
        <v>0</v>
      </c>
      <c r="E445" s="48">
        <v>0</v>
      </c>
      <c r="F445" s="48">
        <v>0</v>
      </c>
      <c r="G445" s="48">
        <v>0</v>
      </c>
      <c r="H445" s="48">
        <v>0</v>
      </c>
      <c r="I445" s="48">
        <v>0</v>
      </c>
      <c r="J445" s="48">
        <v>0</v>
      </c>
      <c r="K445" s="48">
        <v>0</v>
      </c>
      <c r="L445" s="48">
        <v>0</v>
      </c>
      <c r="M445" s="48">
        <v>0</v>
      </c>
      <c r="N445" s="48">
        <v>0</v>
      </c>
      <c r="O445" s="48">
        <v>0</v>
      </c>
      <c r="P445" s="48">
        <v>0</v>
      </c>
      <c r="Q445" s="48">
        <v>0</v>
      </c>
      <c r="R445" s="48">
        <v>0</v>
      </c>
      <c r="S445" s="48">
        <v>0</v>
      </c>
      <c r="T445" s="48">
        <v>0</v>
      </c>
      <c r="U445" s="48">
        <v>0</v>
      </c>
      <c r="V445" s="48">
        <v>0</v>
      </c>
      <c r="W445" s="48">
        <v>0</v>
      </c>
      <c r="X445" s="48">
        <v>0</v>
      </c>
      <c r="Y445" s="48">
        <v>0</v>
      </c>
      <c r="Z445" s="48">
        <v>0</v>
      </c>
      <c r="AA445" s="48">
        <v>0</v>
      </c>
      <c r="AB445" s="48">
        <v>0</v>
      </c>
      <c r="AC445" s="48">
        <v>0</v>
      </c>
      <c r="AD445" s="48">
        <v>0</v>
      </c>
      <c r="AE445" s="48">
        <v>0</v>
      </c>
      <c r="AF445" s="48">
        <v>0</v>
      </c>
      <c r="AG445" s="48">
        <v>0</v>
      </c>
      <c r="AH445" s="48">
        <v>0</v>
      </c>
      <c r="AI445" s="48">
        <v>0</v>
      </c>
      <c r="AJ445" s="48">
        <v>0</v>
      </c>
      <c r="AK445" s="48">
        <v>209475</v>
      </c>
      <c r="AL445" s="48">
        <v>0</v>
      </c>
      <c r="AM445" s="48">
        <v>0</v>
      </c>
      <c r="AN445" s="48">
        <v>0</v>
      </c>
      <c r="AO445" s="48">
        <v>0</v>
      </c>
      <c r="AP445" s="48">
        <v>0</v>
      </c>
      <c r="AQ445" s="48">
        <v>0</v>
      </c>
      <c r="AR445" s="48">
        <v>0</v>
      </c>
      <c r="AS445" s="48">
        <v>0</v>
      </c>
      <c r="AT445" s="48">
        <v>0</v>
      </c>
      <c r="AU445" s="48">
        <v>0</v>
      </c>
      <c r="AV445" s="48">
        <v>0</v>
      </c>
      <c r="AW445" s="48">
        <v>0</v>
      </c>
      <c r="AX445" s="48">
        <v>0</v>
      </c>
      <c r="AY445" s="48">
        <v>0</v>
      </c>
      <c r="AZ445" s="48">
        <v>0</v>
      </c>
      <c r="BA445" s="48">
        <v>0</v>
      </c>
      <c r="BB445" s="48">
        <v>0</v>
      </c>
      <c r="BC445" s="48">
        <v>0</v>
      </c>
      <c r="BD445" s="48">
        <v>0</v>
      </c>
      <c r="BE445" s="48">
        <v>0</v>
      </c>
      <c r="BF445" s="48">
        <v>0</v>
      </c>
    </row>
    <row r="446" spans="1:58" s="27" customFormat="1" ht="14.1" customHeight="1">
      <c r="A446" s="247">
        <f t="shared" si="151"/>
        <v>440</v>
      </c>
      <c r="B446" s="27" t="s">
        <v>152</v>
      </c>
      <c r="C446" s="43">
        <f>SUM(D446:BF446)</f>
        <v>0</v>
      </c>
      <c r="D446" s="48">
        <v>0</v>
      </c>
      <c r="E446" s="48">
        <v>0</v>
      </c>
      <c r="F446" s="48">
        <v>0</v>
      </c>
      <c r="G446" s="48">
        <v>0</v>
      </c>
      <c r="H446" s="48">
        <v>0</v>
      </c>
      <c r="I446" s="48">
        <v>0</v>
      </c>
      <c r="J446" s="48">
        <v>0</v>
      </c>
      <c r="K446" s="48">
        <v>0</v>
      </c>
      <c r="L446" s="48">
        <v>0</v>
      </c>
      <c r="M446" s="48">
        <v>0</v>
      </c>
      <c r="N446" s="48">
        <v>0</v>
      </c>
      <c r="O446" s="48">
        <v>0</v>
      </c>
      <c r="P446" s="48">
        <v>0</v>
      </c>
      <c r="Q446" s="48">
        <v>0</v>
      </c>
      <c r="R446" s="48">
        <v>0</v>
      </c>
      <c r="S446" s="48">
        <v>0</v>
      </c>
      <c r="T446" s="48">
        <v>0</v>
      </c>
      <c r="U446" s="48">
        <v>0</v>
      </c>
      <c r="V446" s="48">
        <v>0</v>
      </c>
      <c r="W446" s="48">
        <v>0</v>
      </c>
      <c r="X446" s="48">
        <v>0</v>
      </c>
      <c r="Y446" s="48">
        <v>0</v>
      </c>
      <c r="Z446" s="48">
        <v>0</v>
      </c>
      <c r="AA446" s="48">
        <v>0</v>
      </c>
      <c r="AB446" s="48">
        <v>0</v>
      </c>
      <c r="AC446" s="48">
        <v>0</v>
      </c>
      <c r="AD446" s="48">
        <v>0</v>
      </c>
      <c r="AE446" s="48">
        <v>0</v>
      </c>
      <c r="AF446" s="48">
        <v>0</v>
      </c>
      <c r="AG446" s="48">
        <v>0</v>
      </c>
      <c r="AH446" s="48">
        <v>0</v>
      </c>
      <c r="AI446" s="48">
        <v>0</v>
      </c>
      <c r="AJ446" s="48">
        <v>0</v>
      </c>
      <c r="AK446" s="48">
        <v>0</v>
      </c>
      <c r="AL446" s="48">
        <v>0</v>
      </c>
      <c r="AM446" s="48">
        <v>0</v>
      </c>
      <c r="AN446" s="48">
        <v>0</v>
      </c>
      <c r="AO446" s="48">
        <v>0</v>
      </c>
      <c r="AP446" s="48">
        <v>0</v>
      </c>
      <c r="AQ446" s="48">
        <v>0</v>
      </c>
      <c r="AR446" s="48">
        <v>0</v>
      </c>
      <c r="AS446" s="48">
        <v>0</v>
      </c>
      <c r="AT446" s="48">
        <v>0</v>
      </c>
      <c r="AU446" s="48">
        <v>0</v>
      </c>
      <c r="AV446" s="48">
        <v>0</v>
      </c>
      <c r="AW446" s="48">
        <v>0</v>
      </c>
      <c r="AX446" s="48">
        <v>0</v>
      </c>
      <c r="AY446" s="48">
        <v>0</v>
      </c>
      <c r="AZ446" s="48">
        <v>0</v>
      </c>
      <c r="BA446" s="48">
        <v>0</v>
      </c>
      <c r="BB446" s="48">
        <v>0</v>
      </c>
      <c r="BC446" s="48">
        <v>0</v>
      </c>
      <c r="BD446" s="48">
        <v>0</v>
      </c>
      <c r="BE446" s="48">
        <v>0</v>
      </c>
      <c r="BF446" s="48">
        <v>0</v>
      </c>
    </row>
    <row r="447" spans="1:58" s="27" customFormat="1" ht="14.1" customHeight="1">
      <c r="A447" s="247">
        <f t="shared" si="151"/>
        <v>441</v>
      </c>
      <c r="B447" s="27" t="s">
        <v>140</v>
      </c>
      <c r="C447" s="43">
        <f>SUM(D447:BF447)</f>
        <v>0</v>
      </c>
      <c r="D447" s="48">
        <v>0</v>
      </c>
      <c r="E447" s="48">
        <v>0</v>
      </c>
      <c r="F447" s="48">
        <v>0</v>
      </c>
      <c r="G447" s="48">
        <v>0</v>
      </c>
      <c r="H447" s="48">
        <v>0</v>
      </c>
      <c r="I447" s="48">
        <v>0</v>
      </c>
      <c r="J447" s="48">
        <v>0</v>
      </c>
      <c r="K447" s="48">
        <v>0</v>
      </c>
      <c r="L447" s="48">
        <v>0</v>
      </c>
      <c r="M447" s="48">
        <v>0</v>
      </c>
      <c r="N447" s="48">
        <v>0</v>
      </c>
      <c r="O447" s="48">
        <v>0</v>
      </c>
      <c r="P447" s="48">
        <v>0</v>
      </c>
      <c r="Q447" s="48">
        <v>0</v>
      </c>
      <c r="R447" s="48">
        <v>0</v>
      </c>
      <c r="S447" s="48">
        <v>0</v>
      </c>
      <c r="T447" s="48">
        <v>0</v>
      </c>
      <c r="U447" s="48">
        <v>0</v>
      </c>
      <c r="V447" s="48">
        <v>0</v>
      </c>
      <c r="W447" s="48">
        <v>0</v>
      </c>
      <c r="X447" s="48">
        <v>0</v>
      </c>
      <c r="Y447" s="48">
        <v>0</v>
      </c>
      <c r="Z447" s="48">
        <v>0</v>
      </c>
      <c r="AA447" s="48">
        <v>0</v>
      </c>
      <c r="AB447" s="48">
        <v>0</v>
      </c>
      <c r="AC447" s="48">
        <v>0</v>
      </c>
      <c r="AD447" s="48">
        <v>0</v>
      </c>
      <c r="AE447" s="48">
        <v>0</v>
      </c>
      <c r="AF447" s="48">
        <v>0</v>
      </c>
      <c r="AG447" s="48">
        <v>0</v>
      </c>
      <c r="AH447" s="48">
        <v>0</v>
      </c>
      <c r="AI447" s="48">
        <v>0</v>
      </c>
      <c r="AJ447" s="48">
        <v>0</v>
      </c>
      <c r="AK447" s="48">
        <v>0</v>
      </c>
      <c r="AL447" s="48">
        <v>0</v>
      </c>
      <c r="AM447" s="48">
        <v>0</v>
      </c>
      <c r="AN447" s="48">
        <v>0</v>
      </c>
      <c r="AO447" s="48">
        <v>0</v>
      </c>
      <c r="AP447" s="48">
        <v>0</v>
      </c>
      <c r="AQ447" s="48">
        <v>0</v>
      </c>
      <c r="AR447" s="48">
        <v>0</v>
      </c>
      <c r="AS447" s="48">
        <v>0</v>
      </c>
      <c r="AT447" s="48">
        <v>0</v>
      </c>
      <c r="AU447" s="48">
        <v>0</v>
      </c>
      <c r="AV447" s="48">
        <v>0</v>
      </c>
      <c r="AW447" s="48">
        <v>0</v>
      </c>
      <c r="AX447" s="48">
        <v>0</v>
      </c>
      <c r="AY447" s="48">
        <v>0</v>
      </c>
      <c r="AZ447" s="48">
        <v>0</v>
      </c>
      <c r="BA447" s="48">
        <v>0</v>
      </c>
      <c r="BB447" s="48">
        <v>0</v>
      </c>
      <c r="BC447" s="48">
        <v>0</v>
      </c>
      <c r="BD447" s="48">
        <v>0</v>
      </c>
      <c r="BE447" s="48">
        <v>0</v>
      </c>
      <c r="BF447" s="48">
        <v>0</v>
      </c>
    </row>
    <row r="448" spans="1:58" s="27" customFormat="1" ht="14.1" customHeight="1">
      <c r="A448" s="247">
        <f t="shared" si="151"/>
        <v>442</v>
      </c>
      <c r="B448" s="27" t="s">
        <v>153</v>
      </c>
      <c r="C448" s="43">
        <f>SUM(D448:BF448)</f>
        <v>0</v>
      </c>
      <c r="D448" s="48">
        <v>0</v>
      </c>
      <c r="E448" s="48">
        <v>0</v>
      </c>
      <c r="F448" s="48">
        <v>0</v>
      </c>
      <c r="G448" s="48">
        <v>0</v>
      </c>
      <c r="H448" s="48">
        <v>0</v>
      </c>
      <c r="I448" s="48">
        <v>0</v>
      </c>
      <c r="J448" s="48">
        <v>0</v>
      </c>
      <c r="K448" s="48">
        <v>0</v>
      </c>
      <c r="L448" s="48">
        <v>0</v>
      </c>
      <c r="M448" s="48">
        <v>0</v>
      </c>
      <c r="N448" s="48">
        <v>0</v>
      </c>
      <c r="O448" s="48">
        <v>0</v>
      </c>
      <c r="P448" s="48">
        <v>0</v>
      </c>
      <c r="Q448" s="48">
        <v>0</v>
      </c>
      <c r="R448" s="48">
        <v>0</v>
      </c>
      <c r="S448" s="48">
        <v>0</v>
      </c>
      <c r="T448" s="48">
        <v>0</v>
      </c>
      <c r="U448" s="48">
        <v>0</v>
      </c>
      <c r="V448" s="48">
        <v>0</v>
      </c>
      <c r="W448" s="48">
        <v>0</v>
      </c>
      <c r="X448" s="48">
        <v>0</v>
      </c>
      <c r="Y448" s="48">
        <v>0</v>
      </c>
      <c r="Z448" s="48">
        <v>0</v>
      </c>
      <c r="AA448" s="48">
        <v>0</v>
      </c>
      <c r="AB448" s="48">
        <v>0</v>
      </c>
      <c r="AC448" s="48">
        <v>0</v>
      </c>
      <c r="AD448" s="48">
        <v>0</v>
      </c>
      <c r="AE448" s="48">
        <v>0</v>
      </c>
      <c r="AF448" s="48">
        <v>0</v>
      </c>
      <c r="AG448" s="48">
        <v>0</v>
      </c>
      <c r="AH448" s="48">
        <v>0</v>
      </c>
      <c r="AI448" s="48">
        <v>0</v>
      </c>
      <c r="AJ448" s="48">
        <v>0</v>
      </c>
      <c r="AK448" s="48">
        <v>0</v>
      </c>
      <c r="AL448" s="48">
        <v>0</v>
      </c>
      <c r="AM448" s="48">
        <v>0</v>
      </c>
      <c r="AN448" s="48">
        <v>0</v>
      </c>
      <c r="AO448" s="48">
        <v>0</v>
      </c>
      <c r="AP448" s="48">
        <v>0</v>
      </c>
      <c r="AQ448" s="48">
        <v>0</v>
      </c>
      <c r="AR448" s="48">
        <v>0</v>
      </c>
      <c r="AS448" s="48">
        <v>0</v>
      </c>
      <c r="AT448" s="48">
        <v>0</v>
      </c>
      <c r="AU448" s="48">
        <v>0</v>
      </c>
      <c r="AV448" s="48">
        <v>0</v>
      </c>
      <c r="AW448" s="48">
        <v>0</v>
      </c>
      <c r="AX448" s="48">
        <v>0</v>
      </c>
      <c r="AY448" s="48">
        <v>0</v>
      </c>
      <c r="AZ448" s="48">
        <v>0</v>
      </c>
      <c r="BA448" s="48">
        <v>0</v>
      </c>
      <c r="BB448" s="48">
        <v>0</v>
      </c>
      <c r="BC448" s="48">
        <v>0</v>
      </c>
      <c r="BD448" s="48">
        <v>0</v>
      </c>
      <c r="BE448" s="48">
        <v>0</v>
      </c>
      <c r="BF448" s="48">
        <v>0</v>
      </c>
    </row>
    <row r="449" spans="1:58" s="27" customFormat="1" ht="14.1" customHeight="1">
      <c r="A449" s="247">
        <f t="shared" si="151"/>
        <v>443</v>
      </c>
      <c r="B449" s="92" t="s">
        <v>154</v>
      </c>
      <c r="C449" s="386">
        <f>SUM(D449:BF449)</f>
        <v>0</v>
      </c>
      <c r="D449" s="100">
        <v>0</v>
      </c>
      <c r="E449" s="100">
        <v>0</v>
      </c>
      <c r="F449" s="100">
        <v>0</v>
      </c>
      <c r="G449" s="100">
        <v>0</v>
      </c>
      <c r="H449" s="100">
        <v>0</v>
      </c>
      <c r="I449" s="100">
        <v>0</v>
      </c>
      <c r="J449" s="100">
        <v>0</v>
      </c>
      <c r="K449" s="100">
        <v>0</v>
      </c>
      <c r="L449" s="100">
        <v>0</v>
      </c>
      <c r="M449" s="100">
        <v>0</v>
      </c>
      <c r="N449" s="100">
        <v>0</v>
      </c>
      <c r="O449" s="100">
        <v>0</v>
      </c>
      <c r="P449" s="100">
        <v>0</v>
      </c>
      <c r="Q449" s="100">
        <v>0</v>
      </c>
      <c r="R449" s="100">
        <v>0</v>
      </c>
      <c r="S449" s="100">
        <v>0</v>
      </c>
      <c r="T449" s="100">
        <v>0</v>
      </c>
      <c r="U449" s="100">
        <v>0</v>
      </c>
      <c r="V449" s="100">
        <v>0</v>
      </c>
      <c r="W449" s="100">
        <v>0</v>
      </c>
      <c r="X449" s="100">
        <v>0</v>
      </c>
      <c r="Y449" s="100">
        <v>0</v>
      </c>
      <c r="Z449" s="100">
        <v>0</v>
      </c>
      <c r="AA449" s="100">
        <v>0</v>
      </c>
      <c r="AB449" s="100">
        <v>0</v>
      </c>
      <c r="AC449" s="100">
        <v>0</v>
      </c>
      <c r="AD449" s="100">
        <v>0</v>
      </c>
      <c r="AE449" s="100">
        <v>0</v>
      </c>
      <c r="AF449" s="100">
        <v>0</v>
      </c>
      <c r="AG449" s="100">
        <v>0</v>
      </c>
      <c r="AH449" s="100">
        <v>0</v>
      </c>
      <c r="AI449" s="100">
        <v>0</v>
      </c>
      <c r="AJ449" s="100">
        <v>0</v>
      </c>
      <c r="AK449" s="100">
        <v>0</v>
      </c>
      <c r="AL449" s="100">
        <v>0</v>
      </c>
      <c r="AM449" s="100">
        <v>0</v>
      </c>
      <c r="AN449" s="100">
        <v>0</v>
      </c>
      <c r="AO449" s="100">
        <v>0</v>
      </c>
      <c r="AP449" s="100">
        <v>0</v>
      </c>
      <c r="AQ449" s="100">
        <v>0</v>
      </c>
      <c r="AR449" s="100">
        <v>0</v>
      </c>
      <c r="AS449" s="100">
        <v>0</v>
      </c>
      <c r="AT449" s="100">
        <v>0</v>
      </c>
      <c r="AU449" s="100">
        <v>0</v>
      </c>
      <c r="AV449" s="100">
        <v>0</v>
      </c>
      <c r="AW449" s="100">
        <v>0</v>
      </c>
      <c r="AX449" s="100">
        <v>0</v>
      </c>
      <c r="AY449" s="100">
        <v>0</v>
      </c>
      <c r="AZ449" s="100">
        <v>0</v>
      </c>
      <c r="BA449" s="100">
        <v>0</v>
      </c>
      <c r="BB449" s="100">
        <v>0</v>
      </c>
      <c r="BC449" s="100">
        <v>0</v>
      </c>
      <c r="BD449" s="100">
        <v>0</v>
      </c>
      <c r="BE449" s="100">
        <v>0</v>
      </c>
      <c r="BF449" s="100">
        <v>0</v>
      </c>
    </row>
    <row r="450" spans="1:58" s="27" customFormat="1" ht="14.1" customHeight="1">
      <c r="A450" s="247">
        <f t="shared" si="151"/>
        <v>444</v>
      </c>
      <c r="B450" s="25" t="s">
        <v>562</v>
      </c>
      <c r="C450" s="17">
        <f>SUM(C445:C449)</f>
        <v>209475</v>
      </c>
      <c r="D450" s="17">
        <f>SUM(D445:D449)</f>
        <v>0</v>
      </c>
      <c r="E450" s="17">
        <f t="shared" ref="E450:BA450" si="171">SUM(E445:E449)</f>
        <v>0</v>
      </c>
      <c r="F450" s="17">
        <f t="shared" si="171"/>
        <v>0</v>
      </c>
      <c r="G450" s="17">
        <f t="shared" si="171"/>
        <v>0</v>
      </c>
      <c r="H450" s="17">
        <f t="shared" si="171"/>
        <v>0</v>
      </c>
      <c r="I450" s="17">
        <f t="shared" si="171"/>
        <v>0</v>
      </c>
      <c r="J450" s="17">
        <f t="shared" si="171"/>
        <v>0</v>
      </c>
      <c r="K450" s="17">
        <f t="shared" si="171"/>
        <v>0</v>
      </c>
      <c r="L450" s="17">
        <f t="shared" si="171"/>
        <v>0</v>
      </c>
      <c r="M450" s="17">
        <f t="shared" si="171"/>
        <v>0</v>
      </c>
      <c r="N450" s="17">
        <f t="shared" si="171"/>
        <v>0</v>
      </c>
      <c r="O450" s="17">
        <f t="shared" si="171"/>
        <v>0</v>
      </c>
      <c r="P450" s="17">
        <f t="shared" si="171"/>
        <v>0</v>
      </c>
      <c r="Q450" s="17">
        <f t="shared" si="171"/>
        <v>0</v>
      </c>
      <c r="R450" s="17">
        <f t="shared" si="171"/>
        <v>0</v>
      </c>
      <c r="S450" s="17">
        <f t="shared" si="171"/>
        <v>0</v>
      </c>
      <c r="T450" s="17">
        <f t="shared" si="171"/>
        <v>0</v>
      </c>
      <c r="U450" s="17">
        <f t="shared" si="171"/>
        <v>0</v>
      </c>
      <c r="V450" s="17">
        <f t="shared" si="171"/>
        <v>0</v>
      </c>
      <c r="W450" s="17">
        <f t="shared" si="171"/>
        <v>0</v>
      </c>
      <c r="X450" s="17">
        <f t="shared" si="171"/>
        <v>0</v>
      </c>
      <c r="Y450" s="17">
        <f t="shared" si="171"/>
        <v>0</v>
      </c>
      <c r="Z450" s="17">
        <f t="shared" si="171"/>
        <v>0</v>
      </c>
      <c r="AA450" s="17">
        <f t="shared" si="171"/>
        <v>0</v>
      </c>
      <c r="AB450" s="17">
        <f t="shared" si="171"/>
        <v>0</v>
      </c>
      <c r="AC450" s="17">
        <f t="shared" si="171"/>
        <v>0</v>
      </c>
      <c r="AD450" s="17">
        <f t="shared" si="171"/>
        <v>0</v>
      </c>
      <c r="AE450" s="17">
        <f t="shared" si="171"/>
        <v>0</v>
      </c>
      <c r="AF450" s="17">
        <f t="shared" si="171"/>
        <v>0</v>
      </c>
      <c r="AG450" s="17">
        <f t="shared" si="171"/>
        <v>0</v>
      </c>
      <c r="AH450" s="17">
        <f t="shared" si="171"/>
        <v>0</v>
      </c>
      <c r="AI450" s="17">
        <f t="shared" si="171"/>
        <v>0</v>
      </c>
      <c r="AJ450" s="17">
        <f t="shared" si="171"/>
        <v>0</v>
      </c>
      <c r="AK450" s="17">
        <f t="shared" si="171"/>
        <v>209475</v>
      </c>
      <c r="AL450" s="17">
        <f t="shared" si="171"/>
        <v>0</v>
      </c>
      <c r="AM450" s="17">
        <f t="shared" si="171"/>
        <v>0</v>
      </c>
      <c r="AN450" s="17">
        <f t="shared" si="171"/>
        <v>0</v>
      </c>
      <c r="AO450" s="17">
        <f t="shared" si="171"/>
        <v>0</v>
      </c>
      <c r="AP450" s="17">
        <f t="shared" si="171"/>
        <v>0</v>
      </c>
      <c r="AQ450" s="17">
        <f t="shared" si="171"/>
        <v>0</v>
      </c>
      <c r="AR450" s="17">
        <f t="shared" si="171"/>
        <v>0</v>
      </c>
      <c r="AS450" s="17">
        <f t="shared" si="171"/>
        <v>0</v>
      </c>
      <c r="AT450" s="17">
        <f t="shared" si="171"/>
        <v>0</v>
      </c>
      <c r="AU450" s="17">
        <f t="shared" si="171"/>
        <v>0</v>
      </c>
      <c r="AV450" s="17">
        <f t="shared" si="171"/>
        <v>0</v>
      </c>
      <c r="AW450" s="17">
        <f t="shared" si="171"/>
        <v>0</v>
      </c>
      <c r="AX450" s="17">
        <f t="shared" si="171"/>
        <v>0</v>
      </c>
      <c r="AY450" s="17">
        <f t="shared" si="171"/>
        <v>0</v>
      </c>
      <c r="AZ450" s="17">
        <f t="shared" si="171"/>
        <v>0</v>
      </c>
      <c r="BA450" s="17">
        <f t="shared" si="171"/>
        <v>0</v>
      </c>
      <c r="BB450" s="17">
        <f>SUM(BB445:BB449)</f>
        <v>0</v>
      </c>
      <c r="BC450" s="17">
        <f>SUM(BC445:BC449)</f>
        <v>0</v>
      </c>
      <c r="BD450" s="17">
        <f>SUM(BD445:BD449)</f>
        <v>0</v>
      </c>
      <c r="BE450" s="17">
        <f>SUM(BE445:BE449)</f>
        <v>0</v>
      </c>
      <c r="BF450" s="17">
        <f>SUM(BF445:BF449)</f>
        <v>0</v>
      </c>
    </row>
    <row r="451" spans="1:58" s="27" customFormat="1" ht="14.1" customHeight="1">
      <c r="A451" s="247">
        <f t="shared" si="151"/>
        <v>445</v>
      </c>
      <c r="B451" s="341"/>
      <c r="C451" s="341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</row>
    <row r="452" spans="1:58" s="27" customFormat="1" ht="14.1" customHeight="1">
      <c r="A452" s="247">
        <f t="shared" si="151"/>
        <v>446</v>
      </c>
      <c r="B452" s="25" t="s">
        <v>295</v>
      </c>
      <c r="C452" s="25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</row>
    <row r="453" spans="1:58" s="27" customFormat="1" ht="14.1" customHeight="1">
      <c r="A453" s="247">
        <f t="shared" si="151"/>
        <v>447</v>
      </c>
      <c r="B453" s="93" t="s">
        <v>329</v>
      </c>
      <c r="C453" s="386">
        <f>SUM(D453:BF453)</f>
        <v>-149718</v>
      </c>
      <c r="D453" s="100">
        <v>0</v>
      </c>
      <c r="E453" s="100">
        <v>0</v>
      </c>
      <c r="F453" s="100">
        <v>0</v>
      </c>
      <c r="G453" s="100">
        <v>0</v>
      </c>
      <c r="H453" s="100">
        <v>0</v>
      </c>
      <c r="I453" s="100">
        <v>0</v>
      </c>
      <c r="J453" s="100">
        <v>0</v>
      </c>
      <c r="K453" s="100">
        <v>0</v>
      </c>
      <c r="L453" s="100">
        <v>0</v>
      </c>
      <c r="M453" s="100">
        <v>0</v>
      </c>
      <c r="N453" s="100">
        <v>0</v>
      </c>
      <c r="O453" s="100">
        <v>0</v>
      </c>
      <c r="P453" s="100">
        <v>0</v>
      </c>
      <c r="Q453" s="100">
        <v>0</v>
      </c>
      <c r="R453" s="100">
        <v>0</v>
      </c>
      <c r="S453" s="100">
        <v>0</v>
      </c>
      <c r="T453" s="100">
        <v>0</v>
      </c>
      <c r="U453" s="100">
        <v>0</v>
      </c>
      <c r="V453" s="100">
        <v>0</v>
      </c>
      <c r="W453" s="100">
        <v>0</v>
      </c>
      <c r="X453" s="100">
        <v>0</v>
      </c>
      <c r="Y453" s="100">
        <v>0</v>
      </c>
      <c r="Z453" s="100">
        <v>0</v>
      </c>
      <c r="AA453" s="100">
        <v>0</v>
      </c>
      <c r="AB453" s="100">
        <v>0</v>
      </c>
      <c r="AC453" s="100">
        <v>0</v>
      </c>
      <c r="AD453" s="100">
        <v>0</v>
      </c>
      <c r="AE453" s="100">
        <v>0</v>
      </c>
      <c r="AF453" s="100">
        <v>0</v>
      </c>
      <c r="AG453" s="100">
        <v>0</v>
      </c>
      <c r="AH453" s="100">
        <v>0</v>
      </c>
      <c r="AI453" s="100">
        <v>0</v>
      </c>
      <c r="AJ453" s="100">
        <v>0</v>
      </c>
      <c r="AK453" s="100">
        <v>0</v>
      </c>
      <c r="AL453" s="100">
        <v>0</v>
      </c>
      <c r="AM453" s="100">
        <v>0</v>
      </c>
      <c r="AN453" s="100">
        <v>0</v>
      </c>
      <c r="AO453" s="100">
        <v>-149718</v>
      </c>
      <c r="AP453" s="100">
        <v>0</v>
      </c>
      <c r="AQ453" s="100">
        <v>0</v>
      </c>
      <c r="AR453" s="100">
        <v>0</v>
      </c>
      <c r="AS453" s="100">
        <v>0</v>
      </c>
      <c r="AT453" s="100">
        <v>0</v>
      </c>
      <c r="AU453" s="100">
        <v>0</v>
      </c>
      <c r="AV453" s="100">
        <v>0</v>
      </c>
      <c r="AW453" s="100">
        <v>0</v>
      </c>
      <c r="AX453" s="100">
        <v>0</v>
      </c>
      <c r="AY453" s="100">
        <v>0</v>
      </c>
      <c r="AZ453" s="100">
        <v>0</v>
      </c>
      <c r="BA453" s="100">
        <v>0</v>
      </c>
      <c r="BB453" s="100">
        <v>0</v>
      </c>
      <c r="BC453" s="100">
        <v>0</v>
      </c>
      <c r="BD453" s="100">
        <v>0</v>
      </c>
      <c r="BE453" s="100">
        <v>0</v>
      </c>
      <c r="BF453" s="100">
        <v>0</v>
      </c>
    </row>
    <row r="454" spans="1:58" s="27" customFormat="1" ht="14.1" customHeight="1">
      <c r="A454" s="247">
        <f t="shared" si="151"/>
        <v>448</v>
      </c>
      <c r="B454" s="25" t="s">
        <v>563</v>
      </c>
      <c r="C454" s="48">
        <f>SUM(C453:C453)</f>
        <v>-149718</v>
      </c>
      <c r="D454" s="48">
        <f>SUM(D453:D453)</f>
        <v>0</v>
      </c>
      <c r="E454" s="48">
        <f t="shared" ref="E454:BA454" si="172">SUM(E453:E453)</f>
        <v>0</v>
      </c>
      <c r="F454" s="48">
        <f t="shared" si="172"/>
        <v>0</v>
      </c>
      <c r="G454" s="48">
        <f t="shared" si="172"/>
        <v>0</v>
      </c>
      <c r="H454" s="48">
        <f t="shared" si="172"/>
        <v>0</v>
      </c>
      <c r="I454" s="48">
        <f t="shared" si="172"/>
        <v>0</v>
      </c>
      <c r="J454" s="48">
        <f t="shared" si="172"/>
        <v>0</v>
      </c>
      <c r="K454" s="48">
        <f t="shared" si="172"/>
        <v>0</v>
      </c>
      <c r="L454" s="48">
        <f t="shared" si="172"/>
        <v>0</v>
      </c>
      <c r="M454" s="48">
        <f t="shared" si="172"/>
        <v>0</v>
      </c>
      <c r="N454" s="48">
        <f t="shared" si="172"/>
        <v>0</v>
      </c>
      <c r="O454" s="48">
        <f t="shared" si="172"/>
        <v>0</v>
      </c>
      <c r="P454" s="48">
        <f t="shared" si="172"/>
        <v>0</v>
      </c>
      <c r="Q454" s="48">
        <f t="shared" si="172"/>
        <v>0</v>
      </c>
      <c r="R454" s="48">
        <f t="shared" si="172"/>
        <v>0</v>
      </c>
      <c r="S454" s="48">
        <f t="shared" si="172"/>
        <v>0</v>
      </c>
      <c r="T454" s="48">
        <f t="shared" si="172"/>
        <v>0</v>
      </c>
      <c r="U454" s="48">
        <f t="shared" si="172"/>
        <v>0</v>
      </c>
      <c r="V454" s="48">
        <f t="shared" si="172"/>
        <v>0</v>
      </c>
      <c r="W454" s="48">
        <f t="shared" si="172"/>
        <v>0</v>
      </c>
      <c r="X454" s="48">
        <f t="shared" si="172"/>
        <v>0</v>
      </c>
      <c r="Y454" s="48">
        <f t="shared" si="172"/>
        <v>0</v>
      </c>
      <c r="Z454" s="48">
        <f t="shared" si="172"/>
        <v>0</v>
      </c>
      <c r="AA454" s="48">
        <f t="shared" si="172"/>
        <v>0</v>
      </c>
      <c r="AB454" s="48">
        <f t="shared" si="172"/>
        <v>0</v>
      </c>
      <c r="AC454" s="48">
        <f t="shared" si="172"/>
        <v>0</v>
      </c>
      <c r="AD454" s="48">
        <f t="shared" si="172"/>
        <v>0</v>
      </c>
      <c r="AE454" s="48">
        <f t="shared" si="172"/>
        <v>0</v>
      </c>
      <c r="AF454" s="48">
        <f t="shared" si="172"/>
        <v>0</v>
      </c>
      <c r="AG454" s="48">
        <f t="shared" si="172"/>
        <v>0</v>
      </c>
      <c r="AH454" s="48">
        <f t="shared" si="172"/>
        <v>0</v>
      </c>
      <c r="AI454" s="48">
        <f t="shared" si="172"/>
        <v>0</v>
      </c>
      <c r="AJ454" s="48">
        <f t="shared" si="172"/>
        <v>0</v>
      </c>
      <c r="AK454" s="48">
        <f t="shared" si="172"/>
        <v>0</v>
      </c>
      <c r="AL454" s="48">
        <f t="shared" si="172"/>
        <v>0</v>
      </c>
      <c r="AM454" s="48">
        <f t="shared" si="172"/>
        <v>0</v>
      </c>
      <c r="AN454" s="48">
        <f t="shared" si="172"/>
        <v>0</v>
      </c>
      <c r="AO454" s="48">
        <f t="shared" si="172"/>
        <v>-149718</v>
      </c>
      <c r="AP454" s="48">
        <f t="shared" si="172"/>
        <v>0</v>
      </c>
      <c r="AQ454" s="48">
        <f t="shared" si="172"/>
        <v>0</v>
      </c>
      <c r="AR454" s="48">
        <f t="shared" si="172"/>
        <v>0</v>
      </c>
      <c r="AS454" s="48">
        <f t="shared" si="172"/>
        <v>0</v>
      </c>
      <c r="AT454" s="48">
        <f t="shared" si="172"/>
        <v>0</v>
      </c>
      <c r="AU454" s="48">
        <f t="shared" si="172"/>
        <v>0</v>
      </c>
      <c r="AV454" s="48">
        <f t="shared" si="172"/>
        <v>0</v>
      </c>
      <c r="AW454" s="48">
        <f t="shared" si="172"/>
        <v>0</v>
      </c>
      <c r="AX454" s="48">
        <f t="shared" si="172"/>
        <v>0</v>
      </c>
      <c r="AY454" s="48">
        <f t="shared" si="172"/>
        <v>0</v>
      </c>
      <c r="AZ454" s="48">
        <f t="shared" si="172"/>
        <v>0</v>
      </c>
      <c r="BA454" s="48">
        <f t="shared" si="172"/>
        <v>0</v>
      </c>
      <c r="BB454" s="48">
        <f>SUM(BB453:BB453)</f>
        <v>0</v>
      </c>
      <c r="BC454" s="48">
        <f>SUM(BC453:BC453)</f>
        <v>0</v>
      </c>
      <c r="BD454" s="48">
        <f>SUM(BD453:BD453)</f>
        <v>0</v>
      </c>
      <c r="BE454" s="48">
        <f>SUM(BE453:BE453)</f>
        <v>0</v>
      </c>
      <c r="BF454" s="48">
        <f>SUM(BF453:BF453)</f>
        <v>0</v>
      </c>
    </row>
    <row r="455" spans="1:58" s="27" customFormat="1" ht="14.1" customHeight="1">
      <c r="A455" s="247">
        <f t="shared" si="151"/>
        <v>449</v>
      </c>
      <c r="B455" s="93"/>
      <c r="C455" s="93"/>
      <c r="D455" s="100"/>
      <c r="E455" s="100"/>
      <c r="F455" s="100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100"/>
      <c r="AC455" s="100"/>
      <c r="AD455" s="100"/>
      <c r="AE455" s="100"/>
      <c r="AF455" s="100"/>
      <c r="AG455" s="100"/>
      <c r="AH455" s="100"/>
      <c r="AI455" s="100"/>
      <c r="AJ455" s="100"/>
      <c r="AK455" s="100"/>
      <c r="AL455" s="100"/>
      <c r="AM455" s="100"/>
      <c r="AN455" s="100"/>
      <c r="AO455" s="100"/>
      <c r="AP455" s="100"/>
      <c r="AQ455" s="100"/>
      <c r="AR455" s="100"/>
      <c r="AS455" s="100"/>
      <c r="AT455" s="100"/>
      <c r="AU455" s="100"/>
      <c r="AV455" s="100"/>
      <c r="AW455" s="100"/>
      <c r="AX455" s="100"/>
      <c r="AY455" s="100"/>
      <c r="AZ455" s="100"/>
      <c r="BA455" s="100"/>
      <c r="BB455" s="100"/>
      <c r="BC455" s="100"/>
      <c r="BD455" s="100"/>
      <c r="BE455" s="100"/>
      <c r="BF455" s="100"/>
    </row>
    <row r="456" spans="1:58" s="27" customFormat="1" ht="14.1" customHeight="1" thickBot="1">
      <c r="A456" s="247">
        <f t="shared" si="151"/>
        <v>450</v>
      </c>
      <c r="B456" s="95" t="s">
        <v>564</v>
      </c>
      <c r="C456" s="208">
        <f>C442+C450+C454</f>
        <v>-379320.48799999885</v>
      </c>
      <c r="D456" s="208">
        <f>D442+D450+D454</f>
        <v>0</v>
      </c>
      <c r="E456" s="208">
        <f t="shared" ref="E456:BA456" si="173">E442+E450+E454</f>
        <v>0</v>
      </c>
      <c r="F456" s="208">
        <f t="shared" si="173"/>
        <v>0</v>
      </c>
      <c r="G456" s="208">
        <f t="shared" si="173"/>
        <v>0</v>
      </c>
      <c r="H456" s="208">
        <f t="shared" si="173"/>
        <v>0</v>
      </c>
      <c r="I456" s="208">
        <f t="shared" si="173"/>
        <v>0</v>
      </c>
      <c r="J456" s="208">
        <f t="shared" si="173"/>
        <v>0</v>
      </c>
      <c r="K456" s="208">
        <f t="shared" si="173"/>
        <v>0</v>
      </c>
      <c r="L456" s="208">
        <f t="shared" si="173"/>
        <v>0</v>
      </c>
      <c r="M456" s="208">
        <f t="shared" si="173"/>
        <v>0</v>
      </c>
      <c r="N456" s="208">
        <f t="shared" si="173"/>
        <v>0</v>
      </c>
      <c r="O456" s="208">
        <f t="shared" si="173"/>
        <v>0</v>
      </c>
      <c r="P456" s="208">
        <f t="shared" si="173"/>
        <v>0</v>
      </c>
      <c r="Q456" s="208">
        <f t="shared" si="173"/>
        <v>0</v>
      </c>
      <c r="R456" s="208">
        <f t="shared" si="173"/>
        <v>0</v>
      </c>
      <c r="S456" s="208">
        <f t="shared" si="173"/>
        <v>0</v>
      </c>
      <c r="T456" s="208">
        <f t="shared" si="173"/>
        <v>0</v>
      </c>
      <c r="U456" s="208">
        <f t="shared" si="173"/>
        <v>0</v>
      </c>
      <c r="V456" s="208">
        <f t="shared" si="173"/>
        <v>0</v>
      </c>
      <c r="W456" s="208">
        <f t="shared" si="173"/>
        <v>0</v>
      </c>
      <c r="X456" s="208">
        <f t="shared" si="173"/>
        <v>0</v>
      </c>
      <c r="Y456" s="208">
        <f t="shared" si="173"/>
        <v>0</v>
      </c>
      <c r="Z456" s="208">
        <f t="shared" si="173"/>
        <v>0</v>
      </c>
      <c r="AA456" s="208">
        <f t="shared" si="173"/>
        <v>0</v>
      </c>
      <c r="AB456" s="208">
        <f t="shared" si="173"/>
        <v>0</v>
      </c>
      <c r="AC456" s="208">
        <f t="shared" si="173"/>
        <v>0</v>
      </c>
      <c r="AD456" s="208">
        <f t="shared" si="173"/>
        <v>0</v>
      </c>
      <c r="AE456" s="208">
        <f t="shared" si="173"/>
        <v>0</v>
      </c>
      <c r="AF456" s="208">
        <f t="shared" si="173"/>
        <v>0</v>
      </c>
      <c r="AG456" s="208">
        <f t="shared" si="173"/>
        <v>0</v>
      </c>
      <c r="AH456" s="208">
        <f t="shared" si="173"/>
        <v>0</v>
      </c>
      <c r="AI456" s="208">
        <f t="shared" si="173"/>
        <v>0</v>
      </c>
      <c r="AJ456" s="208">
        <f t="shared" si="173"/>
        <v>12771260.623</v>
      </c>
      <c r="AK456" s="208">
        <f t="shared" si="173"/>
        <v>209475</v>
      </c>
      <c r="AL456" s="208">
        <f t="shared" si="173"/>
        <v>3764718</v>
      </c>
      <c r="AM456" s="208">
        <f t="shared" si="173"/>
        <v>-17212456.110999998</v>
      </c>
      <c r="AN456" s="208">
        <f t="shared" si="173"/>
        <v>237400</v>
      </c>
      <c r="AO456" s="208">
        <f t="shared" si="173"/>
        <v>-149718</v>
      </c>
      <c r="AP456" s="208">
        <f t="shared" si="173"/>
        <v>0</v>
      </c>
      <c r="AQ456" s="208">
        <f t="shared" si="173"/>
        <v>0</v>
      </c>
      <c r="AR456" s="208">
        <f t="shared" si="173"/>
        <v>0</v>
      </c>
      <c r="AS456" s="208">
        <f t="shared" si="173"/>
        <v>0</v>
      </c>
      <c r="AT456" s="208">
        <f t="shared" si="173"/>
        <v>0</v>
      </c>
      <c r="AU456" s="208">
        <f t="shared" si="173"/>
        <v>0</v>
      </c>
      <c r="AV456" s="208">
        <f t="shared" si="173"/>
        <v>0</v>
      </c>
      <c r="AW456" s="208">
        <f t="shared" si="173"/>
        <v>0</v>
      </c>
      <c r="AX456" s="208">
        <f t="shared" si="173"/>
        <v>0</v>
      </c>
      <c r="AY456" s="208">
        <f t="shared" si="173"/>
        <v>0</v>
      </c>
      <c r="AZ456" s="208">
        <f t="shared" si="173"/>
        <v>0</v>
      </c>
      <c r="BA456" s="208">
        <f t="shared" si="173"/>
        <v>0</v>
      </c>
      <c r="BB456" s="208">
        <f>BB442+BB450+BB454</f>
        <v>0</v>
      </c>
      <c r="BC456" s="208">
        <f>BC442+BC450+BC454</f>
        <v>0</v>
      </c>
      <c r="BD456" s="208">
        <f>BD442+BD450+BD454</f>
        <v>0</v>
      </c>
      <c r="BE456" s="208">
        <f>BE442+BE450+BE454</f>
        <v>0</v>
      </c>
      <c r="BF456" s="208">
        <f>BF442+BF450+BF454</f>
        <v>0</v>
      </c>
    </row>
    <row r="457" spans="1:58" ht="14.1" customHeight="1" thickTop="1">
      <c r="A457" s="247">
        <f t="shared" si="151"/>
        <v>451</v>
      </c>
      <c r="B457" s="304"/>
      <c r="C457" s="304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</row>
    <row r="458" spans="1:58" ht="14.1" customHeight="1">
      <c r="A458" s="247">
        <f t="shared" si="151"/>
        <v>452</v>
      </c>
      <c r="B458" s="25" t="s">
        <v>296</v>
      </c>
      <c r="C458" s="25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  <c r="AK458" s="48"/>
      <c r="AL458" s="48"/>
      <c r="AM458" s="48"/>
      <c r="AN458" s="48"/>
      <c r="AO458" s="48"/>
      <c r="AP458" s="48"/>
      <c r="AQ458" s="48"/>
      <c r="AR458" s="48"/>
      <c r="AS458" s="48"/>
      <c r="AT458" s="48"/>
      <c r="AU458" s="48"/>
      <c r="AV458" s="48"/>
      <c r="AW458" s="48"/>
      <c r="AX458" s="48"/>
      <c r="AY458" s="48"/>
      <c r="AZ458" s="48"/>
      <c r="BA458" s="48"/>
      <c r="BB458" s="48"/>
      <c r="BC458" s="48"/>
      <c r="BD458" s="48"/>
      <c r="BE458" s="48"/>
      <c r="BF458" s="48"/>
    </row>
    <row r="459" spans="1:58" ht="14.1" customHeight="1">
      <c r="A459" s="247">
        <f t="shared" si="151"/>
        <v>453</v>
      </c>
      <c r="B459" s="14" t="s">
        <v>297</v>
      </c>
      <c r="C459" s="14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  <c r="AK459" s="48"/>
      <c r="AL459" s="48"/>
      <c r="AM459" s="48"/>
      <c r="AN459" s="48"/>
      <c r="AO459" s="48"/>
      <c r="AP459" s="48"/>
      <c r="AQ459" s="48"/>
      <c r="AR459" s="48"/>
      <c r="AS459" s="48"/>
      <c r="AT459" s="48"/>
      <c r="AU459" s="48"/>
      <c r="AV459" s="48"/>
      <c r="AW459" s="48"/>
      <c r="AX459" s="48"/>
      <c r="AY459" s="48"/>
      <c r="AZ459" s="48"/>
      <c r="BA459" s="48"/>
      <c r="BB459" s="48"/>
      <c r="BC459" s="48"/>
      <c r="BD459" s="48"/>
      <c r="BE459" s="48"/>
      <c r="BF459" s="48"/>
    </row>
    <row r="460" spans="1:58" ht="14.1" customHeight="1">
      <c r="A460" s="247">
        <f t="shared" si="151"/>
        <v>454</v>
      </c>
      <c r="B460" s="27" t="s">
        <v>298</v>
      </c>
      <c r="C460" s="43">
        <f>SUM(D460:BF460)</f>
        <v>-568648</v>
      </c>
      <c r="D460" s="48">
        <v>0</v>
      </c>
      <c r="E460" s="48">
        <v>0</v>
      </c>
      <c r="F460" s="48">
        <v>0</v>
      </c>
      <c r="G460" s="48">
        <v>0</v>
      </c>
      <c r="H460" s="48">
        <v>0</v>
      </c>
      <c r="I460" s="48">
        <v>0</v>
      </c>
      <c r="J460" s="48">
        <v>0</v>
      </c>
      <c r="K460" s="48">
        <v>0</v>
      </c>
      <c r="L460" s="48">
        <v>0</v>
      </c>
      <c r="M460" s="48">
        <v>0</v>
      </c>
      <c r="N460" s="48">
        <v>0</v>
      </c>
      <c r="O460" s="48">
        <v>0</v>
      </c>
      <c r="P460" s="48">
        <v>0</v>
      </c>
      <c r="Q460" s="48">
        <v>0</v>
      </c>
      <c r="R460" s="48">
        <v>0</v>
      </c>
      <c r="S460" s="48">
        <v>0</v>
      </c>
      <c r="T460" s="48">
        <v>0</v>
      </c>
      <c r="U460" s="48">
        <v>0</v>
      </c>
      <c r="V460" s="48">
        <v>0</v>
      </c>
      <c r="W460" s="48">
        <v>0</v>
      </c>
      <c r="X460" s="48">
        <v>0</v>
      </c>
      <c r="Y460" s="48">
        <v>0</v>
      </c>
      <c r="Z460" s="48">
        <v>0</v>
      </c>
      <c r="AA460" s="48">
        <v>0</v>
      </c>
      <c r="AB460" s="48">
        <v>0</v>
      </c>
      <c r="AC460" s="48">
        <v>5186</v>
      </c>
      <c r="AD460" s="48">
        <v>-771485</v>
      </c>
      <c r="AE460" s="48">
        <v>0</v>
      </c>
      <c r="AF460" s="48">
        <v>197651</v>
      </c>
      <c r="AG460" s="48">
        <v>0</v>
      </c>
      <c r="AH460" s="48">
        <v>0</v>
      </c>
      <c r="AI460" s="48">
        <v>0</v>
      </c>
      <c r="AJ460" s="48">
        <v>0</v>
      </c>
      <c r="AK460" s="48">
        <v>0</v>
      </c>
      <c r="AL460" s="48">
        <v>0</v>
      </c>
      <c r="AM460" s="48">
        <v>0</v>
      </c>
      <c r="AN460" s="48">
        <v>0</v>
      </c>
      <c r="AO460" s="48">
        <v>0</v>
      </c>
      <c r="AP460" s="48">
        <v>0</v>
      </c>
      <c r="AQ460" s="48">
        <v>0</v>
      </c>
      <c r="AR460" s="48">
        <v>0</v>
      </c>
      <c r="AS460" s="48">
        <v>0</v>
      </c>
      <c r="AT460" s="48">
        <v>0</v>
      </c>
      <c r="AU460" s="48">
        <v>0</v>
      </c>
      <c r="AV460" s="48">
        <v>0</v>
      </c>
      <c r="AW460" s="48">
        <v>0</v>
      </c>
      <c r="AX460" s="48">
        <v>0</v>
      </c>
      <c r="AY460" s="48">
        <v>0</v>
      </c>
      <c r="AZ460" s="48">
        <v>0</v>
      </c>
      <c r="BA460" s="48">
        <v>0</v>
      </c>
      <c r="BB460" s="48">
        <v>0</v>
      </c>
      <c r="BC460" s="48">
        <v>0</v>
      </c>
      <c r="BD460" s="48">
        <v>0</v>
      </c>
      <c r="BE460" s="48">
        <v>0</v>
      </c>
      <c r="BF460" s="48">
        <v>0</v>
      </c>
    </row>
    <row r="461" spans="1:58" ht="14.1" customHeight="1">
      <c r="A461" s="247">
        <f t="shared" ref="A461:A483" si="174">+A460+1</f>
        <v>455</v>
      </c>
      <c r="B461" s="27" t="s">
        <v>299</v>
      </c>
      <c r="C461" s="43">
        <f>SUM(D461:BF461)</f>
        <v>-7161</v>
      </c>
      <c r="D461" s="48">
        <v>0</v>
      </c>
      <c r="E461" s="48">
        <v>0</v>
      </c>
      <c r="F461" s="48">
        <v>0</v>
      </c>
      <c r="G461" s="48">
        <v>0</v>
      </c>
      <c r="H461" s="48">
        <v>0</v>
      </c>
      <c r="I461" s="48">
        <v>0</v>
      </c>
      <c r="J461" s="48">
        <v>0</v>
      </c>
      <c r="K461" s="48">
        <v>0</v>
      </c>
      <c r="L461" s="48">
        <v>0</v>
      </c>
      <c r="M461" s="48">
        <v>0</v>
      </c>
      <c r="N461" s="48">
        <v>0</v>
      </c>
      <c r="O461" s="48">
        <v>0</v>
      </c>
      <c r="P461" s="48">
        <v>0</v>
      </c>
      <c r="Q461" s="48">
        <v>0</v>
      </c>
      <c r="R461" s="48">
        <v>0</v>
      </c>
      <c r="S461" s="48">
        <v>0</v>
      </c>
      <c r="T461" s="48">
        <v>0</v>
      </c>
      <c r="U461" s="48">
        <v>0</v>
      </c>
      <c r="V461" s="48">
        <v>0</v>
      </c>
      <c r="W461" s="48">
        <v>0</v>
      </c>
      <c r="X461" s="48">
        <v>0</v>
      </c>
      <c r="Y461" s="48">
        <v>0</v>
      </c>
      <c r="Z461" s="48">
        <v>0</v>
      </c>
      <c r="AA461" s="48">
        <v>0</v>
      </c>
      <c r="AB461" s="48">
        <v>0</v>
      </c>
      <c r="AC461" s="48">
        <f>1414+411</f>
        <v>1825</v>
      </c>
      <c r="AD461" s="48">
        <v>-10304</v>
      </c>
      <c r="AE461" s="48">
        <v>0</v>
      </c>
      <c r="AF461" s="48">
        <v>1318</v>
      </c>
      <c r="AG461" s="48">
        <v>0</v>
      </c>
      <c r="AH461" s="48">
        <v>0</v>
      </c>
      <c r="AI461" s="48">
        <v>0</v>
      </c>
      <c r="AJ461" s="48">
        <v>0</v>
      </c>
      <c r="AK461" s="48">
        <v>0</v>
      </c>
      <c r="AL461" s="48">
        <v>0</v>
      </c>
      <c r="AM461" s="48">
        <v>0</v>
      </c>
      <c r="AN461" s="48">
        <v>0</v>
      </c>
      <c r="AO461" s="48">
        <v>0</v>
      </c>
      <c r="AP461" s="48">
        <v>0</v>
      </c>
      <c r="AQ461" s="48">
        <v>0</v>
      </c>
      <c r="AR461" s="48">
        <v>0</v>
      </c>
      <c r="AS461" s="48">
        <v>0</v>
      </c>
      <c r="AT461" s="48">
        <v>0</v>
      </c>
      <c r="AU461" s="48">
        <v>0</v>
      </c>
      <c r="AV461" s="48">
        <v>0</v>
      </c>
      <c r="AW461" s="48">
        <v>0</v>
      </c>
      <c r="AX461" s="48">
        <v>0</v>
      </c>
      <c r="AY461" s="48">
        <v>0</v>
      </c>
      <c r="AZ461" s="48">
        <v>0</v>
      </c>
      <c r="BA461" s="48">
        <v>0</v>
      </c>
      <c r="BB461" s="48">
        <v>0</v>
      </c>
      <c r="BC461" s="48">
        <v>0</v>
      </c>
      <c r="BD461" s="48">
        <v>0</v>
      </c>
      <c r="BE461" s="48">
        <v>0</v>
      </c>
      <c r="BF461" s="48">
        <v>0</v>
      </c>
    </row>
    <row r="462" spans="1:58" ht="14.1" customHeight="1">
      <c r="A462" s="247">
        <f t="shared" si="174"/>
        <v>456</v>
      </c>
      <c r="B462" s="92" t="s">
        <v>300</v>
      </c>
      <c r="C462" s="43">
        <f>SUM(D462:BF462)</f>
        <v>-7310</v>
      </c>
      <c r="D462" s="48">
        <v>0</v>
      </c>
      <c r="E462" s="48">
        <v>0</v>
      </c>
      <c r="F462" s="48">
        <v>0</v>
      </c>
      <c r="G462" s="48">
        <v>0</v>
      </c>
      <c r="H462" s="48">
        <v>0</v>
      </c>
      <c r="I462" s="48">
        <v>0</v>
      </c>
      <c r="J462" s="48">
        <v>0</v>
      </c>
      <c r="K462" s="48">
        <v>0</v>
      </c>
      <c r="L462" s="48">
        <v>0</v>
      </c>
      <c r="M462" s="48">
        <v>0</v>
      </c>
      <c r="N462" s="48">
        <v>0</v>
      </c>
      <c r="O462" s="48">
        <v>0</v>
      </c>
      <c r="P462" s="48">
        <v>0</v>
      </c>
      <c r="Q462" s="48">
        <v>0</v>
      </c>
      <c r="R462" s="48">
        <v>0</v>
      </c>
      <c r="S462" s="48">
        <v>0</v>
      </c>
      <c r="T462" s="48">
        <v>0</v>
      </c>
      <c r="U462" s="48">
        <v>0</v>
      </c>
      <c r="V462" s="48">
        <v>0</v>
      </c>
      <c r="W462" s="48">
        <v>0</v>
      </c>
      <c r="X462" s="48">
        <v>0</v>
      </c>
      <c r="Y462" s="48">
        <v>0</v>
      </c>
      <c r="Z462" s="48">
        <v>0</v>
      </c>
      <c r="AA462" s="48">
        <v>0</v>
      </c>
      <c r="AB462" s="48">
        <v>0</v>
      </c>
      <c r="AC462" s="48">
        <v>0</v>
      </c>
      <c r="AD462" s="48">
        <f>-13181</f>
        <v>-13181</v>
      </c>
      <c r="AE462" s="48">
        <v>0</v>
      </c>
      <c r="AF462" s="48">
        <v>5871</v>
      </c>
      <c r="AG462" s="48">
        <v>0</v>
      </c>
      <c r="AH462" s="48">
        <v>0</v>
      </c>
      <c r="AI462" s="48">
        <v>0</v>
      </c>
      <c r="AJ462" s="48">
        <v>0</v>
      </c>
      <c r="AK462" s="48">
        <v>0</v>
      </c>
      <c r="AL462" s="48">
        <v>0</v>
      </c>
      <c r="AM462" s="48">
        <v>0</v>
      </c>
      <c r="AN462" s="48">
        <v>0</v>
      </c>
      <c r="AO462" s="48">
        <v>0</v>
      </c>
      <c r="AP462" s="48">
        <v>0</v>
      </c>
      <c r="AQ462" s="48">
        <v>0</v>
      </c>
      <c r="AR462" s="48">
        <v>0</v>
      </c>
      <c r="AS462" s="48">
        <v>0</v>
      </c>
      <c r="AT462" s="48">
        <v>0</v>
      </c>
      <c r="AU462" s="48">
        <v>0</v>
      </c>
      <c r="AV462" s="48">
        <v>0</v>
      </c>
      <c r="AW462" s="48">
        <v>0</v>
      </c>
      <c r="AX462" s="48">
        <v>0</v>
      </c>
      <c r="AY462" s="48">
        <v>0</v>
      </c>
      <c r="AZ462" s="48">
        <v>0</v>
      </c>
      <c r="BA462" s="48">
        <v>0</v>
      </c>
      <c r="BB462" s="48">
        <v>0</v>
      </c>
      <c r="BC462" s="48">
        <v>0</v>
      </c>
      <c r="BD462" s="48">
        <v>0</v>
      </c>
      <c r="BE462" s="48">
        <v>0</v>
      </c>
      <c r="BF462" s="48">
        <v>0</v>
      </c>
    </row>
    <row r="463" spans="1:58" ht="14.1" customHeight="1">
      <c r="A463" s="247">
        <f t="shared" si="174"/>
        <v>457</v>
      </c>
      <c r="B463" s="25" t="s">
        <v>565</v>
      </c>
      <c r="C463" s="189">
        <f>SUM(C460:C462)</f>
        <v>-583119</v>
      </c>
      <c r="D463" s="189">
        <f>SUM(D460:D462)</f>
        <v>0</v>
      </c>
      <c r="E463" s="189">
        <f t="shared" ref="E463:BA463" si="175">SUM(E460:E462)</f>
        <v>0</v>
      </c>
      <c r="F463" s="189">
        <f t="shared" si="175"/>
        <v>0</v>
      </c>
      <c r="G463" s="189">
        <f t="shared" si="175"/>
        <v>0</v>
      </c>
      <c r="H463" s="189">
        <f t="shared" si="175"/>
        <v>0</v>
      </c>
      <c r="I463" s="189">
        <f t="shared" si="175"/>
        <v>0</v>
      </c>
      <c r="J463" s="189">
        <f t="shared" si="175"/>
        <v>0</v>
      </c>
      <c r="K463" s="189">
        <f t="shared" si="175"/>
        <v>0</v>
      </c>
      <c r="L463" s="189">
        <f t="shared" si="175"/>
        <v>0</v>
      </c>
      <c r="M463" s="189">
        <f t="shared" si="175"/>
        <v>0</v>
      </c>
      <c r="N463" s="189">
        <f t="shared" si="175"/>
        <v>0</v>
      </c>
      <c r="O463" s="189">
        <f t="shared" si="175"/>
        <v>0</v>
      </c>
      <c r="P463" s="189">
        <f t="shared" si="175"/>
        <v>0</v>
      </c>
      <c r="Q463" s="189">
        <f t="shared" si="175"/>
        <v>0</v>
      </c>
      <c r="R463" s="189">
        <f t="shared" si="175"/>
        <v>0</v>
      </c>
      <c r="S463" s="189">
        <f t="shared" si="175"/>
        <v>0</v>
      </c>
      <c r="T463" s="189">
        <f t="shared" si="175"/>
        <v>0</v>
      </c>
      <c r="U463" s="189">
        <f t="shared" si="175"/>
        <v>0</v>
      </c>
      <c r="V463" s="189">
        <f t="shared" si="175"/>
        <v>0</v>
      </c>
      <c r="W463" s="189">
        <f t="shared" si="175"/>
        <v>0</v>
      </c>
      <c r="X463" s="189">
        <f t="shared" si="175"/>
        <v>0</v>
      </c>
      <c r="Y463" s="189">
        <f t="shared" si="175"/>
        <v>0</v>
      </c>
      <c r="Z463" s="189">
        <f t="shared" si="175"/>
        <v>0</v>
      </c>
      <c r="AA463" s="189">
        <f t="shared" si="175"/>
        <v>0</v>
      </c>
      <c r="AB463" s="189">
        <f t="shared" si="175"/>
        <v>0</v>
      </c>
      <c r="AC463" s="189">
        <f t="shared" si="175"/>
        <v>7011</v>
      </c>
      <c r="AD463" s="189">
        <f t="shared" si="175"/>
        <v>-794970</v>
      </c>
      <c r="AE463" s="189">
        <f t="shared" si="175"/>
        <v>0</v>
      </c>
      <c r="AF463" s="189">
        <f t="shared" si="175"/>
        <v>204840</v>
      </c>
      <c r="AG463" s="189">
        <f t="shared" si="175"/>
        <v>0</v>
      </c>
      <c r="AH463" s="189">
        <f t="shared" si="175"/>
        <v>0</v>
      </c>
      <c r="AI463" s="189">
        <f t="shared" si="175"/>
        <v>0</v>
      </c>
      <c r="AJ463" s="189">
        <f t="shared" si="175"/>
        <v>0</v>
      </c>
      <c r="AK463" s="189">
        <f t="shared" si="175"/>
        <v>0</v>
      </c>
      <c r="AL463" s="189">
        <f t="shared" si="175"/>
        <v>0</v>
      </c>
      <c r="AM463" s="189">
        <f t="shared" si="175"/>
        <v>0</v>
      </c>
      <c r="AN463" s="189">
        <f t="shared" si="175"/>
        <v>0</v>
      </c>
      <c r="AO463" s="189">
        <f t="shared" si="175"/>
        <v>0</v>
      </c>
      <c r="AP463" s="189">
        <f t="shared" si="175"/>
        <v>0</v>
      </c>
      <c r="AQ463" s="189">
        <f t="shared" si="175"/>
        <v>0</v>
      </c>
      <c r="AR463" s="189">
        <f t="shared" si="175"/>
        <v>0</v>
      </c>
      <c r="AS463" s="189">
        <f t="shared" si="175"/>
        <v>0</v>
      </c>
      <c r="AT463" s="189">
        <f t="shared" si="175"/>
        <v>0</v>
      </c>
      <c r="AU463" s="189">
        <f t="shared" si="175"/>
        <v>0</v>
      </c>
      <c r="AV463" s="189">
        <f t="shared" si="175"/>
        <v>0</v>
      </c>
      <c r="AW463" s="189">
        <f t="shared" si="175"/>
        <v>0</v>
      </c>
      <c r="AX463" s="189">
        <f t="shared" si="175"/>
        <v>0</v>
      </c>
      <c r="AY463" s="189">
        <f t="shared" si="175"/>
        <v>0</v>
      </c>
      <c r="AZ463" s="189">
        <f t="shared" si="175"/>
        <v>0</v>
      </c>
      <c r="BA463" s="189">
        <f t="shared" si="175"/>
        <v>0</v>
      </c>
      <c r="BB463" s="189">
        <f>SUM(BB460:BB462)</f>
        <v>0</v>
      </c>
      <c r="BC463" s="189">
        <f>SUM(BC460:BC462)</f>
        <v>0</v>
      </c>
      <c r="BD463" s="189">
        <f>SUM(BD460:BD462)</f>
        <v>0</v>
      </c>
      <c r="BE463" s="189">
        <f>SUM(BE460:BE462)</f>
        <v>0</v>
      </c>
      <c r="BF463" s="189">
        <f>SUM(BF460:BF462)</f>
        <v>0</v>
      </c>
    </row>
    <row r="464" spans="1:58" ht="14.1" customHeight="1">
      <c r="A464" s="247">
        <f t="shared" si="174"/>
        <v>458</v>
      </c>
      <c r="B464" s="304"/>
      <c r="C464" s="304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</row>
    <row r="465" spans="1:58" ht="14.1" customHeight="1">
      <c r="A465" s="247">
        <f t="shared" si="174"/>
        <v>459</v>
      </c>
      <c r="B465" s="27" t="s">
        <v>576</v>
      </c>
      <c r="C465" s="158">
        <f t="shared" ref="C465:C474" si="176">SUM(D465:BF465)</f>
        <v>1082108</v>
      </c>
      <c r="D465" s="48">
        <v>0</v>
      </c>
      <c r="E465" s="48">
        <v>0</v>
      </c>
      <c r="F465" s="48">
        <v>0</v>
      </c>
      <c r="G465" s="48">
        <v>0</v>
      </c>
      <c r="H465" s="48">
        <v>0</v>
      </c>
      <c r="I465" s="48">
        <v>0</v>
      </c>
      <c r="J465" s="48">
        <v>0</v>
      </c>
      <c r="K465" s="48">
        <v>0</v>
      </c>
      <c r="L465" s="48">
        <v>0</v>
      </c>
      <c r="M465" s="48">
        <v>0</v>
      </c>
      <c r="N465" s="48">
        <v>0</v>
      </c>
      <c r="O465" s="48">
        <v>0</v>
      </c>
      <c r="P465" s="48">
        <v>0</v>
      </c>
      <c r="Q465" s="48">
        <v>0</v>
      </c>
      <c r="R465" s="48">
        <v>0</v>
      </c>
      <c r="S465" s="48">
        <v>0</v>
      </c>
      <c r="T465" s="48">
        <v>0</v>
      </c>
      <c r="U465" s="48">
        <v>0</v>
      </c>
      <c r="V465" s="48">
        <v>0</v>
      </c>
      <c r="W465" s="48">
        <v>0</v>
      </c>
      <c r="X465" s="48">
        <v>0</v>
      </c>
      <c r="Y465" s="48">
        <v>0</v>
      </c>
      <c r="Z465" s="48">
        <v>0</v>
      </c>
      <c r="AA465" s="48">
        <v>0</v>
      </c>
      <c r="AB465" s="48">
        <v>0</v>
      </c>
      <c r="AC465" s="48">
        <v>0</v>
      </c>
      <c r="AD465" s="48">
        <v>-900293</v>
      </c>
      <c r="AE465" s="48">
        <v>0</v>
      </c>
      <c r="AF465" s="48">
        <v>1667870</v>
      </c>
      <c r="AG465" s="48">
        <v>0</v>
      </c>
      <c r="AH465" s="48">
        <v>0</v>
      </c>
      <c r="AI465" s="48">
        <v>0</v>
      </c>
      <c r="AJ465" s="48">
        <v>0</v>
      </c>
      <c r="AK465" s="48">
        <v>0</v>
      </c>
      <c r="AL465" s="48">
        <v>0</v>
      </c>
      <c r="AM465" s="48">
        <v>0</v>
      </c>
      <c r="AN465" s="48">
        <v>0</v>
      </c>
      <c r="AO465" s="48">
        <v>0</v>
      </c>
      <c r="AP465" s="48">
        <v>0</v>
      </c>
      <c r="AQ465" s="48">
        <v>314531</v>
      </c>
      <c r="AR465" s="48">
        <v>0</v>
      </c>
      <c r="AS465" s="48">
        <v>0</v>
      </c>
      <c r="AT465" s="48">
        <v>0</v>
      </c>
      <c r="AU465" s="48">
        <v>0</v>
      </c>
      <c r="AV465" s="48">
        <v>0</v>
      </c>
      <c r="AW465" s="48">
        <v>0</v>
      </c>
      <c r="AX465" s="48">
        <v>0</v>
      </c>
      <c r="AY465" s="48">
        <v>0</v>
      </c>
      <c r="AZ465" s="48">
        <v>0</v>
      </c>
      <c r="BA465" s="48">
        <v>0</v>
      </c>
      <c r="BB465" s="48">
        <v>0</v>
      </c>
      <c r="BC465" s="48">
        <v>0</v>
      </c>
      <c r="BD465" s="48">
        <v>0</v>
      </c>
      <c r="BE465" s="48">
        <v>0</v>
      </c>
      <c r="BF465" s="48">
        <v>0</v>
      </c>
    </row>
    <row r="466" spans="1:58" ht="14.1" customHeight="1">
      <c r="A466" s="247">
        <f t="shared" si="174"/>
        <v>460</v>
      </c>
      <c r="B466" s="27" t="s">
        <v>330</v>
      </c>
      <c r="C466" s="158">
        <f t="shared" si="176"/>
        <v>0</v>
      </c>
      <c r="D466" s="48">
        <v>0</v>
      </c>
      <c r="E466" s="48">
        <v>0</v>
      </c>
      <c r="F466" s="48">
        <v>0</v>
      </c>
      <c r="G466" s="48">
        <v>0</v>
      </c>
      <c r="H466" s="48">
        <v>0</v>
      </c>
      <c r="I466" s="48">
        <v>0</v>
      </c>
      <c r="J466" s="48">
        <v>0</v>
      </c>
      <c r="K466" s="48">
        <v>0</v>
      </c>
      <c r="L466" s="48">
        <v>0</v>
      </c>
      <c r="M466" s="48">
        <v>0</v>
      </c>
      <c r="N466" s="48">
        <v>0</v>
      </c>
      <c r="O466" s="48">
        <v>0</v>
      </c>
      <c r="P466" s="48">
        <v>0</v>
      </c>
      <c r="Q466" s="48">
        <v>0</v>
      </c>
      <c r="R466" s="48">
        <v>0</v>
      </c>
      <c r="S466" s="48">
        <v>0</v>
      </c>
      <c r="T466" s="48">
        <v>0</v>
      </c>
      <c r="U466" s="48">
        <v>0</v>
      </c>
      <c r="V466" s="48">
        <v>0</v>
      </c>
      <c r="W466" s="48">
        <v>0</v>
      </c>
      <c r="X466" s="48">
        <v>0</v>
      </c>
      <c r="Y466" s="48">
        <v>0</v>
      </c>
      <c r="Z466" s="48">
        <v>0</v>
      </c>
      <c r="AA466" s="48">
        <v>0</v>
      </c>
      <c r="AB466" s="48">
        <v>0</v>
      </c>
      <c r="AC466" s="48">
        <v>0</v>
      </c>
      <c r="AD466" s="48">
        <v>0</v>
      </c>
      <c r="AE466" s="48">
        <v>0</v>
      </c>
      <c r="AF466" s="48">
        <v>0</v>
      </c>
      <c r="AG466" s="48">
        <v>0</v>
      </c>
      <c r="AH466" s="48">
        <v>0</v>
      </c>
      <c r="AI466" s="48">
        <v>0</v>
      </c>
      <c r="AJ466" s="48">
        <v>0</v>
      </c>
      <c r="AK466" s="48">
        <v>0</v>
      </c>
      <c r="AL466" s="48">
        <v>0</v>
      </c>
      <c r="AM466" s="48">
        <v>0</v>
      </c>
      <c r="AN466" s="48">
        <v>0</v>
      </c>
      <c r="AO466" s="48">
        <v>0</v>
      </c>
      <c r="AP466" s="48">
        <v>0</v>
      </c>
      <c r="AQ466" s="48">
        <v>0</v>
      </c>
      <c r="AR466" s="48">
        <v>0</v>
      </c>
      <c r="AS466" s="48">
        <v>0</v>
      </c>
      <c r="AT466" s="48">
        <v>0</v>
      </c>
      <c r="AU466" s="48">
        <v>0</v>
      </c>
      <c r="AV466" s="48">
        <v>0</v>
      </c>
      <c r="AW466" s="48">
        <v>0</v>
      </c>
      <c r="AX466" s="48">
        <v>0</v>
      </c>
      <c r="AY466" s="48">
        <v>0</v>
      </c>
      <c r="AZ466" s="48">
        <v>0</v>
      </c>
      <c r="BA466" s="48">
        <v>0</v>
      </c>
      <c r="BB466" s="48">
        <v>0</v>
      </c>
      <c r="BC466" s="48">
        <v>0</v>
      </c>
      <c r="BD466" s="48">
        <v>0</v>
      </c>
      <c r="BE466" s="48">
        <v>0</v>
      </c>
      <c r="BF466" s="48">
        <v>0</v>
      </c>
    </row>
    <row r="467" spans="1:58" ht="14.1" customHeight="1">
      <c r="A467" s="247">
        <f t="shared" si="174"/>
        <v>461</v>
      </c>
      <c r="B467" s="27" t="s">
        <v>331</v>
      </c>
      <c r="C467" s="158">
        <f t="shared" si="176"/>
        <v>92475</v>
      </c>
      <c r="D467" s="48">
        <v>0</v>
      </c>
      <c r="E467" s="48">
        <v>0</v>
      </c>
      <c r="F467" s="48">
        <v>0</v>
      </c>
      <c r="G467" s="48">
        <v>0</v>
      </c>
      <c r="H467" s="48">
        <v>0</v>
      </c>
      <c r="I467" s="48">
        <v>0</v>
      </c>
      <c r="J467" s="48">
        <v>0</v>
      </c>
      <c r="K467" s="48">
        <v>0</v>
      </c>
      <c r="L467" s="48">
        <v>0</v>
      </c>
      <c r="M467" s="48">
        <v>0</v>
      </c>
      <c r="N467" s="48">
        <v>0</v>
      </c>
      <c r="O467" s="48">
        <v>0</v>
      </c>
      <c r="P467" s="48">
        <v>0</v>
      </c>
      <c r="Q467" s="48">
        <v>0</v>
      </c>
      <c r="R467" s="48">
        <v>0</v>
      </c>
      <c r="S467" s="48">
        <v>0</v>
      </c>
      <c r="T467" s="48">
        <v>0</v>
      </c>
      <c r="U467" s="48">
        <v>0</v>
      </c>
      <c r="V467" s="48">
        <v>0</v>
      </c>
      <c r="W467" s="48">
        <v>0</v>
      </c>
      <c r="X467" s="48">
        <v>0</v>
      </c>
      <c r="Y467" s="48">
        <v>0</v>
      </c>
      <c r="Z467" s="48">
        <v>0</v>
      </c>
      <c r="AA467" s="48">
        <v>0</v>
      </c>
      <c r="AB467" s="48">
        <v>0</v>
      </c>
      <c r="AC467" s="48">
        <v>0</v>
      </c>
      <c r="AD467" s="48">
        <v>0</v>
      </c>
      <c r="AE467" s="48">
        <v>0</v>
      </c>
      <c r="AF467" s="48">
        <v>0</v>
      </c>
      <c r="AG467" s="48">
        <v>0</v>
      </c>
      <c r="AH467" s="48">
        <v>0</v>
      </c>
      <c r="AI467" s="48">
        <v>0</v>
      </c>
      <c r="AJ467" s="48">
        <v>0</v>
      </c>
      <c r="AK467" s="48">
        <v>0</v>
      </c>
      <c r="AL467" s="48">
        <v>0</v>
      </c>
      <c r="AM467" s="48">
        <v>0</v>
      </c>
      <c r="AN467" s="48">
        <v>0</v>
      </c>
      <c r="AO467" s="48">
        <v>0</v>
      </c>
      <c r="AP467" s="48">
        <v>0</v>
      </c>
      <c r="AQ467" s="48">
        <v>0</v>
      </c>
      <c r="AR467" s="48">
        <v>92475</v>
      </c>
      <c r="AS467" s="48">
        <v>0</v>
      </c>
      <c r="AT467" s="48">
        <v>0</v>
      </c>
      <c r="AU467" s="48">
        <v>0</v>
      </c>
      <c r="AV467" s="48">
        <v>0</v>
      </c>
      <c r="AW467" s="48">
        <v>0</v>
      </c>
      <c r="AX467" s="48">
        <v>0</v>
      </c>
      <c r="AY467" s="48">
        <v>0</v>
      </c>
      <c r="AZ467" s="48">
        <v>0</v>
      </c>
      <c r="BA467" s="48">
        <v>0</v>
      </c>
      <c r="BB467" s="48">
        <v>0</v>
      </c>
      <c r="BC467" s="48">
        <v>0</v>
      </c>
      <c r="BD467" s="48">
        <v>0</v>
      </c>
      <c r="BE467" s="48">
        <v>0</v>
      </c>
      <c r="BF467" s="48">
        <v>0</v>
      </c>
    </row>
    <row r="468" spans="1:58" ht="14.1" customHeight="1">
      <c r="A468" s="247">
        <f t="shared" si="174"/>
        <v>462</v>
      </c>
      <c r="B468" s="27" t="s">
        <v>303</v>
      </c>
      <c r="C468" s="158">
        <f t="shared" si="176"/>
        <v>116430</v>
      </c>
      <c r="D468" s="48">
        <v>0</v>
      </c>
      <c r="E468" s="48">
        <v>0</v>
      </c>
      <c r="F468" s="48">
        <v>0</v>
      </c>
      <c r="G468" s="48">
        <v>0</v>
      </c>
      <c r="H468" s="48">
        <v>0</v>
      </c>
      <c r="I468" s="48">
        <v>0</v>
      </c>
      <c r="J468" s="48">
        <v>0</v>
      </c>
      <c r="K468" s="48">
        <v>0</v>
      </c>
      <c r="L468" s="48">
        <v>0</v>
      </c>
      <c r="M468" s="48">
        <v>0</v>
      </c>
      <c r="N468" s="48">
        <v>0</v>
      </c>
      <c r="O468" s="48">
        <v>0</v>
      </c>
      <c r="P468" s="48">
        <v>0</v>
      </c>
      <c r="Q468" s="48">
        <v>0</v>
      </c>
      <c r="R468" s="48">
        <v>0</v>
      </c>
      <c r="S468" s="48">
        <v>0</v>
      </c>
      <c r="T468" s="48">
        <v>0</v>
      </c>
      <c r="U468" s="48">
        <v>0</v>
      </c>
      <c r="V468" s="48">
        <v>0</v>
      </c>
      <c r="W468" s="48">
        <v>0</v>
      </c>
      <c r="X468" s="48">
        <v>0</v>
      </c>
      <c r="Y468" s="48">
        <v>0</v>
      </c>
      <c r="Z468" s="48">
        <v>0</v>
      </c>
      <c r="AA468" s="48">
        <v>0</v>
      </c>
      <c r="AB468" s="48">
        <v>0</v>
      </c>
      <c r="AC468" s="48">
        <v>0</v>
      </c>
      <c r="AD468" s="48">
        <v>0</v>
      </c>
      <c r="AE468" s="48">
        <v>0</v>
      </c>
      <c r="AF468" s="48">
        <v>0</v>
      </c>
      <c r="AG468" s="48">
        <v>0</v>
      </c>
      <c r="AH468" s="48">
        <v>0</v>
      </c>
      <c r="AI468" s="48">
        <v>0</v>
      </c>
      <c r="AJ468" s="48">
        <v>0</v>
      </c>
      <c r="AK468" s="48">
        <v>0</v>
      </c>
      <c r="AL468" s="48">
        <v>0</v>
      </c>
      <c r="AM468" s="48">
        <v>0</v>
      </c>
      <c r="AN468" s="48">
        <v>0</v>
      </c>
      <c r="AO468" s="48">
        <v>0</v>
      </c>
      <c r="AP468" s="48">
        <v>0</v>
      </c>
      <c r="AQ468" s="48">
        <v>0</v>
      </c>
      <c r="AR468" s="48">
        <v>0</v>
      </c>
      <c r="AS468" s="48">
        <v>116430</v>
      </c>
      <c r="AT468" s="48">
        <v>0</v>
      </c>
      <c r="AU468" s="48">
        <v>0</v>
      </c>
      <c r="AV468" s="48">
        <v>0</v>
      </c>
      <c r="AW468" s="48">
        <v>0</v>
      </c>
      <c r="AX468" s="48">
        <v>0</v>
      </c>
      <c r="AY468" s="48">
        <v>0</v>
      </c>
      <c r="AZ468" s="48">
        <v>0</v>
      </c>
      <c r="BA468" s="48">
        <v>0</v>
      </c>
      <c r="BB468" s="48">
        <v>0</v>
      </c>
      <c r="BC468" s="48">
        <v>0</v>
      </c>
      <c r="BD468" s="48">
        <v>0</v>
      </c>
      <c r="BE468" s="48">
        <v>0</v>
      </c>
      <c r="BF468" s="48">
        <v>0</v>
      </c>
    </row>
    <row r="469" spans="1:58" ht="14.1" customHeight="1">
      <c r="A469" s="247">
        <f t="shared" si="174"/>
        <v>463</v>
      </c>
      <c r="B469" s="27" t="s">
        <v>304</v>
      </c>
      <c r="C469" s="158">
        <f t="shared" si="176"/>
        <v>0</v>
      </c>
      <c r="D469" s="48">
        <v>0</v>
      </c>
      <c r="E469" s="48">
        <v>0</v>
      </c>
      <c r="F469" s="48">
        <v>0</v>
      </c>
      <c r="G469" s="48">
        <v>0</v>
      </c>
      <c r="H469" s="48">
        <v>0</v>
      </c>
      <c r="I469" s="48">
        <v>0</v>
      </c>
      <c r="J469" s="48">
        <v>0</v>
      </c>
      <c r="K469" s="48">
        <v>0</v>
      </c>
      <c r="L469" s="48">
        <v>0</v>
      </c>
      <c r="M469" s="48">
        <v>0</v>
      </c>
      <c r="N469" s="48">
        <v>0</v>
      </c>
      <c r="O469" s="48">
        <v>0</v>
      </c>
      <c r="P469" s="48">
        <v>0</v>
      </c>
      <c r="Q469" s="48">
        <v>0</v>
      </c>
      <c r="R469" s="48">
        <v>0</v>
      </c>
      <c r="S469" s="48">
        <v>0</v>
      </c>
      <c r="T469" s="48">
        <v>0</v>
      </c>
      <c r="U469" s="48">
        <v>0</v>
      </c>
      <c r="V469" s="48">
        <v>0</v>
      </c>
      <c r="W469" s="48">
        <v>0</v>
      </c>
      <c r="X469" s="48">
        <v>0</v>
      </c>
      <c r="Y469" s="48">
        <v>0</v>
      </c>
      <c r="Z469" s="48">
        <v>0</v>
      </c>
      <c r="AA469" s="48">
        <v>0</v>
      </c>
      <c r="AB469" s="48">
        <v>0</v>
      </c>
      <c r="AC469" s="48">
        <v>0</v>
      </c>
      <c r="AD469" s="48">
        <v>0</v>
      </c>
      <c r="AE469" s="48">
        <v>0</v>
      </c>
      <c r="AF469" s="48">
        <v>0</v>
      </c>
      <c r="AG469" s="48">
        <v>0</v>
      </c>
      <c r="AH469" s="48">
        <v>0</v>
      </c>
      <c r="AI469" s="48">
        <v>0</v>
      </c>
      <c r="AJ469" s="48">
        <v>0</v>
      </c>
      <c r="AK469" s="48">
        <v>0</v>
      </c>
      <c r="AL469" s="48">
        <v>0</v>
      </c>
      <c r="AM469" s="48">
        <v>0</v>
      </c>
      <c r="AN469" s="48">
        <v>0</v>
      </c>
      <c r="AO469" s="48">
        <v>0</v>
      </c>
      <c r="AP469" s="48">
        <v>0</v>
      </c>
      <c r="AQ469" s="48">
        <v>0</v>
      </c>
      <c r="AR469" s="48">
        <v>0</v>
      </c>
      <c r="AS469" s="48">
        <v>0</v>
      </c>
      <c r="AT469" s="48">
        <v>0</v>
      </c>
      <c r="AU469" s="48">
        <v>0</v>
      </c>
      <c r="AV469" s="48">
        <v>0</v>
      </c>
      <c r="AW469" s="48">
        <v>0</v>
      </c>
      <c r="AX469" s="48">
        <v>0</v>
      </c>
      <c r="AY469" s="48">
        <v>0</v>
      </c>
      <c r="AZ469" s="48">
        <v>0</v>
      </c>
      <c r="BA469" s="48">
        <v>0</v>
      </c>
      <c r="BB469" s="48">
        <v>0</v>
      </c>
      <c r="BC469" s="48">
        <v>0</v>
      </c>
      <c r="BD469" s="48">
        <v>0</v>
      </c>
      <c r="BE469" s="48">
        <v>0</v>
      </c>
      <c r="BF469" s="48">
        <v>0</v>
      </c>
    </row>
    <row r="470" spans="1:58" ht="14.1" customHeight="1">
      <c r="A470" s="247">
        <f t="shared" si="174"/>
        <v>464</v>
      </c>
      <c r="B470" s="27" t="s">
        <v>887</v>
      </c>
      <c r="C470" s="158">
        <f t="shared" si="176"/>
        <v>0</v>
      </c>
      <c r="D470" s="48">
        <v>0</v>
      </c>
      <c r="E470" s="48">
        <v>0</v>
      </c>
      <c r="F470" s="48">
        <v>0</v>
      </c>
      <c r="G470" s="48">
        <v>0</v>
      </c>
      <c r="H470" s="48">
        <v>0</v>
      </c>
      <c r="I470" s="48">
        <v>0</v>
      </c>
      <c r="J470" s="48">
        <v>0</v>
      </c>
      <c r="K470" s="48">
        <v>0</v>
      </c>
      <c r="L470" s="48">
        <v>0</v>
      </c>
      <c r="M470" s="48">
        <v>0</v>
      </c>
      <c r="N470" s="48">
        <v>0</v>
      </c>
      <c r="O470" s="48">
        <v>0</v>
      </c>
      <c r="P470" s="48">
        <v>0</v>
      </c>
      <c r="Q470" s="48">
        <v>0</v>
      </c>
      <c r="R470" s="48">
        <v>0</v>
      </c>
      <c r="S470" s="48">
        <v>0</v>
      </c>
      <c r="T470" s="48">
        <v>0</v>
      </c>
      <c r="U470" s="48">
        <v>0</v>
      </c>
      <c r="V470" s="48">
        <v>0</v>
      </c>
      <c r="W470" s="48">
        <v>0</v>
      </c>
      <c r="X470" s="48">
        <v>0</v>
      </c>
      <c r="Y470" s="48">
        <v>0</v>
      </c>
      <c r="Z470" s="48">
        <v>0</v>
      </c>
      <c r="AA470" s="48">
        <v>0</v>
      </c>
      <c r="AB470" s="48">
        <v>0</v>
      </c>
      <c r="AC470" s="48">
        <v>0</v>
      </c>
      <c r="AD470" s="48">
        <v>0</v>
      </c>
      <c r="AE470" s="48">
        <v>0</v>
      </c>
      <c r="AF470" s="48">
        <v>0</v>
      </c>
      <c r="AG470" s="48">
        <v>0</v>
      </c>
      <c r="AH470" s="48">
        <v>0</v>
      </c>
      <c r="AI470" s="48">
        <v>0</v>
      </c>
      <c r="AJ470" s="48">
        <v>0</v>
      </c>
      <c r="AK470" s="48">
        <v>0</v>
      </c>
      <c r="AL470" s="48">
        <v>0</v>
      </c>
      <c r="AM470" s="48">
        <v>0</v>
      </c>
      <c r="AN470" s="48">
        <v>0</v>
      </c>
      <c r="AO470" s="48">
        <v>0</v>
      </c>
      <c r="AP470" s="48">
        <v>0</v>
      </c>
      <c r="AQ470" s="48">
        <v>0</v>
      </c>
      <c r="AR470" s="48">
        <v>0</v>
      </c>
      <c r="AS470" s="48">
        <v>0</v>
      </c>
      <c r="AT470" s="48">
        <v>0</v>
      </c>
      <c r="AU470" s="48">
        <v>0</v>
      </c>
      <c r="AV470" s="48">
        <v>0</v>
      </c>
      <c r="AW470" s="48">
        <v>0</v>
      </c>
      <c r="AX470" s="48">
        <v>0</v>
      </c>
      <c r="AY470" s="48">
        <v>0</v>
      </c>
      <c r="AZ470" s="48">
        <v>0</v>
      </c>
      <c r="BA470" s="48">
        <v>0</v>
      </c>
      <c r="BB470" s="48">
        <v>0</v>
      </c>
      <c r="BC470" s="48">
        <v>0</v>
      </c>
      <c r="BD470" s="48">
        <v>0</v>
      </c>
      <c r="BE470" s="48">
        <v>0</v>
      </c>
      <c r="BF470" s="48">
        <v>0</v>
      </c>
    </row>
    <row r="471" spans="1:58" ht="13.5" customHeight="1">
      <c r="A471" s="247">
        <f t="shared" si="174"/>
        <v>465</v>
      </c>
      <c r="B471" s="27" t="s">
        <v>332</v>
      </c>
      <c r="C471" s="158">
        <f t="shared" si="176"/>
        <v>0</v>
      </c>
      <c r="D471" s="48">
        <v>0</v>
      </c>
      <c r="E471" s="48">
        <v>0</v>
      </c>
      <c r="F471" s="48">
        <v>0</v>
      </c>
      <c r="G471" s="48">
        <v>0</v>
      </c>
      <c r="H471" s="48">
        <v>0</v>
      </c>
      <c r="I471" s="48">
        <v>0</v>
      </c>
      <c r="J471" s="48">
        <v>0</v>
      </c>
      <c r="K471" s="48">
        <v>0</v>
      </c>
      <c r="L471" s="48">
        <v>0</v>
      </c>
      <c r="M471" s="48">
        <v>0</v>
      </c>
      <c r="N471" s="48">
        <v>0</v>
      </c>
      <c r="O471" s="48">
        <v>0</v>
      </c>
      <c r="P471" s="48">
        <v>0</v>
      </c>
      <c r="Q471" s="48">
        <v>0</v>
      </c>
      <c r="R471" s="48">
        <v>0</v>
      </c>
      <c r="S471" s="48">
        <v>0</v>
      </c>
      <c r="T471" s="48">
        <v>0</v>
      </c>
      <c r="U471" s="48">
        <v>0</v>
      </c>
      <c r="V471" s="48">
        <v>0</v>
      </c>
      <c r="W471" s="48">
        <v>0</v>
      </c>
      <c r="X471" s="48">
        <v>0</v>
      </c>
      <c r="Y471" s="48">
        <v>0</v>
      </c>
      <c r="Z471" s="48">
        <v>0</v>
      </c>
      <c r="AA471" s="48">
        <v>0</v>
      </c>
      <c r="AB471" s="48">
        <v>0</v>
      </c>
      <c r="AC471" s="48">
        <v>0</v>
      </c>
      <c r="AD471" s="48">
        <v>0</v>
      </c>
      <c r="AE471" s="48">
        <v>0</v>
      </c>
      <c r="AF471" s="48">
        <v>0</v>
      </c>
      <c r="AG471" s="48">
        <v>0</v>
      </c>
      <c r="AH471" s="48">
        <v>0</v>
      </c>
      <c r="AI471" s="48">
        <v>0</v>
      </c>
      <c r="AJ471" s="48">
        <v>0</v>
      </c>
      <c r="AK471" s="48">
        <v>0</v>
      </c>
      <c r="AL471" s="48">
        <v>0</v>
      </c>
      <c r="AM471" s="48">
        <v>0</v>
      </c>
      <c r="AN471" s="48">
        <v>0</v>
      </c>
      <c r="AO471" s="48">
        <v>0</v>
      </c>
      <c r="AP471" s="48">
        <v>0</v>
      </c>
      <c r="AQ471" s="48">
        <v>0</v>
      </c>
      <c r="AR471" s="48">
        <v>0</v>
      </c>
      <c r="AS471" s="48">
        <v>0</v>
      </c>
      <c r="AT471" s="48">
        <v>0</v>
      </c>
      <c r="AU471" s="48">
        <v>0</v>
      </c>
      <c r="AV471" s="48">
        <v>0</v>
      </c>
      <c r="AW471" s="48">
        <v>0</v>
      </c>
      <c r="AX471" s="48">
        <v>0</v>
      </c>
      <c r="AY471" s="48">
        <v>0</v>
      </c>
      <c r="AZ471" s="48">
        <v>0</v>
      </c>
      <c r="BA471" s="48">
        <v>0</v>
      </c>
      <c r="BB471" s="48">
        <v>0</v>
      </c>
      <c r="BC471" s="48">
        <v>0</v>
      </c>
      <c r="BD471" s="48">
        <v>0</v>
      </c>
      <c r="BE471" s="48">
        <v>0</v>
      </c>
      <c r="BF471" s="48">
        <v>0</v>
      </c>
    </row>
    <row r="472" spans="1:58" ht="13.5" customHeight="1">
      <c r="A472" s="247">
        <f t="shared" si="174"/>
        <v>466</v>
      </c>
      <c r="B472" s="27" t="s">
        <v>305</v>
      </c>
      <c r="C472" s="158">
        <f t="shared" si="176"/>
        <v>9020</v>
      </c>
      <c r="D472" s="48">
        <v>0</v>
      </c>
      <c r="E472" s="48">
        <v>0</v>
      </c>
      <c r="F472" s="48">
        <v>0</v>
      </c>
      <c r="G472" s="48">
        <v>0</v>
      </c>
      <c r="H472" s="48">
        <v>0</v>
      </c>
      <c r="I472" s="48">
        <v>0</v>
      </c>
      <c r="J472" s="48">
        <v>0</v>
      </c>
      <c r="K472" s="48">
        <v>0</v>
      </c>
      <c r="L472" s="48">
        <v>0</v>
      </c>
      <c r="M472" s="48">
        <v>0</v>
      </c>
      <c r="N472" s="48">
        <v>0</v>
      </c>
      <c r="O472" s="48">
        <v>0</v>
      </c>
      <c r="P472" s="48">
        <v>0</v>
      </c>
      <c r="Q472" s="48">
        <v>0</v>
      </c>
      <c r="R472" s="48">
        <v>0</v>
      </c>
      <c r="S472" s="48">
        <v>0</v>
      </c>
      <c r="T472" s="48">
        <v>0</v>
      </c>
      <c r="U472" s="48">
        <v>0</v>
      </c>
      <c r="V472" s="48">
        <v>0</v>
      </c>
      <c r="W472" s="48">
        <v>0</v>
      </c>
      <c r="X472" s="48">
        <v>0</v>
      </c>
      <c r="Y472" s="48">
        <v>0</v>
      </c>
      <c r="Z472" s="48">
        <v>0</v>
      </c>
      <c r="AA472" s="48">
        <v>0</v>
      </c>
      <c r="AB472" s="48">
        <v>0</v>
      </c>
      <c r="AC472" s="48">
        <v>0</v>
      </c>
      <c r="AD472" s="48">
        <v>0</v>
      </c>
      <c r="AE472" s="48">
        <v>0</v>
      </c>
      <c r="AF472" s="48">
        <v>0</v>
      </c>
      <c r="AG472" s="48">
        <v>0</v>
      </c>
      <c r="AH472" s="48">
        <v>0</v>
      </c>
      <c r="AI472" s="48">
        <v>0</v>
      </c>
      <c r="AJ472" s="48">
        <v>0</v>
      </c>
      <c r="AK472" s="48">
        <v>0</v>
      </c>
      <c r="AL472" s="48">
        <v>0</v>
      </c>
      <c r="AM472" s="48">
        <v>0</v>
      </c>
      <c r="AN472" s="48">
        <v>0</v>
      </c>
      <c r="AO472" s="48">
        <v>0</v>
      </c>
      <c r="AP472" s="48">
        <v>0</v>
      </c>
      <c r="AQ472" s="48">
        <v>0</v>
      </c>
      <c r="AR472" s="48">
        <v>0</v>
      </c>
      <c r="AS472" s="48">
        <v>0</v>
      </c>
      <c r="AT472" s="48">
        <v>9020</v>
      </c>
      <c r="AU472" s="48">
        <v>0</v>
      </c>
      <c r="AV472" s="48">
        <v>0</v>
      </c>
      <c r="AW472" s="48">
        <v>0</v>
      </c>
      <c r="AX472" s="48">
        <v>0</v>
      </c>
      <c r="AY472" s="48">
        <v>0</v>
      </c>
      <c r="AZ472" s="48">
        <v>0</v>
      </c>
      <c r="BA472" s="48">
        <v>0</v>
      </c>
      <c r="BB472" s="48">
        <v>0</v>
      </c>
      <c r="BC472" s="48">
        <v>0</v>
      </c>
      <c r="BD472" s="48">
        <v>0</v>
      </c>
      <c r="BE472" s="48">
        <v>0</v>
      </c>
      <c r="BF472" s="48">
        <v>0</v>
      </c>
    </row>
    <row r="473" spans="1:58" ht="14.1" customHeight="1">
      <c r="A473" s="247">
        <f t="shared" si="174"/>
        <v>467</v>
      </c>
      <c r="B473" s="27" t="s">
        <v>306</v>
      </c>
      <c r="C473" s="158">
        <f t="shared" si="176"/>
        <v>0</v>
      </c>
      <c r="D473" s="48">
        <v>0</v>
      </c>
      <c r="E473" s="48">
        <v>0</v>
      </c>
      <c r="F473" s="48">
        <v>0</v>
      </c>
      <c r="G473" s="48">
        <v>0</v>
      </c>
      <c r="H473" s="48">
        <v>0</v>
      </c>
      <c r="I473" s="48">
        <v>0</v>
      </c>
      <c r="J473" s="48">
        <v>0</v>
      </c>
      <c r="K473" s="48">
        <v>0</v>
      </c>
      <c r="L473" s="48">
        <v>0</v>
      </c>
      <c r="M473" s="48">
        <v>0</v>
      </c>
      <c r="N473" s="48">
        <v>0</v>
      </c>
      <c r="O473" s="48">
        <v>0</v>
      </c>
      <c r="P473" s="48">
        <v>0</v>
      </c>
      <c r="Q473" s="48">
        <v>0</v>
      </c>
      <c r="R473" s="48">
        <v>0</v>
      </c>
      <c r="S473" s="48">
        <v>0</v>
      </c>
      <c r="T473" s="48">
        <v>0</v>
      </c>
      <c r="U473" s="48">
        <v>0</v>
      </c>
      <c r="V473" s="48">
        <v>0</v>
      </c>
      <c r="W473" s="48">
        <v>0</v>
      </c>
      <c r="X473" s="48">
        <v>0</v>
      </c>
      <c r="Y473" s="48">
        <v>0</v>
      </c>
      <c r="Z473" s="48">
        <v>0</v>
      </c>
      <c r="AA473" s="48">
        <v>0</v>
      </c>
      <c r="AB473" s="48">
        <v>0</v>
      </c>
      <c r="AC473" s="48">
        <v>0</v>
      </c>
      <c r="AD473" s="48">
        <v>0</v>
      </c>
      <c r="AE473" s="48">
        <v>0</v>
      </c>
      <c r="AF473" s="48">
        <v>0</v>
      </c>
      <c r="AG473" s="48">
        <v>0</v>
      </c>
      <c r="AH473" s="48">
        <v>0</v>
      </c>
      <c r="AI473" s="48">
        <v>0</v>
      </c>
      <c r="AJ473" s="48">
        <v>0</v>
      </c>
      <c r="AK473" s="48">
        <v>0</v>
      </c>
      <c r="AL473" s="48">
        <v>0</v>
      </c>
      <c r="AM473" s="48">
        <v>0</v>
      </c>
      <c r="AN473" s="48">
        <v>0</v>
      </c>
      <c r="AO473" s="48">
        <v>0</v>
      </c>
      <c r="AP473" s="48">
        <v>0</v>
      </c>
      <c r="AQ473" s="48">
        <v>0</v>
      </c>
      <c r="AR473" s="48">
        <v>0</v>
      </c>
      <c r="AS473" s="48">
        <v>0</v>
      </c>
      <c r="AT473" s="48">
        <v>0</v>
      </c>
      <c r="AU473" s="48">
        <v>0</v>
      </c>
      <c r="AV473" s="48">
        <v>0</v>
      </c>
      <c r="AW473" s="48">
        <v>0</v>
      </c>
      <c r="AX473" s="48">
        <v>0</v>
      </c>
      <c r="AY473" s="48">
        <v>0</v>
      </c>
      <c r="AZ473" s="48">
        <v>0</v>
      </c>
      <c r="BA473" s="48">
        <v>0</v>
      </c>
      <c r="BB473" s="48">
        <v>0</v>
      </c>
      <c r="BC473" s="48">
        <v>0</v>
      </c>
      <c r="BD473" s="48">
        <v>0</v>
      </c>
      <c r="BE473" s="48">
        <v>0</v>
      </c>
      <c r="BF473" s="48">
        <v>0</v>
      </c>
    </row>
    <row r="474" spans="1:58" ht="14.1" customHeight="1">
      <c r="A474" s="247">
        <f t="shared" si="174"/>
        <v>468</v>
      </c>
      <c r="B474" s="92" t="s">
        <v>307</v>
      </c>
      <c r="C474" s="158">
        <f t="shared" si="176"/>
        <v>0</v>
      </c>
      <c r="D474" s="48">
        <v>0</v>
      </c>
      <c r="E474" s="48">
        <v>0</v>
      </c>
      <c r="F474" s="48">
        <v>0</v>
      </c>
      <c r="G474" s="48">
        <v>0</v>
      </c>
      <c r="H474" s="48">
        <v>0</v>
      </c>
      <c r="I474" s="48">
        <v>0</v>
      </c>
      <c r="J474" s="48">
        <v>0</v>
      </c>
      <c r="K474" s="48">
        <v>0</v>
      </c>
      <c r="L474" s="48">
        <v>0</v>
      </c>
      <c r="M474" s="48">
        <v>0</v>
      </c>
      <c r="N474" s="48">
        <v>0</v>
      </c>
      <c r="O474" s="48">
        <v>0</v>
      </c>
      <c r="P474" s="48">
        <v>0</v>
      </c>
      <c r="Q474" s="48">
        <v>0</v>
      </c>
      <c r="R474" s="48">
        <v>0</v>
      </c>
      <c r="S474" s="48">
        <v>0</v>
      </c>
      <c r="T474" s="48">
        <v>0</v>
      </c>
      <c r="U474" s="48">
        <v>0</v>
      </c>
      <c r="V474" s="48">
        <v>0</v>
      </c>
      <c r="W474" s="48">
        <v>0</v>
      </c>
      <c r="X474" s="48">
        <v>0</v>
      </c>
      <c r="Y474" s="48">
        <v>0</v>
      </c>
      <c r="Z474" s="48">
        <v>0</v>
      </c>
      <c r="AA474" s="48">
        <v>0</v>
      </c>
      <c r="AB474" s="48">
        <v>0</v>
      </c>
      <c r="AC474" s="48">
        <v>0</v>
      </c>
      <c r="AD474" s="48">
        <v>0</v>
      </c>
      <c r="AE474" s="48">
        <v>0</v>
      </c>
      <c r="AF474" s="48">
        <v>0</v>
      </c>
      <c r="AG474" s="48">
        <v>0</v>
      </c>
      <c r="AH474" s="48">
        <v>0</v>
      </c>
      <c r="AI474" s="48">
        <v>0</v>
      </c>
      <c r="AJ474" s="48">
        <v>0</v>
      </c>
      <c r="AK474" s="48">
        <v>0</v>
      </c>
      <c r="AL474" s="48">
        <v>0</v>
      </c>
      <c r="AM474" s="48">
        <v>0</v>
      </c>
      <c r="AN474" s="48">
        <v>0</v>
      </c>
      <c r="AO474" s="48">
        <v>0</v>
      </c>
      <c r="AP474" s="48">
        <v>0</v>
      </c>
      <c r="AQ474" s="48">
        <v>0</v>
      </c>
      <c r="AR474" s="48">
        <v>0</v>
      </c>
      <c r="AS474" s="48">
        <v>0</v>
      </c>
      <c r="AT474" s="48">
        <v>0</v>
      </c>
      <c r="AU474" s="48">
        <v>0</v>
      </c>
      <c r="AV474" s="48">
        <v>0</v>
      </c>
      <c r="AW474" s="48">
        <v>0</v>
      </c>
      <c r="AX474" s="48">
        <v>0</v>
      </c>
      <c r="AY474" s="48">
        <v>0</v>
      </c>
      <c r="AZ474" s="48">
        <v>0</v>
      </c>
      <c r="BA474" s="48">
        <v>0</v>
      </c>
      <c r="BB474" s="48">
        <v>0</v>
      </c>
      <c r="BC474" s="48">
        <v>0</v>
      </c>
      <c r="BD474" s="48">
        <v>0</v>
      </c>
      <c r="BE474" s="48">
        <v>0</v>
      </c>
      <c r="BF474" s="48">
        <v>0</v>
      </c>
    </row>
    <row r="475" spans="1:58" ht="14.1" customHeight="1">
      <c r="A475" s="247">
        <f t="shared" si="174"/>
        <v>469</v>
      </c>
      <c r="B475" s="25" t="s">
        <v>566</v>
      </c>
      <c r="C475" s="189">
        <f>SUM(C463:C474)</f>
        <v>716914</v>
      </c>
      <c r="D475" s="189">
        <f>SUM(D463:D474)</f>
        <v>0</v>
      </c>
      <c r="E475" s="189">
        <f t="shared" ref="E475:BA475" si="177">SUM(E463:E474)</f>
        <v>0</v>
      </c>
      <c r="F475" s="189">
        <f t="shared" si="177"/>
        <v>0</v>
      </c>
      <c r="G475" s="189">
        <f t="shared" si="177"/>
        <v>0</v>
      </c>
      <c r="H475" s="189">
        <f t="shared" si="177"/>
        <v>0</v>
      </c>
      <c r="I475" s="189">
        <f t="shared" si="177"/>
        <v>0</v>
      </c>
      <c r="J475" s="189">
        <f t="shared" si="177"/>
        <v>0</v>
      </c>
      <c r="K475" s="189">
        <f t="shared" si="177"/>
        <v>0</v>
      </c>
      <c r="L475" s="189">
        <f t="shared" si="177"/>
        <v>0</v>
      </c>
      <c r="M475" s="189">
        <f t="shared" si="177"/>
        <v>0</v>
      </c>
      <c r="N475" s="189">
        <f t="shared" si="177"/>
        <v>0</v>
      </c>
      <c r="O475" s="189">
        <f t="shared" si="177"/>
        <v>0</v>
      </c>
      <c r="P475" s="189">
        <f t="shared" si="177"/>
        <v>0</v>
      </c>
      <c r="Q475" s="189">
        <f t="shared" si="177"/>
        <v>0</v>
      </c>
      <c r="R475" s="189">
        <f t="shared" si="177"/>
        <v>0</v>
      </c>
      <c r="S475" s="189">
        <f t="shared" si="177"/>
        <v>0</v>
      </c>
      <c r="T475" s="189">
        <f t="shared" si="177"/>
        <v>0</v>
      </c>
      <c r="U475" s="189">
        <f t="shared" si="177"/>
        <v>0</v>
      </c>
      <c r="V475" s="189">
        <f t="shared" si="177"/>
        <v>0</v>
      </c>
      <c r="W475" s="189">
        <f t="shared" si="177"/>
        <v>0</v>
      </c>
      <c r="X475" s="189">
        <f t="shared" si="177"/>
        <v>0</v>
      </c>
      <c r="Y475" s="189">
        <f t="shared" si="177"/>
        <v>0</v>
      </c>
      <c r="Z475" s="189">
        <f t="shared" si="177"/>
        <v>0</v>
      </c>
      <c r="AA475" s="189">
        <f t="shared" si="177"/>
        <v>0</v>
      </c>
      <c r="AB475" s="189">
        <f t="shared" si="177"/>
        <v>0</v>
      </c>
      <c r="AC475" s="189">
        <f t="shared" si="177"/>
        <v>7011</v>
      </c>
      <c r="AD475" s="189">
        <f t="shared" si="177"/>
        <v>-1695263</v>
      </c>
      <c r="AE475" s="189">
        <f t="shared" si="177"/>
        <v>0</v>
      </c>
      <c r="AF475" s="189">
        <f t="shared" si="177"/>
        <v>1872710</v>
      </c>
      <c r="AG475" s="189">
        <f t="shared" si="177"/>
        <v>0</v>
      </c>
      <c r="AH475" s="189">
        <f t="shared" si="177"/>
        <v>0</v>
      </c>
      <c r="AI475" s="189">
        <f t="shared" si="177"/>
        <v>0</v>
      </c>
      <c r="AJ475" s="189">
        <f t="shared" si="177"/>
        <v>0</v>
      </c>
      <c r="AK475" s="189">
        <f t="shared" si="177"/>
        <v>0</v>
      </c>
      <c r="AL475" s="189">
        <f t="shared" si="177"/>
        <v>0</v>
      </c>
      <c r="AM475" s="189">
        <f t="shared" si="177"/>
        <v>0</v>
      </c>
      <c r="AN475" s="189">
        <f t="shared" si="177"/>
        <v>0</v>
      </c>
      <c r="AO475" s="189">
        <f t="shared" si="177"/>
        <v>0</v>
      </c>
      <c r="AP475" s="189">
        <f t="shared" si="177"/>
        <v>0</v>
      </c>
      <c r="AQ475" s="189">
        <f t="shared" si="177"/>
        <v>314531</v>
      </c>
      <c r="AR475" s="189">
        <f t="shared" si="177"/>
        <v>92475</v>
      </c>
      <c r="AS475" s="189">
        <f t="shared" si="177"/>
        <v>116430</v>
      </c>
      <c r="AT475" s="189">
        <f t="shared" si="177"/>
        <v>9020</v>
      </c>
      <c r="AU475" s="189">
        <f t="shared" si="177"/>
        <v>0</v>
      </c>
      <c r="AV475" s="189">
        <f t="shared" si="177"/>
        <v>0</v>
      </c>
      <c r="AW475" s="189">
        <f t="shared" si="177"/>
        <v>0</v>
      </c>
      <c r="AX475" s="189">
        <f t="shared" si="177"/>
        <v>0</v>
      </c>
      <c r="AY475" s="189">
        <f t="shared" si="177"/>
        <v>0</v>
      </c>
      <c r="AZ475" s="189">
        <f t="shared" si="177"/>
        <v>0</v>
      </c>
      <c r="BA475" s="189">
        <f t="shared" si="177"/>
        <v>0</v>
      </c>
      <c r="BB475" s="189">
        <f>SUM(BB463:BB474)</f>
        <v>0</v>
      </c>
      <c r="BC475" s="189">
        <f>SUM(BC463:BC474)</f>
        <v>0</v>
      </c>
      <c r="BD475" s="189">
        <f>SUM(BD463:BD474)</f>
        <v>0</v>
      </c>
      <c r="BE475" s="189">
        <f>SUM(BE463:BE474)</f>
        <v>0</v>
      </c>
      <c r="BF475" s="189">
        <f>SUM(BF463:BF474)</f>
        <v>0</v>
      </c>
    </row>
    <row r="476" spans="1:58" ht="14.1" customHeight="1">
      <c r="A476" s="247">
        <f t="shared" si="174"/>
        <v>470</v>
      </c>
      <c r="B476" s="25"/>
      <c r="C476" s="25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</row>
    <row r="477" spans="1:58" ht="13.5" customHeight="1">
      <c r="A477" s="247">
        <f t="shared" si="174"/>
        <v>471</v>
      </c>
      <c r="B477" s="27" t="s">
        <v>948</v>
      </c>
      <c r="C477" s="158">
        <f t="shared" ref="C477:C491" si="178">SUM(D477:BF477)</f>
        <v>-250424</v>
      </c>
      <c r="D477" s="48">
        <v>0</v>
      </c>
      <c r="E477" s="48">
        <v>0</v>
      </c>
      <c r="F477" s="48">
        <v>0</v>
      </c>
      <c r="G477" s="48">
        <v>0</v>
      </c>
      <c r="H477" s="48">
        <v>0</v>
      </c>
      <c r="I477" s="48">
        <v>0</v>
      </c>
      <c r="J477" s="48">
        <v>0</v>
      </c>
      <c r="K477" s="48">
        <v>0</v>
      </c>
      <c r="L477" s="48">
        <v>0</v>
      </c>
      <c r="M477" s="48">
        <v>0</v>
      </c>
      <c r="N477" s="48">
        <v>0</v>
      </c>
      <c r="O477" s="48">
        <v>0</v>
      </c>
      <c r="P477" s="48">
        <v>0</v>
      </c>
      <c r="Q477" s="48">
        <v>0</v>
      </c>
      <c r="R477" s="48">
        <v>0</v>
      </c>
      <c r="S477" s="48">
        <v>0</v>
      </c>
      <c r="T477" s="48">
        <v>0</v>
      </c>
      <c r="U477" s="48">
        <v>0</v>
      </c>
      <c r="V477" s="48">
        <v>0</v>
      </c>
      <c r="W477" s="48">
        <v>0</v>
      </c>
      <c r="X477" s="48">
        <v>0</v>
      </c>
      <c r="Y477" s="48">
        <v>0</v>
      </c>
      <c r="Z477" s="48">
        <v>0</v>
      </c>
      <c r="AA477" s="48">
        <v>0</v>
      </c>
      <c r="AB477" s="48">
        <v>0</v>
      </c>
      <c r="AC477" s="48">
        <v>0</v>
      </c>
      <c r="AD477" s="48">
        <v>0</v>
      </c>
      <c r="AE477" s="48">
        <v>0</v>
      </c>
      <c r="AF477" s="48">
        <v>0</v>
      </c>
      <c r="AG477" s="48">
        <v>0</v>
      </c>
      <c r="AH477" s="48">
        <v>0</v>
      </c>
      <c r="AI477" s="48">
        <v>0</v>
      </c>
      <c r="AJ477" s="48">
        <v>0</v>
      </c>
      <c r="AK477" s="48">
        <v>0</v>
      </c>
      <c r="AL477" s="48">
        <v>0</v>
      </c>
      <c r="AM477" s="48">
        <v>0</v>
      </c>
      <c r="AN477" s="48">
        <v>0</v>
      </c>
      <c r="AO477" s="48">
        <v>0</v>
      </c>
      <c r="AP477" s="48">
        <v>0</v>
      </c>
      <c r="AQ477" s="48">
        <v>0</v>
      </c>
      <c r="AR477" s="48">
        <v>0</v>
      </c>
      <c r="AS477" s="48">
        <v>0</v>
      </c>
      <c r="AT477" s="48">
        <v>0</v>
      </c>
      <c r="AU477" s="48">
        <v>0</v>
      </c>
      <c r="AV477" s="48">
        <v>0</v>
      </c>
      <c r="AW477" s="48">
        <v>0</v>
      </c>
      <c r="AX477" s="48">
        <v>0</v>
      </c>
      <c r="AY477" s="48">
        <v>-250424</v>
      </c>
      <c r="AZ477" s="48">
        <v>0</v>
      </c>
      <c r="BA477" s="48">
        <v>0</v>
      </c>
      <c r="BB477" s="48">
        <v>0</v>
      </c>
      <c r="BC477" s="48">
        <v>0</v>
      </c>
      <c r="BD477" s="48">
        <v>0</v>
      </c>
      <c r="BE477" s="48">
        <v>0</v>
      </c>
      <c r="BF477" s="48">
        <v>0</v>
      </c>
    </row>
    <row r="478" spans="1:58" ht="13.5" customHeight="1">
      <c r="A478" s="247">
        <f t="shared" si="174"/>
        <v>472</v>
      </c>
      <c r="B478" s="27" t="s">
        <v>949</v>
      </c>
      <c r="C478" s="158">
        <f t="shared" si="178"/>
        <v>0</v>
      </c>
      <c r="D478" s="48">
        <v>0</v>
      </c>
      <c r="E478" s="48">
        <v>0</v>
      </c>
      <c r="F478" s="48">
        <v>0</v>
      </c>
      <c r="G478" s="48">
        <v>0</v>
      </c>
      <c r="H478" s="48">
        <v>0</v>
      </c>
      <c r="I478" s="48">
        <v>0</v>
      </c>
      <c r="J478" s="48">
        <v>0</v>
      </c>
      <c r="K478" s="48">
        <v>0</v>
      </c>
      <c r="L478" s="48">
        <v>0</v>
      </c>
      <c r="M478" s="48">
        <v>0</v>
      </c>
      <c r="N478" s="48">
        <v>0</v>
      </c>
      <c r="O478" s="48">
        <v>0</v>
      </c>
      <c r="P478" s="48">
        <v>0</v>
      </c>
      <c r="Q478" s="48">
        <v>0</v>
      </c>
      <c r="R478" s="48">
        <v>0</v>
      </c>
      <c r="S478" s="48">
        <v>0</v>
      </c>
      <c r="T478" s="48">
        <v>0</v>
      </c>
      <c r="U478" s="48">
        <v>0</v>
      </c>
      <c r="V478" s="48">
        <v>0</v>
      </c>
      <c r="W478" s="48">
        <v>0</v>
      </c>
      <c r="X478" s="48">
        <v>0</v>
      </c>
      <c r="Y478" s="48">
        <v>0</v>
      </c>
      <c r="Z478" s="48">
        <v>0</v>
      </c>
      <c r="AA478" s="48">
        <v>0</v>
      </c>
      <c r="AB478" s="48">
        <v>0</v>
      </c>
      <c r="AC478" s="48">
        <v>0</v>
      </c>
      <c r="AD478" s="48">
        <v>0</v>
      </c>
      <c r="AE478" s="48">
        <v>0</v>
      </c>
      <c r="AF478" s="48">
        <v>0</v>
      </c>
      <c r="AG478" s="48">
        <v>0</v>
      </c>
      <c r="AH478" s="48">
        <v>0</v>
      </c>
      <c r="AI478" s="48">
        <v>0</v>
      </c>
      <c r="AJ478" s="48">
        <v>0</v>
      </c>
      <c r="AK478" s="48">
        <v>0</v>
      </c>
      <c r="AL478" s="48">
        <v>0</v>
      </c>
      <c r="AM478" s="48">
        <v>0</v>
      </c>
      <c r="AN478" s="48">
        <v>0</v>
      </c>
      <c r="AO478" s="48">
        <v>0</v>
      </c>
      <c r="AP478" s="48">
        <v>0</v>
      </c>
      <c r="AQ478" s="48">
        <v>0</v>
      </c>
      <c r="AR478" s="48">
        <v>0</v>
      </c>
      <c r="AS478" s="48">
        <v>0</v>
      </c>
      <c r="AT478" s="48">
        <v>0</v>
      </c>
      <c r="AU478" s="48">
        <v>0</v>
      </c>
      <c r="AV478" s="48">
        <v>0</v>
      </c>
      <c r="AW478" s="48">
        <v>0</v>
      </c>
      <c r="AX478" s="48">
        <v>0</v>
      </c>
      <c r="AY478" s="48">
        <v>0</v>
      </c>
      <c r="AZ478" s="48">
        <v>0</v>
      </c>
      <c r="BA478" s="48">
        <v>0</v>
      </c>
      <c r="BB478" s="48">
        <v>0</v>
      </c>
      <c r="BC478" s="48">
        <v>0</v>
      </c>
      <c r="BD478" s="48">
        <v>0</v>
      </c>
      <c r="BE478" s="48">
        <v>0</v>
      </c>
      <c r="BF478" s="48">
        <v>0</v>
      </c>
    </row>
    <row r="479" spans="1:58" ht="13.5" customHeight="1">
      <c r="A479" s="247">
        <f t="shared" si="174"/>
        <v>473</v>
      </c>
      <c r="B479" s="27" t="s">
        <v>950</v>
      </c>
      <c r="C479" s="158">
        <f t="shared" si="178"/>
        <v>0</v>
      </c>
      <c r="D479" s="48">
        <v>0</v>
      </c>
      <c r="E479" s="48">
        <v>0</v>
      </c>
      <c r="F479" s="48">
        <v>0</v>
      </c>
      <c r="G479" s="48">
        <v>0</v>
      </c>
      <c r="H479" s="48">
        <v>0</v>
      </c>
      <c r="I479" s="48">
        <v>0</v>
      </c>
      <c r="J479" s="48">
        <v>0</v>
      </c>
      <c r="K479" s="48">
        <v>0</v>
      </c>
      <c r="L479" s="48">
        <v>0</v>
      </c>
      <c r="M479" s="48">
        <v>0</v>
      </c>
      <c r="N479" s="48">
        <v>0</v>
      </c>
      <c r="O479" s="48">
        <v>0</v>
      </c>
      <c r="P479" s="48">
        <v>0</v>
      </c>
      <c r="Q479" s="48">
        <v>0</v>
      </c>
      <c r="R479" s="48">
        <v>0</v>
      </c>
      <c r="S479" s="48">
        <v>0</v>
      </c>
      <c r="T479" s="48">
        <v>0</v>
      </c>
      <c r="U479" s="48">
        <v>0</v>
      </c>
      <c r="V479" s="48">
        <v>0</v>
      </c>
      <c r="W479" s="48">
        <v>0</v>
      </c>
      <c r="X479" s="48">
        <v>0</v>
      </c>
      <c r="Y479" s="48">
        <v>0</v>
      </c>
      <c r="Z479" s="48">
        <v>0</v>
      </c>
      <c r="AA479" s="48">
        <v>0</v>
      </c>
      <c r="AB479" s="48">
        <v>0</v>
      </c>
      <c r="AC479" s="48">
        <v>0</v>
      </c>
      <c r="AD479" s="48">
        <v>0</v>
      </c>
      <c r="AE479" s="48">
        <v>0</v>
      </c>
      <c r="AF479" s="48">
        <v>0</v>
      </c>
      <c r="AG479" s="48">
        <v>0</v>
      </c>
      <c r="AH479" s="48">
        <v>0</v>
      </c>
      <c r="AI479" s="48">
        <v>0</v>
      </c>
      <c r="AJ479" s="48">
        <v>0</v>
      </c>
      <c r="AK479" s="48">
        <v>0</v>
      </c>
      <c r="AL479" s="48">
        <v>0</v>
      </c>
      <c r="AM479" s="48">
        <v>0</v>
      </c>
      <c r="AN479" s="48">
        <v>0</v>
      </c>
      <c r="AO479" s="48">
        <v>0</v>
      </c>
      <c r="AP479" s="48">
        <v>0</v>
      </c>
      <c r="AQ479" s="48">
        <v>0</v>
      </c>
      <c r="AR479" s="48">
        <v>0</v>
      </c>
      <c r="AS479" s="48">
        <v>0</v>
      </c>
      <c r="AT479" s="48">
        <v>0</v>
      </c>
      <c r="AU479" s="48">
        <v>0</v>
      </c>
      <c r="AV479" s="48">
        <v>0</v>
      </c>
      <c r="AW479" s="48">
        <v>0</v>
      </c>
      <c r="AX479" s="48">
        <v>0</v>
      </c>
      <c r="AY479" s="48">
        <v>0</v>
      </c>
      <c r="AZ479" s="48">
        <v>0</v>
      </c>
      <c r="BA479" s="48">
        <v>0</v>
      </c>
      <c r="BB479" s="48">
        <v>0</v>
      </c>
      <c r="BC479" s="48">
        <v>0</v>
      </c>
      <c r="BD479" s="48">
        <v>0</v>
      </c>
      <c r="BE479" s="48">
        <v>0</v>
      </c>
      <c r="BF479" s="48">
        <v>0</v>
      </c>
    </row>
    <row r="480" spans="1:58" ht="13.5" customHeight="1">
      <c r="A480" s="247">
        <f t="shared" si="174"/>
        <v>474</v>
      </c>
      <c r="B480" s="27" t="s">
        <v>951</v>
      </c>
      <c r="C480" s="158">
        <f t="shared" si="178"/>
        <v>0</v>
      </c>
      <c r="D480" s="48">
        <v>0</v>
      </c>
      <c r="E480" s="48">
        <v>0</v>
      </c>
      <c r="F480" s="48">
        <v>0</v>
      </c>
      <c r="G480" s="48">
        <v>0</v>
      </c>
      <c r="H480" s="48">
        <v>0</v>
      </c>
      <c r="I480" s="48">
        <v>0</v>
      </c>
      <c r="J480" s="48">
        <v>0</v>
      </c>
      <c r="K480" s="48">
        <v>0</v>
      </c>
      <c r="L480" s="48">
        <v>0</v>
      </c>
      <c r="M480" s="48">
        <v>0</v>
      </c>
      <c r="N480" s="48">
        <v>0</v>
      </c>
      <c r="O480" s="48">
        <v>0</v>
      </c>
      <c r="P480" s="48">
        <v>0</v>
      </c>
      <c r="Q480" s="48">
        <v>0</v>
      </c>
      <c r="R480" s="48">
        <v>0</v>
      </c>
      <c r="S480" s="48">
        <v>0</v>
      </c>
      <c r="T480" s="48">
        <v>0</v>
      </c>
      <c r="U480" s="48">
        <v>0</v>
      </c>
      <c r="V480" s="48">
        <v>0</v>
      </c>
      <c r="W480" s="48">
        <v>0</v>
      </c>
      <c r="X480" s="48">
        <v>0</v>
      </c>
      <c r="Y480" s="48">
        <v>0</v>
      </c>
      <c r="Z480" s="48">
        <v>0</v>
      </c>
      <c r="AA480" s="48">
        <v>0</v>
      </c>
      <c r="AB480" s="48">
        <v>0</v>
      </c>
      <c r="AC480" s="48">
        <v>0</v>
      </c>
      <c r="AD480" s="48">
        <v>0</v>
      </c>
      <c r="AE480" s="48">
        <v>0</v>
      </c>
      <c r="AF480" s="48">
        <v>0</v>
      </c>
      <c r="AG480" s="48">
        <v>0</v>
      </c>
      <c r="AH480" s="48">
        <v>0</v>
      </c>
      <c r="AI480" s="48">
        <v>0</v>
      </c>
      <c r="AJ480" s="48">
        <v>0</v>
      </c>
      <c r="AK480" s="48">
        <v>0</v>
      </c>
      <c r="AL480" s="48">
        <v>0</v>
      </c>
      <c r="AM480" s="48">
        <v>0</v>
      </c>
      <c r="AN480" s="48">
        <v>0</v>
      </c>
      <c r="AO480" s="48">
        <v>0</v>
      </c>
      <c r="AP480" s="48">
        <v>0</v>
      </c>
      <c r="AQ480" s="48">
        <v>0</v>
      </c>
      <c r="AR480" s="48">
        <v>0</v>
      </c>
      <c r="AS480" s="48">
        <v>0</v>
      </c>
      <c r="AT480" s="48">
        <v>0</v>
      </c>
      <c r="AU480" s="48">
        <v>0</v>
      </c>
      <c r="AV480" s="48">
        <v>0</v>
      </c>
      <c r="AW480" s="48">
        <v>0</v>
      </c>
      <c r="AX480" s="48">
        <v>0</v>
      </c>
      <c r="AY480" s="48">
        <v>0</v>
      </c>
      <c r="AZ480" s="48">
        <v>0</v>
      </c>
      <c r="BA480" s="48">
        <v>0</v>
      </c>
      <c r="BB480" s="48">
        <v>0</v>
      </c>
      <c r="BC480" s="48">
        <v>0</v>
      </c>
      <c r="BD480" s="48">
        <v>0</v>
      </c>
      <c r="BE480" s="48">
        <v>0</v>
      </c>
      <c r="BF480" s="48">
        <v>0</v>
      </c>
    </row>
    <row r="481" spans="1:58" ht="14.1" customHeight="1">
      <c r="A481" s="247">
        <f t="shared" si="174"/>
        <v>475</v>
      </c>
      <c r="B481" s="27" t="s">
        <v>308</v>
      </c>
      <c r="C481" s="158">
        <f t="shared" si="178"/>
        <v>-2422</v>
      </c>
      <c r="D481" s="48">
        <v>0</v>
      </c>
      <c r="E481" s="48">
        <v>0</v>
      </c>
      <c r="F481" s="48">
        <v>0</v>
      </c>
      <c r="G481" s="48">
        <v>0</v>
      </c>
      <c r="H481" s="48">
        <v>0</v>
      </c>
      <c r="I481" s="48">
        <v>0</v>
      </c>
      <c r="J481" s="48">
        <v>0</v>
      </c>
      <c r="K481" s="48">
        <v>0</v>
      </c>
      <c r="L481" s="48">
        <v>0</v>
      </c>
      <c r="M481" s="48">
        <v>0</v>
      </c>
      <c r="N481" s="48">
        <v>-2422</v>
      </c>
      <c r="O481" s="48">
        <v>0</v>
      </c>
      <c r="P481" s="48">
        <v>0</v>
      </c>
      <c r="Q481" s="48">
        <v>0</v>
      </c>
      <c r="R481" s="48">
        <v>0</v>
      </c>
      <c r="S481" s="48">
        <v>0</v>
      </c>
      <c r="T481" s="48">
        <v>0</v>
      </c>
      <c r="U481" s="48">
        <v>0</v>
      </c>
      <c r="V481" s="48">
        <v>0</v>
      </c>
      <c r="W481" s="48">
        <v>0</v>
      </c>
      <c r="X481" s="48">
        <v>0</v>
      </c>
      <c r="Y481" s="48">
        <v>0</v>
      </c>
      <c r="Z481" s="48">
        <v>0</v>
      </c>
      <c r="AA481" s="48">
        <v>0</v>
      </c>
      <c r="AB481" s="48">
        <v>0</v>
      </c>
      <c r="AC481" s="48">
        <v>0</v>
      </c>
      <c r="AD481" s="48">
        <v>0</v>
      </c>
      <c r="AE481" s="48">
        <v>0</v>
      </c>
      <c r="AF481" s="48">
        <v>0</v>
      </c>
      <c r="AG481" s="48">
        <v>0</v>
      </c>
      <c r="AH481" s="48">
        <v>0</v>
      </c>
      <c r="AI481" s="48">
        <v>0</v>
      </c>
      <c r="AJ481" s="48">
        <v>0</v>
      </c>
      <c r="AK481" s="48">
        <v>0</v>
      </c>
      <c r="AL481" s="48">
        <v>0</v>
      </c>
      <c r="AM481" s="48">
        <v>0</v>
      </c>
      <c r="AN481" s="48">
        <v>0</v>
      </c>
      <c r="AO481" s="48">
        <v>0</v>
      </c>
      <c r="AP481" s="48">
        <v>0</v>
      </c>
      <c r="AQ481" s="48">
        <v>0</v>
      </c>
      <c r="AR481" s="48">
        <v>0</v>
      </c>
      <c r="AS481" s="48">
        <v>0</v>
      </c>
      <c r="AT481" s="48">
        <v>0</v>
      </c>
      <c r="AU481" s="48">
        <v>0</v>
      </c>
      <c r="AV481" s="48">
        <v>0</v>
      </c>
      <c r="AW481" s="48">
        <v>0</v>
      </c>
      <c r="AX481" s="48">
        <v>0</v>
      </c>
      <c r="AY481" s="48">
        <v>0</v>
      </c>
      <c r="AZ481" s="48">
        <v>0</v>
      </c>
      <c r="BA481" s="48">
        <v>0</v>
      </c>
      <c r="BB481" s="48">
        <v>0</v>
      </c>
      <c r="BC481" s="48">
        <v>0</v>
      </c>
      <c r="BD481" s="48">
        <v>0</v>
      </c>
      <c r="BE481" s="48">
        <v>0</v>
      </c>
      <c r="BF481" s="48">
        <v>0</v>
      </c>
    </row>
    <row r="482" spans="1:58" ht="14.1" customHeight="1">
      <c r="A482" s="247">
        <f t="shared" si="174"/>
        <v>476</v>
      </c>
      <c r="B482" s="27"/>
      <c r="C482" s="158">
        <f t="shared" si="178"/>
        <v>0</v>
      </c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  <c r="AK482" s="48"/>
      <c r="AL482" s="48"/>
      <c r="AM482" s="48"/>
      <c r="AN482" s="48"/>
      <c r="AO482" s="48"/>
      <c r="AP482" s="48"/>
      <c r="AQ482" s="48"/>
      <c r="AR482" s="48"/>
      <c r="AS482" s="48"/>
      <c r="AT482" s="48"/>
      <c r="AU482" s="48"/>
      <c r="AV482" s="48"/>
      <c r="AW482" s="48"/>
      <c r="AX482" s="48"/>
      <c r="AY482" s="48"/>
      <c r="AZ482" s="48"/>
      <c r="BA482" s="48"/>
      <c r="BB482" s="48"/>
      <c r="BC482" s="48"/>
      <c r="BD482" s="48"/>
      <c r="BE482" s="48"/>
      <c r="BF482" s="48"/>
    </row>
    <row r="483" spans="1:58" ht="14.1" customHeight="1">
      <c r="A483" s="247">
        <f t="shared" si="174"/>
        <v>477</v>
      </c>
      <c r="B483" s="3" t="s">
        <v>309</v>
      </c>
      <c r="C483" s="158">
        <f t="shared" si="178"/>
        <v>0</v>
      </c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>
        <v>0</v>
      </c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K483" s="48"/>
      <c r="AL483" s="48"/>
      <c r="AM483" s="48"/>
      <c r="AN483" s="48"/>
      <c r="AO483" s="48"/>
      <c r="AP483" s="48"/>
      <c r="AQ483" s="48"/>
      <c r="AR483" s="48"/>
      <c r="AS483" s="48"/>
      <c r="AT483" s="48"/>
      <c r="AU483" s="48"/>
      <c r="AV483" s="48"/>
      <c r="AW483" s="48"/>
      <c r="AX483" s="48"/>
      <c r="AY483" s="48"/>
      <c r="AZ483" s="48"/>
      <c r="BA483" s="48"/>
      <c r="BB483" s="48"/>
      <c r="BC483" s="48"/>
      <c r="BD483" s="48"/>
      <c r="BE483" s="48"/>
      <c r="BF483" s="48"/>
    </row>
    <row r="484" spans="1:58" ht="13.5" customHeight="1">
      <c r="A484" s="247">
        <f t="shared" ref="A484:A501" si="179">+A483+1</f>
        <v>478</v>
      </c>
      <c r="B484" s="27" t="s">
        <v>310</v>
      </c>
      <c r="C484" s="158">
        <f t="shared" si="178"/>
        <v>0</v>
      </c>
      <c r="D484" s="48">
        <v>0</v>
      </c>
      <c r="E484" s="48">
        <v>0</v>
      </c>
      <c r="F484" s="48">
        <v>0</v>
      </c>
      <c r="G484" s="48">
        <v>0</v>
      </c>
      <c r="H484" s="48">
        <v>0</v>
      </c>
      <c r="I484" s="48">
        <v>0</v>
      </c>
      <c r="J484" s="48">
        <v>0</v>
      </c>
      <c r="K484" s="48">
        <v>0</v>
      </c>
      <c r="L484" s="48">
        <v>0</v>
      </c>
      <c r="M484" s="48">
        <v>0</v>
      </c>
      <c r="N484" s="48">
        <v>0</v>
      </c>
      <c r="O484" s="48">
        <v>0</v>
      </c>
      <c r="P484" s="48">
        <v>0</v>
      </c>
      <c r="Q484" s="48">
        <v>0</v>
      </c>
      <c r="R484" s="48">
        <v>0</v>
      </c>
      <c r="S484" s="48">
        <v>0</v>
      </c>
      <c r="T484" s="48">
        <v>0</v>
      </c>
      <c r="U484" s="48">
        <v>0</v>
      </c>
      <c r="V484" s="48">
        <v>0</v>
      </c>
      <c r="W484" s="48">
        <v>0</v>
      </c>
      <c r="X484" s="48">
        <v>0</v>
      </c>
      <c r="Y484" s="48">
        <v>0</v>
      </c>
      <c r="Z484" s="48">
        <v>0</v>
      </c>
      <c r="AA484" s="48">
        <v>0</v>
      </c>
      <c r="AB484" s="48">
        <v>0</v>
      </c>
      <c r="AC484" s="48">
        <v>0</v>
      </c>
      <c r="AD484" s="48">
        <v>0</v>
      </c>
      <c r="AE484" s="48">
        <v>0</v>
      </c>
      <c r="AF484" s="48">
        <v>0</v>
      </c>
      <c r="AG484" s="48">
        <v>0</v>
      </c>
      <c r="AH484" s="48">
        <v>0</v>
      </c>
      <c r="AI484" s="48">
        <v>0</v>
      </c>
      <c r="AJ484" s="48">
        <v>0</v>
      </c>
      <c r="AK484" s="48">
        <v>0</v>
      </c>
      <c r="AL484" s="48">
        <v>0</v>
      </c>
      <c r="AM484" s="48">
        <v>0</v>
      </c>
      <c r="AN484" s="48">
        <v>0</v>
      </c>
      <c r="AO484" s="48">
        <v>0</v>
      </c>
      <c r="AP484" s="48">
        <v>0</v>
      </c>
      <c r="AQ484" s="48">
        <v>0</v>
      </c>
      <c r="AR484" s="48">
        <v>0</v>
      </c>
      <c r="AS484" s="48">
        <v>0</v>
      </c>
      <c r="AT484" s="48">
        <v>0</v>
      </c>
      <c r="AU484" s="48">
        <v>0</v>
      </c>
      <c r="AV484" s="48">
        <v>0</v>
      </c>
      <c r="AW484" s="48">
        <v>0</v>
      </c>
      <c r="AX484" s="48">
        <v>0</v>
      </c>
      <c r="AY484" s="48">
        <v>0</v>
      </c>
      <c r="AZ484" s="48">
        <v>0</v>
      </c>
      <c r="BA484" s="48">
        <v>0</v>
      </c>
      <c r="BB484" s="48">
        <v>0</v>
      </c>
      <c r="BC484" s="48">
        <v>0</v>
      </c>
      <c r="BD484" s="48">
        <v>0</v>
      </c>
      <c r="BE484" s="48">
        <v>0</v>
      </c>
      <c r="BF484" s="48">
        <v>0</v>
      </c>
    </row>
    <row r="485" spans="1:58" ht="13.5" customHeight="1">
      <c r="A485" s="247">
        <f t="shared" si="179"/>
        <v>479</v>
      </c>
      <c r="B485" s="27" t="s">
        <v>311</v>
      </c>
      <c r="C485" s="158">
        <f t="shared" si="178"/>
        <v>0</v>
      </c>
      <c r="D485" s="48">
        <v>0</v>
      </c>
      <c r="E485" s="48">
        <v>0</v>
      </c>
      <c r="F485" s="48">
        <v>0</v>
      </c>
      <c r="G485" s="48">
        <v>0</v>
      </c>
      <c r="H485" s="48">
        <v>0</v>
      </c>
      <c r="I485" s="48">
        <v>0</v>
      </c>
      <c r="J485" s="48">
        <v>0</v>
      </c>
      <c r="K485" s="48">
        <v>0</v>
      </c>
      <c r="L485" s="48">
        <v>0</v>
      </c>
      <c r="M485" s="48">
        <v>0</v>
      </c>
      <c r="N485" s="48">
        <v>0</v>
      </c>
      <c r="O485" s="48">
        <v>0</v>
      </c>
      <c r="P485" s="48">
        <v>0</v>
      </c>
      <c r="Q485" s="48">
        <v>0</v>
      </c>
      <c r="R485" s="48">
        <v>0</v>
      </c>
      <c r="S485" s="48">
        <v>0</v>
      </c>
      <c r="T485" s="48">
        <v>0</v>
      </c>
      <c r="U485" s="48">
        <v>0</v>
      </c>
      <c r="V485" s="48">
        <v>0</v>
      </c>
      <c r="W485" s="48">
        <v>0</v>
      </c>
      <c r="X485" s="48">
        <v>0</v>
      </c>
      <c r="Y485" s="48">
        <v>0</v>
      </c>
      <c r="Z485" s="48">
        <v>0</v>
      </c>
      <c r="AA485" s="48">
        <v>0</v>
      </c>
      <c r="AB485" s="48">
        <v>0</v>
      </c>
      <c r="AC485" s="48">
        <v>0</v>
      </c>
      <c r="AD485" s="48">
        <v>0</v>
      </c>
      <c r="AE485" s="48">
        <v>0</v>
      </c>
      <c r="AF485" s="48">
        <v>0</v>
      </c>
      <c r="AG485" s="48">
        <v>0</v>
      </c>
      <c r="AH485" s="48">
        <v>0</v>
      </c>
      <c r="AI485" s="48">
        <v>0</v>
      </c>
      <c r="AJ485" s="48">
        <v>0</v>
      </c>
      <c r="AK485" s="48">
        <v>0</v>
      </c>
      <c r="AL485" s="48">
        <v>0</v>
      </c>
      <c r="AM485" s="48">
        <v>0</v>
      </c>
      <c r="AN485" s="48">
        <v>0</v>
      </c>
      <c r="AO485" s="48">
        <v>0</v>
      </c>
      <c r="AP485" s="48">
        <v>0</v>
      </c>
      <c r="AQ485" s="48">
        <v>0</v>
      </c>
      <c r="AR485" s="48">
        <v>0</v>
      </c>
      <c r="AS485" s="48">
        <v>0</v>
      </c>
      <c r="AT485" s="48">
        <v>0</v>
      </c>
      <c r="AU485" s="48">
        <v>0</v>
      </c>
      <c r="AV485" s="48">
        <v>0</v>
      </c>
      <c r="AW485" s="48">
        <v>0</v>
      </c>
      <c r="AX485" s="48">
        <v>0</v>
      </c>
      <c r="AY485" s="48">
        <v>0</v>
      </c>
      <c r="AZ485" s="48">
        <v>0</v>
      </c>
      <c r="BA485" s="48">
        <v>0</v>
      </c>
      <c r="BB485" s="48">
        <v>0</v>
      </c>
      <c r="BC485" s="48">
        <v>0</v>
      </c>
      <c r="BD485" s="48">
        <v>0</v>
      </c>
      <c r="BE485" s="48">
        <v>0</v>
      </c>
      <c r="BF485" s="48">
        <v>0</v>
      </c>
    </row>
    <row r="486" spans="1:58" ht="13.5" customHeight="1">
      <c r="A486" s="247">
        <f t="shared" si="179"/>
        <v>480</v>
      </c>
      <c r="B486" s="27" t="s">
        <v>888</v>
      </c>
      <c r="C486" s="158">
        <f t="shared" si="178"/>
        <v>0</v>
      </c>
      <c r="D486" s="48">
        <v>0</v>
      </c>
      <c r="E486" s="48">
        <v>0</v>
      </c>
      <c r="F486" s="48">
        <v>0</v>
      </c>
      <c r="G486" s="48">
        <v>0</v>
      </c>
      <c r="H486" s="48">
        <v>0</v>
      </c>
      <c r="I486" s="48">
        <v>0</v>
      </c>
      <c r="J486" s="48">
        <v>0</v>
      </c>
      <c r="K486" s="48">
        <v>0</v>
      </c>
      <c r="L486" s="48">
        <v>0</v>
      </c>
      <c r="M486" s="48">
        <v>0</v>
      </c>
      <c r="N486" s="48">
        <v>0</v>
      </c>
      <c r="O486" s="48">
        <v>0</v>
      </c>
      <c r="P486" s="48">
        <v>0</v>
      </c>
      <c r="Q486" s="48">
        <v>0</v>
      </c>
      <c r="R486" s="48">
        <v>0</v>
      </c>
      <c r="S486" s="48">
        <v>0</v>
      </c>
      <c r="T486" s="48">
        <v>0</v>
      </c>
      <c r="U486" s="48">
        <v>0</v>
      </c>
      <c r="V486" s="48">
        <v>0</v>
      </c>
      <c r="W486" s="48">
        <v>0</v>
      </c>
      <c r="X486" s="48">
        <v>0</v>
      </c>
      <c r="Y486" s="48">
        <v>0</v>
      </c>
      <c r="Z486" s="48">
        <v>0</v>
      </c>
      <c r="AA486" s="48">
        <v>0</v>
      </c>
      <c r="AB486" s="48">
        <v>0</v>
      </c>
      <c r="AC486" s="48">
        <v>0</v>
      </c>
      <c r="AD486" s="48">
        <v>0</v>
      </c>
      <c r="AE486" s="48">
        <v>0</v>
      </c>
      <c r="AF486" s="48">
        <v>0</v>
      </c>
      <c r="AG486" s="48">
        <v>0</v>
      </c>
      <c r="AH486" s="48">
        <v>0</v>
      </c>
      <c r="AI486" s="48">
        <v>0</v>
      </c>
      <c r="AJ486" s="48">
        <v>0</v>
      </c>
      <c r="AK486" s="48">
        <v>0</v>
      </c>
      <c r="AL486" s="48">
        <v>0</v>
      </c>
      <c r="AM486" s="48">
        <v>0</v>
      </c>
      <c r="AN486" s="48">
        <v>0</v>
      </c>
      <c r="AO486" s="48">
        <v>0</v>
      </c>
      <c r="AP486" s="48">
        <v>0</v>
      </c>
      <c r="AQ486" s="48">
        <v>0</v>
      </c>
      <c r="AR486" s="48">
        <v>0</v>
      </c>
      <c r="AS486" s="48">
        <v>0</v>
      </c>
      <c r="AT486" s="48">
        <v>0</v>
      </c>
      <c r="AU486" s="48">
        <v>0</v>
      </c>
      <c r="AV486" s="48">
        <v>0</v>
      </c>
      <c r="AW486" s="48">
        <v>0</v>
      </c>
      <c r="AX486" s="48">
        <v>0</v>
      </c>
      <c r="AY486" s="48">
        <v>0</v>
      </c>
      <c r="AZ486" s="48">
        <v>0</v>
      </c>
      <c r="BA486" s="48">
        <v>0</v>
      </c>
      <c r="BB486" s="48">
        <v>0</v>
      </c>
      <c r="BC486" s="48">
        <v>0</v>
      </c>
      <c r="BD486" s="48">
        <v>0</v>
      </c>
      <c r="BE486" s="48">
        <v>0</v>
      </c>
      <c r="BF486" s="48">
        <v>0</v>
      </c>
    </row>
    <row r="487" spans="1:58" ht="14.1" customHeight="1">
      <c r="A487" s="247">
        <f t="shared" si="179"/>
        <v>481</v>
      </c>
      <c r="B487" s="27" t="s">
        <v>312</v>
      </c>
      <c r="C487" s="158">
        <f t="shared" si="178"/>
        <v>363539</v>
      </c>
      <c r="D487" s="48">
        <v>0</v>
      </c>
      <c r="E487" s="48">
        <v>0</v>
      </c>
      <c r="F487" s="48">
        <v>0</v>
      </c>
      <c r="G487" s="48">
        <v>0</v>
      </c>
      <c r="H487" s="48">
        <v>0</v>
      </c>
      <c r="I487" s="48">
        <v>0</v>
      </c>
      <c r="J487" s="48">
        <v>0</v>
      </c>
      <c r="K487" s="48">
        <v>0</v>
      </c>
      <c r="L487" s="48">
        <v>0</v>
      </c>
      <c r="M487" s="48">
        <v>0</v>
      </c>
      <c r="N487" s="48">
        <v>0</v>
      </c>
      <c r="O487" s="48">
        <v>0</v>
      </c>
      <c r="P487" s="48">
        <v>0</v>
      </c>
      <c r="Q487" s="48">
        <v>0</v>
      </c>
      <c r="R487" s="48">
        <v>0</v>
      </c>
      <c r="S487" s="48">
        <v>0</v>
      </c>
      <c r="T487" s="48">
        <v>0</v>
      </c>
      <c r="U487" s="48">
        <v>0</v>
      </c>
      <c r="V487" s="48">
        <v>0</v>
      </c>
      <c r="W487" s="48">
        <v>0</v>
      </c>
      <c r="X487" s="48">
        <v>0</v>
      </c>
      <c r="Y487" s="48">
        <v>0</v>
      </c>
      <c r="Z487" s="48">
        <v>0</v>
      </c>
      <c r="AA487" s="48">
        <v>0</v>
      </c>
      <c r="AB487" s="48">
        <v>0</v>
      </c>
      <c r="AC487" s="48">
        <v>0</v>
      </c>
      <c r="AD487" s="48">
        <v>0</v>
      </c>
      <c r="AE487" s="48">
        <v>0</v>
      </c>
      <c r="AF487" s="48">
        <v>0</v>
      </c>
      <c r="AG487" s="48">
        <v>0</v>
      </c>
      <c r="AH487" s="48">
        <v>0</v>
      </c>
      <c r="AI487" s="48">
        <v>0</v>
      </c>
      <c r="AJ487" s="48">
        <v>0</v>
      </c>
      <c r="AK487" s="48">
        <v>0</v>
      </c>
      <c r="AL487" s="48">
        <v>0</v>
      </c>
      <c r="AM487" s="48">
        <v>0</v>
      </c>
      <c r="AN487" s="48">
        <v>0</v>
      </c>
      <c r="AO487" s="48">
        <v>0</v>
      </c>
      <c r="AP487" s="48">
        <v>363539</v>
      </c>
      <c r="AQ487" s="48">
        <v>0</v>
      </c>
      <c r="AR487" s="48">
        <v>0</v>
      </c>
      <c r="AS487" s="48">
        <v>0</v>
      </c>
      <c r="AT487" s="48">
        <v>0</v>
      </c>
      <c r="AU487" s="48">
        <v>0</v>
      </c>
      <c r="AV487" s="48">
        <v>0</v>
      </c>
      <c r="AW487" s="48">
        <v>0</v>
      </c>
      <c r="AX487" s="48">
        <v>0</v>
      </c>
      <c r="AY487" s="48">
        <v>0</v>
      </c>
      <c r="AZ487" s="48">
        <v>0</v>
      </c>
      <c r="BA487" s="48">
        <v>0</v>
      </c>
      <c r="BB487" s="48">
        <v>0</v>
      </c>
      <c r="BC487" s="48">
        <v>0</v>
      </c>
      <c r="BD487" s="48">
        <v>0</v>
      </c>
      <c r="BE487" s="48">
        <v>0</v>
      </c>
      <c r="BF487" s="48">
        <v>0</v>
      </c>
    </row>
    <row r="488" spans="1:58" ht="14.1" customHeight="1">
      <c r="A488" s="247">
        <f t="shared" si="179"/>
        <v>482</v>
      </c>
      <c r="B488" s="27" t="s">
        <v>313</v>
      </c>
      <c r="C488" s="158">
        <f t="shared" si="178"/>
        <v>0</v>
      </c>
      <c r="D488" s="48">
        <v>0</v>
      </c>
      <c r="E488" s="48">
        <v>0</v>
      </c>
      <c r="F488" s="48">
        <v>0</v>
      </c>
      <c r="G488" s="48">
        <v>0</v>
      </c>
      <c r="H488" s="48">
        <v>0</v>
      </c>
      <c r="I488" s="48">
        <v>0</v>
      </c>
      <c r="J488" s="48">
        <v>0</v>
      </c>
      <c r="K488" s="48">
        <v>0</v>
      </c>
      <c r="L488" s="48">
        <v>0</v>
      </c>
      <c r="M488" s="48">
        <v>0</v>
      </c>
      <c r="N488" s="48">
        <v>0</v>
      </c>
      <c r="O488" s="48">
        <v>0</v>
      </c>
      <c r="P488" s="48">
        <v>0</v>
      </c>
      <c r="Q488" s="48">
        <v>0</v>
      </c>
      <c r="R488" s="48">
        <v>0</v>
      </c>
      <c r="S488" s="48">
        <v>0</v>
      </c>
      <c r="T488" s="48">
        <v>0</v>
      </c>
      <c r="U488" s="48">
        <v>0</v>
      </c>
      <c r="V488" s="48">
        <v>0</v>
      </c>
      <c r="W488" s="48">
        <v>0</v>
      </c>
      <c r="X488" s="48">
        <v>0</v>
      </c>
      <c r="Y488" s="48">
        <v>0</v>
      </c>
      <c r="Z488" s="48">
        <v>0</v>
      </c>
      <c r="AA488" s="48">
        <v>0</v>
      </c>
      <c r="AB488" s="48">
        <v>0</v>
      </c>
      <c r="AC488" s="48">
        <v>0</v>
      </c>
      <c r="AD488" s="48">
        <v>0</v>
      </c>
      <c r="AE488" s="48">
        <v>0</v>
      </c>
      <c r="AF488" s="48">
        <v>0</v>
      </c>
      <c r="AG488" s="48">
        <v>0</v>
      </c>
      <c r="AH488" s="48">
        <v>0</v>
      </c>
      <c r="AI488" s="48">
        <v>0</v>
      </c>
      <c r="AJ488" s="48">
        <v>0</v>
      </c>
      <c r="AK488" s="48">
        <v>0</v>
      </c>
      <c r="AL488" s="48">
        <v>0</v>
      </c>
      <c r="AM488" s="48">
        <v>0</v>
      </c>
      <c r="AN488" s="48">
        <v>0</v>
      </c>
      <c r="AO488" s="48">
        <v>0</v>
      </c>
      <c r="AP488" s="48">
        <v>0</v>
      </c>
      <c r="AQ488" s="48">
        <v>0</v>
      </c>
      <c r="AR488" s="48">
        <v>0</v>
      </c>
      <c r="AS488" s="48">
        <v>0</v>
      </c>
      <c r="AT488" s="48">
        <v>0</v>
      </c>
      <c r="AU488" s="48">
        <v>0</v>
      </c>
      <c r="AV488" s="48">
        <v>0</v>
      </c>
      <c r="AW488" s="48">
        <v>0</v>
      </c>
      <c r="AX488" s="48">
        <v>0</v>
      </c>
      <c r="AY488" s="48">
        <v>0</v>
      </c>
      <c r="AZ488" s="48">
        <v>0</v>
      </c>
      <c r="BA488" s="48">
        <v>0</v>
      </c>
      <c r="BB488" s="48">
        <v>0</v>
      </c>
      <c r="BC488" s="48">
        <v>0</v>
      </c>
      <c r="BD488" s="48">
        <v>0</v>
      </c>
      <c r="BE488" s="48">
        <v>0</v>
      </c>
      <c r="BF488" s="48">
        <v>0</v>
      </c>
    </row>
    <row r="489" spans="1:58" ht="14.1" customHeight="1">
      <c r="A489" s="247">
        <f t="shared" si="179"/>
        <v>483</v>
      </c>
      <c r="B489" s="27" t="s">
        <v>969</v>
      </c>
      <c r="C489" s="158">
        <f t="shared" si="178"/>
        <v>0</v>
      </c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K489" s="48"/>
      <c r="AL489" s="48"/>
      <c r="AM489" s="48"/>
      <c r="AN489" s="48"/>
      <c r="AO489" s="48"/>
      <c r="AP489" s="48"/>
      <c r="AQ489" s="48"/>
      <c r="AR489" s="48"/>
      <c r="AS489" s="48"/>
      <c r="AT489" s="48"/>
      <c r="AU489" s="48"/>
      <c r="AV489" s="48"/>
      <c r="AW489" s="48"/>
      <c r="AX489" s="48"/>
      <c r="AY489" s="48"/>
      <c r="AZ489" s="48"/>
      <c r="BA489" s="48"/>
      <c r="BB489" s="48"/>
      <c r="BC489" s="48"/>
      <c r="BD489" s="48"/>
      <c r="BE489" s="48"/>
      <c r="BF489" s="48"/>
    </row>
    <row r="490" spans="1:58" ht="14.1" customHeight="1">
      <c r="A490" s="247">
        <f t="shared" si="179"/>
        <v>484</v>
      </c>
      <c r="B490" s="27" t="s">
        <v>970</v>
      </c>
      <c r="C490" s="158">
        <f t="shared" si="178"/>
        <v>0</v>
      </c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K490" s="48"/>
      <c r="AL490" s="48"/>
      <c r="AM490" s="48"/>
      <c r="AN490" s="48"/>
      <c r="AO490" s="48"/>
      <c r="AP490" s="48"/>
      <c r="AQ490" s="48"/>
      <c r="AR490" s="48"/>
      <c r="AS490" s="48"/>
      <c r="AT490" s="48"/>
      <c r="AU490" s="48"/>
      <c r="AV490" s="48"/>
      <c r="AW490" s="48"/>
      <c r="AX490" s="48"/>
      <c r="AY490" s="48"/>
      <c r="AZ490" s="48"/>
      <c r="BA490" s="48"/>
      <c r="BB490" s="48"/>
      <c r="BC490" s="48"/>
      <c r="BD490" s="48"/>
      <c r="BE490" s="48"/>
      <c r="BF490" s="48"/>
    </row>
    <row r="491" spans="1:58" ht="14.1" customHeight="1">
      <c r="A491" s="247">
        <f t="shared" si="179"/>
        <v>485</v>
      </c>
      <c r="B491" s="92" t="s">
        <v>314</v>
      </c>
      <c r="C491" s="158">
        <f t="shared" si="178"/>
        <v>0</v>
      </c>
      <c r="D491" s="100">
        <v>0</v>
      </c>
      <c r="E491" s="100">
        <v>0</v>
      </c>
      <c r="F491" s="100">
        <v>0</v>
      </c>
      <c r="G491" s="100">
        <v>0</v>
      </c>
      <c r="H491" s="100">
        <v>0</v>
      </c>
      <c r="I491" s="100">
        <v>0</v>
      </c>
      <c r="J491" s="100">
        <v>0</v>
      </c>
      <c r="K491" s="100">
        <v>0</v>
      </c>
      <c r="L491" s="100">
        <v>0</v>
      </c>
      <c r="M491" s="100">
        <v>0</v>
      </c>
      <c r="N491" s="100">
        <v>0</v>
      </c>
      <c r="O491" s="100">
        <v>0</v>
      </c>
      <c r="P491" s="100">
        <v>0</v>
      </c>
      <c r="Q491" s="100">
        <v>0</v>
      </c>
      <c r="R491" s="100">
        <v>0</v>
      </c>
      <c r="S491" s="100">
        <v>0</v>
      </c>
      <c r="T491" s="100">
        <v>0</v>
      </c>
      <c r="U491" s="100">
        <v>0</v>
      </c>
      <c r="V491" s="100">
        <v>0</v>
      </c>
      <c r="W491" s="100">
        <v>0</v>
      </c>
      <c r="X491" s="100">
        <v>0</v>
      </c>
      <c r="Y491" s="100">
        <v>0</v>
      </c>
      <c r="Z491" s="100">
        <v>0</v>
      </c>
      <c r="AA491" s="100">
        <v>0</v>
      </c>
      <c r="AB491" s="100">
        <v>0</v>
      </c>
      <c r="AC491" s="100">
        <v>0</v>
      </c>
      <c r="AD491" s="100">
        <v>0</v>
      </c>
      <c r="AE491" s="100">
        <v>0</v>
      </c>
      <c r="AF491" s="100">
        <v>0</v>
      </c>
      <c r="AG491" s="100">
        <v>0</v>
      </c>
      <c r="AH491" s="100">
        <v>0</v>
      </c>
      <c r="AI491" s="100">
        <v>0</v>
      </c>
      <c r="AJ491" s="100">
        <v>0</v>
      </c>
      <c r="AK491" s="100">
        <v>0</v>
      </c>
      <c r="AL491" s="100">
        <v>0</v>
      </c>
      <c r="AM491" s="100">
        <v>0</v>
      </c>
      <c r="AN491" s="100">
        <v>0</v>
      </c>
      <c r="AO491" s="100">
        <v>0</v>
      </c>
      <c r="AP491" s="100">
        <v>0</v>
      </c>
      <c r="AQ491" s="100">
        <v>0</v>
      </c>
      <c r="AR491" s="100">
        <v>0</v>
      </c>
      <c r="AS491" s="100">
        <v>0</v>
      </c>
      <c r="AT491" s="100">
        <v>0</v>
      </c>
      <c r="AU491" s="100">
        <v>0</v>
      </c>
      <c r="AV491" s="100">
        <v>0</v>
      </c>
      <c r="AW491" s="100">
        <v>0</v>
      </c>
      <c r="AX491" s="100">
        <v>0</v>
      </c>
      <c r="AY491" s="100">
        <v>0</v>
      </c>
      <c r="AZ491" s="100">
        <v>0</v>
      </c>
      <c r="BA491" s="100">
        <v>0</v>
      </c>
      <c r="BB491" s="100">
        <v>0</v>
      </c>
      <c r="BC491" s="100">
        <v>0</v>
      </c>
      <c r="BD491" s="100">
        <v>0</v>
      </c>
      <c r="BE491" s="100">
        <v>0</v>
      </c>
      <c r="BF491" s="100">
        <v>0</v>
      </c>
    </row>
    <row r="492" spans="1:58" ht="14.1" customHeight="1">
      <c r="A492" s="247">
        <f t="shared" si="179"/>
        <v>486</v>
      </c>
      <c r="B492" s="14" t="s">
        <v>315</v>
      </c>
      <c r="C492" s="83">
        <f>SUM(C484:C491)</f>
        <v>363539</v>
      </c>
      <c r="D492" s="83">
        <f>SUM(D484:D491)</f>
        <v>0</v>
      </c>
      <c r="E492" s="83">
        <f t="shared" ref="E492:BA492" si="180">SUM(E484:E491)</f>
        <v>0</v>
      </c>
      <c r="F492" s="83">
        <f t="shared" si="180"/>
        <v>0</v>
      </c>
      <c r="G492" s="83">
        <f t="shared" si="180"/>
        <v>0</v>
      </c>
      <c r="H492" s="83">
        <f t="shared" si="180"/>
        <v>0</v>
      </c>
      <c r="I492" s="83">
        <f t="shared" si="180"/>
        <v>0</v>
      </c>
      <c r="J492" s="83">
        <f t="shared" si="180"/>
        <v>0</v>
      </c>
      <c r="K492" s="83">
        <f t="shared" si="180"/>
        <v>0</v>
      </c>
      <c r="L492" s="83">
        <f t="shared" si="180"/>
        <v>0</v>
      </c>
      <c r="M492" s="83">
        <f t="shared" si="180"/>
        <v>0</v>
      </c>
      <c r="N492" s="83">
        <f t="shared" si="180"/>
        <v>0</v>
      </c>
      <c r="O492" s="83">
        <f t="shared" si="180"/>
        <v>0</v>
      </c>
      <c r="P492" s="83">
        <f t="shared" si="180"/>
        <v>0</v>
      </c>
      <c r="Q492" s="83">
        <f t="shared" si="180"/>
        <v>0</v>
      </c>
      <c r="R492" s="83">
        <f t="shared" si="180"/>
        <v>0</v>
      </c>
      <c r="S492" s="83">
        <f t="shared" si="180"/>
        <v>0</v>
      </c>
      <c r="T492" s="83">
        <f t="shared" si="180"/>
        <v>0</v>
      </c>
      <c r="U492" s="83">
        <f t="shared" si="180"/>
        <v>0</v>
      </c>
      <c r="V492" s="83">
        <f t="shared" si="180"/>
        <v>0</v>
      </c>
      <c r="W492" s="83">
        <f t="shared" si="180"/>
        <v>0</v>
      </c>
      <c r="X492" s="83">
        <f t="shared" si="180"/>
        <v>0</v>
      </c>
      <c r="Y492" s="83">
        <f t="shared" si="180"/>
        <v>0</v>
      </c>
      <c r="Z492" s="83">
        <f t="shared" si="180"/>
        <v>0</v>
      </c>
      <c r="AA492" s="83">
        <f t="shared" si="180"/>
        <v>0</v>
      </c>
      <c r="AB492" s="83">
        <f t="shared" si="180"/>
        <v>0</v>
      </c>
      <c r="AC492" s="83">
        <f t="shared" si="180"/>
        <v>0</v>
      </c>
      <c r="AD492" s="83">
        <f t="shared" si="180"/>
        <v>0</v>
      </c>
      <c r="AE492" s="83">
        <f t="shared" si="180"/>
        <v>0</v>
      </c>
      <c r="AF492" s="83">
        <f t="shared" si="180"/>
        <v>0</v>
      </c>
      <c r="AG492" s="83">
        <f t="shared" si="180"/>
        <v>0</v>
      </c>
      <c r="AH492" s="83">
        <f t="shared" si="180"/>
        <v>0</v>
      </c>
      <c r="AI492" s="83">
        <f t="shared" si="180"/>
        <v>0</v>
      </c>
      <c r="AJ492" s="83">
        <f t="shared" si="180"/>
        <v>0</v>
      </c>
      <c r="AK492" s="83">
        <f t="shared" si="180"/>
        <v>0</v>
      </c>
      <c r="AL492" s="83">
        <f t="shared" si="180"/>
        <v>0</v>
      </c>
      <c r="AM492" s="83">
        <f t="shared" si="180"/>
        <v>0</v>
      </c>
      <c r="AN492" s="83">
        <f t="shared" si="180"/>
        <v>0</v>
      </c>
      <c r="AO492" s="83">
        <f t="shared" si="180"/>
        <v>0</v>
      </c>
      <c r="AP492" s="83">
        <f t="shared" si="180"/>
        <v>363539</v>
      </c>
      <c r="AQ492" s="83">
        <f t="shared" si="180"/>
        <v>0</v>
      </c>
      <c r="AR492" s="83">
        <f t="shared" si="180"/>
        <v>0</v>
      </c>
      <c r="AS492" s="83">
        <f t="shared" si="180"/>
        <v>0</v>
      </c>
      <c r="AT492" s="83">
        <f t="shared" si="180"/>
        <v>0</v>
      </c>
      <c r="AU492" s="83">
        <f t="shared" si="180"/>
        <v>0</v>
      </c>
      <c r="AV492" s="83">
        <f t="shared" si="180"/>
        <v>0</v>
      </c>
      <c r="AW492" s="83">
        <f t="shared" si="180"/>
        <v>0</v>
      </c>
      <c r="AX492" s="83">
        <f t="shared" si="180"/>
        <v>0</v>
      </c>
      <c r="AY492" s="83">
        <f t="shared" si="180"/>
        <v>0</v>
      </c>
      <c r="AZ492" s="83">
        <f t="shared" si="180"/>
        <v>0</v>
      </c>
      <c r="BA492" s="83">
        <f t="shared" si="180"/>
        <v>0</v>
      </c>
      <c r="BB492" s="83">
        <f>SUM(BB484:BB491)</f>
        <v>0</v>
      </c>
      <c r="BC492" s="83">
        <f>SUM(BC484:BC491)</f>
        <v>0</v>
      </c>
      <c r="BD492" s="83">
        <f>SUM(BD484:BD491)</f>
        <v>0</v>
      </c>
      <c r="BE492" s="83">
        <f>SUM(BE484:BE491)</f>
        <v>0</v>
      </c>
      <c r="BF492" s="83">
        <f>SUM(BF484:BF491)</f>
        <v>0</v>
      </c>
    </row>
    <row r="493" spans="1:58" ht="14.1" customHeight="1">
      <c r="A493" s="247">
        <f t="shared" si="179"/>
        <v>487</v>
      </c>
      <c r="B493" s="27"/>
      <c r="C493" s="15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K493" s="48"/>
      <c r="AL493" s="48"/>
      <c r="AM493" s="48"/>
      <c r="AN493" s="48"/>
      <c r="AO493" s="48"/>
      <c r="AP493" s="48"/>
      <c r="AQ493" s="48"/>
      <c r="AR493" s="48"/>
      <c r="AS493" s="48"/>
      <c r="AT493" s="48"/>
      <c r="AU493" s="48"/>
      <c r="AV493" s="48"/>
      <c r="AW493" s="48"/>
      <c r="AX493" s="48"/>
      <c r="AY493" s="48"/>
      <c r="AZ493" s="48"/>
      <c r="BA493" s="48"/>
      <c r="BB493" s="48"/>
      <c r="BC493" s="48"/>
      <c r="BD493" s="48"/>
      <c r="BE493" s="48"/>
      <c r="BF493" s="48"/>
    </row>
    <row r="494" spans="1:58" ht="14.1" customHeight="1">
      <c r="A494" s="247">
        <f t="shared" si="179"/>
        <v>488</v>
      </c>
      <c r="B494" s="27"/>
      <c r="C494" s="15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K494" s="48"/>
      <c r="AL494" s="48"/>
      <c r="AM494" s="48"/>
      <c r="AN494" s="48"/>
      <c r="AO494" s="48"/>
      <c r="AP494" s="48"/>
      <c r="AQ494" s="48"/>
      <c r="AR494" s="48"/>
      <c r="AS494" s="48"/>
      <c r="AT494" s="48"/>
      <c r="AU494" s="48"/>
      <c r="AV494" s="48"/>
      <c r="AW494" s="48"/>
      <c r="AX494" s="48"/>
      <c r="AY494" s="48"/>
      <c r="AZ494" s="48"/>
      <c r="BA494" s="48"/>
      <c r="BB494" s="48"/>
      <c r="BC494" s="48"/>
      <c r="BD494" s="48"/>
      <c r="BE494" s="48"/>
      <c r="BF494" s="48"/>
    </row>
    <row r="495" spans="1:58" ht="13.9" customHeight="1">
      <c r="A495" s="247">
        <f t="shared" si="179"/>
        <v>489</v>
      </c>
      <c r="B495" s="14" t="s">
        <v>316</v>
      </c>
      <c r="C495" s="97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K495" s="48"/>
      <c r="AL495" s="48"/>
      <c r="AM495" s="48"/>
      <c r="AN495" s="48"/>
      <c r="AO495" s="48"/>
      <c r="AP495" s="48"/>
      <c r="AQ495" s="48"/>
      <c r="AR495" s="48"/>
      <c r="AS495" s="48"/>
      <c r="AT495" s="48"/>
      <c r="AU495" s="48"/>
      <c r="AV495" s="48"/>
      <c r="AW495" s="48"/>
      <c r="AX495" s="48"/>
      <c r="AY495" s="48"/>
      <c r="AZ495" s="48"/>
      <c r="BA495" s="48"/>
      <c r="BB495" s="48"/>
      <c r="BC495" s="48"/>
      <c r="BD495" s="48"/>
      <c r="BE495" s="48"/>
      <c r="BF495" s="48"/>
    </row>
    <row r="496" spans="1:58" ht="13.9" customHeight="1">
      <c r="A496" s="247">
        <f t="shared" si="179"/>
        <v>490</v>
      </c>
      <c r="B496" s="304" t="s">
        <v>333</v>
      </c>
      <c r="C496" s="43">
        <f>SUM(D496:BF496)</f>
        <v>-1095822</v>
      </c>
      <c r="D496" s="391">
        <f t="shared" ref="D496:AT496" si="181">ROUND((((D12)-(D23+D25+D26+D28+D29-D503))*$C$505),0)</f>
        <v>-328029</v>
      </c>
      <c r="E496" s="391">
        <f t="shared" si="181"/>
        <v>-136512</v>
      </c>
      <c r="F496" s="391">
        <f t="shared" si="181"/>
        <v>161317</v>
      </c>
      <c r="G496" s="391">
        <f t="shared" si="181"/>
        <v>8589</v>
      </c>
      <c r="H496" s="391">
        <f t="shared" si="181"/>
        <v>-9196</v>
      </c>
      <c r="I496" s="391">
        <f t="shared" si="181"/>
        <v>14446</v>
      </c>
      <c r="J496" s="391">
        <f t="shared" si="181"/>
        <v>0</v>
      </c>
      <c r="K496" s="391">
        <f t="shared" si="181"/>
        <v>574287</v>
      </c>
      <c r="L496" s="391">
        <f t="shared" si="181"/>
        <v>601055</v>
      </c>
      <c r="M496" s="391">
        <f t="shared" si="181"/>
        <v>-3482334</v>
      </c>
      <c r="N496" s="391">
        <f t="shared" si="181"/>
        <v>139</v>
      </c>
      <c r="O496" s="391">
        <f t="shared" si="181"/>
        <v>-4867</v>
      </c>
      <c r="P496" s="391">
        <f t="shared" si="181"/>
        <v>37148</v>
      </c>
      <c r="Q496" s="391">
        <f t="shared" si="181"/>
        <v>0</v>
      </c>
      <c r="R496" s="391">
        <f t="shared" si="181"/>
        <v>-14798</v>
      </c>
      <c r="S496" s="391">
        <f t="shared" si="181"/>
        <v>-701</v>
      </c>
      <c r="T496" s="391">
        <f t="shared" si="181"/>
        <v>1755</v>
      </c>
      <c r="U496" s="391">
        <f t="shared" si="181"/>
        <v>-4185</v>
      </c>
      <c r="V496" s="391">
        <f t="shared" si="181"/>
        <v>-611095</v>
      </c>
      <c r="W496" s="391">
        <f t="shared" si="181"/>
        <v>-1158</v>
      </c>
      <c r="X496" s="391">
        <f t="shared" si="181"/>
        <v>0</v>
      </c>
      <c r="Y496" s="391">
        <f t="shared" si="181"/>
        <v>0</v>
      </c>
      <c r="Z496" s="391">
        <f t="shared" si="181"/>
        <v>0</v>
      </c>
      <c r="AA496" s="391">
        <f t="shared" si="181"/>
        <v>0</v>
      </c>
      <c r="AB496" s="391">
        <f t="shared" si="181"/>
        <v>59670</v>
      </c>
      <c r="AC496" s="391">
        <f t="shared" si="181"/>
        <v>-2098</v>
      </c>
      <c r="AD496" s="391">
        <f t="shared" si="181"/>
        <v>2546974</v>
      </c>
      <c r="AE496" s="391">
        <f t="shared" si="181"/>
        <v>-434945</v>
      </c>
      <c r="AF496" s="391">
        <f t="shared" si="181"/>
        <v>-614344</v>
      </c>
      <c r="AG496" s="391">
        <f t="shared" si="181"/>
        <v>-184879</v>
      </c>
      <c r="AH496" s="391">
        <f t="shared" si="181"/>
        <v>853301</v>
      </c>
      <c r="AI496" s="391">
        <f t="shared" si="181"/>
        <v>-3997</v>
      </c>
      <c r="AJ496" s="391">
        <f t="shared" si="181"/>
        <v>0</v>
      </c>
      <c r="AK496" s="391">
        <f t="shared" si="181"/>
        <v>0</v>
      </c>
      <c r="AL496" s="391">
        <f t="shared" si="181"/>
        <v>0</v>
      </c>
      <c r="AM496" s="391">
        <f t="shared" si="181"/>
        <v>0</v>
      </c>
      <c r="AN496" s="391">
        <f t="shared" si="181"/>
        <v>0</v>
      </c>
      <c r="AO496" s="391">
        <f t="shared" si="181"/>
        <v>0</v>
      </c>
      <c r="AP496" s="391">
        <f t="shared" si="181"/>
        <v>0</v>
      </c>
      <c r="AQ496" s="391">
        <f t="shared" si="181"/>
        <v>-18038</v>
      </c>
      <c r="AR496" s="391">
        <f t="shared" si="181"/>
        <v>-5303</v>
      </c>
      <c r="AS496" s="391">
        <f t="shared" si="181"/>
        <v>-6677</v>
      </c>
      <c r="AT496" s="391">
        <f t="shared" si="181"/>
        <v>-517</v>
      </c>
      <c r="AU496" s="391">
        <v>311143</v>
      </c>
      <c r="AV496" s="391">
        <f>ROUND((((AV12)-(AV23+AV25+AV26+AV28+AV29-AV503))*$C$505),0)</f>
        <v>18712</v>
      </c>
      <c r="AW496" s="391">
        <v>0</v>
      </c>
      <c r="AX496" s="391">
        <f>ROUND((((AX12)-(AX23+AX25+AX26+AX28+AX29-AX503))*$C$505),0)</f>
        <v>-223239</v>
      </c>
      <c r="AY496" s="391">
        <f>ROUND((((AY12)-(AY23+AY25+AY26+AY28+AY29))*$C$505),0)</f>
        <v>0</v>
      </c>
      <c r="AZ496" s="391">
        <v>0</v>
      </c>
      <c r="BA496" s="391">
        <f>ROUND((((BA12)-(BA23+BA25+BA26+BA28+BA29))*$C$505),0)</f>
        <v>0</v>
      </c>
      <c r="BB496" s="391">
        <f>ROUND((((BB12)-(BB23+BB25+BB26+BB28+BB29))*$C$505),0)</f>
        <v>0</v>
      </c>
      <c r="BC496" s="391">
        <f>ROUND((((BC12)-(BC23+BC25+BC26+BC28+BC29))*$C$505),0)</f>
        <v>0</v>
      </c>
      <c r="BD496" s="391">
        <f>ROUND((((BD12)-(BD23+BD25+BD26+BD28+BD29))*$C$505),0)</f>
        <v>0</v>
      </c>
      <c r="BE496" s="391">
        <f>ROUND((((BE12)-(BE23+BE25+BE26+BE28+BE29))*$C$505),0)</f>
        <v>0</v>
      </c>
      <c r="BF496" s="391">
        <v>-197446</v>
      </c>
    </row>
    <row r="497" spans="1:58" ht="14.1" customHeight="1">
      <c r="A497" s="247">
        <f t="shared" si="179"/>
        <v>491</v>
      </c>
      <c r="B497" s="304" t="s">
        <v>317</v>
      </c>
      <c r="C497" s="43">
        <f>SUM(D497:BF497)</f>
        <v>-5209435</v>
      </c>
      <c r="D497" s="391">
        <f t="shared" ref="D497:AT497" si="182">ROUND((((D12)-(D23+D25+D26+D28+D29-D503+D496))*$C$506),0)</f>
        <v>-1887179</v>
      </c>
      <c r="E497" s="391">
        <f t="shared" si="182"/>
        <v>-785368</v>
      </c>
      <c r="F497" s="391">
        <f t="shared" si="182"/>
        <v>928071</v>
      </c>
      <c r="G497" s="391">
        <f t="shared" si="182"/>
        <v>49412</v>
      </c>
      <c r="H497" s="391">
        <f t="shared" si="182"/>
        <v>-52904</v>
      </c>
      <c r="I497" s="391">
        <f t="shared" si="182"/>
        <v>83110</v>
      </c>
      <c r="J497" s="391">
        <f t="shared" si="182"/>
        <v>0</v>
      </c>
      <c r="K497" s="391">
        <f t="shared" si="182"/>
        <v>3303924</v>
      </c>
      <c r="L497" s="391">
        <f t="shared" si="182"/>
        <v>3457925</v>
      </c>
      <c r="M497" s="391">
        <f t="shared" si="182"/>
        <v>-20034179</v>
      </c>
      <c r="N497" s="391">
        <f t="shared" si="182"/>
        <v>799</v>
      </c>
      <c r="O497" s="391">
        <f t="shared" si="182"/>
        <v>-27999</v>
      </c>
      <c r="P497" s="391">
        <f t="shared" si="182"/>
        <v>213715</v>
      </c>
      <c r="Q497" s="391">
        <f t="shared" si="182"/>
        <v>0</v>
      </c>
      <c r="R497" s="391">
        <f t="shared" si="182"/>
        <v>-85134</v>
      </c>
      <c r="S497" s="391">
        <f t="shared" si="182"/>
        <v>-4031</v>
      </c>
      <c r="T497" s="391">
        <f t="shared" si="182"/>
        <v>10099</v>
      </c>
      <c r="U497" s="391">
        <f t="shared" si="182"/>
        <v>-24076</v>
      </c>
      <c r="V497" s="391">
        <f t="shared" si="182"/>
        <v>-3515682</v>
      </c>
      <c r="W497" s="391">
        <f t="shared" si="182"/>
        <v>-6665</v>
      </c>
      <c r="X497" s="391">
        <f t="shared" si="182"/>
        <v>0</v>
      </c>
      <c r="Y497" s="391">
        <f t="shared" si="182"/>
        <v>0</v>
      </c>
      <c r="Z497" s="391">
        <f t="shared" si="182"/>
        <v>0</v>
      </c>
      <c r="AA497" s="391">
        <f t="shared" si="182"/>
        <v>0</v>
      </c>
      <c r="AB497" s="391">
        <f t="shared" si="182"/>
        <v>343287</v>
      </c>
      <c r="AC497" s="391">
        <f t="shared" si="182"/>
        <v>-12071</v>
      </c>
      <c r="AD497" s="391">
        <f t="shared" si="182"/>
        <v>14652969</v>
      </c>
      <c r="AE497" s="391">
        <f t="shared" si="182"/>
        <v>-2502275</v>
      </c>
      <c r="AF497" s="391">
        <f t="shared" si="182"/>
        <v>-3534376</v>
      </c>
      <c r="AG497" s="391">
        <f t="shared" si="182"/>
        <v>-1063626</v>
      </c>
      <c r="AH497" s="391">
        <f t="shared" si="182"/>
        <v>4909117</v>
      </c>
      <c r="AI497" s="391">
        <f t="shared" si="182"/>
        <v>-22994</v>
      </c>
      <c r="AJ497" s="391">
        <f t="shared" si="182"/>
        <v>0</v>
      </c>
      <c r="AK497" s="391">
        <f t="shared" si="182"/>
        <v>0</v>
      </c>
      <c r="AL497" s="391">
        <f t="shared" si="182"/>
        <v>0</v>
      </c>
      <c r="AM497" s="391">
        <f t="shared" si="182"/>
        <v>0</v>
      </c>
      <c r="AN497" s="391">
        <f t="shared" si="182"/>
        <v>0</v>
      </c>
      <c r="AO497" s="391">
        <f t="shared" si="182"/>
        <v>0</v>
      </c>
      <c r="AP497" s="391">
        <f t="shared" si="182"/>
        <v>0</v>
      </c>
      <c r="AQ497" s="391">
        <f t="shared" si="182"/>
        <v>-103773</v>
      </c>
      <c r="AR497" s="391">
        <f t="shared" si="182"/>
        <v>-30510</v>
      </c>
      <c r="AS497" s="391">
        <f t="shared" si="182"/>
        <v>-38414</v>
      </c>
      <c r="AT497" s="391">
        <f t="shared" si="182"/>
        <v>-2976</v>
      </c>
      <c r="AU497" s="391">
        <v>1790035</v>
      </c>
      <c r="AV497" s="391">
        <f>ROUND((((AV12)-(AV23+AV25+AV26+AV28+AV29-AV503+AV496))*$C$506),0)</f>
        <v>107649</v>
      </c>
      <c r="AW497" s="391">
        <f>ROUND((((AW12)-(AW23+AW25+AW26+AW28+AW29-AW503+AW496))*$C$506),0)</f>
        <v>-41002</v>
      </c>
      <c r="AX497" s="391">
        <f>ROUND((((AX12)-(AX23+AX25+AX26+AX28+AX29-AX503+AX496))*$C$506),0)</f>
        <v>-1284313</v>
      </c>
      <c r="AY497" s="391">
        <f>ROUND((((AY12)-(AY23+AY25+AY26+AY28+AY29+AY496))*$C$506),0)</f>
        <v>0</v>
      </c>
      <c r="AZ497" s="391">
        <v>0</v>
      </c>
      <c r="BA497" s="391">
        <f>ROUND((((BA12)-(BA23+BA25+BA26+BA28+BA29+BA496))*$C$506),0)</f>
        <v>0</v>
      </c>
      <c r="BB497" s="391">
        <f>ROUND((((BB12)-(BB23+BB25+BB26+BB28+BB29+BB496))*$C$506),0)</f>
        <v>0</v>
      </c>
      <c r="BC497" s="391">
        <f>ROUND((((BC12)-(BC23+BC25+BC26+BC28+BC29+BC496))*$C$506),0)</f>
        <v>0</v>
      </c>
      <c r="BD497" s="391">
        <f>ROUND((((BD12)-(BD23+BD25+BD26+BD28+BD29+BD496))*$C$506),0)</f>
        <v>0</v>
      </c>
      <c r="BE497" s="391">
        <f>ROUND((((BE12)-(BE23+BE25+BE26+BE28+BE29+BE496))*$C$506),0)</f>
        <v>0</v>
      </c>
      <c r="BF497" s="391">
        <f>ROUND((((BF12)-(BF23+BF25+BF26+BF28+BF29-BF503+BF496))*$C$506),0)</f>
        <v>0</v>
      </c>
    </row>
    <row r="498" spans="1:58" ht="14.1" customHeight="1">
      <c r="A498" s="247">
        <f t="shared" si="179"/>
        <v>492</v>
      </c>
      <c r="B498" s="304" t="s">
        <v>318</v>
      </c>
      <c r="C498" s="43">
        <f>SUM(D498:BF498)</f>
        <v>-683026</v>
      </c>
      <c r="D498" s="48">
        <f t="shared" ref="D498:AT498" si="183">ROUND(D503*D504*$C$506*-1,0)</f>
        <v>0</v>
      </c>
      <c r="E498" s="48">
        <f t="shared" si="183"/>
        <v>0</v>
      </c>
      <c r="F498" s="48">
        <f t="shared" si="183"/>
        <v>0</v>
      </c>
      <c r="G498" s="48">
        <f t="shared" si="183"/>
        <v>0</v>
      </c>
      <c r="H498" s="48">
        <f t="shared" si="183"/>
        <v>0</v>
      </c>
      <c r="I498" s="48">
        <f t="shared" si="183"/>
        <v>0</v>
      </c>
      <c r="J498" s="48">
        <f t="shared" si="183"/>
        <v>-1854572</v>
      </c>
      <c r="K498" s="48">
        <f t="shared" si="183"/>
        <v>0</v>
      </c>
      <c r="L498" s="48">
        <f t="shared" si="183"/>
        <v>0</v>
      </c>
      <c r="M498" s="48">
        <f t="shared" si="183"/>
        <v>0</v>
      </c>
      <c r="N498" s="48">
        <f t="shared" si="183"/>
        <v>0</v>
      </c>
      <c r="O498" s="48">
        <f t="shared" si="183"/>
        <v>0</v>
      </c>
      <c r="P498" s="48">
        <f t="shared" si="183"/>
        <v>0</v>
      </c>
      <c r="Q498" s="48">
        <f t="shared" si="183"/>
        <v>783116</v>
      </c>
      <c r="R498" s="48">
        <f t="shared" si="183"/>
        <v>0</v>
      </c>
      <c r="S498" s="48">
        <f t="shared" si="183"/>
        <v>0</v>
      </c>
      <c r="T498" s="48">
        <f t="shared" si="183"/>
        <v>0</v>
      </c>
      <c r="U498" s="48">
        <f t="shared" si="183"/>
        <v>0</v>
      </c>
      <c r="V498" s="48">
        <f t="shared" si="183"/>
        <v>0</v>
      </c>
      <c r="W498" s="48">
        <f t="shared" si="183"/>
        <v>79373</v>
      </c>
      <c r="X498" s="48">
        <f t="shared" si="183"/>
        <v>-18377</v>
      </c>
      <c r="Y498" s="48">
        <f t="shared" si="183"/>
        <v>-12049</v>
      </c>
      <c r="Z498" s="48">
        <f t="shared" si="183"/>
        <v>-36166</v>
      </c>
      <c r="AA498" s="48">
        <f t="shared" si="183"/>
        <v>-386853</v>
      </c>
      <c r="AB498" s="48">
        <f t="shared" si="183"/>
        <v>-23444</v>
      </c>
      <c r="AC498" s="48">
        <f t="shared" si="183"/>
        <v>0</v>
      </c>
      <c r="AD498" s="48">
        <f t="shared" si="183"/>
        <v>0</v>
      </c>
      <c r="AE498" s="48">
        <f t="shared" si="183"/>
        <v>0</v>
      </c>
      <c r="AF498" s="48">
        <f t="shared" si="183"/>
        <v>0</v>
      </c>
      <c r="AG498" s="48">
        <f t="shared" si="183"/>
        <v>0</v>
      </c>
      <c r="AH498" s="48">
        <f t="shared" si="183"/>
        <v>0</v>
      </c>
      <c r="AI498" s="48">
        <f t="shared" si="183"/>
        <v>0</v>
      </c>
      <c r="AJ498" s="48">
        <f t="shared" si="183"/>
        <v>-3698393</v>
      </c>
      <c r="AK498" s="48">
        <f t="shared" si="183"/>
        <v>-73316</v>
      </c>
      <c r="AL498" s="48">
        <f t="shared" si="183"/>
        <v>-1317651</v>
      </c>
      <c r="AM498" s="48">
        <f t="shared" si="183"/>
        <v>4511643</v>
      </c>
      <c r="AN498" s="48">
        <f t="shared" si="183"/>
        <v>-83090</v>
      </c>
      <c r="AO498" s="48">
        <f t="shared" si="183"/>
        <v>52401</v>
      </c>
      <c r="AP498" s="48">
        <f t="shared" si="183"/>
        <v>-127239</v>
      </c>
      <c r="AQ498" s="48">
        <f t="shared" si="183"/>
        <v>0</v>
      </c>
      <c r="AR498" s="48">
        <f t="shared" si="183"/>
        <v>0</v>
      </c>
      <c r="AS498" s="48">
        <f t="shared" si="183"/>
        <v>0</v>
      </c>
      <c r="AT498" s="48">
        <f t="shared" si="183"/>
        <v>0</v>
      </c>
      <c r="AU498" s="48">
        <v>0</v>
      </c>
      <c r="AV498" s="48">
        <f>ROUND(AV503*AV504*$C$506*-1,0)</f>
        <v>0</v>
      </c>
      <c r="AW498" s="48">
        <f>ROUND(AW503*AW504*$C$506*-1,0)</f>
        <v>0</v>
      </c>
      <c r="AX498" s="48">
        <f>ROUND(AX503*AX504*$C$506*-1,0)</f>
        <v>1362446</v>
      </c>
      <c r="AY498" s="48">
        <v>90039</v>
      </c>
      <c r="AZ498" s="48">
        <f>ROUND((AZ425+AZ456)*0.35,0)*-1</f>
        <v>0</v>
      </c>
      <c r="BA498" s="48">
        <v>0</v>
      </c>
      <c r="BB498" s="48">
        <v>0</v>
      </c>
      <c r="BC498" s="48">
        <v>0</v>
      </c>
      <c r="BD498" s="48">
        <v>0</v>
      </c>
      <c r="BE498" s="48">
        <v>0</v>
      </c>
      <c r="BF498" s="48">
        <f>ROUND(BF503*BF504*$C$506*-1,0)</f>
        <v>69106</v>
      </c>
    </row>
    <row r="499" spans="1:58" ht="14.1" customHeight="1">
      <c r="A499" s="247">
        <f t="shared" si="179"/>
        <v>493</v>
      </c>
      <c r="B499" s="304" t="s">
        <v>319</v>
      </c>
      <c r="C499" s="43">
        <f>SUM(D499:BF499)</f>
        <v>0</v>
      </c>
      <c r="D499" s="48">
        <v>0</v>
      </c>
      <c r="E499" s="48">
        <v>0</v>
      </c>
      <c r="F499" s="48">
        <v>0</v>
      </c>
      <c r="G499" s="48">
        <v>0</v>
      </c>
      <c r="H499" s="48">
        <v>0</v>
      </c>
      <c r="I499" s="48">
        <v>0</v>
      </c>
      <c r="J499" s="48">
        <v>0</v>
      </c>
      <c r="K499" s="48">
        <v>0</v>
      </c>
      <c r="L499" s="48">
        <v>0</v>
      </c>
      <c r="M499" s="48">
        <v>0</v>
      </c>
      <c r="N499" s="48">
        <v>0</v>
      </c>
      <c r="O499" s="48">
        <v>0</v>
      </c>
      <c r="P499" s="48">
        <v>0</v>
      </c>
      <c r="Q499" s="48">
        <v>0</v>
      </c>
      <c r="R499" s="48">
        <v>0</v>
      </c>
      <c r="S499" s="48">
        <v>0</v>
      </c>
      <c r="T499" s="48">
        <v>0</v>
      </c>
      <c r="U499" s="48">
        <v>0</v>
      </c>
      <c r="V499" s="48">
        <v>0</v>
      </c>
      <c r="W499" s="48">
        <v>0</v>
      </c>
      <c r="X499" s="48">
        <v>0</v>
      </c>
      <c r="Y499" s="48">
        <v>0</v>
      </c>
      <c r="Z499" s="48">
        <v>0</v>
      </c>
      <c r="AA499" s="48">
        <v>0</v>
      </c>
      <c r="AB499" s="48">
        <v>0</v>
      </c>
      <c r="AC499" s="48">
        <v>0</v>
      </c>
      <c r="AD499" s="48">
        <v>0</v>
      </c>
      <c r="AE499" s="48">
        <v>0</v>
      </c>
      <c r="AF499" s="48">
        <v>0</v>
      </c>
      <c r="AG499" s="48">
        <v>0</v>
      </c>
      <c r="AH499" s="48">
        <v>0</v>
      </c>
      <c r="AI499" s="48">
        <v>0</v>
      </c>
      <c r="AJ499" s="48">
        <v>0</v>
      </c>
      <c r="AK499" s="48">
        <v>0</v>
      </c>
      <c r="AL499" s="48">
        <v>0</v>
      </c>
      <c r="AM499" s="48">
        <v>0</v>
      </c>
      <c r="AN499" s="48">
        <v>0</v>
      </c>
      <c r="AO499" s="48">
        <v>0</v>
      </c>
      <c r="AP499" s="48">
        <v>0</v>
      </c>
      <c r="AQ499" s="48">
        <v>0</v>
      </c>
      <c r="AR499" s="48">
        <v>0</v>
      </c>
      <c r="AS499" s="48">
        <v>0</v>
      </c>
      <c r="AT499" s="48">
        <v>0</v>
      </c>
      <c r="AU499" s="48">
        <v>0</v>
      </c>
      <c r="AV499" s="48">
        <v>0</v>
      </c>
      <c r="AW499" s="48">
        <v>0</v>
      </c>
      <c r="AX499" s="48">
        <v>0</v>
      </c>
      <c r="AY499" s="48">
        <v>0</v>
      </c>
      <c r="AZ499" s="48">
        <v>0</v>
      </c>
      <c r="BA499" s="48">
        <v>0</v>
      </c>
      <c r="BB499" s="48">
        <v>0</v>
      </c>
      <c r="BC499" s="48">
        <v>0</v>
      </c>
      <c r="BD499" s="48">
        <v>0</v>
      </c>
      <c r="BE499" s="48">
        <v>0</v>
      </c>
      <c r="BF499" s="48">
        <v>0</v>
      </c>
    </row>
    <row r="500" spans="1:58" ht="14.1" customHeight="1">
      <c r="A500" s="247">
        <f t="shared" si="179"/>
        <v>494</v>
      </c>
      <c r="B500" s="93" t="s">
        <v>334</v>
      </c>
      <c r="C500" s="43">
        <f>SUM(D500:BF500)</f>
        <v>0</v>
      </c>
      <c r="D500" s="48">
        <v>0</v>
      </c>
      <c r="E500" s="48">
        <v>0</v>
      </c>
      <c r="F500" s="48">
        <v>0</v>
      </c>
      <c r="G500" s="48">
        <v>0</v>
      </c>
      <c r="H500" s="48">
        <v>0</v>
      </c>
      <c r="I500" s="48">
        <v>0</v>
      </c>
      <c r="J500" s="48">
        <v>0</v>
      </c>
      <c r="K500" s="48">
        <v>0</v>
      </c>
      <c r="L500" s="48">
        <v>0</v>
      </c>
      <c r="M500" s="48">
        <v>0</v>
      </c>
      <c r="N500" s="48">
        <v>0</v>
      </c>
      <c r="O500" s="48">
        <v>0</v>
      </c>
      <c r="P500" s="48">
        <v>0</v>
      </c>
      <c r="Q500" s="48">
        <v>0</v>
      </c>
      <c r="R500" s="48">
        <v>0</v>
      </c>
      <c r="S500" s="48">
        <v>0</v>
      </c>
      <c r="T500" s="48">
        <v>0</v>
      </c>
      <c r="U500" s="48">
        <v>0</v>
      </c>
      <c r="V500" s="48">
        <v>0</v>
      </c>
      <c r="W500" s="48">
        <v>0</v>
      </c>
      <c r="X500" s="48">
        <v>0</v>
      </c>
      <c r="Y500" s="48">
        <v>0</v>
      </c>
      <c r="Z500" s="48">
        <v>0</v>
      </c>
      <c r="AA500" s="48">
        <v>0</v>
      </c>
      <c r="AB500" s="48">
        <v>0</v>
      </c>
      <c r="AC500" s="48">
        <v>0</v>
      </c>
      <c r="AD500" s="48">
        <v>0</v>
      </c>
      <c r="AE500" s="48">
        <v>0</v>
      </c>
      <c r="AF500" s="48">
        <v>0</v>
      </c>
      <c r="AG500" s="48">
        <v>0</v>
      </c>
      <c r="AH500" s="48">
        <v>0</v>
      </c>
      <c r="AI500" s="48">
        <v>0</v>
      </c>
      <c r="AJ500" s="48">
        <v>0</v>
      </c>
      <c r="AK500" s="48">
        <v>0</v>
      </c>
      <c r="AL500" s="48">
        <v>0</v>
      </c>
      <c r="AM500" s="48">
        <v>0</v>
      </c>
      <c r="AN500" s="48">
        <v>0</v>
      </c>
      <c r="AO500" s="48">
        <v>0</v>
      </c>
      <c r="AP500" s="48">
        <v>0</v>
      </c>
      <c r="AQ500" s="48">
        <v>0</v>
      </c>
      <c r="AR500" s="48">
        <v>0</v>
      </c>
      <c r="AS500" s="48">
        <v>0</v>
      </c>
      <c r="AT500" s="48">
        <v>0</v>
      </c>
      <c r="AU500" s="48">
        <v>0</v>
      </c>
      <c r="AV500" s="48">
        <v>0</v>
      </c>
      <c r="AW500" s="48">
        <v>0</v>
      </c>
      <c r="AX500" s="48">
        <v>0</v>
      </c>
      <c r="AY500" s="48">
        <v>0</v>
      </c>
      <c r="AZ500" s="48">
        <v>0</v>
      </c>
      <c r="BA500" s="48">
        <v>0</v>
      </c>
      <c r="BB500" s="48">
        <v>0</v>
      </c>
      <c r="BC500" s="48">
        <v>0</v>
      </c>
      <c r="BD500" s="48">
        <v>0</v>
      </c>
      <c r="BE500" s="48">
        <v>0</v>
      </c>
      <c r="BF500" s="48">
        <v>0</v>
      </c>
    </row>
    <row r="501" spans="1:58" ht="14.1" customHeight="1">
      <c r="A501" s="247">
        <f t="shared" si="179"/>
        <v>495</v>
      </c>
      <c r="B501" s="14" t="s">
        <v>320</v>
      </c>
      <c r="C501" s="83">
        <f t="shared" ref="C501:P501" si="184">SUM(C495:C500)</f>
        <v>-6988283</v>
      </c>
      <c r="D501" s="83">
        <f t="shared" si="184"/>
        <v>-2215208</v>
      </c>
      <c r="E501" s="83">
        <f t="shared" si="184"/>
        <v>-921880</v>
      </c>
      <c r="F501" s="83">
        <f t="shared" si="184"/>
        <v>1089388</v>
      </c>
      <c r="G501" s="83">
        <f t="shared" si="184"/>
        <v>58001</v>
      </c>
      <c r="H501" s="83">
        <f t="shared" si="184"/>
        <v>-62100</v>
      </c>
      <c r="I501" s="83">
        <f t="shared" si="184"/>
        <v>97556</v>
      </c>
      <c r="J501" s="83">
        <f t="shared" si="184"/>
        <v>-1854572</v>
      </c>
      <c r="K501" s="83">
        <f t="shared" si="184"/>
        <v>3878211</v>
      </c>
      <c r="L501" s="83">
        <f t="shared" si="184"/>
        <v>4058980</v>
      </c>
      <c r="M501" s="83">
        <f t="shared" si="184"/>
        <v>-23516513</v>
      </c>
      <c r="N501" s="83">
        <f t="shared" si="184"/>
        <v>938</v>
      </c>
      <c r="O501" s="83">
        <f t="shared" si="184"/>
        <v>-32866</v>
      </c>
      <c r="P501" s="83">
        <f t="shared" si="184"/>
        <v>250863</v>
      </c>
      <c r="Q501" s="83">
        <f t="shared" ref="Q501:AQ501" si="185">SUM(Q495:Q500)</f>
        <v>783116</v>
      </c>
      <c r="R501" s="83">
        <f t="shared" si="185"/>
        <v>-99932</v>
      </c>
      <c r="S501" s="83">
        <f t="shared" si="185"/>
        <v>-4732</v>
      </c>
      <c r="T501" s="83">
        <f t="shared" si="185"/>
        <v>11854</v>
      </c>
      <c r="U501" s="83">
        <f t="shared" si="185"/>
        <v>-28261</v>
      </c>
      <c r="V501" s="83">
        <f t="shared" si="185"/>
        <v>-4126777</v>
      </c>
      <c r="W501" s="83">
        <f t="shared" si="185"/>
        <v>71550</v>
      </c>
      <c r="X501" s="83">
        <f t="shared" si="185"/>
        <v>-18377</v>
      </c>
      <c r="Y501" s="83">
        <f t="shared" si="185"/>
        <v>-12049</v>
      </c>
      <c r="Z501" s="83">
        <f t="shared" si="185"/>
        <v>-36166</v>
      </c>
      <c r="AA501" s="83">
        <f t="shared" si="185"/>
        <v>-386853</v>
      </c>
      <c r="AB501" s="83">
        <f t="shared" si="185"/>
        <v>379513</v>
      </c>
      <c r="AC501" s="83">
        <f t="shared" si="185"/>
        <v>-14169</v>
      </c>
      <c r="AD501" s="83">
        <f t="shared" si="185"/>
        <v>17199943</v>
      </c>
      <c r="AE501" s="83">
        <f t="shared" si="185"/>
        <v>-2937220</v>
      </c>
      <c r="AF501" s="83">
        <f t="shared" si="185"/>
        <v>-4148720</v>
      </c>
      <c r="AG501" s="83">
        <f t="shared" si="185"/>
        <v>-1248505</v>
      </c>
      <c r="AH501" s="83">
        <f t="shared" si="185"/>
        <v>5762418</v>
      </c>
      <c r="AI501" s="83">
        <f t="shared" si="185"/>
        <v>-26991</v>
      </c>
      <c r="AJ501" s="83">
        <f t="shared" si="185"/>
        <v>-3698393</v>
      </c>
      <c r="AK501" s="83">
        <f t="shared" si="185"/>
        <v>-73316</v>
      </c>
      <c r="AL501" s="83">
        <f t="shared" si="185"/>
        <v>-1317651</v>
      </c>
      <c r="AM501" s="83">
        <f t="shared" si="185"/>
        <v>4511643</v>
      </c>
      <c r="AN501" s="83">
        <f t="shared" si="185"/>
        <v>-83090</v>
      </c>
      <c r="AO501" s="83">
        <f t="shared" si="185"/>
        <v>52401</v>
      </c>
      <c r="AP501" s="83">
        <f t="shared" si="185"/>
        <v>-127239</v>
      </c>
      <c r="AQ501" s="83">
        <f t="shared" si="185"/>
        <v>-121811</v>
      </c>
      <c r="AR501" s="83">
        <f>SUM(AR495:AR500)</f>
        <v>-35813</v>
      </c>
      <c r="AS501" s="83">
        <f t="shared" ref="AS501:BA501" si="186">SUM(AS495:AS500)</f>
        <v>-45091</v>
      </c>
      <c r="AT501" s="83">
        <f t="shared" si="186"/>
        <v>-3493</v>
      </c>
      <c r="AU501" s="83">
        <f t="shared" si="186"/>
        <v>2101178</v>
      </c>
      <c r="AV501" s="83">
        <f t="shared" si="186"/>
        <v>126361</v>
      </c>
      <c r="AW501" s="83">
        <f t="shared" si="186"/>
        <v>-41002</v>
      </c>
      <c r="AX501" s="83">
        <f t="shared" si="186"/>
        <v>-145106</v>
      </c>
      <c r="AY501" s="83">
        <f t="shared" si="186"/>
        <v>90039</v>
      </c>
      <c r="AZ501" s="83">
        <f t="shared" si="186"/>
        <v>0</v>
      </c>
      <c r="BA501" s="83">
        <f t="shared" si="186"/>
        <v>0</v>
      </c>
      <c r="BB501" s="83">
        <f>SUM(BB495:BB500)</f>
        <v>0</v>
      </c>
      <c r="BC501" s="83">
        <f>SUM(BC495:BC500)</f>
        <v>0</v>
      </c>
      <c r="BD501" s="83">
        <f>SUM(BD495:BD500)</f>
        <v>0</v>
      </c>
      <c r="BE501" s="83">
        <f>SUM(BE495:BE500)</f>
        <v>0</v>
      </c>
      <c r="BF501" s="83">
        <f>SUM(BF495:BF500)</f>
        <v>-128340</v>
      </c>
    </row>
    <row r="502" spans="1:58" ht="14.1" customHeight="1">
      <c r="B502" s="27"/>
      <c r="C502" s="27"/>
    </row>
    <row r="503" spans="1:58" ht="14.1" customHeight="1">
      <c r="B503" s="16" t="s">
        <v>1007</v>
      </c>
      <c r="C503" s="226">
        <f>SUM(D503:BF503)</f>
        <v>300257</v>
      </c>
      <c r="D503" s="226">
        <v>0</v>
      </c>
      <c r="E503" s="226">
        <v>0</v>
      </c>
      <c r="F503" s="226">
        <v>0</v>
      </c>
      <c r="G503" s="226">
        <v>0</v>
      </c>
      <c r="H503" s="226">
        <v>0</v>
      </c>
      <c r="I503" s="226">
        <v>0</v>
      </c>
      <c r="J503" s="226">
        <v>5298776</v>
      </c>
      <c r="K503" s="226">
        <v>0</v>
      </c>
      <c r="L503" s="226">
        <v>0</v>
      </c>
      <c r="M503" s="226">
        <v>0</v>
      </c>
      <c r="N503" s="226">
        <v>0</v>
      </c>
      <c r="O503" s="226">
        <v>0</v>
      </c>
      <c r="P503" s="226">
        <v>0</v>
      </c>
      <c r="Q503" s="226">
        <v>-2237475</v>
      </c>
      <c r="R503" s="226">
        <v>0</v>
      </c>
      <c r="S503" s="226">
        <v>0</v>
      </c>
      <c r="T503" s="226">
        <v>0</v>
      </c>
      <c r="U503" s="226">
        <v>0</v>
      </c>
      <c r="V503" s="226">
        <v>0</v>
      </c>
      <c r="W503" s="226">
        <v>-226781</v>
      </c>
      <c r="X503" s="226">
        <v>52505</v>
      </c>
      <c r="Y503" s="226">
        <v>34425</v>
      </c>
      <c r="Z503" s="226">
        <v>103330</v>
      </c>
      <c r="AA503" s="226">
        <v>1105293</v>
      </c>
      <c r="AB503" s="226">
        <v>66983</v>
      </c>
      <c r="AC503" s="226">
        <v>0</v>
      </c>
      <c r="AD503" s="226">
        <v>0</v>
      </c>
      <c r="AE503" s="226">
        <v>0</v>
      </c>
      <c r="AF503" s="226">
        <v>0</v>
      </c>
      <c r="AG503" s="226">
        <v>0</v>
      </c>
      <c r="AH503" s="226">
        <v>0</v>
      </c>
      <c r="AI503" s="226">
        <v>0</v>
      </c>
      <c r="AJ503" s="226">
        <v>12771261</v>
      </c>
      <c r="AK503" s="226">
        <v>209475</v>
      </c>
      <c r="AL503" s="226">
        <v>3764718</v>
      </c>
      <c r="AM503" s="226">
        <v>-17212456</v>
      </c>
      <c r="AN503" s="226">
        <v>237400</v>
      </c>
      <c r="AO503" s="226">
        <v>-149718</v>
      </c>
      <c r="AP503" s="226">
        <v>363539</v>
      </c>
      <c r="AQ503" s="226">
        <v>0</v>
      </c>
      <c r="AR503" s="226">
        <v>0</v>
      </c>
      <c r="AS503" s="226">
        <v>0</v>
      </c>
      <c r="AT503" s="226">
        <v>0</v>
      </c>
      <c r="AU503" s="226">
        <v>0</v>
      </c>
      <c r="AV503" s="226">
        <v>326280</v>
      </c>
      <c r="AW503" s="226">
        <v>-117148</v>
      </c>
      <c r="AX503" s="226">
        <v>-3892704</v>
      </c>
      <c r="AY503" s="226">
        <v>0</v>
      </c>
      <c r="AZ503" s="226">
        <v>0</v>
      </c>
      <c r="BA503" s="226">
        <v>0</v>
      </c>
      <c r="BB503" s="226">
        <v>0</v>
      </c>
      <c r="BC503" s="226">
        <v>0</v>
      </c>
      <c r="BD503" s="226">
        <v>0</v>
      </c>
      <c r="BE503" s="226">
        <v>0</v>
      </c>
      <c r="BF503" s="226">
        <v>-197446</v>
      </c>
    </row>
    <row r="504" spans="1:58" ht="14.1" customHeight="1">
      <c r="B504" s="16" t="s">
        <v>1008</v>
      </c>
      <c r="C504" s="370"/>
      <c r="D504" s="228">
        <v>1</v>
      </c>
      <c r="E504" s="228">
        <v>1</v>
      </c>
      <c r="F504" s="228">
        <v>1</v>
      </c>
      <c r="G504" s="228">
        <v>1</v>
      </c>
      <c r="H504" s="228">
        <v>1</v>
      </c>
      <c r="I504" s="228">
        <v>1</v>
      </c>
      <c r="J504" s="228">
        <v>1</v>
      </c>
      <c r="K504" s="228">
        <v>1</v>
      </c>
      <c r="L504" s="228">
        <v>1</v>
      </c>
      <c r="M504" s="228">
        <v>1</v>
      </c>
      <c r="N504" s="228">
        <v>1</v>
      </c>
      <c r="O504" s="228">
        <v>1</v>
      </c>
      <c r="P504" s="228">
        <v>1</v>
      </c>
      <c r="Q504" s="228">
        <v>1</v>
      </c>
      <c r="R504" s="228">
        <v>1</v>
      </c>
      <c r="S504" s="228">
        <v>1</v>
      </c>
      <c r="T504" s="228">
        <v>1</v>
      </c>
      <c r="U504" s="228">
        <v>1</v>
      </c>
      <c r="V504" s="228">
        <v>1</v>
      </c>
      <c r="W504" s="228">
        <v>1</v>
      </c>
      <c r="X504" s="228">
        <v>1</v>
      </c>
      <c r="Y504" s="228">
        <v>1</v>
      </c>
      <c r="Z504" s="228">
        <v>1</v>
      </c>
      <c r="AA504" s="228">
        <v>1</v>
      </c>
      <c r="AB504" s="228">
        <v>1</v>
      </c>
      <c r="AC504" s="228">
        <v>1</v>
      </c>
      <c r="AD504" s="228">
        <v>1</v>
      </c>
      <c r="AE504" s="228">
        <v>1</v>
      </c>
      <c r="AF504" s="228">
        <v>1</v>
      </c>
      <c r="AG504" s="228">
        <v>1</v>
      </c>
      <c r="AH504" s="228">
        <v>1</v>
      </c>
      <c r="AI504" s="228">
        <v>1</v>
      </c>
      <c r="AJ504" s="228">
        <v>0.82739176999999997</v>
      </c>
      <c r="AK504" s="228">
        <v>1</v>
      </c>
      <c r="AL504" s="228">
        <v>1</v>
      </c>
      <c r="AM504" s="228">
        <v>0.74890000000000001</v>
      </c>
      <c r="AN504" s="228">
        <v>1</v>
      </c>
      <c r="AO504" s="228">
        <v>1</v>
      </c>
      <c r="AP504" s="228">
        <v>1</v>
      </c>
      <c r="AQ504" s="228">
        <v>1</v>
      </c>
      <c r="AR504" s="228">
        <v>1</v>
      </c>
      <c r="AS504" s="228">
        <v>1</v>
      </c>
      <c r="AT504" s="228">
        <v>1</v>
      </c>
      <c r="AU504" s="228">
        <v>1</v>
      </c>
      <c r="AV504" s="228">
        <v>0</v>
      </c>
      <c r="AW504" s="228">
        <v>0</v>
      </c>
      <c r="AX504" s="228">
        <v>1</v>
      </c>
      <c r="AY504" s="228">
        <v>1</v>
      </c>
      <c r="AZ504" s="228">
        <v>1</v>
      </c>
      <c r="BA504" s="228">
        <v>1</v>
      </c>
      <c r="BB504" s="228">
        <v>1</v>
      </c>
      <c r="BC504" s="228">
        <v>1</v>
      </c>
      <c r="BD504" s="228">
        <v>1</v>
      </c>
      <c r="BE504" s="228">
        <v>1</v>
      </c>
      <c r="BF504" s="228">
        <v>1</v>
      </c>
    </row>
    <row r="505" spans="1:58" ht="14.1" customHeight="1">
      <c r="B505" s="377" t="s">
        <v>403</v>
      </c>
      <c r="C505" s="392">
        <f>'2 P2'!G52</f>
        <v>5.7347999999999996E-2</v>
      </c>
    </row>
    <row r="506" spans="1:58" ht="14.1" customHeight="1">
      <c r="B506" s="377" t="s">
        <v>404</v>
      </c>
      <c r="C506" s="393">
        <v>0.35</v>
      </c>
    </row>
    <row r="507" spans="1:58" ht="14.1" customHeight="1">
      <c r="B507" s="377"/>
      <c r="C507" s="394"/>
    </row>
    <row r="508" spans="1:58" ht="14.1" customHeight="1">
      <c r="B508" s="377" t="s">
        <v>405</v>
      </c>
      <c r="C508" s="395">
        <v>0.71109999999999995</v>
      </c>
    </row>
    <row r="509" spans="1:58" ht="14.1" customHeight="1">
      <c r="B509" s="27"/>
      <c r="C509" s="27"/>
    </row>
    <row r="510" spans="1:58" ht="14.1" customHeight="1">
      <c r="B510" s="27"/>
      <c r="C510" s="27"/>
    </row>
    <row r="511" spans="1:58" ht="14.1" customHeight="1">
      <c r="B511" s="27"/>
      <c r="C511" s="27"/>
    </row>
    <row r="512" spans="1:58" ht="14.1" customHeight="1">
      <c r="B512" s="27"/>
      <c r="C512" s="27"/>
    </row>
    <row r="513" spans="2:3" ht="14.1" customHeight="1">
      <c r="B513" s="27"/>
      <c r="C513" s="27"/>
    </row>
    <row r="514" spans="2:3" ht="14.1" customHeight="1">
      <c r="B514" s="27"/>
      <c r="C514" s="27"/>
    </row>
    <row r="515" spans="2:3" ht="14.1" customHeight="1">
      <c r="B515" s="27"/>
      <c r="C515" s="27"/>
    </row>
    <row r="516" spans="2:3" ht="14.1" customHeight="1">
      <c r="B516" s="27"/>
      <c r="C516" s="27"/>
    </row>
    <row r="517" spans="2:3" ht="14.1" customHeight="1">
      <c r="B517" s="27"/>
      <c r="C517" s="27"/>
    </row>
    <row r="518" spans="2:3" ht="14.1" customHeight="1">
      <c r="B518" s="27"/>
      <c r="C518" s="27"/>
    </row>
    <row r="519" spans="2:3" ht="14.1" customHeight="1">
      <c r="B519" s="27"/>
      <c r="C519" s="27"/>
    </row>
    <row r="520" spans="2:3" ht="14.1" customHeight="1">
      <c r="B520" s="27"/>
      <c r="C520" s="27"/>
    </row>
    <row r="521" spans="2:3" ht="14.1" customHeight="1">
      <c r="B521" s="27"/>
      <c r="C521" s="27"/>
    </row>
    <row r="522" spans="2:3" ht="14.1" customHeight="1">
      <c r="B522" s="27"/>
      <c r="C522" s="27"/>
    </row>
    <row r="523" spans="2:3" ht="14.1" customHeight="1">
      <c r="B523" s="27"/>
      <c r="C523" s="27"/>
    </row>
    <row r="524" spans="2:3" ht="14.1" customHeight="1">
      <c r="B524" s="27"/>
      <c r="C524" s="27"/>
    </row>
    <row r="525" spans="2:3" ht="14.1" customHeight="1">
      <c r="B525" s="27"/>
      <c r="C525" s="27"/>
    </row>
    <row r="526" spans="2:3" ht="14.1" customHeight="1">
      <c r="B526" s="27"/>
      <c r="C526" s="27"/>
    </row>
    <row r="527" spans="2:3" ht="14.1" customHeight="1">
      <c r="B527" s="27"/>
      <c r="C527" s="27"/>
    </row>
    <row r="528" spans="2:3" ht="14.1" customHeight="1">
      <c r="B528" s="27"/>
      <c r="C528" s="27"/>
    </row>
    <row r="529" spans="2:3" ht="14.1" customHeight="1">
      <c r="B529" s="27"/>
      <c r="C529" s="27"/>
    </row>
    <row r="530" spans="2:3" ht="14.1" customHeight="1">
      <c r="B530" s="27"/>
      <c r="C530" s="27"/>
    </row>
    <row r="531" spans="2:3" ht="14.1" customHeight="1">
      <c r="B531" s="27"/>
      <c r="C531" s="27"/>
    </row>
    <row r="532" spans="2:3" ht="14.1" customHeight="1">
      <c r="B532" s="27"/>
      <c r="C532" s="27"/>
    </row>
    <row r="533" spans="2:3" ht="14.1" customHeight="1">
      <c r="B533" s="27"/>
      <c r="C533" s="27"/>
    </row>
    <row r="534" spans="2:3" ht="14.1" customHeight="1">
      <c r="B534" s="27"/>
      <c r="C534" s="27"/>
    </row>
    <row r="535" spans="2:3" ht="14.1" customHeight="1">
      <c r="B535" s="27"/>
      <c r="C535" s="27"/>
    </row>
    <row r="536" spans="2:3" ht="14.1" customHeight="1">
      <c r="B536" s="27"/>
      <c r="C536" s="27"/>
    </row>
    <row r="537" spans="2:3" ht="14.1" customHeight="1">
      <c r="B537" s="27"/>
      <c r="C537" s="27"/>
    </row>
    <row r="538" spans="2:3" ht="14.1" customHeight="1">
      <c r="B538" s="27"/>
      <c r="C538" s="27"/>
    </row>
    <row r="539" spans="2:3" ht="14.1" customHeight="1">
      <c r="B539" s="27"/>
      <c r="C539" s="27"/>
    </row>
    <row r="540" spans="2:3" ht="14.1" customHeight="1">
      <c r="B540" s="27"/>
      <c r="C540" s="27"/>
    </row>
    <row r="541" spans="2:3" ht="14.1" customHeight="1">
      <c r="B541" s="27"/>
      <c r="C541" s="27"/>
    </row>
    <row r="542" spans="2:3" ht="14.1" customHeight="1">
      <c r="B542" s="27"/>
      <c r="C542" s="27"/>
    </row>
    <row r="543" spans="2:3" ht="14.1" customHeight="1">
      <c r="B543" s="27"/>
      <c r="C543" s="27"/>
    </row>
    <row r="544" spans="2:3" ht="14.1" customHeight="1">
      <c r="B544" s="27"/>
      <c r="C544" s="27"/>
    </row>
    <row r="545" spans="2:3" ht="14.1" customHeight="1">
      <c r="B545" s="27"/>
      <c r="C545" s="27"/>
    </row>
    <row r="546" spans="2:3" ht="14.1" customHeight="1">
      <c r="B546" s="27"/>
      <c r="C546" s="27"/>
    </row>
    <row r="547" spans="2:3" ht="14.1" customHeight="1">
      <c r="B547" s="27"/>
      <c r="C547" s="27"/>
    </row>
    <row r="548" spans="2:3" ht="14.1" customHeight="1">
      <c r="B548" s="27"/>
      <c r="C548" s="27"/>
    </row>
    <row r="549" spans="2:3" ht="14.1" customHeight="1">
      <c r="B549" s="27"/>
      <c r="C549" s="27"/>
    </row>
    <row r="550" spans="2:3" ht="14.1" customHeight="1">
      <c r="B550" s="27"/>
      <c r="C550" s="27"/>
    </row>
    <row r="551" spans="2:3" ht="14.1" customHeight="1">
      <c r="B551" s="27"/>
      <c r="C551" s="27"/>
    </row>
    <row r="552" spans="2:3" ht="14.1" customHeight="1">
      <c r="B552" s="27"/>
      <c r="C552" s="27"/>
    </row>
    <row r="553" spans="2:3" ht="14.1" customHeight="1">
      <c r="B553" s="27"/>
      <c r="C553" s="27"/>
    </row>
    <row r="554" spans="2:3" ht="14.1" customHeight="1">
      <c r="B554" s="27"/>
      <c r="C554" s="27"/>
    </row>
    <row r="555" spans="2:3" ht="14.1" customHeight="1">
      <c r="B555" s="27"/>
      <c r="C555" s="27"/>
    </row>
    <row r="556" spans="2:3" ht="14.1" customHeight="1">
      <c r="B556" s="27"/>
      <c r="C556" s="27"/>
    </row>
    <row r="557" spans="2:3" ht="14.1" customHeight="1">
      <c r="B557" s="27"/>
      <c r="C557" s="27"/>
    </row>
    <row r="558" spans="2:3" ht="14.1" customHeight="1">
      <c r="B558" s="27"/>
      <c r="C558" s="27"/>
    </row>
    <row r="559" spans="2:3" ht="14.1" customHeight="1">
      <c r="B559" s="27"/>
      <c r="C559" s="27"/>
    </row>
    <row r="560" spans="2:3" ht="14.1" customHeight="1">
      <c r="B560" s="27"/>
      <c r="C560" s="27"/>
    </row>
    <row r="561" spans="2:3" ht="14.1" customHeight="1">
      <c r="B561" s="27"/>
      <c r="C561" s="27"/>
    </row>
    <row r="562" spans="2:3" ht="14.1" customHeight="1">
      <c r="B562" s="27"/>
      <c r="C562" s="27"/>
    </row>
    <row r="563" spans="2:3" ht="14.1" customHeight="1">
      <c r="B563" s="27"/>
      <c r="C563" s="27"/>
    </row>
    <row r="564" spans="2:3" ht="14.1" customHeight="1">
      <c r="B564" s="27"/>
      <c r="C564" s="27"/>
    </row>
    <row r="565" spans="2:3" ht="14.1" customHeight="1">
      <c r="B565" s="27"/>
      <c r="C565" s="27"/>
    </row>
    <row r="566" spans="2:3" ht="14.1" customHeight="1">
      <c r="B566" s="27"/>
      <c r="C566" s="27"/>
    </row>
    <row r="567" spans="2:3" ht="14.1" customHeight="1">
      <c r="B567" s="27"/>
      <c r="C567" s="27"/>
    </row>
    <row r="568" spans="2:3" ht="14.1" customHeight="1">
      <c r="B568" s="27"/>
      <c r="C568" s="27"/>
    </row>
    <row r="569" spans="2:3" ht="14.1" customHeight="1">
      <c r="B569" s="27"/>
      <c r="C569" s="27"/>
    </row>
    <row r="570" spans="2:3" ht="14.1" customHeight="1">
      <c r="B570" s="27"/>
      <c r="C570" s="27"/>
    </row>
    <row r="571" spans="2:3" ht="14.1" customHeight="1">
      <c r="B571" s="27"/>
      <c r="C571" s="27"/>
    </row>
    <row r="572" spans="2:3" ht="14.1" customHeight="1">
      <c r="B572" s="27"/>
      <c r="C572" s="27"/>
    </row>
    <row r="573" spans="2:3" ht="14.1" customHeight="1">
      <c r="B573" s="27"/>
      <c r="C573" s="27"/>
    </row>
    <row r="574" spans="2:3" ht="14.1" customHeight="1">
      <c r="B574" s="27"/>
      <c r="C574" s="27"/>
    </row>
    <row r="575" spans="2:3" ht="14.1" customHeight="1">
      <c r="B575" s="27"/>
      <c r="C575" s="27"/>
    </row>
    <row r="576" spans="2:3" ht="14.1" customHeight="1">
      <c r="B576" s="27"/>
      <c r="C576" s="27"/>
    </row>
    <row r="577" spans="2:3" ht="14.1" customHeight="1">
      <c r="B577" s="27"/>
      <c r="C577" s="27"/>
    </row>
    <row r="578" spans="2:3" ht="14.1" customHeight="1">
      <c r="B578" s="27"/>
      <c r="C578" s="27"/>
    </row>
    <row r="579" spans="2:3" ht="14.1" customHeight="1">
      <c r="B579" s="27"/>
      <c r="C579" s="27"/>
    </row>
    <row r="580" spans="2:3" ht="14.1" customHeight="1">
      <c r="B580" s="27"/>
      <c r="C580" s="27"/>
    </row>
    <row r="581" spans="2:3" ht="14.1" customHeight="1">
      <c r="B581" s="27"/>
      <c r="C581" s="27"/>
    </row>
    <row r="582" spans="2:3" ht="14.1" customHeight="1">
      <c r="B582" s="27"/>
      <c r="C582" s="27"/>
    </row>
    <row r="583" spans="2:3" ht="14.1" customHeight="1">
      <c r="B583" s="27"/>
      <c r="C583" s="27"/>
    </row>
    <row r="584" spans="2:3" ht="14.1" customHeight="1">
      <c r="B584" s="27"/>
      <c r="C584" s="27"/>
    </row>
    <row r="585" spans="2:3" ht="14.1" customHeight="1">
      <c r="B585" s="27"/>
      <c r="C585" s="27"/>
    </row>
    <row r="586" spans="2:3" ht="14.1" customHeight="1">
      <c r="B586" s="27"/>
      <c r="C586" s="27"/>
    </row>
    <row r="587" spans="2:3" ht="14.1" customHeight="1">
      <c r="B587" s="27"/>
      <c r="C587" s="27"/>
    </row>
    <row r="588" spans="2:3" ht="14.1" customHeight="1">
      <c r="B588" s="27"/>
      <c r="C588" s="27"/>
    </row>
    <row r="589" spans="2:3" ht="14.1" customHeight="1">
      <c r="B589" s="27"/>
      <c r="C589" s="27"/>
    </row>
    <row r="590" spans="2:3" ht="14.1" customHeight="1">
      <c r="B590" s="27"/>
      <c r="C590" s="27"/>
    </row>
    <row r="591" spans="2:3" ht="14.1" customHeight="1">
      <c r="B591" s="27"/>
      <c r="C591" s="27"/>
    </row>
    <row r="592" spans="2:3" ht="14.1" customHeight="1">
      <c r="B592" s="27"/>
      <c r="C592" s="27"/>
    </row>
    <row r="593" spans="2:3" ht="14.1" customHeight="1">
      <c r="B593" s="27"/>
      <c r="C593" s="27"/>
    </row>
    <row r="594" spans="2:3" ht="14.1" customHeight="1">
      <c r="B594" s="27"/>
      <c r="C594" s="27"/>
    </row>
    <row r="595" spans="2:3" ht="14.1" customHeight="1">
      <c r="B595" s="27"/>
      <c r="C595" s="27"/>
    </row>
    <row r="596" spans="2:3" ht="14.1" customHeight="1">
      <c r="B596" s="27"/>
      <c r="C596" s="27"/>
    </row>
    <row r="597" spans="2:3" ht="14.1" customHeight="1">
      <c r="B597" s="27"/>
      <c r="C597" s="27"/>
    </row>
    <row r="598" spans="2:3" ht="14.1" customHeight="1">
      <c r="B598" s="27"/>
      <c r="C598" s="27"/>
    </row>
    <row r="599" spans="2:3" ht="14.1" customHeight="1">
      <c r="B599" s="27"/>
      <c r="C599" s="27"/>
    </row>
    <row r="600" spans="2:3" ht="14.1" customHeight="1">
      <c r="B600" s="27"/>
      <c r="C600" s="27"/>
    </row>
    <row r="601" spans="2:3" ht="14.1" customHeight="1">
      <c r="B601" s="27"/>
      <c r="C601" s="27"/>
    </row>
    <row r="602" spans="2:3" ht="14.1" customHeight="1">
      <c r="B602" s="27"/>
      <c r="C602" s="27"/>
    </row>
    <row r="603" spans="2:3" ht="14.1" customHeight="1">
      <c r="B603" s="27"/>
      <c r="C603" s="27"/>
    </row>
    <row r="604" spans="2:3" ht="14.1" customHeight="1">
      <c r="B604" s="27"/>
      <c r="C604" s="27"/>
    </row>
    <row r="605" spans="2:3" ht="14.1" customHeight="1">
      <c r="B605" s="27"/>
      <c r="C605" s="27"/>
    </row>
    <row r="606" spans="2:3" ht="14.1" customHeight="1">
      <c r="B606" s="27"/>
      <c r="C606" s="27"/>
    </row>
    <row r="607" spans="2:3" ht="14.1" customHeight="1">
      <c r="B607" s="27"/>
      <c r="C607" s="27"/>
    </row>
    <row r="608" spans="2:3" ht="14.1" customHeight="1">
      <c r="B608" s="27"/>
      <c r="C608" s="27"/>
    </row>
    <row r="609" spans="2:3" ht="14.1" customHeight="1">
      <c r="B609" s="27"/>
      <c r="C609" s="27"/>
    </row>
    <row r="610" spans="2:3" ht="14.1" customHeight="1">
      <c r="B610" s="27"/>
      <c r="C610" s="27"/>
    </row>
    <row r="647" spans="1:58" s="15" customFormat="1" ht="14.1" customHeight="1">
      <c r="A647" s="247"/>
      <c r="B647" s="203"/>
      <c r="C647" s="203"/>
      <c r="D647" s="203"/>
      <c r="E647" s="203"/>
      <c r="F647" s="203"/>
      <c r="G647" s="203"/>
      <c r="H647" s="203"/>
      <c r="I647" s="203"/>
      <c r="J647" s="203"/>
      <c r="K647" s="203"/>
      <c r="L647" s="203"/>
      <c r="M647" s="203"/>
      <c r="N647" s="203"/>
      <c r="O647" s="203"/>
      <c r="P647" s="203"/>
      <c r="Q647" s="203"/>
      <c r="R647" s="203"/>
      <c r="S647" s="203"/>
      <c r="T647" s="203"/>
      <c r="U647" s="203"/>
      <c r="V647" s="203"/>
      <c r="W647" s="203"/>
      <c r="X647" s="203"/>
      <c r="Y647" s="203"/>
      <c r="Z647" s="203"/>
      <c r="AA647" s="203"/>
      <c r="AB647" s="203"/>
      <c r="AC647" s="203"/>
      <c r="AD647" s="203"/>
      <c r="AE647" s="203"/>
      <c r="AF647" s="203"/>
      <c r="AG647" s="203"/>
      <c r="AH647" s="203"/>
      <c r="AI647" s="203"/>
      <c r="AJ647" s="203"/>
      <c r="AK647" s="203"/>
      <c r="AL647" s="203"/>
      <c r="AM647" s="203"/>
      <c r="AN647" s="203"/>
      <c r="AO647" s="203"/>
      <c r="AP647" s="203"/>
      <c r="AQ647" s="203"/>
      <c r="AR647" s="203"/>
      <c r="AS647" s="203"/>
      <c r="AT647" s="203"/>
      <c r="AU647" s="203"/>
      <c r="AV647" s="203"/>
      <c r="AW647" s="203"/>
      <c r="AX647" s="203"/>
      <c r="AY647" s="203"/>
      <c r="AZ647" s="203"/>
      <c r="BA647" s="203"/>
      <c r="BB647" s="203"/>
      <c r="BC647" s="203"/>
      <c r="BD647" s="203"/>
      <c r="BE647" s="203"/>
      <c r="BF647" s="203"/>
    </row>
    <row r="648" spans="1:58" s="15" customFormat="1" ht="14.1" customHeight="1">
      <c r="A648" s="247"/>
      <c r="B648" s="203"/>
      <c r="C648" s="203"/>
      <c r="D648" s="203"/>
      <c r="E648" s="203"/>
      <c r="F648" s="203"/>
      <c r="G648" s="203"/>
      <c r="H648" s="203"/>
      <c r="I648" s="203"/>
      <c r="J648" s="203"/>
      <c r="K648" s="203"/>
      <c r="L648" s="203"/>
      <c r="M648" s="203"/>
      <c r="N648" s="203"/>
      <c r="O648" s="203"/>
      <c r="P648" s="203"/>
      <c r="Q648" s="203"/>
      <c r="R648" s="203"/>
      <c r="S648" s="203"/>
      <c r="T648" s="203"/>
      <c r="U648" s="203"/>
      <c r="V648" s="203"/>
      <c r="W648" s="203"/>
      <c r="X648" s="203"/>
      <c r="Y648" s="203"/>
      <c r="Z648" s="203"/>
      <c r="AA648" s="203"/>
      <c r="AB648" s="203"/>
      <c r="AC648" s="203"/>
      <c r="AD648" s="203"/>
      <c r="AE648" s="203"/>
      <c r="AF648" s="203"/>
      <c r="AG648" s="203"/>
      <c r="AH648" s="203"/>
      <c r="AI648" s="203"/>
      <c r="AJ648" s="203"/>
      <c r="AK648" s="203"/>
      <c r="AL648" s="203"/>
      <c r="AM648" s="203"/>
      <c r="AN648" s="203"/>
      <c r="AO648" s="203"/>
      <c r="AP648" s="203"/>
      <c r="AQ648" s="203"/>
      <c r="AR648" s="203"/>
      <c r="AS648" s="203"/>
      <c r="AT648" s="203"/>
      <c r="AU648" s="203"/>
      <c r="AV648" s="203"/>
      <c r="AW648" s="203"/>
      <c r="AX648" s="203"/>
      <c r="AY648" s="203"/>
      <c r="AZ648" s="203"/>
      <c r="BA648" s="203"/>
      <c r="BB648" s="203"/>
      <c r="BC648" s="203"/>
      <c r="BD648" s="203"/>
      <c r="BE648" s="203"/>
      <c r="BF648" s="203"/>
    </row>
    <row r="649" spans="1:58" s="15" customFormat="1" ht="14.1" customHeight="1">
      <c r="A649" s="247"/>
      <c r="B649" s="203"/>
      <c r="C649" s="203"/>
      <c r="D649" s="203"/>
      <c r="E649" s="203"/>
      <c r="F649" s="203"/>
      <c r="G649" s="203"/>
      <c r="H649" s="203"/>
      <c r="I649" s="203"/>
      <c r="J649" s="203"/>
      <c r="K649" s="203"/>
      <c r="L649" s="203"/>
      <c r="M649" s="203"/>
      <c r="N649" s="203"/>
      <c r="O649" s="203"/>
      <c r="P649" s="203"/>
      <c r="Q649" s="203"/>
      <c r="R649" s="203"/>
      <c r="S649" s="203"/>
      <c r="T649" s="203"/>
      <c r="U649" s="203"/>
      <c r="V649" s="203"/>
      <c r="W649" s="203"/>
      <c r="X649" s="203"/>
      <c r="Y649" s="203"/>
      <c r="Z649" s="203"/>
      <c r="AA649" s="203"/>
      <c r="AB649" s="203"/>
      <c r="AC649" s="203"/>
      <c r="AD649" s="203"/>
      <c r="AE649" s="203"/>
      <c r="AF649" s="203"/>
      <c r="AG649" s="203"/>
      <c r="AH649" s="203"/>
      <c r="AI649" s="203"/>
      <c r="AJ649" s="203"/>
      <c r="AK649" s="203"/>
      <c r="AL649" s="203"/>
      <c r="AM649" s="203"/>
      <c r="AN649" s="203"/>
      <c r="AO649" s="203"/>
      <c r="AP649" s="203"/>
      <c r="AQ649" s="203"/>
      <c r="AR649" s="203"/>
      <c r="AS649" s="203"/>
      <c r="AT649" s="203"/>
      <c r="AU649" s="203"/>
      <c r="AV649" s="203"/>
      <c r="AW649" s="203"/>
      <c r="AX649" s="203"/>
      <c r="AY649" s="203"/>
      <c r="AZ649" s="203"/>
      <c r="BA649" s="203"/>
      <c r="BB649" s="203"/>
      <c r="BC649" s="203"/>
      <c r="BD649" s="203"/>
      <c r="BE649" s="203"/>
      <c r="BF649" s="203"/>
    </row>
    <row r="650" spans="1:58" s="15" customFormat="1" ht="14.1" customHeight="1">
      <c r="A650" s="247"/>
      <c r="B650" s="203"/>
      <c r="C650" s="203"/>
      <c r="D650" s="203"/>
      <c r="E650" s="203"/>
      <c r="F650" s="203"/>
      <c r="G650" s="203"/>
      <c r="H650" s="203"/>
      <c r="I650" s="203"/>
      <c r="J650" s="203"/>
      <c r="K650" s="203"/>
      <c r="L650" s="203"/>
      <c r="M650" s="203"/>
      <c r="N650" s="203"/>
      <c r="O650" s="203"/>
      <c r="P650" s="203"/>
      <c r="Q650" s="203"/>
      <c r="R650" s="203"/>
      <c r="S650" s="203"/>
      <c r="T650" s="203"/>
      <c r="U650" s="203"/>
      <c r="V650" s="203"/>
      <c r="W650" s="203"/>
      <c r="X650" s="203"/>
      <c r="Y650" s="203"/>
      <c r="Z650" s="203"/>
      <c r="AA650" s="203"/>
      <c r="AB650" s="203"/>
      <c r="AC650" s="203"/>
      <c r="AD650" s="203"/>
      <c r="AE650" s="203"/>
      <c r="AF650" s="203"/>
      <c r="AG650" s="203"/>
      <c r="AH650" s="203"/>
      <c r="AI650" s="203"/>
      <c r="AJ650" s="203"/>
      <c r="AK650" s="203"/>
      <c r="AL650" s="203"/>
      <c r="AM650" s="203"/>
      <c r="AN650" s="203"/>
      <c r="AO650" s="203"/>
      <c r="AP650" s="203"/>
      <c r="AQ650" s="203"/>
      <c r="AR650" s="203"/>
      <c r="AS650" s="203"/>
      <c r="AT650" s="203"/>
      <c r="AU650" s="203"/>
      <c r="AV650" s="203"/>
      <c r="AW650" s="203"/>
      <c r="AX650" s="203"/>
      <c r="AY650" s="203"/>
      <c r="AZ650" s="203"/>
      <c r="BA650" s="203"/>
      <c r="BB650" s="203"/>
      <c r="BC650" s="203"/>
      <c r="BD650" s="203"/>
      <c r="BE650" s="203"/>
      <c r="BF650" s="203"/>
    </row>
    <row r="651" spans="1:58" s="15" customFormat="1" ht="14.1" customHeight="1">
      <c r="A651" s="247"/>
      <c r="B651" s="203"/>
      <c r="C651" s="203"/>
      <c r="D651" s="203"/>
      <c r="E651" s="203"/>
      <c r="F651" s="203"/>
      <c r="G651" s="203"/>
      <c r="H651" s="203"/>
      <c r="I651" s="203"/>
      <c r="J651" s="203"/>
      <c r="K651" s="203"/>
      <c r="L651" s="203"/>
      <c r="M651" s="203"/>
      <c r="N651" s="203"/>
      <c r="O651" s="203"/>
      <c r="P651" s="203"/>
      <c r="Q651" s="203"/>
      <c r="R651" s="203"/>
      <c r="S651" s="203"/>
      <c r="T651" s="203"/>
      <c r="U651" s="203"/>
      <c r="V651" s="203"/>
      <c r="W651" s="203"/>
      <c r="X651" s="203"/>
      <c r="Y651" s="203"/>
      <c r="Z651" s="203"/>
      <c r="AA651" s="203"/>
      <c r="AB651" s="203"/>
      <c r="AC651" s="203"/>
      <c r="AD651" s="203"/>
      <c r="AE651" s="203"/>
      <c r="AF651" s="203"/>
      <c r="AG651" s="203"/>
      <c r="AH651" s="203"/>
      <c r="AI651" s="203"/>
      <c r="AJ651" s="203"/>
      <c r="AK651" s="203"/>
      <c r="AL651" s="203"/>
      <c r="AM651" s="203"/>
      <c r="AN651" s="203"/>
      <c r="AO651" s="203"/>
      <c r="AP651" s="203"/>
      <c r="AQ651" s="203"/>
      <c r="AR651" s="203"/>
      <c r="AS651" s="203"/>
      <c r="AT651" s="203"/>
      <c r="AU651" s="203"/>
      <c r="AV651" s="203"/>
      <c r="AW651" s="203"/>
      <c r="AX651" s="203"/>
      <c r="AY651" s="203"/>
      <c r="AZ651" s="203"/>
      <c r="BA651" s="203"/>
      <c r="BB651" s="203"/>
      <c r="BC651" s="203"/>
      <c r="BD651" s="203"/>
      <c r="BE651" s="203"/>
      <c r="BF651" s="203"/>
    </row>
    <row r="652" spans="1:58" s="15" customFormat="1" ht="14.1" customHeight="1">
      <c r="A652" s="247"/>
      <c r="B652" s="203"/>
      <c r="C652" s="203"/>
      <c r="D652" s="203"/>
      <c r="E652" s="203"/>
      <c r="F652" s="203"/>
      <c r="G652" s="203"/>
      <c r="H652" s="203"/>
      <c r="I652" s="203"/>
      <c r="J652" s="203"/>
      <c r="K652" s="203"/>
      <c r="L652" s="203"/>
      <c r="M652" s="203"/>
      <c r="N652" s="203"/>
      <c r="O652" s="203"/>
      <c r="P652" s="203"/>
      <c r="Q652" s="203"/>
      <c r="R652" s="203"/>
      <c r="S652" s="203"/>
      <c r="T652" s="203"/>
      <c r="U652" s="203"/>
      <c r="V652" s="203"/>
      <c r="W652" s="203"/>
      <c r="X652" s="203"/>
      <c r="Y652" s="203"/>
      <c r="Z652" s="203"/>
      <c r="AA652" s="203"/>
      <c r="AB652" s="203"/>
      <c r="AC652" s="203"/>
      <c r="AD652" s="203"/>
      <c r="AE652" s="203"/>
      <c r="AF652" s="203"/>
      <c r="AG652" s="203"/>
      <c r="AH652" s="203"/>
      <c r="AI652" s="203"/>
      <c r="AJ652" s="203"/>
      <c r="AK652" s="203"/>
      <c r="AL652" s="203"/>
      <c r="AM652" s="203"/>
      <c r="AN652" s="203"/>
      <c r="AO652" s="203"/>
      <c r="AP652" s="203"/>
      <c r="AQ652" s="203"/>
      <c r="AR652" s="203"/>
      <c r="AS652" s="203"/>
      <c r="AT652" s="203"/>
      <c r="AU652" s="203"/>
      <c r="AV652" s="203"/>
      <c r="AW652" s="203"/>
      <c r="AX652" s="203"/>
      <c r="AY652" s="203"/>
      <c r="AZ652" s="203"/>
      <c r="BA652" s="203"/>
      <c r="BB652" s="203"/>
      <c r="BC652" s="203"/>
      <c r="BD652" s="203"/>
      <c r="BE652" s="203"/>
      <c r="BF652" s="203"/>
    </row>
    <row r="653" spans="1:58" s="15" customFormat="1" ht="14.1" customHeight="1">
      <c r="A653" s="247"/>
      <c r="B653" s="203"/>
      <c r="C653" s="203"/>
      <c r="D653" s="203"/>
      <c r="E653" s="203"/>
      <c r="F653" s="203"/>
      <c r="G653" s="203"/>
      <c r="H653" s="203"/>
      <c r="I653" s="203"/>
      <c r="J653" s="203"/>
      <c r="K653" s="203"/>
      <c r="L653" s="203"/>
      <c r="M653" s="203"/>
      <c r="N653" s="203"/>
      <c r="O653" s="203"/>
      <c r="P653" s="203"/>
      <c r="Q653" s="203"/>
      <c r="R653" s="203"/>
      <c r="S653" s="203"/>
      <c r="T653" s="203"/>
      <c r="U653" s="203"/>
      <c r="V653" s="203"/>
      <c r="W653" s="203"/>
      <c r="X653" s="203"/>
      <c r="Y653" s="203"/>
      <c r="Z653" s="203"/>
      <c r="AA653" s="203"/>
      <c r="AB653" s="203"/>
      <c r="AC653" s="203"/>
      <c r="AD653" s="203"/>
      <c r="AE653" s="203"/>
      <c r="AF653" s="203"/>
      <c r="AG653" s="203"/>
      <c r="AH653" s="203"/>
      <c r="AI653" s="203"/>
      <c r="AJ653" s="203"/>
      <c r="AK653" s="203"/>
      <c r="AL653" s="203"/>
      <c r="AM653" s="203"/>
      <c r="AN653" s="203"/>
      <c r="AO653" s="203"/>
      <c r="AP653" s="203"/>
      <c r="AQ653" s="203"/>
      <c r="AR653" s="203"/>
      <c r="AS653" s="203"/>
      <c r="AT653" s="203"/>
      <c r="AU653" s="203"/>
      <c r="AV653" s="203"/>
      <c r="AW653" s="203"/>
      <c r="AX653" s="203"/>
      <c r="AY653" s="203"/>
      <c r="AZ653" s="203"/>
      <c r="BA653" s="203"/>
      <c r="BB653" s="203"/>
      <c r="BC653" s="203"/>
      <c r="BD653" s="203"/>
      <c r="BE653" s="203"/>
      <c r="BF653" s="203"/>
    </row>
    <row r="654" spans="1:58" s="15" customFormat="1" ht="14.1" customHeight="1">
      <c r="A654" s="247"/>
      <c r="B654" s="203"/>
      <c r="C654" s="203"/>
      <c r="D654" s="203"/>
      <c r="E654" s="203"/>
      <c r="F654" s="203"/>
      <c r="G654" s="203"/>
      <c r="H654" s="203"/>
      <c r="I654" s="203"/>
      <c r="J654" s="203"/>
      <c r="K654" s="203"/>
      <c r="L654" s="203"/>
      <c r="M654" s="203"/>
      <c r="N654" s="203"/>
      <c r="O654" s="203"/>
      <c r="P654" s="203"/>
      <c r="Q654" s="203"/>
      <c r="R654" s="203"/>
      <c r="S654" s="203"/>
      <c r="T654" s="203"/>
      <c r="U654" s="203"/>
      <c r="V654" s="203"/>
      <c r="W654" s="203"/>
      <c r="X654" s="203"/>
      <c r="Y654" s="203"/>
      <c r="Z654" s="203"/>
      <c r="AA654" s="203"/>
      <c r="AB654" s="203"/>
      <c r="AC654" s="203"/>
      <c r="AD654" s="203"/>
      <c r="AE654" s="203"/>
      <c r="AF654" s="203"/>
      <c r="AG654" s="203"/>
      <c r="AH654" s="203"/>
      <c r="AI654" s="203"/>
      <c r="AJ654" s="203"/>
      <c r="AK654" s="203"/>
      <c r="AL654" s="203"/>
      <c r="AM654" s="203"/>
      <c r="AN654" s="203"/>
      <c r="AO654" s="203"/>
      <c r="AP654" s="203"/>
      <c r="AQ654" s="203"/>
      <c r="AR654" s="203"/>
      <c r="AS654" s="203"/>
      <c r="AT654" s="203"/>
      <c r="AU654" s="203"/>
      <c r="AV654" s="203"/>
      <c r="AW654" s="203"/>
      <c r="AX654" s="203"/>
      <c r="AY654" s="203"/>
      <c r="AZ654" s="203"/>
      <c r="BA654" s="203"/>
      <c r="BB654" s="203"/>
      <c r="BC654" s="203"/>
      <c r="BD654" s="203"/>
      <c r="BE654" s="203"/>
      <c r="BF654" s="203"/>
    </row>
    <row r="655" spans="1:58" s="15" customFormat="1" ht="14.1" customHeight="1">
      <c r="A655" s="247"/>
      <c r="B655" s="203"/>
      <c r="C655" s="203"/>
      <c r="D655" s="203"/>
      <c r="E655" s="203"/>
      <c r="F655" s="203"/>
      <c r="G655" s="203"/>
      <c r="H655" s="203"/>
      <c r="I655" s="203"/>
      <c r="J655" s="203"/>
      <c r="K655" s="203"/>
      <c r="L655" s="203"/>
      <c r="M655" s="203"/>
      <c r="N655" s="203"/>
      <c r="O655" s="203"/>
      <c r="P655" s="203"/>
      <c r="Q655" s="203"/>
      <c r="R655" s="203"/>
      <c r="S655" s="203"/>
      <c r="T655" s="203"/>
      <c r="U655" s="203"/>
      <c r="V655" s="203"/>
      <c r="W655" s="203"/>
      <c r="X655" s="203"/>
      <c r="Y655" s="203"/>
      <c r="Z655" s="203"/>
      <c r="AA655" s="203"/>
      <c r="AB655" s="203"/>
      <c r="AC655" s="203"/>
      <c r="AD655" s="203"/>
      <c r="AE655" s="203"/>
      <c r="AF655" s="203"/>
      <c r="AG655" s="203"/>
      <c r="AH655" s="203"/>
      <c r="AI655" s="203"/>
      <c r="AJ655" s="203"/>
      <c r="AK655" s="203"/>
      <c r="AL655" s="203"/>
      <c r="AM655" s="203"/>
      <c r="AN655" s="203"/>
      <c r="AO655" s="203"/>
      <c r="AP655" s="203"/>
      <c r="AQ655" s="203"/>
      <c r="AR655" s="203"/>
      <c r="AS655" s="203"/>
      <c r="AT655" s="203"/>
      <c r="AU655" s="203"/>
      <c r="AV655" s="203"/>
      <c r="AW655" s="203"/>
      <c r="AX655" s="203"/>
      <c r="AY655" s="203"/>
      <c r="AZ655" s="203"/>
      <c r="BA655" s="203"/>
      <c r="BB655" s="203"/>
      <c r="BC655" s="203"/>
      <c r="BD655" s="203"/>
      <c r="BE655" s="203"/>
      <c r="BF655" s="203"/>
    </row>
    <row r="656" spans="1:58" s="15" customFormat="1" ht="14.1" customHeight="1">
      <c r="A656" s="247"/>
      <c r="B656" s="203"/>
      <c r="C656" s="203"/>
      <c r="D656" s="203"/>
      <c r="E656" s="203"/>
      <c r="F656" s="203"/>
      <c r="G656" s="203"/>
      <c r="H656" s="203"/>
      <c r="I656" s="203"/>
      <c r="J656" s="203"/>
      <c r="K656" s="203"/>
      <c r="L656" s="203"/>
      <c r="M656" s="203"/>
      <c r="N656" s="203"/>
      <c r="O656" s="203"/>
      <c r="P656" s="203"/>
      <c r="Q656" s="203"/>
      <c r="R656" s="203"/>
      <c r="S656" s="203"/>
      <c r="T656" s="203"/>
      <c r="U656" s="203"/>
      <c r="V656" s="203"/>
      <c r="W656" s="203"/>
      <c r="X656" s="203"/>
      <c r="Y656" s="203"/>
      <c r="Z656" s="203"/>
      <c r="AA656" s="203"/>
      <c r="AB656" s="203"/>
      <c r="AC656" s="203"/>
      <c r="AD656" s="203"/>
      <c r="AE656" s="203"/>
      <c r="AF656" s="203"/>
      <c r="AG656" s="203"/>
      <c r="AH656" s="203"/>
      <c r="AI656" s="203"/>
      <c r="AJ656" s="203"/>
      <c r="AK656" s="203"/>
      <c r="AL656" s="203"/>
      <c r="AM656" s="203"/>
      <c r="AN656" s="203"/>
      <c r="AO656" s="203"/>
      <c r="AP656" s="203"/>
      <c r="AQ656" s="203"/>
      <c r="AR656" s="203"/>
      <c r="AS656" s="203"/>
      <c r="AT656" s="203"/>
      <c r="AU656" s="203"/>
      <c r="AV656" s="203"/>
      <c r="AW656" s="203"/>
      <c r="AX656" s="203"/>
      <c r="AY656" s="203"/>
      <c r="AZ656" s="203"/>
      <c r="BA656" s="203"/>
      <c r="BB656" s="203"/>
      <c r="BC656" s="203"/>
      <c r="BD656" s="203"/>
      <c r="BE656" s="203"/>
      <c r="BF656" s="203"/>
    </row>
    <row r="657" spans="1:58" s="15" customFormat="1" ht="14.1" customHeight="1">
      <c r="A657" s="247"/>
      <c r="B657" s="203"/>
      <c r="C657" s="203"/>
      <c r="D657" s="203"/>
      <c r="E657" s="203"/>
      <c r="F657" s="203"/>
      <c r="G657" s="203"/>
      <c r="H657" s="203"/>
      <c r="I657" s="203"/>
      <c r="J657" s="203"/>
      <c r="K657" s="203"/>
      <c r="L657" s="203"/>
      <c r="M657" s="203"/>
      <c r="N657" s="203"/>
      <c r="O657" s="203"/>
      <c r="P657" s="203"/>
      <c r="Q657" s="203"/>
      <c r="R657" s="203"/>
      <c r="S657" s="203"/>
      <c r="T657" s="203"/>
      <c r="U657" s="203"/>
      <c r="V657" s="203"/>
      <c r="W657" s="203"/>
      <c r="X657" s="203"/>
      <c r="Y657" s="203"/>
      <c r="Z657" s="203"/>
      <c r="AA657" s="203"/>
      <c r="AB657" s="203"/>
      <c r="AC657" s="203"/>
      <c r="AD657" s="203"/>
      <c r="AE657" s="203"/>
      <c r="AF657" s="203"/>
      <c r="AG657" s="203"/>
      <c r="AH657" s="203"/>
      <c r="AI657" s="203"/>
      <c r="AJ657" s="203"/>
      <c r="AK657" s="203"/>
      <c r="AL657" s="203"/>
      <c r="AM657" s="203"/>
      <c r="AN657" s="203"/>
      <c r="AO657" s="203"/>
      <c r="AP657" s="203"/>
      <c r="AQ657" s="203"/>
      <c r="AR657" s="203"/>
      <c r="AS657" s="203"/>
      <c r="AT657" s="203"/>
      <c r="AU657" s="203"/>
      <c r="AV657" s="203"/>
      <c r="AW657" s="203"/>
      <c r="AX657" s="203"/>
      <c r="AY657" s="203"/>
      <c r="AZ657" s="203"/>
      <c r="BA657" s="203"/>
      <c r="BB657" s="203"/>
      <c r="BC657" s="203"/>
      <c r="BD657" s="203"/>
      <c r="BE657" s="203"/>
      <c r="BF657" s="203"/>
    </row>
    <row r="658" spans="1:58" s="15" customFormat="1" ht="14.1" customHeight="1">
      <c r="A658" s="247"/>
      <c r="B658" s="203"/>
      <c r="C658" s="203"/>
      <c r="D658" s="203"/>
      <c r="E658" s="203"/>
      <c r="F658" s="203"/>
      <c r="G658" s="203"/>
      <c r="H658" s="203"/>
      <c r="I658" s="203"/>
      <c r="J658" s="203"/>
      <c r="K658" s="203"/>
      <c r="L658" s="203"/>
      <c r="M658" s="203"/>
      <c r="N658" s="203"/>
      <c r="O658" s="203"/>
      <c r="P658" s="203"/>
      <c r="Q658" s="203"/>
      <c r="R658" s="203"/>
      <c r="S658" s="203"/>
      <c r="T658" s="203"/>
      <c r="U658" s="203"/>
      <c r="V658" s="203"/>
      <c r="W658" s="203"/>
      <c r="X658" s="203"/>
      <c r="Y658" s="203"/>
      <c r="Z658" s="203"/>
      <c r="AA658" s="203"/>
      <c r="AB658" s="203"/>
      <c r="AC658" s="203"/>
      <c r="AD658" s="203"/>
      <c r="AE658" s="203"/>
      <c r="AF658" s="203"/>
      <c r="AG658" s="203"/>
      <c r="AH658" s="203"/>
      <c r="AI658" s="203"/>
      <c r="AJ658" s="203"/>
      <c r="AK658" s="203"/>
      <c r="AL658" s="203"/>
      <c r="AM658" s="203"/>
      <c r="AN658" s="203"/>
      <c r="AO658" s="203"/>
      <c r="AP658" s="203"/>
      <c r="AQ658" s="203"/>
      <c r="AR658" s="203"/>
      <c r="AS658" s="203"/>
      <c r="AT658" s="203"/>
      <c r="AU658" s="203"/>
      <c r="AV658" s="203"/>
      <c r="AW658" s="203"/>
      <c r="AX658" s="203"/>
      <c r="AY658" s="203"/>
      <c r="AZ658" s="203"/>
      <c r="BA658" s="203"/>
      <c r="BB658" s="203"/>
      <c r="BC658" s="203"/>
      <c r="BD658" s="203"/>
      <c r="BE658" s="203"/>
      <c r="BF658" s="203"/>
    </row>
    <row r="659" spans="1:58" s="15" customFormat="1" ht="14.1" customHeight="1">
      <c r="A659" s="247"/>
      <c r="B659" s="203"/>
      <c r="C659" s="203"/>
      <c r="D659" s="203"/>
      <c r="E659" s="203"/>
      <c r="F659" s="203"/>
      <c r="G659" s="203"/>
      <c r="H659" s="203"/>
      <c r="I659" s="203"/>
      <c r="J659" s="203"/>
      <c r="K659" s="203"/>
      <c r="L659" s="203"/>
      <c r="M659" s="203"/>
      <c r="N659" s="203"/>
      <c r="O659" s="203"/>
      <c r="P659" s="203"/>
      <c r="Q659" s="203"/>
      <c r="R659" s="203"/>
      <c r="S659" s="203"/>
      <c r="T659" s="203"/>
      <c r="U659" s="203"/>
      <c r="V659" s="203"/>
      <c r="W659" s="203"/>
      <c r="X659" s="203"/>
      <c r="Y659" s="203"/>
      <c r="Z659" s="203"/>
      <c r="AA659" s="203"/>
      <c r="AB659" s="203"/>
      <c r="AC659" s="203"/>
      <c r="AD659" s="203"/>
      <c r="AE659" s="203"/>
      <c r="AF659" s="203"/>
      <c r="AG659" s="203"/>
      <c r="AH659" s="203"/>
      <c r="AI659" s="203"/>
      <c r="AJ659" s="203"/>
      <c r="AK659" s="203"/>
      <c r="AL659" s="203"/>
      <c r="AM659" s="203"/>
      <c r="AN659" s="203"/>
      <c r="AO659" s="203"/>
      <c r="AP659" s="203"/>
      <c r="AQ659" s="203"/>
      <c r="AR659" s="203"/>
      <c r="AS659" s="203"/>
      <c r="AT659" s="203"/>
      <c r="AU659" s="203"/>
      <c r="AV659" s="203"/>
      <c r="AW659" s="203"/>
      <c r="AX659" s="203"/>
      <c r="AY659" s="203"/>
      <c r="AZ659" s="203"/>
      <c r="BA659" s="203"/>
      <c r="BB659" s="203"/>
      <c r="BC659" s="203"/>
      <c r="BD659" s="203"/>
      <c r="BE659" s="203"/>
      <c r="BF659" s="203"/>
    </row>
    <row r="660" spans="1:58" s="15" customFormat="1" ht="14.1" customHeight="1">
      <c r="A660" s="247"/>
      <c r="B660" s="203"/>
      <c r="C660" s="203"/>
      <c r="D660" s="203"/>
      <c r="E660" s="203"/>
      <c r="F660" s="203"/>
      <c r="G660" s="203"/>
      <c r="H660" s="203"/>
      <c r="I660" s="203"/>
      <c r="J660" s="203"/>
      <c r="K660" s="203"/>
      <c r="L660" s="203"/>
      <c r="M660" s="203"/>
      <c r="N660" s="203"/>
      <c r="O660" s="203"/>
      <c r="P660" s="203"/>
      <c r="Q660" s="203"/>
      <c r="R660" s="203"/>
      <c r="S660" s="203"/>
      <c r="T660" s="203"/>
      <c r="U660" s="203"/>
      <c r="V660" s="203"/>
      <c r="W660" s="203"/>
      <c r="X660" s="203"/>
      <c r="Y660" s="203"/>
      <c r="Z660" s="203"/>
      <c r="AA660" s="203"/>
      <c r="AB660" s="203"/>
      <c r="AC660" s="203"/>
      <c r="AD660" s="203"/>
      <c r="AE660" s="203"/>
      <c r="AF660" s="203"/>
      <c r="AG660" s="203"/>
      <c r="AH660" s="203"/>
      <c r="AI660" s="203"/>
      <c r="AJ660" s="203"/>
      <c r="AK660" s="203"/>
      <c r="AL660" s="203"/>
      <c r="AM660" s="203"/>
      <c r="AN660" s="203"/>
      <c r="AO660" s="203"/>
      <c r="AP660" s="203"/>
      <c r="AQ660" s="203"/>
      <c r="AR660" s="203"/>
      <c r="AS660" s="203"/>
      <c r="AT660" s="203"/>
      <c r="AU660" s="203"/>
      <c r="AV660" s="203"/>
      <c r="AW660" s="203"/>
      <c r="AX660" s="203"/>
      <c r="AY660" s="203"/>
      <c r="AZ660" s="203"/>
      <c r="BA660" s="203"/>
      <c r="BB660" s="203"/>
      <c r="BC660" s="203"/>
      <c r="BD660" s="203"/>
      <c r="BE660" s="203"/>
      <c r="BF660" s="203"/>
    </row>
    <row r="661" spans="1:58" s="15" customFormat="1" ht="14.1" customHeight="1">
      <c r="A661" s="247"/>
      <c r="B661" s="203"/>
      <c r="C661" s="203"/>
      <c r="D661" s="203"/>
      <c r="E661" s="203"/>
      <c r="F661" s="203"/>
      <c r="G661" s="203"/>
      <c r="H661" s="203"/>
      <c r="I661" s="203"/>
      <c r="J661" s="203"/>
      <c r="K661" s="203"/>
      <c r="L661" s="203"/>
      <c r="M661" s="203"/>
      <c r="N661" s="203"/>
      <c r="O661" s="203"/>
      <c r="P661" s="203"/>
      <c r="Q661" s="203"/>
      <c r="R661" s="203"/>
      <c r="S661" s="203"/>
      <c r="T661" s="203"/>
      <c r="U661" s="203"/>
      <c r="V661" s="203"/>
      <c r="W661" s="203"/>
      <c r="X661" s="203"/>
      <c r="Y661" s="203"/>
      <c r="Z661" s="203"/>
      <c r="AA661" s="203"/>
      <c r="AB661" s="203"/>
      <c r="AC661" s="203"/>
      <c r="AD661" s="203"/>
      <c r="AE661" s="203"/>
      <c r="AF661" s="203"/>
      <c r="AG661" s="203"/>
      <c r="AH661" s="203"/>
      <c r="AI661" s="203"/>
      <c r="AJ661" s="203"/>
      <c r="AK661" s="203"/>
      <c r="AL661" s="203"/>
      <c r="AM661" s="203"/>
      <c r="AN661" s="203"/>
      <c r="AO661" s="203"/>
      <c r="AP661" s="203"/>
      <c r="AQ661" s="203"/>
      <c r="AR661" s="203"/>
      <c r="AS661" s="203"/>
      <c r="AT661" s="203"/>
      <c r="AU661" s="203"/>
      <c r="AV661" s="203"/>
      <c r="AW661" s="203"/>
      <c r="AX661" s="203"/>
      <c r="AY661" s="203"/>
      <c r="AZ661" s="203"/>
      <c r="BA661" s="203"/>
      <c r="BB661" s="203"/>
      <c r="BC661" s="203"/>
      <c r="BD661" s="203"/>
      <c r="BE661" s="203"/>
      <c r="BF661" s="203"/>
    </row>
    <row r="662" spans="1:58" s="15" customFormat="1" ht="14.1" customHeight="1">
      <c r="A662" s="247"/>
      <c r="B662" s="203"/>
      <c r="C662" s="203"/>
      <c r="D662" s="203"/>
      <c r="E662" s="203"/>
      <c r="F662" s="203"/>
      <c r="G662" s="203"/>
      <c r="H662" s="203"/>
      <c r="I662" s="203"/>
      <c r="J662" s="203"/>
      <c r="K662" s="203"/>
      <c r="L662" s="203"/>
      <c r="M662" s="203"/>
      <c r="N662" s="203"/>
      <c r="O662" s="203"/>
      <c r="P662" s="203"/>
      <c r="Q662" s="203"/>
      <c r="R662" s="203"/>
      <c r="S662" s="203"/>
      <c r="T662" s="203"/>
      <c r="U662" s="203"/>
      <c r="V662" s="203"/>
      <c r="W662" s="203"/>
      <c r="X662" s="203"/>
      <c r="Y662" s="203"/>
      <c r="Z662" s="203"/>
      <c r="AA662" s="203"/>
      <c r="AB662" s="203"/>
      <c r="AC662" s="203"/>
      <c r="AD662" s="203"/>
      <c r="AE662" s="203"/>
      <c r="AF662" s="203"/>
      <c r="AG662" s="203"/>
      <c r="AH662" s="203"/>
      <c r="AI662" s="203"/>
      <c r="AJ662" s="203"/>
      <c r="AK662" s="203"/>
      <c r="AL662" s="203"/>
      <c r="AM662" s="203"/>
      <c r="AN662" s="203"/>
      <c r="AO662" s="203"/>
      <c r="AP662" s="203"/>
      <c r="AQ662" s="203"/>
      <c r="AR662" s="203"/>
      <c r="AS662" s="203"/>
      <c r="AT662" s="203"/>
      <c r="AU662" s="203"/>
      <c r="AV662" s="203"/>
      <c r="AW662" s="203"/>
      <c r="AX662" s="203"/>
      <c r="AY662" s="203"/>
      <c r="AZ662" s="203"/>
      <c r="BA662" s="203"/>
      <c r="BB662" s="203"/>
      <c r="BC662" s="203"/>
      <c r="BD662" s="203"/>
      <c r="BE662" s="203"/>
      <c r="BF662" s="203"/>
    </row>
    <row r="663" spans="1:58" s="15" customFormat="1" ht="14.1" customHeight="1">
      <c r="A663" s="247"/>
      <c r="B663" s="203"/>
      <c r="C663" s="203"/>
      <c r="D663" s="203"/>
      <c r="E663" s="203"/>
      <c r="F663" s="203"/>
      <c r="G663" s="203"/>
      <c r="H663" s="203"/>
      <c r="I663" s="203"/>
      <c r="J663" s="203"/>
      <c r="K663" s="203"/>
      <c r="L663" s="203"/>
      <c r="M663" s="203"/>
      <c r="N663" s="203"/>
      <c r="O663" s="203"/>
      <c r="P663" s="203"/>
      <c r="Q663" s="203"/>
      <c r="R663" s="203"/>
      <c r="S663" s="203"/>
      <c r="T663" s="203"/>
      <c r="U663" s="203"/>
      <c r="V663" s="203"/>
      <c r="W663" s="203"/>
      <c r="X663" s="203"/>
      <c r="Y663" s="203"/>
      <c r="Z663" s="203"/>
      <c r="AA663" s="203"/>
      <c r="AB663" s="203"/>
      <c r="AC663" s="203"/>
      <c r="AD663" s="203"/>
      <c r="AE663" s="203"/>
      <c r="AF663" s="203"/>
      <c r="AG663" s="203"/>
      <c r="AH663" s="203"/>
      <c r="AI663" s="203"/>
      <c r="AJ663" s="203"/>
      <c r="AK663" s="203"/>
      <c r="AL663" s="203"/>
      <c r="AM663" s="203"/>
      <c r="AN663" s="203"/>
      <c r="AO663" s="203"/>
      <c r="AP663" s="203"/>
      <c r="AQ663" s="203"/>
      <c r="AR663" s="203"/>
      <c r="AS663" s="203"/>
      <c r="AT663" s="203"/>
      <c r="AU663" s="203"/>
      <c r="AV663" s="203"/>
      <c r="AW663" s="203"/>
      <c r="AX663" s="203"/>
      <c r="AY663" s="203"/>
      <c r="AZ663" s="203"/>
      <c r="BA663" s="203"/>
      <c r="BB663" s="203"/>
      <c r="BC663" s="203"/>
      <c r="BD663" s="203"/>
      <c r="BE663" s="203"/>
      <c r="BF663" s="203"/>
    </row>
    <row r="664" spans="1:58" s="15" customFormat="1" ht="14.1" customHeight="1">
      <c r="A664" s="247"/>
      <c r="B664" s="203"/>
      <c r="C664" s="203"/>
      <c r="D664" s="203"/>
      <c r="E664" s="203"/>
      <c r="F664" s="203"/>
      <c r="G664" s="203"/>
      <c r="H664" s="203"/>
      <c r="I664" s="203"/>
      <c r="J664" s="203"/>
      <c r="K664" s="203"/>
      <c r="L664" s="203"/>
      <c r="M664" s="203"/>
      <c r="N664" s="203"/>
      <c r="O664" s="203"/>
      <c r="P664" s="203"/>
      <c r="Q664" s="203"/>
      <c r="R664" s="203"/>
      <c r="S664" s="203"/>
      <c r="T664" s="203"/>
      <c r="U664" s="203"/>
      <c r="V664" s="203"/>
      <c r="W664" s="203"/>
      <c r="X664" s="203"/>
      <c r="Y664" s="203"/>
      <c r="Z664" s="203"/>
      <c r="AA664" s="203"/>
      <c r="AB664" s="203"/>
      <c r="AC664" s="203"/>
      <c r="AD664" s="203"/>
      <c r="AE664" s="203"/>
      <c r="AF664" s="203"/>
      <c r="AG664" s="203"/>
      <c r="AH664" s="203"/>
      <c r="AI664" s="203"/>
      <c r="AJ664" s="203"/>
      <c r="AK664" s="203"/>
      <c r="AL664" s="203"/>
      <c r="AM664" s="203"/>
      <c r="AN664" s="203"/>
      <c r="AO664" s="203"/>
      <c r="AP664" s="203"/>
      <c r="AQ664" s="203"/>
      <c r="AR664" s="203"/>
      <c r="AS664" s="203"/>
      <c r="AT664" s="203"/>
      <c r="AU664" s="203"/>
      <c r="AV664" s="203"/>
      <c r="AW664" s="203"/>
      <c r="AX664" s="203"/>
      <c r="AY664" s="203"/>
      <c r="AZ664" s="203"/>
      <c r="BA664" s="203"/>
      <c r="BB664" s="203"/>
      <c r="BC664" s="203"/>
      <c r="BD664" s="203"/>
      <c r="BE664" s="203"/>
      <c r="BF664" s="203"/>
    </row>
    <row r="665" spans="1:58" s="15" customFormat="1" ht="14.1" customHeight="1">
      <c r="A665" s="247"/>
      <c r="B665" s="203"/>
      <c r="C665" s="203"/>
      <c r="D665" s="203"/>
      <c r="E665" s="203"/>
      <c r="F665" s="203"/>
      <c r="G665" s="203"/>
      <c r="H665" s="203"/>
      <c r="I665" s="203"/>
      <c r="J665" s="203"/>
      <c r="K665" s="203"/>
      <c r="L665" s="203"/>
      <c r="M665" s="203"/>
      <c r="N665" s="203"/>
      <c r="O665" s="203"/>
      <c r="P665" s="203"/>
      <c r="Q665" s="203"/>
      <c r="R665" s="203"/>
      <c r="S665" s="203"/>
      <c r="T665" s="203"/>
      <c r="U665" s="203"/>
      <c r="V665" s="203"/>
      <c r="W665" s="203"/>
      <c r="X665" s="203"/>
      <c r="Y665" s="203"/>
      <c r="Z665" s="203"/>
      <c r="AA665" s="203"/>
      <c r="AB665" s="203"/>
      <c r="AC665" s="203"/>
      <c r="AD665" s="203"/>
      <c r="AE665" s="203"/>
      <c r="AF665" s="203"/>
      <c r="AG665" s="203"/>
      <c r="AH665" s="203"/>
      <c r="AI665" s="203"/>
      <c r="AJ665" s="203"/>
      <c r="AK665" s="203"/>
      <c r="AL665" s="203"/>
      <c r="AM665" s="203"/>
      <c r="AN665" s="203"/>
      <c r="AO665" s="203"/>
      <c r="AP665" s="203"/>
      <c r="AQ665" s="203"/>
      <c r="AR665" s="203"/>
      <c r="AS665" s="203"/>
      <c r="AT665" s="203"/>
      <c r="AU665" s="203"/>
      <c r="AV665" s="203"/>
      <c r="AW665" s="203"/>
      <c r="AX665" s="203"/>
      <c r="AY665" s="203"/>
      <c r="AZ665" s="203"/>
      <c r="BA665" s="203"/>
      <c r="BB665" s="203"/>
      <c r="BC665" s="203"/>
      <c r="BD665" s="203"/>
      <c r="BE665" s="203"/>
      <c r="BF665" s="203"/>
    </row>
    <row r="666" spans="1:58" s="15" customFormat="1" ht="14.1" customHeight="1">
      <c r="A666" s="247"/>
      <c r="B666" s="203"/>
      <c r="C666" s="203"/>
      <c r="D666" s="203"/>
      <c r="E666" s="203"/>
      <c r="F666" s="203"/>
      <c r="G666" s="203"/>
      <c r="H666" s="203"/>
      <c r="I666" s="203"/>
      <c r="J666" s="203"/>
      <c r="K666" s="203"/>
      <c r="L666" s="203"/>
      <c r="M666" s="203"/>
      <c r="N666" s="203"/>
      <c r="O666" s="203"/>
      <c r="P666" s="203"/>
      <c r="Q666" s="203"/>
      <c r="R666" s="203"/>
      <c r="S666" s="203"/>
      <c r="T666" s="203"/>
      <c r="U666" s="203"/>
      <c r="V666" s="203"/>
      <c r="W666" s="203"/>
      <c r="X666" s="203"/>
      <c r="Y666" s="203"/>
      <c r="Z666" s="203"/>
      <c r="AA666" s="203"/>
      <c r="AB666" s="203"/>
      <c r="AC666" s="203"/>
      <c r="AD666" s="203"/>
      <c r="AE666" s="203"/>
      <c r="AF666" s="203"/>
      <c r="AG666" s="203"/>
      <c r="AH666" s="203"/>
      <c r="AI666" s="203"/>
      <c r="AJ666" s="203"/>
      <c r="AK666" s="203"/>
      <c r="AL666" s="203"/>
      <c r="AM666" s="203"/>
      <c r="AN666" s="203"/>
      <c r="AO666" s="203"/>
      <c r="AP666" s="203"/>
      <c r="AQ666" s="203"/>
      <c r="AR666" s="203"/>
      <c r="AS666" s="203"/>
      <c r="AT666" s="203"/>
      <c r="AU666" s="203"/>
      <c r="AV666" s="203"/>
      <c r="AW666" s="203"/>
      <c r="AX666" s="203"/>
      <c r="AY666" s="203"/>
      <c r="AZ666" s="203"/>
      <c r="BA666" s="203"/>
      <c r="BB666" s="203"/>
      <c r="BC666" s="203"/>
      <c r="BD666" s="203"/>
      <c r="BE666" s="203"/>
      <c r="BF666" s="203"/>
    </row>
    <row r="667" spans="1:58" s="15" customFormat="1" ht="14.1" customHeight="1">
      <c r="A667" s="247"/>
      <c r="B667" s="203"/>
      <c r="C667" s="203"/>
      <c r="D667" s="203"/>
      <c r="E667" s="203"/>
      <c r="F667" s="203"/>
      <c r="G667" s="203"/>
      <c r="H667" s="203"/>
      <c r="I667" s="203"/>
      <c r="J667" s="203"/>
      <c r="K667" s="203"/>
      <c r="L667" s="203"/>
      <c r="M667" s="203"/>
      <c r="N667" s="203"/>
      <c r="O667" s="203"/>
      <c r="P667" s="203"/>
      <c r="Q667" s="203"/>
      <c r="R667" s="203"/>
      <c r="S667" s="203"/>
      <c r="T667" s="203"/>
      <c r="U667" s="203"/>
      <c r="V667" s="203"/>
      <c r="W667" s="203"/>
      <c r="X667" s="203"/>
      <c r="Y667" s="203"/>
      <c r="Z667" s="203"/>
      <c r="AA667" s="203"/>
      <c r="AB667" s="203"/>
      <c r="AC667" s="203"/>
      <c r="AD667" s="203"/>
      <c r="AE667" s="203"/>
      <c r="AF667" s="203"/>
      <c r="AG667" s="203"/>
      <c r="AH667" s="203"/>
      <c r="AI667" s="203"/>
      <c r="AJ667" s="203"/>
      <c r="AK667" s="203"/>
      <c r="AL667" s="203"/>
      <c r="AM667" s="203"/>
      <c r="AN667" s="203"/>
      <c r="AO667" s="203"/>
      <c r="AP667" s="203"/>
      <c r="AQ667" s="203"/>
      <c r="AR667" s="203"/>
      <c r="AS667" s="203"/>
      <c r="AT667" s="203"/>
      <c r="AU667" s="203"/>
      <c r="AV667" s="203"/>
      <c r="AW667" s="203"/>
      <c r="AX667" s="203"/>
      <c r="AY667" s="203"/>
      <c r="AZ667" s="203"/>
      <c r="BA667" s="203"/>
      <c r="BB667" s="203"/>
      <c r="BC667" s="203"/>
      <c r="BD667" s="203"/>
      <c r="BE667" s="203"/>
      <c r="BF667" s="203"/>
    </row>
    <row r="668" spans="1:58" s="15" customFormat="1" ht="14.1" customHeight="1">
      <c r="A668" s="247"/>
      <c r="B668" s="203"/>
      <c r="C668" s="203"/>
      <c r="D668" s="203"/>
      <c r="E668" s="203"/>
      <c r="F668" s="203"/>
      <c r="G668" s="203"/>
      <c r="H668" s="203"/>
      <c r="I668" s="203"/>
      <c r="J668" s="203"/>
      <c r="K668" s="203"/>
      <c r="L668" s="203"/>
      <c r="M668" s="203"/>
      <c r="N668" s="203"/>
      <c r="O668" s="203"/>
      <c r="P668" s="203"/>
      <c r="Q668" s="203"/>
      <c r="R668" s="203"/>
      <c r="S668" s="203"/>
      <c r="T668" s="203"/>
      <c r="U668" s="203"/>
      <c r="V668" s="203"/>
      <c r="W668" s="203"/>
      <c r="X668" s="203"/>
      <c r="Y668" s="203"/>
      <c r="Z668" s="203"/>
      <c r="AA668" s="203"/>
      <c r="AB668" s="203"/>
      <c r="AC668" s="203"/>
      <c r="AD668" s="203"/>
      <c r="AE668" s="203"/>
      <c r="AF668" s="203"/>
      <c r="AG668" s="203"/>
      <c r="AH668" s="203"/>
      <c r="AI668" s="203"/>
      <c r="AJ668" s="203"/>
      <c r="AK668" s="203"/>
      <c r="AL668" s="203"/>
      <c r="AM668" s="203"/>
      <c r="AN668" s="203"/>
      <c r="AO668" s="203"/>
      <c r="AP668" s="203"/>
      <c r="AQ668" s="203"/>
      <c r="AR668" s="203"/>
      <c r="AS668" s="203"/>
      <c r="AT668" s="203"/>
      <c r="AU668" s="203"/>
      <c r="AV668" s="203"/>
      <c r="AW668" s="203"/>
      <c r="AX668" s="203"/>
      <c r="AY668" s="203"/>
      <c r="AZ668" s="203"/>
      <c r="BA668" s="203"/>
      <c r="BB668" s="203"/>
      <c r="BC668" s="203"/>
      <c r="BD668" s="203"/>
      <c r="BE668" s="203"/>
      <c r="BF668" s="203"/>
    </row>
    <row r="669" spans="1:58" s="15" customFormat="1" ht="14.1" customHeight="1">
      <c r="A669" s="247"/>
      <c r="B669" s="203"/>
      <c r="C669" s="203"/>
      <c r="D669" s="203"/>
      <c r="E669" s="203"/>
      <c r="F669" s="203"/>
      <c r="G669" s="203"/>
      <c r="H669" s="203"/>
      <c r="I669" s="203"/>
      <c r="J669" s="203"/>
      <c r="K669" s="203"/>
      <c r="L669" s="203"/>
      <c r="M669" s="203"/>
      <c r="N669" s="203"/>
      <c r="O669" s="203"/>
      <c r="P669" s="203"/>
      <c r="Q669" s="203"/>
      <c r="R669" s="203"/>
      <c r="S669" s="203"/>
      <c r="T669" s="203"/>
      <c r="U669" s="203"/>
      <c r="V669" s="203"/>
      <c r="W669" s="203"/>
      <c r="X669" s="203"/>
      <c r="Y669" s="203"/>
      <c r="Z669" s="203"/>
      <c r="AA669" s="203"/>
      <c r="AB669" s="203"/>
      <c r="AC669" s="203"/>
      <c r="AD669" s="203"/>
      <c r="AE669" s="203"/>
      <c r="AF669" s="203"/>
      <c r="AG669" s="203"/>
      <c r="AH669" s="203"/>
      <c r="AI669" s="203"/>
      <c r="AJ669" s="203"/>
      <c r="AK669" s="203"/>
      <c r="AL669" s="203"/>
      <c r="AM669" s="203"/>
      <c r="AN669" s="203"/>
      <c r="AO669" s="203"/>
      <c r="AP669" s="203"/>
      <c r="AQ669" s="203"/>
      <c r="AR669" s="203"/>
      <c r="AS669" s="203"/>
      <c r="AT669" s="203"/>
      <c r="AU669" s="203"/>
      <c r="AV669" s="203"/>
      <c r="AW669" s="203"/>
      <c r="AX669" s="203"/>
      <c r="AY669" s="203"/>
      <c r="AZ669" s="203"/>
      <c r="BA669" s="203"/>
      <c r="BB669" s="203"/>
      <c r="BC669" s="203"/>
      <c r="BD669" s="203"/>
      <c r="BE669" s="203"/>
      <c r="BF669" s="203"/>
    </row>
    <row r="670" spans="1:58" s="15" customFormat="1" ht="14.1" customHeight="1">
      <c r="A670" s="247"/>
      <c r="B670" s="203"/>
      <c r="C670" s="203"/>
      <c r="D670" s="203"/>
      <c r="E670" s="203"/>
      <c r="F670" s="203"/>
      <c r="G670" s="203"/>
      <c r="H670" s="203"/>
      <c r="I670" s="203"/>
      <c r="J670" s="203"/>
      <c r="K670" s="203"/>
      <c r="L670" s="203"/>
      <c r="M670" s="203"/>
      <c r="N670" s="203"/>
      <c r="O670" s="203"/>
      <c r="P670" s="203"/>
      <c r="Q670" s="203"/>
      <c r="R670" s="203"/>
      <c r="S670" s="203"/>
      <c r="T670" s="203"/>
      <c r="U670" s="203"/>
      <c r="V670" s="203"/>
      <c r="W670" s="203"/>
      <c r="X670" s="203"/>
      <c r="Y670" s="203"/>
      <c r="Z670" s="203"/>
      <c r="AA670" s="203"/>
      <c r="AB670" s="203"/>
      <c r="AC670" s="203"/>
      <c r="AD670" s="203"/>
      <c r="AE670" s="203"/>
      <c r="AF670" s="203"/>
      <c r="AG670" s="203"/>
      <c r="AH670" s="203"/>
      <c r="AI670" s="203"/>
      <c r="AJ670" s="203"/>
      <c r="AK670" s="203"/>
      <c r="AL670" s="203"/>
      <c r="AM670" s="203"/>
      <c r="AN670" s="203"/>
      <c r="AO670" s="203"/>
      <c r="AP670" s="203"/>
      <c r="AQ670" s="203"/>
      <c r="AR670" s="203"/>
      <c r="AS670" s="203"/>
      <c r="AT670" s="203"/>
      <c r="AU670" s="203"/>
      <c r="AV670" s="203"/>
      <c r="AW670" s="203"/>
      <c r="AX670" s="203"/>
      <c r="AY670" s="203"/>
      <c r="AZ670" s="203"/>
      <c r="BA670" s="203"/>
      <c r="BB670" s="203"/>
      <c r="BC670" s="203"/>
      <c r="BD670" s="203"/>
      <c r="BE670" s="203"/>
      <c r="BF670" s="203"/>
    </row>
    <row r="671" spans="1:58" s="15" customFormat="1" ht="14.1" customHeight="1">
      <c r="A671" s="247"/>
      <c r="B671" s="203"/>
      <c r="C671" s="203"/>
      <c r="D671" s="203"/>
      <c r="E671" s="203"/>
      <c r="F671" s="203"/>
      <c r="G671" s="203"/>
      <c r="H671" s="203"/>
      <c r="I671" s="203"/>
      <c r="J671" s="203"/>
      <c r="K671" s="203"/>
      <c r="L671" s="203"/>
      <c r="M671" s="203"/>
      <c r="N671" s="203"/>
      <c r="O671" s="203"/>
      <c r="P671" s="203"/>
      <c r="Q671" s="203"/>
      <c r="R671" s="203"/>
      <c r="S671" s="203"/>
      <c r="T671" s="203"/>
      <c r="U671" s="203"/>
      <c r="V671" s="203"/>
      <c r="W671" s="203"/>
      <c r="X671" s="203"/>
      <c r="Y671" s="203"/>
      <c r="Z671" s="203"/>
      <c r="AA671" s="203"/>
      <c r="AB671" s="203"/>
      <c r="AC671" s="203"/>
      <c r="AD671" s="203"/>
      <c r="AE671" s="203"/>
      <c r="AF671" s="203"/>
      <c r="AG671" s="203"/>
      <c r="AH671" s="203"/>
      <c r="AI671" s="203"/>
      <c r="AJ671" s="203"/>
      <c r="AK671" s="203"/>
      <c r="AL671" s="203"/>
      <c r="AM671" s="203"/>
      <c r="AN671" s="203"/>
      <c r="AO671" s="203"/>
      <c r="AP671" s="203"/>
      <c r="AQ671" s="203"/>
      <c r="AR671" s="203"/>
      <c r="AS671" s="203"/>
      <c r="AT671" s="203"/>
      <c r="AU671" s="203"/>
      <c r="AV671" s="203"/>
      <c r="AW671" s="203"/>
      <c r="AX671" s="203"/>
      <c r="AY671" s="203"/>
      <c r="AZ671" s="203"/>
      <c r="BA671" s="203"/>
      <c r="BB671" s="203"/>
      <c r="BC671" s="203"/>
      <c r="BD671" s="203"/>
      <c r="BE671" s="203"/>
      <c r="BF671" s="203"/>
    </row>
    <row r="672" spans="1:58" s="15" customFormat="1" ht="14.1" customHeight="1">
      <c r="A672" s="247"/>
      <c r="B672" s="203"/>
      <c r="C672" s="203"/>
      <c r="D672" s="203"/>
      <c r="E672" s="203"/>
      <c r="F672" s="203"/>
      <c r="G672" s="203"/>
      <c r="H672" s="203"/>
      <c r="I672" s="203"/>
      <c r="J672" s="203"/>
      <c r="K672" s="203"/>
      <c r="L672" s="203"/>
      <c r="M672" s="203"/>
      <c r="N672" s="203"/>
      <c r="O672" s="203"/>
      <c r="P672" s="203"/>
      <c r="Q672" s="203"/>
      <c r="R672" s="203"/>
      <c r="S672" s="203"/>
      <c r="T672" s="203"/>
      <c r="U672" s="203"/>
      <c r="V672" s="203"/>
      <c r="W672" s="203"/>
      <c r="X672" s="203"/>
      <c r="Y672" s="203"/>
      <c r="Z672" s="203"/>
      <c r="AA672" s="203"/>
      <c r="AB672" s="203"/>
      <c r="AC672" s="203"/>
      <c r="AD672" s="203"/>
      <c r="AE672" s="203"/>
      <c r="AF672" s="203"/>
      <c r="AG672" s="203"/>
      <c r="AH672" s="203"/>
      <c r="AI672" s="203"/>
      <c r="AJ672" s="203"/>
      <c r="AK672" s="203"/>
      <c r="AL672" s="203"/>
      <c r="AM672" s="203"/>
      <c r="AN672" s="203"/>
      <c r="AO672" s="203"/>
      <c r="AP672" s="203"/>
      <c r="AQ672" s="203"/>
      <c r="AR672" s="203"/>
      <c r="AS672" s="203"/>
      <c r="AT672" s="203"/>
      <c r="AU672" s="203"/>
      <c r="AV672" s="203"/>
      <c r="AW672" s="203"/>
      <c r="AX672" s="203"/>
      <c r="AY672" s="203"/>
      <c r="AZ672" s="203"/>
      <c r="BA672" s="203"/>
      <c r="BB672" s="203"/>
      <c r="BC672" s="203"/>
      <c r="BD672" s="203"/>
      <c r="BE672" s="203"/>
      <c r="BF672" s="203"/>
    </row>
    <row r="673" spans="1:58" s="15" customFormat="1" ht="14.1" customHeight="1">
      <c r="A673" s="247"/>
      <c r="B673" s="203"/>
      <c r="C673" s="203"/>
      <c r="D673" s="203"/>
      <c r="E673" s="203"/>
      <c r="F673" s="203"/>
      <c r="G673" s="203"/>
      <c r="H673" s="203"/>
      <c r="I673" s="203"/>
      <c r="J673" s="203"/>
      <c r="K673" s="203"/>
      <c r="L673" s="203"/>
      <c r="M673" s="203"/>
      <c r="N673" s="203"/>
      <c r="O673" s="203"/>
      <c r="P673" s="203"/>
      <c r="Q673" s="203"/>
      <c r="R673" s="203"/>
      <c r="S673" s="203"/>
      <c r="T673" s="203"/>
      <c r="U673" s="203"/>
      <c r="V673" s="203"/>
      <c r="W673" s="203"/>
      <c r="X673" s="203"/>
      <c r="Y673" s="203"/>
      <c r="Z673" s="203"/>
      <c r="AA673" s="203"/>
      <c r="AB673" s="203"/>
      <c r="AC673" s="203"/>
      <c r="AD673" s="203"/>
      <c r="AE673" s="203"/>
      <c r="AF673" s="203"/>
      <c r="AG673" s="203"/>
      <c r="AH673" s="203"/>
      <c r="AI673" s="203"/>
      <c r="AJ673" s="203"/>
      <c r="AK673" s="203"/>
      <c r="AL673" s="203"/>
      <c r="AM673" s="203"/>
      <c r="AN673" s="203"/>
      <c r="AO673" s="203"/>
      <c r="AP673" s="203"/>
      <c r="AQ673" s="203"/>
      <c r="AR673" s="203"/>
      <c r="AS673" s="203"/>
      <c r="AT673" s="203"/>
      <c r="AU673" s="203"/>
      <c r="AV673" s="203"/>
      <c r="AW673" s="203"/>
      <c r="AX673" s="203"/>
      <c r="AY673" s="203"/>
      <c r="AZ673" s="203"/>
      <c r="BA673" s="203"/>
      <c r="BB673" s="203"/>
      <c r="BC673" s="203"/>
      <c r="BD673" s="203"/>
      <c r="BE673" s="203"/>
      <c r="BF673" s="203"/>
    </row>
    <row r="674" spans="1:58" s="15" customFormat="1" ht="14.1" customHeight="1">
      <c r="A674" s="247"/>
      <c r="B674" s="203"/>
      <c r="C674" s="203"/>
      <c r="D674" s="203"/>
      <c r="E674" s="203"/>
      <c r="F674" s="203"/>
      <c r="G674" s="203"/>
      <c r="H674" s="203"/>
      <c r="I674" s="203"/>
      <c r="J674" s="203"/>
      <c r="K674" s="203"/>
      <c r="L674" s="203"/>
      <c r="M674" s="203"/>
      <c r="N674" s="203"/>
      <c r="O674" s="203"/>
      <c r="P674" s="203"/>
      <c r="Q674" s="203"/>
      <c r="R674" s="203"/>
      <c r="S674" s="203"/>
      <c r="T674" s="203"/>
      <c r="U674" s="203"/>
      <c r="V674" s="203"/>
      <c r="W674" s="203"/>
      <c r="X674" s="203"/>
      <c r="Y674" s="203"/>
      <c r="Z674" s="203"/>
      <c r="AA674" s="203"/>
      <c r="AB674" s="203"/>
      <c r="AC674" s="203"/>
      <c r="AD674" s="203"/>
      <c r="AE674" s="203"/>
      <c r="AF674" s="203"/>
      <c r="AG674" s="203"/>
      <c r="AH674" s="203"/>
      <c r="AI674" s="203"/>
      <c r="AJ674" s="203"/>
      <c r="AK674" s="203"/>
      <c r="AL674" s="203"/>
      <c r="AM674" s="203"/>
      <c r="AN674" s="203"/>
      <c r="AO674" s="203"/>
      <c r="AP674" s="203"/>
      <c r="AQ674" s="203"/>
      <c r="AR674" s="203"/>
      <c r="AS674" s="203"/>
      <c r="AT674" s="203"/>
      <c r="AU674" s="203"/>
      <c r="AV674" s="203"/>
      <c r="AW674" s="203"/>
      <c r="AX674" s="203"/>
      <c r="AY674" s="203"/>
      <c r="AZ674" s="203"/>
      <c r="BA674" s="203"/>
      <c r="BB674" s="203"/>
      <c r="BC674" s="203"/>
      <c r="BD674" s="203"/>
      <c r="BE674" s="203"/>
      <c r="BF674" s="203"/>
    </row>
    <row r="675" spans="1:58" s="15" customFormat="1" ht="14.1" customHeight="1">
      <c r="A675" s="247"/>
      <c r="B675" s="203"/>
      <c r="C675" s="203"/>
      <c r="D675" s="203"/>
      <c r="E675" s="203"/>
      <c r="F675" s="203"/>
      <c r="G675" s="203"/>
      <c r="H675" s="203"/>
      <c r="I675" s="203"/>
      <c r="J675" s="203"/>
      <c r="K675" s="203"/>
      <c r="L675" s="203"/>
      <c r="M675" s="203"/>
      <c r="N675" s="203"/>
      <c r="O675" s="203"/>
      <c r="P675" s="203"/>
      <c r="Q675" s="203"/>
      <c r="R675" s="203"/>
      <c r="S675" s="203"/>
      <c r="T675" s="203"/>
      <c r="U675" s="203"/>
      <c r="V675" s="203"/>
      <c r="W675" s="203"/>
      <c r="X675" s="203"/>
      <c r="Y675" s="203"/>
      <c r="Z675" s="203"/>
      <c r="AA675" s="203"/>
      <c r="AB675" s="203"/>
      <c r="AC675" s="203"/>
      <c r="AD675" s="203"/>
      <c r="AE675" s="203"/>
      <c r="AF675" s="203"/>
      <c r="AG675" s="203"/>
      <c r="AH675" s="203"/>
      <c r="AI675" s="203"/>
      <c r="AJ675" s="203"/>
      <c r="AK675" s="203"/>
      <c r="AL675" s="203"/>
      <c r="AM675" s="203"/>
      <c r="AN675" s="203"/>
      <c r="AO675" s="203"/>
      <c r="AP675" s="203"/>
      <c r="AQ675" s="203"/>
      <c r="AR675" s="203"/>
      <c r="AS675" s="203"/>
      <c r="AT675" s="203"/>
      <c r="AU675" s="203"/>
      <c r="AV675" s="203"/>
      <c r="AW675" s="203"/>
      <c r="AX675" s="203"/>
      <c r="AY675" s="203"/>
      <c r="AZ675" s="203"/>
      <c r="BA675" s="203"/>
      <c r="BB675" s="203"/>
      <c r="BC675" s="203"/>
      <c r="BD675" s="203"/>
      <c r="BE675" s="203"/>
      <c r="BF675" s="203"/>
    </row>
    <row r="676" spans="1:58" s="15" customFormat="1" ht="14.1" customHeight="1">
      <c r="A676" s="247"/>
      <c r="B676" s="203"/>
      <c r="C676" s="203"/>
      <c r="D676" s="203"/>
      <c r="E676" s="203"/>
      <c r="F676" s="203"/>
      <c r="G676" s="203"/>
      <c r="H676" s="203"/>
      <c r="I676" s="203"/>
      <c r="J676" s="203"/>
      <c r="K676" s="203"/>
      <c r="L676" s="203"/>
      <c r="M676" s="203"/>
      <c r="N676" s="203"/>
      <c r="O676" s="203"/>
      <c r="P676" s="203"/>
      <c r="Q676" s="203"/>
      <c r="R676" s="203"/>
      <c r="S676" s="203"/>
      <c r="T676" s="203"/>
      <c r="U676" s="203"/>
      <c r="V676" s="203"/>
      <c r="W676" s="203"/>
      <c r="X676" s="203"/>
      <c r="Y676" s="203"/>
      <c r="Z676" s="203"/>
      <c r="AA676" s="203"/>
      <c r="AB676" s="203"/>
      <c r="AC676" s="203"/>
      <c r="AD676" s="203"/>
      <c r="AE676" s="203"/>
      <c r="AF676" s="203"/>
      <c r="AG676" s="203"/>
      <c r="AH676" s="203"/>
      <c r="AI676" s="203"/>
      <c r="AJ676" s="203"/>
      <c r="AK676" s="203"/>
      <c r="AL676" s="203"/>
      <c r="AM676" s="203"/>
      <c r="AN676" s="203"/>
      <c r="AO676" s="203"/>
      <c r="AP676" s="203"/>
      <c r="AQ676" s="203"/>
      <c r="AR676" s="203"/>
      <c r="AS676" s="203"/>
      <c r="AT676" s="203"/>
      <c r="AU676" s="203"/>
      <c r="AV676" s="203"/>
      <c r="AW676" s="203"/>
      <c r="AX676" s="203"/>
      <c r="AY676" s="203"/>
      <c r="AZ676" s="203"/>
      <c r="BA676" s="203"/>
      <c r="BB676" s="203"/>
      <c r="BC676" s="203"/>
      <c r="BD676" s="203"/>
      <c r="BE676" s="203"/>
      <c r="BF676" s="203"/>
    </row>
    <row r="677" spans="1:58" s="15" customFormat="1" ht="14.1" customHeight="1">
      <c r="A677" s="247"/>
      <c r="B677" s="203"/>
      <c r="C677" s="203"/>
      <c r="D677" s="203"/>
      <c r="E677" s="203"/>
      <c r="F677" s="203"/>
      <c r="G677" s="203"/>
      <c r="H677" s="203"/>
      <c r="I677" s="203"/>
      <c r="J677" s="203"/>
      <c r="K677" s="203"/>
      <c r="L677" s="203"/>
      <c r="M677" s="203"/>
      <c r="N677" s="203"/>
      <c r="O677" s="203"/>
      <c r="P677" s="203"/>
      <c r="Q677" s="203"/>
      <c r="R677" s="203"/>
      <c r="S677" s="203"/>
      <c r="T677" s="203"/>
      <c r="U677" s="203"/>
      <c r="V677" s="203"/>
      <c r="W677" s="203"/>
      <c r="X677" s="203"/>
      <c r="Y677" s="203"/>
      <c r="Z677" s="203"/>
      <c r="AA677" s="203"/>
      <c r="AB677" s="203"/>
      <c r="AC677" s="203"/>
      <c r="AD677" s="203"/>
      <c r="AE677" s="203"/>
      <c r="AF677" s="203"/>
      <c r="AG677" s="203"/>
      <c r="AH677" s="203"/>
      <c r="AI677" s="203"/>
      <c r="AJ677" s="203"/>
      <c r="AK677" s="203"/>
      <c r="AL677" s="203"/>
      <c r="AM677" s="203"/>
      <c r="AN677" s="203"/>
      <c r="AO677" s="203"/>
      <c r="AP677" s="203"/>
      <c r="AQ677" s="203"/>
      <c r="AR677" s="203"/>
      <c r="AS677" s="203"/>
      <c r="AT677" s="203"/>
      <c r="AU677" s="203"/>
      <c r="AV677" s="203"/>
      <c r="AW677" s="203"/>
      <c r="AX677" s="203"/>
      <c r="AY677" s="203"/>
      <c r="AZ677" s="203"/>
      <c r="BA677" s="203"/>
      <c r="BB677" s="203"/>
      <c r="BC677" s="203"/>
      <c r="BD677" s="203"/>
      <c r="BE677" s="203"/>
      <c r="BF677" s="203"/>
    </row>
    <row r="678" spans="1:58" s="15" customFormat="1" ht="14.1" customHeight="1">
      <c r="A678" s="247"/>
      <c r="B678" s="203"/>
      <c r="C678" s="203"/>
      <c r="D678" s="203"/>
      <c r="E678" s="203"/>
      <c r="F678" s="203"/>
      <c r="G678" s="203"/>
      <c r="H678" s="203"/>
      <c r="I678" s="203"/>
      <c r="J678" s="203"/>
      <c r="K678" s="203"/>
      <c r="L678" s="203"/>
      <c r="M678" s="203"/>
      <c r="N678" s="203"/>
      <c r="O678" s="203"/>
      <c r="P678" s="203"/>
      <c r="Q678" s="203"/>
      <c r="R678" s="203"/>
      <c r="S678" s="203"/>
      <c r="T678" s="203"/>
      <c r="U678" s="203"/>
      <c r="V678" s="203"/>
      <c r="W678" s="203"/>
      <c r="X678" s="203"/>
      <c r="Y678" s="203"/>
      <c r="Z678" s="203"/>
      <c r="AA678" s="203"/>
      <c r="AB678" s="203"/>
      <c r="AC678" s="203"/>
      <c r="AD678" s="203"/>
      <c r="AE678" s="203"/>
      <c r="AF678" s="203"/>
      <c r="AG678" s="203"/>
      <c r="AH678" s="203"/>
      <c r="AI678" s="203"/>
      <c r="AJ678" s="203"/>
      <c r="AK678" s="203"/>
      <c r="AL678" s="203"/>
      <c r="AM678" s="203"/>
      <c r="AN678" s="203"/>
      <c r="AO678" s="203"/>
      <c r="AP678" s="203"/>
      <c r="AQ678" s="203"/>
      <c r="AR678" s="203"/>
      <c r="AS678" s="203"/>
      <c r="AT678" s="203"/>
      <c r="AU678" s="203"/>
      <c r="AV678" s="203"/>
      <c r="AW678" s="203"/>
      <c r="AX678" s="203"/>
      <c r="AY678" s="203"/>
      <c r="AZ678" s="203"/>
      <c r="BA678" s="203"/>
      <c r="BB678" s="203"/>
      <c r="BC678" s="203"/>
      <c r="BD678" s="203"/>
      <c r="BE678" s="203"/>
      <c r="BF678" s="203"/>
    </row>
    <row r="679" spans="1:58" s="15" customFormat="1" ht="14.1" customHeight="1">
      <c r="A679" s="247"/>
      <c r="B679" s="203"/>
      <c r="C679" s="203"/>
      <c r="D679" s="203"/>
      <c r="E679" s="203"/>
      <c r="F679" s="203"/>
      <c r="G679" s="203"/>
      <c r="H679" s="203"/>
      <c r="I679" s="203"/>
      <c r="J679" s="203"/>
      <c r="K679" s="203"/>
      <c r="L679" s="203"/>
      <c r="M679" s="203"/>
      <c r="N679" s="203"/>
      <c r="O679" s="203"/>
      <c r="P679" s="203"/>
      <c r="Q679" s="203"/>
      <c r="R679" s="203"/>
      <c r="S679" s="203"/>
      <c r="T679" s="203"/>
      <c r="U679" s="203"/>
      <c r="V679" s="203"/>
      <c r="W679" s="203"/>
      <c r="X679" s="203"/>
      <c r="Y679" s="203"/>
      <c r="Z679" s="203"/>
      <c r="AA679" s="203"/>
      <c r="AB679" s="203"/>
      <c r="AC679" s="203"/>
      <c r="AD679" s="203"/>
      <c r="AE679" s="203"/>
      <c r="AF679" s="203"/>
      <c r="AG679" s="203"/>
      <c r="AH679" s="203"/>
      <c r="AI679" s="203"/>
      <c r="AJ679" s="203"/>
      <c r="AK679" s="203"/>
      <c r="AL679" s="203"/>
      <c r="AM679" s="203"/>
      <c r="AN679" s="203"/>
      <c r="AO679" s="203"/>
      <c r="AP679" s="203"/>
      <c r="AQ679" s="203"/>
      <c r="AR679" s="203"/>
      <c r="AS679" s="203"/>
      <c r="AT679" s="203"/>
      <c r="AU679" s="203"/>
      <c r="AV679" s="203"/>
      <c r="AW679" s="203"/>
      <c r="AX679" s="203"/>
      <c r="AY679" s="203"/>
      <c r="AZ679" s="203"/>
      <c r="BA679" s="203"/>
      <c r="BB679" s="203"/>
      <c r="BC679" s="203"/>
      <c r="BD679" s="203"/>
      <c r="BE679" s="203"/>
      <c r="BF679" s="203"/>
    </row>
    <row r="680" spans="1:58" s="15" customFormat="1" ht="14.1" customHeight="1">
      <c r="A680" s="247"/>
      <c r="B680" s="203"/>
      <c r="C680" s="203"/>
      <c r="D680" s="203"/>
      <c r="E680" s="203"/>
      <c r="F680" s="203"/>
      <c r="G680" s="203"/>
      <c r="H680" s="203"/>
      <c r="I680" s="203"/>
      <c r="J680" s="203"/>
      <c r="K680" s="203"/>
      <c r="L680" s="203"/>
      <c r="M680" s="203"/>
      <c r="N680" s="203"/>
      <c r="O680" s="203"/>
      <c r="P680" s="203"/>
      <c r="Q680" s="203"/>
      <c r="R680" s="203"/>
      <c r="S680" s="203"/>
      <c r="T680" s="203"/>
      <c r="U680" s="203"/>
      <c r="V680" s="203"/>
      <c r="W680" s="203"/>
      <c r="X680" s="203"/>
      <c r="Y680" s="203"/>
      <c r="Z680" s="203"/>
      <c r="AA680" s="203"/>
      <c r="AB680" s="203"/>
      <c r="AC680" s="203"/>
      <c r="AD680" s="203"/>
      <c r="AE680" s="203"/>
      <c r="AF680" s="203"/>
      <c r="AG680" s="203"/>
      <c r="AH680" s="203"/>
      <c r="AI680" s="203"/>
      <c r="AJ680" s="203"/>
      <c r="AK680" s="203"/>
      <c r="AL680" s="203"/>
      <c r="AM680" s="203"/>
      <c r="AN680" s="203"/>
      <c r="AO680" s="203"/>
      <c r="AP680" s="203"/>
      <c r="AQ680" s="203"/>
      <c r="AR680" s="203"/>
      <c r="AS680" s="203"/>
      <c r="AT680" s="203"/>
      <c r="AU680" s="203"/>
      <c r="AV680" s="203"/>
      <c r="AW680" s="203"/>
      <c r="AX680" s="203"/>
      <c r="AY680" s="203"/>
      <c r="AZ680" s="203"/>
      <c r="BA680" s="203"/>
      <c r="BB680" s="203"/>
      <c r="BC680" s="203"/>
      <c r="BD680" s="203"/>
      <c r="BE680" s="203"/>
      <c r="BF680" s="203"/>
    </row>
    <row r="681" spans="1:58" s="15" customFormat="1" ht="14.1" customHeight="1">
      <c r="A681" s="247"/>
      <c r="B681" s="203"/>
      <c r="C681" s="203"/>
      <c r="D681" s="203"/>
      <c r="E681" s="203"/>
      <c r="F681" s="203"/>
      <c r="G681" s="203"/>
      <c r="H681" s="203"/>
      <c r="I681" s="203"/>
      <c r="J681" s="203"/>
      <c r="K681" s="203"/>
      <c r="L681" s="203"/>
      <c r="M681" s="203"/>
      <c r="N681" s="203"/>
      <c r="O681" s="203"/>
      <c r="P681" s="203"/>
      <c r="Q681" s="203"/>
      <c r="R681" s="203"/>
      <c r="S681" s="203"/>
      <c r="T681" s="203"/>
      <c r="U681" s="203"/>
      <c r="V681" s="203"/>
      <c r="W681" s="203"/>
      <c r="X681" s="203"/>
      <c r="Y681" s="203"/>
      <c r="Z681" s="203"/>
      <c r="AA681" s="203"/>
      <c r="AB681" s="203"/>
      <c r="AC681" s="203"/>
      <c r="AD681" s="203"/>
      <c r="AE681" s="203"/>
      <c r="AF681" s="203"/>
      <c r="AG681" s="203"/>
      <c r="AH681" s="203"/>
      <c r="AI681" s="203"/>
      <c r="AJ681" s="203"/>
      <c r="AK681" s="203"/>
      <c r="AL681" s="203"/>
      <c r="AM681" s="203"/>
      <c r="AN681" s="203"/>
      <c r="AO681" s="203"/>
      <c r="AP681" s="203"/>
      <c r="AQ681" s="203"/>
      <c r="AR681" s="203"/>
      <c r="AS681" s="203"/>
      <c r="AT681" s="203"/>
      <c r="AU681" s="203"/>
      <c r="AV681" s="203"/>
      <c r="AW681" s="203"/>
      <c r="AX681" s="203"/>
      <c r="AY681" s="203"/>
      <c r="AZ681" s="203"/>
      <c r="BA681" s="203"/>
      <c r="BB681" s="203"/>
      <c r="BC681" s="203"/>
      <c r="BD681" s="203"/>
      <c r="BE681" s="203"/>
      <c r="BF681" s="203"/>
    </row>
    <row r="682" spans="1:58" s="15" customFormat="1" ht="14.1" customHeight="1">
      <c r="A682" s="247"/>
      <c r="B682" s="203"/>
      <c r="C682" s="203"/>
      <c r="D682" s="203"/>
      <c r="E682" s="203"/>
      <c r="F682" s="203"/>
      <c r="G682" s="203"/>
      <c r="H682" s="203"/>
      <c r="I682" s="203"/>
      <c r="J682" s="203"/>
      <c r="K682" s="203"/>
      <c r="L682" s="203"/>
      <c r="M682" s="203"/>
      <c r="N682" s="203"/>
      <c r="O682" s="203"/>
      <c r="P682" s="203"/>
      <c r="Q682" s="203"/>
      <c r="R682" s="203"/>
      <c r="S682" s="203"/>
      <c r="T682" s="203"/>
      <c r="U682" s="203"/>
      <c r="V682" s="203"/>
      <c r="W682" s="203"/>
      <c r="X682" s="203"/>
      <c r="Y682" s="203"/>
      <c r="Z682" s="203"/>
      <c r="AA682" s="203"/>
      <c r="AB682" s="203"/>
      <c r="AC682" s="203"/>
      <c r="AD682" s="203"/>
      <c r="AE682" s="203"/>
      <c r="AF682" s="203"/>
      <c r="AG682" s="203"/>
      <c r="AH682" s="203"/>
      <c r="AI682" s="203"/>
      <c r="AJ682" s="203"/>
      <c r="AK682" s="203"/>
      <c r="AL682" s="203"/>
      <c r="AM682" s="203"/>
      <c r="AN682" s="203"/>
      <c r="AO682" s="203"/>
      <c r="AP682" s="203"/>
      <c r="AQ682" s="203"/>
      <c r="AR682" s="203"/>
      <c r="AS682" s="203"/>
      <c r="AT682" s="203"/>
      <c r="AU682" s="203"/>
      <c r="AV682" s="203"/>
      <c r="AW682" s="203"/>
      <c r="AX682" s="203"/>
      <c r="AY682" s="203"/>
      <c r="AZ682" s="203"/>
      <c r="BA682" s="203"/>
      <c r="BB682" s="203"/>
      <c r="BC682" s="203"/>
      <c r="BD682" s="203"/>
      <c r="BE682" s="203"/>
      <c r="BF682" s="203"/>
    </row>
    <row r="683" spans="1:58" s="15" customFormat="1" ht="14.1" customHeight="1">
      <c r="A683" s="247"/>
      <c r="B683" s="203"/>
      <c r="C683" s="203"/>
      <c r="D683" s="203"/>
      <c r="E683" s="203"/>
      <c r="F683" s="203"/>
      <c r="G683" s="203"/>
      <c r="H683" s="203"/>
      <c r="I683" s="203"/>
      <c r="J683" s="203"/>
      <c r="K683" s="203"/>
      <c r="L683" s="203"/>
      <c r="M683" s="203"/>
      <c r="N683" s="203"/>
      <c r="O683" s="203"/>
      <c r="P683" s="203"/>
      <c r="Q683" s="203"/>
      <c r="R683" s="203"/>
      <c r="S683" s="203"/>
      <c r="T683" s="203"/>
      <c r="U683" s="203"/>
      <c r="V683" s="203"/>
      <c r="W683" s="203"/>
      <c r="X683" s="203"/>
      <c r="Y683" s="203"/>
      <c r="Z683" s="203"/>
      <c r="AA683" s="203"/>
      <c r="AB683" s="203"/>
      <c r="AC683" s="203"/>
      <c r="AD683" s="203"/>
      <c r="AE683" s="203"/>
      <c r="AF683" s="203"/>
      <c r="AG683" s="203"/>
      <c r="AH683" s="203"/>
      <c r="AI683" s="203"/>
      <c r="AJ683" s="203"/>
      <c r="AK683" s="203"/>
      <c r="AL683" s="203"/>
      <c r="AM683" s="203"/>
      <c r="AN683" s="203"/>
      <c r="AO683" s="203"/>
      <c r="AP683" s="203"/>
      <c r="AQ683" s="203"/>
      <c r="AR683" s="203"/>
      <c r="AS683" s="203"/>
      <c r="AT683" s="203"/>
      <c r="AU683" s="203"/>
      <c r="AV683" s="203"/>
      <c r="AW683" s="203"/>
      <c r="AX683" s="203"/>
      <c r="AY683" s="203"/>
      <c r="AZ683" s="203"/>
      <c r="BA683" s="203"/>
      <c r="BB683" s="203"/>
      <c r="BC683" s="203"/>
      <c r="BD683" s="203"/>
      <c r="BE683" s="203"/>
      <c r="BF683" s="203"/>
    </row>
    <row r="684" spans="1:58" s="15" customFormat="1" ht="14.1" customHeight="1">
      <c r="A684" s="247"/>
      <c r="B684" s="203"/>
      <c r="C684" s="203"/>
      <c r="D684" s="203"/>
      <c r="E684" s="203"/>
      <c r="F684" s="203"/>
      <c r="G684" s="203"/>
      <c r="H684" s="203"/>
      <c r="I684" s="203"/>
      <c r="J684" s="203"/>
      <c r="K684" s="203"/>
      <c r="L684" s="203"/>
      <c r="M684" s="203"/>
      <c r="N684" s="203"/>
      <c r="O684" s="203"/>
      <c r="P684" s="203"/>
      <c r="Q684" s="203"/>
      <c r="R684" s="203"/>
      <c r="S684" s="203"/>
      <c r="T684" s="203"/>
      <c r="U684" s="203"/>
      <c r="V684" s="203"/>
      <c r="W684" s="203"/>
      <c r="X684" s="203"/>
      <c r="Y684" s="203"/>
      <c r="Z684" s="203"/>
      <c r="AA684" s="203"/>
      <c r="AB684" s="203"/>
      <c r="AC684" s="203"/>
      <c r="AD684" s="203"/>
      <c r="AE684" s="203"/>
      <c r="AF684" s="203"/>
      <c r="AG684" s="203"/>
      <c r="AH684" s="203"/>
      <c r="AI684" s="203"/>
      <c r="AJ684" s="203"/>
      <c r="AK684" s="203"/>
      <c r="AL684" s="203"/>
      <c r="AM684" s="203"/>
      <c r="AN684" s="203"/>
      <c r="AO684" s="203"/>
      <c r="AP684" s="203"/>
      <c r="AQ684" s="203"/>
      <c r="AR684" s="203"/>
      <c r="AS684" s="203"/>
      <c r="AT684" s="203"/>
      <c r="AU684" s="203"/>
      <c r="AV684" s="203"/>
      <c r="AW684" s="203"/>
      <c r="AX684" s="203"/>
      <c r="AY684" s="203"/>
      <c r="AZ684" s="203"/>
      <c r="BA684" s="203"/>
      <c r="BB684" s="203"/>
      <c r="BC684" s="203"/>
      <c r="BD684" s="203"/>
      <c r="BE684" s="203"/>
      <c r="BF684" s="203"/>
    </row>
    <row r="685" spans="1:58" s="15" customFormat="1" ht="14.1" customHeight="1">
      <c r="A685" s="247"/>
      <c r="B685" s="203"/>
      <c r="C685" s="203"/>
      <c r="D685" s="203"/>
      <c r="E685" s="203"/>
      <c r="F685" s="203"/>
      <c r="G685" s="203"/>
      <c r="H685" s="203"/>
      <c r="I685" s="203"/>
      <c r="J685" s="203"/>
      <c r="K685" s="203"/>
      <c r="L685" s="203"/>
      <c r="M685" s="203"/>
      <c r="N685" s="203"/>
      <c r="O685" s="203"/>
      <c r="P685" s="203"/>
      <c r="Q685" s="203"/>
      <c r="R685" s="203"/>
      <c r="S685" s="203"/>
      <c r="T685" s="203"/>
      <c r="U685" s="203"/>
      <c r="V685" s="203"/>
      <c r="W685" s="203"/>
      <c r="X685" s="203"/>
      <c r="Y685" s="203"/>
      <c r="Z685" s="203"/>
      <c r="AA685" s="203"/>
      <c r="AB685" s="203"/>
      <c r="AC685" s="203"/>
      <c r="AD685" s="203"/>
      <c r="AE685" s="203"/>
      <c r="AF685" s="203"/>
      <c r="AG685" s="203"/>
      <c r="AH685" s="203"/>
      <c r="AI685" s="203"/>
      <c r="AJ685" s="203"/>
      <c r="AK685" s="203"/>
      <c r="AL685" s="203"/>
      <c r="AM685" s="203"/>
      <c r="AN685" s="203"/>
      <c r="AO685" s="203"/>
      <c r="AP685" s="203"/>
      <c r="AQ685" s="203"/>
      <c r="AR685" s="203"/>
      <c r="AS685" s="203"/>
      <c r="AT685" s="203"/>
      <c r="AU685" s="203"/>
      <c r="AV685" s="203"/>
      <c r="AW685" s="203"/>
      <c r="AX685" s="203"/>
      <c r="AY685" s="203"/>
      <c r="AZ685" s="203"/>
      <c r="BA685" s="203"/>
      <c r="BB685" s="203"/>
      <c r="BC685" s="203"/>
      <c r="BD685" s="203"/>
      <c r="BE685" s="203"/>
      <c r="BF685" s="203"/>
    </row>
    <row r="686" spans="1:58" s="15" customFormat="1" ht="14.1" customHeight="1">
      <c r="A686" s="247"/>
      <c r="B686" s="203"/>
      <c r="C686" s="203"/>
      <c r="D686" s="203"/>
      <c r="E686" s="203"/>
      <c r="F686" s="203"/>
      <c r="G686" s="203"/>
      <c r="H686" s="203"/>
      <c r="I686" s="203"/>
      <c r="J686" s="203"/>
      <c r="K686" s="203"/>
      <c r="L686" s="203"/>
      <c r="M686" s="203"/>
      <c r="N686" s="203"/>
      <c r="O686" s="203"/>
      <c r="P686" s="203"/>
      <c r="Q686" s="203"/>
      <c r="R686" s="203"/>
      <c r="S686" s="203"/>
      <c r="T686" s="203"/>
      <c r="U686" s="203"/>
      <c r="V686" s="203"/>
      <c r="W686" s="203"/>
      <c r="X686" s="203"/>
      <c r="Y686" s="203"/>
      <c r="Z686" s="203"/>
      <c r="AA686" s="203"/>
      <c r="AB686" s="203"/>
      <c r="AC686" s="203"/>
      <c r="AD686" s="203"/>
      <c r="AE686" s="203"/>
      <c r="AF686" s="203"/>
      <c r="AG686" s="203"/>
      <c r="AH686" s="203"/>
      <c r="AI686" s="203"/>
      <c r="AJ686" s="203"/>
      <c r="AK686" s="203"/>
      <c r="AL686" s="203"/>
      <c r="AM686" s="203"/>
      <c r="AN686" s="203"/>
      <c r="AO686" s="203"/>
      <c r="AP686" s="203"/>
      <c r="AQ686" s="203"/>
      <c r="AR686" s="203"/>
      <c r="AS686" s="203"/>
      <c r="AT686" s="203"/>
      <c r="AU686" s="203"/>
      <c r="AV686" s="203"/>
      <c r="AW686" s="203"/>
      <c r="AX686" s="203"/>
      <c r="AY686" s="203"/>
      <c r="AZ686" s="203"/>
      <c r="BA686" s="203"/>
      <c r="BB686" s="203"/>
      <c r="BC686" s="203"/>
      <c r="BD686" s="203"/>
      <c r="BE686" s="203"/>
      <c r="BF686" s="203"/>
    </row>
    <row r="687" spans="1:58" s="15" customFormat="1" ht="14.1" customHeight="1">
      <c r="A687" s="247"/>
      <c r="B687" s="203"/>
      <c r="C687" s="203"/>
      <c r="D687" s="203"/>
      <c r="E687" s="203"/>
      <c r="F687" s="203"/>
      <c r="G687" s="203"/>
      <c r="H687" s="203"/>
      <c r="I687" s="203"/>
      <c r="J687" s="203"/>
      <c r="K687" s="203"/>
      <c r="L687" s="203"/>
      <c r="M687" s="203"/>
      <c r="N687" s="203"/>
      <c r="O687" s="203"/>
      <c r="P687" s="203"/>
      <c r="Q687" s="203"/>
      <c r="R687" s="203"/>
      <c r="S687" s="203"/>
      <c r="T687" s="203"/>
      <c r="U687" s="203"/>
      <c r="V687" s="203"/>
      <c r="W687" s="203"/>
      <c r="X687" s="203"/>
      <c r="Y687" s="203"/>
      <c r="Z687" s="203"/>
      <c r="AA687" s="203"/>
      <c r="AB687" s="203"/>
      <c r="AC687" s="203"/>
      <c r="AD687" s="203"/>
      <c r="AE687" s="203"/>
      <c r="AF687" s="203"/>
      <c r="AG687" s="203"/>
      <c r="AH687" s="203"/>
      <c r="AI687" s="203"/>
      <c r="AJ687" s="203"/>
      <c r="AK687" s="203"/>
      <c r="AL687" s="203"/>
      <c r="AM687" s="203"/>
      <c r="AN687" s="203"/>
      <c r="AO687" s="203"/>
      <c r="AP687" s="203"/>
      <c r="AQ687" s="203"/>
      <c r="AR687" s="203"/>
      <c r="AS687" s="203"/>
      <c r="AT687" s="203"/>
      <c r="AU687" s="203"/>
      <c r="AV687" s="203"/>
      <c r="AW687" s="203"/>
      <c r="AX687" s="203"/>
      <c r="AY687" s="203"/>
      <c r="AZ687" s="203"/>
      <c r="BA687" s="203"/>
      <c r="BB687" s="203"/>
      <c r="BC687" s="203"/>
      <c r="BD687" s="203"/>
      <c r="BE687" s="203"/>
      <c r="BF687" s="203"/>
    </row>
    <row r="688" spans="1:58" s="15" customFormat="1" ht="14.1" customHeight="1">
      <c r="A688" s="247"/>
      <c r="B688" s="203"/>
      <c r="C688" s="203"/>
      <c r="D688" s="203"/>
      <c r="E688" s="203"/>
      <c r="F688" s="203"/>
      <c r="G688" s="203"/>
      <c r="H688" s="203"/>
      <c r="I688" s="203"/>
      <c r="J688" s="203"/>
      <c r="K688" s="203"/>
      <c r="L688" s="203"/>
      <c r="M688" s="203"/>
      <c r="N688" s="203"/>
      <c r="O688" s="203"/>
      <c r="P688" s="203"/>
      <c r="Q688" s="203"/>
      <c r="R688" s="203"/>
      <c r="S688" s="203"/>
      <c r="T688" s="203"/>
      <c r="U688" s="203"/>
      <c r="V688" s="203"/>
      <c r="W688" s="203"/>
      <c r="X688" s="203"/>
      <c r="Y688" s="203"/>
      <c r="Z688" s="203"/>
      <c r="AA688" s="203"/>
      <c r="AB688" s="203"/>
      <c r="AC688" s="203"/>
      <c r="AD688" s="203"/>
      <c r="AE688" s="203"/>
      <c r="AF688" s="203"/>
      <c r="AG688" s="203"/>
      <c r="AH688" s="203"/>
      <c r="AI688" s="203"/>
      <c r="AJ688" s="203"/>
      <c r="AK688" s="203"/>
      <c r="AL688" s="203"/>
      <c r="AM688" s="203"/>
      <c r="AN688" s="203"/>
      <c r="AO688" s="203"/>
      <c r="AP688" s="203"/>
      <c r="AQ688" s="203"/>
      <c r="AR688" s="203"/>
      <c r="AS688" s="203"/>
      <c r="AT688" s="203"/>
      <c r="AU688" s="203"/>
      <c r="AV688" s="203"/>
      <c r="AW688" s="203"/>
      <c r="AX688" s="203"/>
      <c r="AY688" s="203"/>
      <c r="AZ688" s="203"/>
      <c r="BA688" s="203"/>
      <c r="BB688" s="203"/>
      <c r="BC688" s="203"/>
      <c r="BD688" s="203"/>
      <c r="BE688" s="203"/>
      <c r="BF688" s="203"/>
    </row>
    <row r="689" spans="1:58" s="15" customFormat="1" ht="14.1" customHeight="1">
      <c r="A689" s="247"/>
      <c r="B689" s="203"/>
      <c r="C689" s="203"/>
      <c r="D689" s="203"/>
      <c r="E689" s="203"/>
      <c r="F689" s="203"/>
      <c r="G689" s="203"/>
      <c r="H689" s="203"/>
      <c r="I689" s="203"/>
      <c r="J689" s="203"/>
      <c r="K689" s="203"/>
      <c r="L689" s="203"/>
      <c r="M689" s="203"/>
      <c r="N689" s="203"/>
      <c r="O689" s="203"/>
      <c r="P689" s="203"/>
      <c r="Q689" s="203"/>
      <c r="R689" s="203"/>
      <c r="S689" s="203"/>
      <c r="T689" s="203"/>
      <c r="U689" s="203"/>
      <c r="V689" s="203"/>
      <c r="W689" s="203"/>
      <c r="X689" s="203"/>
      <c r="Y689" s="203"/>
      <c r="Z689" s="203"/>
      <c r="AA689" s="203"/>
      <c r="AB689" s="203"/>
      <c r="AC689" s="203"/>
      <c r="AD689" s="203"/>
      <c r="AE689" s="203"/>
      <c r="AF689" s="203"/>
      <c r="AG689" s="203"/>
      <c r="AH689" s="203"/>
      <c r="AI689" s="203"/>
      <c r="AJ689" s="203"/>
      <c r="AK689" s="203"/>
      <c r="AL689" s="203"/>
      <c r="AM689" s="203"/>
      <c r="AN689" s="203"/>
      <c r="AO689" s="203"/>
      <c r="AP689" s="203"/>
      <c r="AQ689" s="203"/>
      <c r="AR689" s="203"/>
      <c r="AS689" s="203"/>
      <c r="AT689" s="203"/>
      <c r="AU689" s="203"/>
      <c r="AV689" s="203"/>
      <c r="AW689" s="203"/>
      <c r="AX689" s="203"/>
      <c r="AY689" s="203"/>
      <c r="AZ689" s="203"/>
      <c r="BA689" s="203"/>
      <c r="BB689" s="203"/>
      <c r="BC689" s="203"/>
      <c r="BD689" s="203"/>
      <c r="BE689" s="203"/>
      <c r="BF689" s="203"/>
    </row>
    <row r="690" spans="1:58" s="15" customFormat="1" ht="14.1" customHeight="1">
      <c r="A690" s="247"/>
      <c r="B690" s="203"/>
      <c r="C690" s="203"/>
      <c r="D690" s="203"/>
      <c r="E690" s="203"/>
      <c r="F690" s="203"/>
      <c r="G690" s="203"/>
      <c r="H690" s="203"/>
      <c r="I690" s="203"/>
      <c r="J690" s="203"/>
      <c r="K690" s="203"/>
      <c r="L690" s="203"/>
      <c r="M690" s="203"/>
      <c r="N690" s="203"/>
      <c r="O690" s="203"/>
      <c r="P690" s="203"/>
      <c r="Q690" s="203"/>
      <c r="R690" s="203"/>
      <c r="S690" s="203"/>
      <c r="T690" s="203"/>
      <c r="U690" s="203"/>
      <c r="V690" s="203"/>
      <c r="W690" s="203"/>
      <c r="X690" s="203"/>
      <c r="Y690" s="203"/>
      <c r="Z690" s="203"/>
      <c r="AA690" s="203"/>
      <c r="AB690" s="203"/>
      <c r="AC690" s="203"/>
      <c r="AD690" s="203"/>
      <c r="AE690" s="203"/>
      <c r="AF690" s="203"/>
      <c r="AG690" s="203"/>
      <c r="AH690" s="203"/>
      <c r="AI690" s="203"/>
      <c r="AJ690" s="203"/>
      <c r="AK690" s="203"/>
      <c r="AL690" s="203"/>
      <c r="AM690" s="203"/>
      <c r="AN690" s="203"/>
      <c r="AO690" s="203"/>
      <c r="AP690" s="203"/>
      <c r="AQ690" s="203"/>
      <c r="AR690" s="203"/>
      <c r="AS690" s="203"/>
      <c r="AT690" s="203"/>
      <c r="AU690" s="203"/>
      <c r="AV690" s="203"/>
      <c r="AW690" s="203"/>
      <c r="AX690" s="203"/>
      <c r="AY690" s="203"/>
      <c r="AZ690" s="203"/>
      <c r="BA690" s="203"/>
      <c r="BB690" s="203"/>
      <c r="BC690" s="203"/>
      <c r="BD690" s="203"/>
      <c r="BE690" s="203"/>
      <c r="BF690" s="203"/>
    </row>
    <row r="691" spans="1:58" s="15" customFormat="1" ht="14.1" customHeight="1">
      <c r="A691" s="247"/>
      <c r="B691" s="203"/>
      <c r="C691" s="203"/>
      <c r="D691" s="203"/>
      <c r="E691" s="203"/>
      <c r="F691" s="203"/>
      <c r="G691" s="203"/>
      <c r="H691" s="203"/>
      <c r="I691" s="203"/>
      <c r="J691" s="203"/>
      <c r="K691" s="203"/>
      <c r="L691" s="203"/>
      <c r="M691" s="203"/>
      <c r="N691" s="203"/>
      <c r="O691" s="203"/>
      <c r="P691" s="203"/>
      <c r="Q691" s="203"/>
      <c r="R691" s="203"/>
      <c r="S691" s="203"/>
      <c r="T691" s="203"/>
      <c r="U691" s="203"/>
      <c r="V691" s="203"/>
      <c r="W691" s="203"/>
      <c r="X691" s="203"/>
      <c r="Y691" s="203"/>
      <c r="Z691" s="203"/>
      <c r="AA691" s="203"/>
      <c r="AB691" s="203"/>
      <c r="AC691" s="203"/>
      <c r="AD691" s="203"/>
      <c r="AE691" s="203"/>
      <c r="AF691" s="203"/>
      <c r="AG691" s="203"/>
      <c r="AH691" s="203"/>
      <c r="AI691" s="203"/>
      <c r="AJ691" s="203"/>
      <c r="AK691" s="203"/>
      <c r="AL691" s="203"/>
      <c r="AM691" s="203"/>
      <c r="AN691" s="203"/>
      <c r="AO691" s="203"/>
      <c r="AP691" s="203"/>
      <c r="AQ691" s="203"/>
      <c r="AR691" s="203"/>
      <c r="AS691" s="203"/>
      <c r="AT691" s="203"/>
      <c r="AU691" s="203"/>
      <c r="AV691" s="203"/>
      <c r="AW691" s="203"/>
      <c r="AX691" s="203"/>
      <c r="AY691" s="203"/>
      <c r="AZ691" s="203"/>
      <c r="BA691" s="203"/>
      <c r="BB691" s="203"/>
      <c r="BC691" s="203"/>
      <c r="BD691" s="203"/>
      <c r="BE691" s="203"/>
      <c r="BF691" s="203"/>
    </row>
    <row r="692" spans="1:58" s="15" customFormat="1" ht="14.1" customHeight="1">
      <c r="A692" s="247"/>
      <c r="B692" s="203"/>
      <c r="C692" s="203"/>
      <c r="D692" s="203"/>
      <c r="E692" s="203"/>
      <c r="F692" s="203"/>
      <c r="G692" s="203"/>
      <c r="H692" s="203"/>
      <c r="I692" s="203"/>
      <c r="J692" s="203"/>
      <c r="K692" s="203"/>
      <c r="L692" s="203"/>
      <c r="M692" s="203"/>
      <c r="N692" s="203"/>
      <c r="O692" s="203"/>
      <c r="P692" s="203"/>
      <c r="Q692" s="203"/>
      <c r="R692" s="203"/>
      <c r="S692" s="203"/>
      <c r="T692" s="203"/>
      <c r="U692" s="203"/>
      <c r="V692" s="203"/>
      <c r="W692" s="203"/>
      <c r="X692" s="203"/>
      <c r="Y692" s="203"/>
      <c r="Z692" s="203"/>
      <c r="AA692" s="203"/>
      <c r="AB692" s="203"/>
      <c r="AC692" s="203"/>
      <c r="AD692" s="203"/>
      <c r="AE692" s="203"/>
      <c r="AF692" s="203"/>
      <c r="AG692" s="203"/>
      <c r="AH692" s="203"/>
      <c r="AI692" s="203"/>
      <c r="AJ692" s="203"/>
      <c r="AK692" s="203"/>
      <c r="AL692" s="203"/>
      <c r="AM692" s="203"/>
      <c r="AN692" s="203"/>
      <c r="AO692" s="203"/>
      <c r="AP692" s="203"/>
      <c r="AQ692" s="203"/>
      <c r="AR692" s="203"/>
      <c r="AS692" s="203"/>
      <c r="AT692" s="203"/>
      <c r="AU692" s="203"/>
      <c r="AV692" s="203"/>
      <c r="AW692" s="203"/>
      <c r="AX692" s="203"/>
      <c r="AY692" s="203"/>
      <c r="AZ692" s="203"/>
      <c r="BA692" s="203"/>
      <c r="BB692" s="203"/>
      <c r="BC692" s="203"/>
      <c r="BD692" s="203"/>
      <c r="BE692" s="203"/>
      <c r="BF692" s="203"/>
    </row>
    <row r="693" spans="1:58" s="15" customFormat="1" ht="14.1" customHeight="1">
      <c r="A693" s="247"/>
      <c r="B693" s="203"/>
      <c r="C693" s="203"/>
      <c r="D693" s="203"/>
      <c r="E693" s="203"/>
      <c r="F693" s="203"/>
      <c r="G693" s="203"/>
      <c r="H693" s="203"/>
      <c r="I693" s="203"/>
      <c r="J693" s="203"/>
      <c r="K693" s="203"/>
      <c r="L693" s="203"/>
      <c r="M693" s="203"/>
      <c r="N693" s="203"/>
      <c r="O693" s="203"/>
      <c r="P693" s="203"/>
      <c r="Q693" s="203"/>
      <c r="R693" s="203"/>
      <c r="S693" s="203"/>
      <c r="T693" s="203"/>
      <c r="U693" s="203"/>
      <c r="V693" s="203"/>
      <c r="W693" s="203"/>
      <c r="X693" s="203"/>
      <c r="Y693" s="203"/>
      <c r="Z693" s="203"/>
      <c r="AA693" s="203"/>
      <c r="AB693" s="203"/>
      <c r="AC693" s="203"/>
      <c r="AD693" s="203"/>
      <c r="AE693" s="203"/>
      <c r="AF693" s="203"/>
      <c r="AG693" s="203"/>
      <c r="AH693" s="203"/>
      <c r="AI693" s="203"/>
      <c r="AJ693" s="203"/>
      <c r="AK693" s="203"/>
      <c r="AL693" s="203"/>
      <c r="AM693" s="203"/>
      <c r="AN693" s="203"/>
      <c r="AO693" s="203"/>
      <c r="AP693" s="203"/>
      <c r="AQ693" s="203"/>
      <c r="AR693" s="203"/>
      <c r="AS693" s="203"/>
      <c r="AT693" s="203"/>
      <c r="AU693" s="203"/>
      <c r="AV693" s="203"/>
      <c r="AW693" s="203"/>
      <c r="AX693" s="203"/>
      <c r="AY693" s="203"/>
      <c r="AZ693" s="203"/>
      <c r="BA693" s="203"/>
      <c r="BB693" s="203"/>
      <c r="BC693" s="203"/>
      <c r="BD693" s="203"/>
      <c r="BE693" s="203"/>
      <c r="BF693" s="203"/>
    </row>
    <row r="694" spans="1:58" s="15" customFormat="1" ht="14.1" customHeight="1">
      <c r="A694" s="247"/>
      <c r="B694" s="203"/>
      <c r="C694" s="203"/>
      <c r="D694" s="203"/>
      <c r="E694" s="203"/>
      <c r="F694" s="203"/>
      <c r="G694" s="203"/>
      <c r="H694" s="203"/>
      <c r="I694" s="203"/>
      <c r="J694" s="203"/>
      <c r="K694" s="203"/>
      <c r="L694" s="203"/>
      <c r="M694" s="203"/>
      <c r="N694" s="203"/>
      <c r="O694" s="203"/>
      <c r="P694" s="203"/>
      <c r="Q694" s="203"/>
      <c r="R694" s="203"/>
      <c r="S694" s="203"/>
      <c r="T694" s="203"/>
      <c r="U694" s="203"/>
      <c r="V694" s="203"/>
      <c r="W694" s="203"/>
      <c r="X694" s="203"/>
      <c r="Y694" s="203"/>
      <c r="Z694" s="203"/>
      <c r="AA694" s="203"/>
      <c r="AB694" s="203"/>
      <c r="AC694" s="203"/>
      <c r="AD694" s="203"/>
      <c r="AE694" s="203"/>
      <c r="AF694" s="203"/>
      <c r="AG694" s="203"/>
      <c r="AH694" s="203"/>
      <c r="AI694" s="203"/>
      <c r="AJ694" s="203"/>
      <c r="AK694" s="203"/>
      <c r="AL694" s="203"/>
      <c r="AM694" s="203"/>
      <c r="AN694" s="203"/>
      <c r="AO694" s="203"/>
      <c r="AP694" s="203"/>
      <c r="AQ694" s="203"/>
      <c r="AR694" s="203"/>
      <c r="AS694" s="203"/>
      <c r="AT694" s="203"/>
      <c r="AU694" s="203"/>
      <c r="AV694" s="203"/>
      <c r="AW694" s="203"/>
      <c r="AX694" s="203"/>
      <c r="AY694" s="203"/>
      <c r="AZ694" s="203"/>
      <c r="BA694" s="203"/>
      <c r="BB694" s="203"/>
      <c r="BC694" s="203"/>
      <c r="BD694" s="203"/>
      <c r="BE694" s="203"/>
      <c r="BF694" s="203"/>
    </row>
    <row r="695" spans="1:58" s="15" customFormat="1" ht="14.1" customHeight="1">
      <c r="A695" s="247"/>
      <c r="B695" s="203"/>
      <c r="C695" s="203"/>
      <c r="D695" s="203"/>
      <c r="E695" s="203"/>
      <c r="F695" s="203"/>
      <c r="G695" s="203"/>
      <c r="H695" s="203"/>
      <c r="I695" s="203"/>
      <c r="J695" s="203"/>
      <c r="K695" s="203"/>
      <c r="L695" s="203"/>
      <c r="M695" s="203"/>
      <c r="N695" s="203"/>
      <c r="O695" s="203"/>
      <c r="P695" s="203"/>
      <c r="Q695" s="203"/>
      <c r="R695" s="203"/>
      <c r="S695" s="203"/>
      <c r="T695" s="203"/>
      <c r="U695" s="203"/>
      <c r="V695" s="203"/>
      <c r="W695" s="203"/>
      <c r="X695" s="203"/>
      <c r="Y695" s="203"/>
      <c r="Z695" s="203"/>
      <c r="AA695" s="203"/>
      <c r="AB695" s="203"/>
      <c r="AC695" s="203"/>
      <c r="AD695" s="203"/>
      <c r="AE695" s="203"/>
      <c r="AF695" s="203"/>
      <c r="AG695" s="203"/>
      <c r="AH695" s="203"/>
      <c r="AI695" s="203"/>
      <c r="AJ695" s="203"/>
      <c r="AK695" s="203"/>
      <c r="AL695" s="203"/>
      <c r="AM695" s="203"/>
      <c r="AN695" s="203"/>
      <c r="AO695" s="203"/>
      <c r="AP695" s="203"/>
      <c r="AQ695" s="203"/>
      <c r="AR695" s="203"/>
      <c r="AS695" s="203"/>
      <c r="AT695" s="203"/>
      <c r="AU695" s="203"/>
      <c r="AV695" s="203"/>
      <c r="AW695" s="203"/>
      <c r="AX695" s="203"/>
      <c r="AY695" s="203"/>
      <c r="AZ695" s="203"/>
      <c r="BA695" s="203"/>
      <c r="BB695" s="203"/>
      <c r="BC695" s="203"/>
      <c r="BD695" s="203"/>
      <c r="BE695" s="203"/>
      <c r="BF695" s="203"/>
    </row>
    <row r="696" spans="1:58" s="15" customFormat="1" ht="14.1" customHeight="1">
      <c r="A696" s="247"/>
      <c r="B696" s="203"/>
      <c r="C696" s="203"/>
      <c r="D696" s="203"/>
      <c r="E696" s="203"/>
      <c r="F696" s="203"/>
      <c r="G696" s="203"/>
      <c r="H696" s="203"/>
      <c r="I696" s="203"/>
      <c r="J696" s="203"/>
      <c r="K696" s="203"/>
      <c r="L696" s="203"/>
      <c r="M696" s="203"/>
      <c r="N696" s="203"/>
      <c r="O696" s="203"/>
      <c r="P696" s="203"/>
      <c r="Q696" s="203"/>
      <c r="R696" s="203"/>
      <c r="S696" s="203"/>
      <c r="T696" s="203"/>
      <c r="U696" s="203"/>
      <c r="V696" s="203"/>
      <c r="W696" s="203"/>
      <c r="X696" s="203"/>
      <c r="Y696" s="203"/>
      <c r="Z696" s="203"/>
      <c r="AA696" s="203"/>
      <c r="AB696" s="203"/>
      <c r="AC696" s="203"/>
      <c r="AD696" s="203"/>
      <c r="AE696" s="203"/>
      <c r="AF696" s="203"/>
      <c r="AG696" s="203"/>
      <c r="AH696" s="203"/>
      <c r="AI696" s="203"/>
      <c r="AJ696" s="203"/>
      <c r="AK696" s="203"/>
      <c r="AL696" s="203"/>
      <c r="AM696" s="203"/>
      <c r="AN696" s="203"/>
      <c r="AO696" s="203"/>
      <c r="AP696" s="203"/>
      <c r="AQ696" s="203"/>
      <c r="AR696" s="203"/>
      <c r="AS696" s="203"/>
      <c r="AT696" s="203"/>
      <c r="AU696" s="203"/>
      <c r="AV696" s="203"/>
      <c r="AW696" s="203"/>
      <c r="AX696" s="203"/>
      <c r="AY696" s="203"/>
      <c r="AZ696" s="203"/>
      <c r="BA696" s="203"/>
      <c r="BB696" s="203"/>
      <c r="BC696" s="203"/>
      <c r="BD696" s="203"/>
      <c r="BE696" s="203"/>
      <c r="BF696" s="203"/>
    </row>
    <row r="697" spans="1:58" s="15" customFormat="1" ht="14.1" customHeight="1">
      <c r="A697" s="247"/>
      <c r="B697" s="203"/>
      <c r="C697" s="203"/>
      <c r="D697" s="203"/>
      <c r="E697" s="203"/>
      <c r="F697" s="203"/>
      <c r="G697" s="203"/>
      <c r="H697" s="203"/>
      <c r="I697" s="203"/>
      <c r="J697" s="203"/>
      <c r="K697" s="203"/>
      <c r="L697" s="203"/>
      <c r="M697" s="203"/>
      <c r="N697" s="203"/>
      <c r="O697" s="203"/>
      <c r="P697" s="203"/>
      <c r="Q697" s="203"/>
      <c r="R697" s="203"/>
      <c r="S697" s="203"/>
      <c r="T697" s="203"/>
      <c r="U697" s="203"/>
      <c r="V697" s="203"/>
      <c r="W697" s="203"/>
      <c r="X697" s="203"/>
      <c r="Y697" s="203"/>
      <c r="Z697" s="203"/>
      <c r="AA697" s="203"/>
      <c r="AB697" s="203"/>
      <c r="AC697" s="203"/>
      <c r="AD697" s="203"/>
      <c r="AE697" s="203"/>
      <c r="AF697" s="203"/>
      <c r="AG697" s="203"/>
      <c r="AH697" s="203"/>
      <c r="AI697" s="203"/>
      <c r="AJ697" s="203"/>
      <c r="AK697" s="203"/>
      <c r="AL697" s="203"/>
      <c r="AM697" s="203"/>
      <c r="AN697" s="203"/>
      <c r="AO697" s="203"/>
      <c r="AP697" s="203"/>
      <c r="AQ697" s="203"/>
      <c r="AR697" s="203"/>
      <c r="AS697" s="203"/>
      <c r="AT697" s="203"/>
      <c r="AU697" s="203"/>
      <c r="AV697" s="203"/>
      <c r="AW697" s="203"/>
      <c r="AX697" s="203"/>
      <c r="AY697" s="203"/>
      <c r="AZ697" s="203"/>
      <c r="BA697" s="203"/>
      <c r="BB697" s="203"/>
      <c r="BC697" s="203"/>
      <c r="BD697" s="203"/>
      <c r="BE697" s="203"/>
      <c r="BF697" s="203"/>
    </row>
    <row r="698" spans="1:58" s="15" customFormat="1" ht="14.1" customHeight="1">
      <c r="A698" s="247"/>
      <c r="B698" s="203"/>
      <c r="C698" s="203"/>
      <c r="D698" s="203"/>
      <c r="E698" s="203"/>
      <c r="F698" s="203"/>
      <c r="G698" s="203"/>
      <c r="H698" s="203"/>
      <c r="I698" s="203"/>
      <c r="J698" s="203"/>
      <c r="K698" s="203"/>
      <c r="L698" s="203"/>
      <c r="M698" s="203"/>
      <c r="N698" s="203"/>
      <c r="O698" s="203"/>
      <c r="P698" s="203"/>
      <c r="Q698" s="203"/>
      <c r="R698" s="203"/>
      <c r="S698" s="203"/>
      <c r="T698" s="203"/>
      <c r="U698" s="203"/>
      <c r="V698" s="203"/>
      <c r="W698" s="203"/>
      <c r="X698" s="203"/>
      <c r="Y698" s="203"/>
      <c r="Z698" s="203"/>
      <c r="AA698" s="203"/>
      <c r="AB698" s="203"/>
      <c r="AC698" s="203"/>
      <c r="AD698" s="203"/>
      <c r="AE698" s="203"/>
      <c r="AF698" s="203"/>
      <c r="AG698" s="203"/>
      <c r="AH698" s="203"/>
      <c r="AI698" s="203"/>
      <c r="AJ698" s="203"/>
      <c r="AK698" s="203"/>
      <c r="AL698" s="203"/>
      <c r="AM698" s="203"/>
      <c r="AN698" s="203"/>
      <c r="AO698" s="203"/>
      <c r="AP698" s="203"/>
      <c r="AQ698" s="203"/>
      <c r="AR698" s="203"/>
      <c r="AS698" s="203"/>
      <c r="AT698" s="203"/>
      <c r="AU698" s="203"/>
      <c r="AV698" s="203"/>
      <c r="AW698" s="203"/>
      <c r="AX698" s="203"/>
      <c r="AY698" s="203"/>
      <c r="AZ698" s="203"/>
      <c r="BA698" s="203"/>
      <c r="BB698" s="203"/>
      <c r="BC698" s="203"/>
      <c r="BD698" s="203"/>
      <c r="BE698" s="203"/>
      <c r="BF698" s="203"/>
    </row>
    <row r="699" spans="1:58" s="15" customFormat="1" ht="14.1" customHeight="1">
      <c r="A699" s="247"/>
      <c r="B699" s="203"/>
      <c r="C699" s="203"/>
      <c r="D699" s="203"/>
      <c r="E699" s="203"/>
      <c r="F699" s="203"/>
      <c r="G699" s="203"/>
      <c r="H699" s="203"/>
      <c r="I699" s="203"/>
      <c r="J699" s="203"/>
      <c r="K699" s="203"/>
      <c r="L699" s="203"/>
      <c r="M699" s="203"/>
      <c r="N699" s="203"/>
      <c r="O699" s="203"/>
      <c r="P699" s="203"/>
      <c r="Q699" s="203"/>
      <c r="R699" s="203"/>
      <c r="S699" s="203"/>
      <c r="T699" s="203"/>
      <c r="U699" s="203"/>
      <c r="V699" s="203"/>
      <c r="W699" s="203"/>
      <c r="X699" s="203"/>
      <c r="Y699" s="203"/>
      <c r="Z699" s="203"/>
      <c r="AA699" s="203"/>
      <c r="AB699" s="203"/>
      <c r="AC699" s="203"/>
      <c r="AD699" s="203"/>
      <c r="AE699" s="203"/>
      <c r="AF699" s="203"/>
      <c r="AG699" s="203"/>
      <c r="AH699" s="203"/>
      <c r="AI699" s="203"/>
      <c r="AJ699" s="203"/>
      <c r="AK699" s="203"/>
      <c r="AL699" s="203"/>
      <c r="AM699" s="203"/>
      <c r="AN699" s="203"/>
      <c r="AO699" s="203"/>
      <c r="AP699" s="203"/>
      <c r="AQ699" s="203"/>
      <c r="AR699" s="203"/>
      <c r="AS699" s="203"/>
      <c r="AT699" s="203"/>
      <c r="AU699" s="203"/>
      <c r="AV699" s="203"/>
      <c r="AW699" s="203"/>
      <c r="AX699" s="203"/>
      <c r="AY699" s="203"/>
      <c r="AZ699" s="203"/>
      <c r="BA699" s="203"/>
      <c r="BB699" s="203"/>
      <c r="BC699" s="203"/>
      <c r="BD699" s="203"/>
      <c r="BE699" s="203"/>
      <c r="BF699" s="203"/>
    </row>
    <row r="700" spans="1:58" s="15" customFormat="1" ht="14.1" customHeight="1">
      <c r="A700" s="247"/>
      <c r="B700" s="203"/>
      <c r="C700" s="203"/>
      <c r="D700" s="203"/>
      <c r="E700" s="203"/>
      <c r="F700" s="203"/>
      <c r="G700" s="203"/>
      <c r="H700" s="203"/>
      <c r="I700" s="203"/>
      <c r="J700" s="203"/>
      <c r="K700" s="203"/>
      <c r="L700" s="203"/>
      <c r="M700" s="203"/>
      <c r="N700" s="203"/>
      <c r="O700" s="203"/>
      <c r="P700" s="203"/>
      <c r="Q700" s="203"/>
      <c r="R700" s="203"/>
      <c r="S700" s="203"/>
      <c r="T700" s="203"/>
      <c r="U700" s="203"/>
      <c r="V700" s="203"/>
      <c r="W700" s="203"/>
      <c r="X700" s="203"/>
      <c r="Y700" s="203"/>
      <c r="Z700" s="203"/>
      <c r="AA700" s="203"/>
      <c r="AB700" s="203"/>
      <c r="AC700" s="203"/>
      <c r="AD700" s="203"/>
      <c r="AE700" s="203"/>
      <c r="AF700" s="203"/>
      <c r="AG700" s="203"/>
      <c r="AH700" s="203"/>
      <c r="AI700" s="203"/>
      <c r="AJ700" s="203"/>
      <c r="AK700" s="203"/>
      <c r="AL700" s="203"/>
      <c r="AM700" s="203"/>
      <c r="AN700" s="203"/>
      <c r="AO700" s="203"/>
      <c r="AP700" s="203"/>
      <c r="AQ700" s="203"/>
      <c r="AR700" s="203"/>
      <c r="AS700" s="203"/>
      <c r="AT700" s="203"/>
      <c r="AU700" s="203"/>
      <c r="AV700" s="203"/>
      <c r="AW700" s="203"/>
      <c r="AX700" s="203"/>
      <c r="AY700" s="203"/>
      <c r="AZ700" s="203"/>
      <c r="BA700" s="203"/>
      <c r="BB700" s="203"/>
      <c r="BC700" s="203"/>
      <c r="BD700" s="203"/>
      <c r="BE700" s="203"/>
      <c r="BF700" s="203"/>
    </row>
    <row r="701" spans="1:58" s="15" customFormat="1" ht="14.1" customHeight="1">
      <c r="A701" s="247"/>
      <c r="B701" s="203"/>
      <c r="C701" s="203"/>
      <c r="D701" s="203"/>
      <c r="E701" s="203"/>
      <c r="F701" s="203"/>
      <c r="G701" s="203"/>
      <c r="H701" s="203"/>
      <c r="I701" s="203"/>
      <c r="J701" s="203"/>
      <c r="K701" s="203"/>
      <c r="L701" s="203"/>
      <c r="M701" s="203"/>
      <c r="N701" s="203"/>
      <c r="O701" s="203"/>
      <c r="P701" s="203"/>
      <c r="Q701" s="203"/>
      <c r="R701" s="203"/>
      <c r="S701" s="203"/>
      <c r="T701" s="203"/>
      <c r="U701" s="203"/>
      <c r="V701" s="203"/>
      <c r="W701" s="203"/>
      <c r="X701" s="203"/>
      <c r="Y701" s="203"/>
      <c r="Z701" s="203"/>
      <c r="AA701" s="203"/>
      <c r="AB701" s="203"/>
      <c r="AC701" s="203"/>
      <c r="AD701" s="203"/>
      <c r="AE701" s="203"/>
      <c r="AF701" s="203"/>
      <c r="AG701" s="203"/>
      <c r="AH701" s="203"/>
      <c r="AI701" s="203"/>
      <c r="AJ701" s="203"/>
      <c r="AK701" s="203"/>
      <c r="AL701" s="203"/>
      <c r="AM701" s="203"/>
      <c r="AN701" s="203"/>
      <c r="AO701" s="203"/>
      <c r="AP701" s="203"/>
      <c r="AQ701" s="203"/>
      <c r="AR701" s="203"/>
      <c r="AS701" s="203"/>
      <c r="AT701" s="203"/>
      <c r="AU701" s="203"/>
      <c r="AV701" s="203"/>
      <c r="AW701" s="203"/>
      <c r="AX701" s="203"/>
      <c r="AY701" s="203"/>
      <c r="AZ701" s="203"/>
      <c r="BA701" s="203"/>
      <c r="BB701" s="203"/>
      <c r="BC701" s="203"/>
      <c r="BD701" s="203"/>
      <c r="BE701" s="203"/>
      <c r="BF701" s="203"/>
    </row>
    <row r="702" spans="1:58" s="15" customFormat="1" ht="14.1" customHeight="1">
      <c r="A702" s="247"/>
      <c r="B702" s="203"/>
      <c r="C702" s="203"/>
      <c r="D702" s="203"/>
      <c r="E702" s="203"/>
      <c r="F702" s="203"/>
      <c r="G702" s="203"/>
      <c r="H702" s="203"/>
      <c r="I702" s="203"/>
      <c r="J702" s="203"/>
      <c r="K702" s="203"/>
      <c r="L702" s="203"/>
      <c r="M702" s="203"/>
      <c r="N702" s="203"/>
      <c r="O702" s="203"/>
      <c r="P702" s="203"/>
      <c r="Q702" s="203"/>
      <c r="R702" s="203"/>
      <c r="S702" s="203"/>
      <c r="T702" s="203"/>
      <c r="U702" s="203"/>
      <c r="V702" s="203"/>
      <c r="W702" s="203"/>
      <c r="X702" s="203"/>
      <c r="Y702" s="203"/>
      <c r="Z702" s="203"/>
      <c r="AA702" s="203"/>
      <c r="AB702" s="203"/>
      <c r="AC702" s="203"/>
      <c r="AD702" s="203"/>
      <c r="AE702" s="203"/>
      <c r="AF702" s="203"/>
      <c r="AG702" s="203"/>
      <c r="AH702" s="203"/>
      <c r="AI702" s="203"/>
      <c r="AJ702" s="203"/>
      <c r="AK702" s="203"/>
      <c r="AL702" s="203"/>
      <c r="AM702" s="203"/>
      <c r="AN702" s="203"/>
      <c r="AO702" s="203"/>
      <c r="AP702" s="203"/>
      <c r="AQ702" s="203"/>
      <c r="AR702" s="203"/>
      <c r="AS702" s="203"/>
      <c r="AT702" s="203"/>
      <c r="AU702" s="203"/>
      <c r="AV702" s="203"/>
      <c r="AW702" s="203"/>
      <c r="AX702" s="203"/>
      <c r="AY702" s="203"/>
      <c r="AZ702" s="203"/>
      <c r="BA702" s="203"/>
      <c r="BB702" s="203"/>
      <c r="BC702" s="203"/>
      <c r="BD702" s="203"/>
      <c r="BE702" s="203"/>
      <c r="BF702" s="203"/>
    </row>
    <row r="703" spans="1:58" s="15" customFormat="1" ht="14.1" customHeight="1">
      <c r="A703" s="247"/>
      <c r="B703" s="203"/>
      <c r="C703" s="203"/>
      <c r="D703" s="203"/>
      <c r="E703" s="203"/>
      <c r="F703" s="203"/>
      <c r="G703" s="203"/>
      <c r="H703" s="203"/>
      <c r="I703" s="203"/>
      <c r="J703" s="203"/>
      <c r="K703" s="203"/>
      <c r="L703" s="203"/>
      <c r="M703" s="203"/>
      <c r="N703" s="203"/>
      <c r="O703" s="203"/>
      <c r="P703" s="203"/>
      <c r="Q703" s="203"/>
      <c r="R703" s="203"/>
      <c r="S703" s="203"/>
      <c r="T703" s="203"/>
      <c r="U703" s="203"/>
      <c r="V703" s="203"/>
      <c r="W703" s="203"/>
      <c r="X703" s="203"/>
      <c r="Y703" s="203"/>
      <c r="Z703" s="203"/>
      <c r="AA703" s="203"/>
      <c r="AB703" s="203"/>
      <c r="AC703" s="203"/>
      <c r="AD703" s="203"/>
      <c r="AE703" s="203"/>
      <c r="AF703" s="203"/>
      <c r="AG703" s="203"/>
      <c r="AH703" s="203"/>
      <c r="AI703" s="203"/>
      <c r="AJ703" s="203"/>
      <c r="AK703" s="203"/>
      <c r="AL703" s="203"/>
      <c r="AM703" s="203"/>
      <c r="AN703" s="203"/>
      <c r="AO703" s="203"/>
      <c r="AP703" s="203"/>
      <c r="AQ703" s="203"/>
      <c r="AR703" s="203"/>
      <c r="AS703" s="203"/>
      <c r="AT703" s="203"/>
      <c r="AU703" s="203"/>
      <c r="AV703" s="203"/>
      <c r="AW703" s="203"/>
      <c r="AX703" s="203"/>
      <c r="AY703" s="203"/>
      <c r="AZ703" s="203"/>
      <c r="BA703" s="203"/>
      <c r="BB703" s="203"/>
      <c r="BC703" s="203"/>
      <c r="BD703" s="203"/>
      <c r="BE703" s="203"/>
      <c r="BF703" s="203"/>
    </row>
    <row r="704" spans="1:58" s="15" customFormat="1" ht="14.1" customHeight="1">
      <c r="A704" s="247"/>
      <c r="B704" s="203"/>
      <c r="C704" s="203"/>
      <c r="D704" s="203"/>
      <c r="E704" s="203"/>
      <c r="F704" s="203"/>
      <c r="G704" s="203"/>
      <c r="H704" s="203"/>
      <c r="I704" s="203"/>
      <c r="J704" s="203"/>
      <c r="K704" s="203"/>
      <c r="L704" s="203"/>
      <c r="M704" s="203"/>
      <c r="N704" s="203"/>
      <c r="O704" s="203"/>
      <c r="P704" s="203"/>
      <c r="Q704" s="203"/>
      <c r="R704" s="203"/>
      <c r="S704" s="203"/>
      <c r="T704" s="203"/>
      <c r="U704" s="203"/>
      <c r="V704" s="203"/>
      <c r="W704" s="203"/>
      <c r="X704" s="203"/>
      <c r="Y704" s="203"/>
      <c r="Z704" s="203"/>
      <c r="AA704" s="203"/>
      <c r="AB704" s="203"/>
      <c r="AC704" s="203"/>
      <c r="AD704" s="203"/>
      <c r="AE704" s="203"/>
      <c r="AF704" s="203"/>
      <c r="AG704" s="203"/>
      <c r="AH704" s="203"/>
      <c r="AI704" s="203"/>
      <c r="AJ704" s="203"/>
      <c r="AK704" s="203"/>
      <c r="AL704" s="203"/>
      <c r="AM704" s="203"/>
      <c r="AN704" s="203"/>
      <c r="AO704" s="203"/>
      <c r="AP704" s="203"/>
      <c r="AQ704" s="203"/>
      <c r="AR704" s="203"/>
      <c r="AS704" s="203"/>
      <c r="AT704" s="203"/>
      <c r="AU704" s="203"/>
      <c r="AV704" s="203"/>
      <c r="AW704" s="203"/>
      <c r="AX704" s="203"/>
      <c r="AY704" s="203"/>
      <c r="AZ704" s="203"/>
      <c r="BA704" s="203"/>
      <c r="BB704" s="203"/>
      <c r="BC704" s="203"/>
      <c r="BD704" s="203"/>
      <c r="BE704" s="203"/>
      <c r="BF704" s="203"/>
    </row>
    <row r="705" spans="1:58" s="15" customFormat="1" ht="14.1" customHeight="1">
      <c r="A705" s="247"/>
      <c r="B705" s="203"/>
      <c r="C705" s="203"/>
      <c r="D705" s="203"/>
      <c r="E705" s="203"/>
      <c r="F705" s="203"/>
      <c r="G705" s="203"/>
      <c r="H705" s="203"/>
      <c r="I705" s="203"/>
      <c r="J705" s="203"/>
      <c r="K705" s="203"/>
      <c r="L705" s="203"/>
      <c r="M705" s="203"/>
      <c r="N705" s="203"/>
      <c r="O705" s="203"/>
      <c r="P705" s="203"/>
      <c r="Q705" s="203"/>
      <c r="R705" s="203"/>
      <c r="S705" s="203"/>
      <c r="T705" s="203"/>
      <c r="U705" s="203"/>
      <c r="V705" s="203"/>
      <c r="W705" s="203"/>
      <c r="X705" s="203"/>
      <c r="Y705" s="203"/>
      <c r="Z705" s="203"/>
      <c r="AA705" s="203"/>
      <c r="AB705" s="203"/>
      <c r="AC705" s="203"/>
      <c r="AD705" s="203"/>
      <c r="AE705" s="203"/>
      <c r="AF705" s="203"/>
      <c r="AG705" s="203"/>
      <c r="AH705" s="203"/>
      <c r="AI705" s="203"/>
      <c r="AJ705" s="203"/>
      <c r="AK705" s="203"/>
      <c r="AL705" s="203"/>
      <c r="AM705" s="203"/>
      <c r="AN705" s="203"/>
      <c r="AO705" s="203"/>
      <c r="AP705" s="203"/>
      <c r="AQ705" s="203"/>
      <c r="AR705" s="203"/>
      <c r="AS705" s="203"/>
      <c r="AT705" s="203"/>
      <c r="AU705" s="203"/>
      <c r="AV705" s="203"/>
      <c r="AW705" s="203"/>
      <c r="AX705" s="203"/>
      <c r="AY705" s="203"/>
      <c r="AZ705" s="203"/>
      <c r="BA705" s="203"/>
      <c r="BB705" s="203"/>
      <c r="BC705" s="203"/>
      <c r="BD705" s="203"/>
      <c r="BE705" s="203"/>
      <c r="BF705" s="203"/>
    </row>
    <row r="706" spans="1:58" s="15" customFormat="1" ht="14.1" customHeight="1">
      <c r="A706" s="247"/>
      <c r="B706" s="203"/>
      <c r="C706" s="203"/>
      <c r="D706" s="203"/>
      <c r="E706" s="203"/>
      <c r="F706" s="203"/>
      <c r="G706" s="203"/>
      <c r="H706" s="203"/>
      <c r="I706" s="203"/>
      <c r="J706" s="203"/>
      <c r="K706" s="203"/>
      <c r="L706" s="203"/>
      <c r="M706" s="203"/>
      <c r="N706" s="203"/>
      <c r="O706" s="203"/>
      <c r="P706" s="203"/>
      <c r="Q706" s="203"/>
      <c r="R706" s="203"/>
      <c r="S706" s="203"/>
      <c r="T706" s="203"/>
      <c r="U706" s="203"/>
      <c r="V706" s="203"/>
      <c r="W706" s="203"/>
      <c r="X706" s="203"/>
      <c r="Y706" s="203"/>
      <c r="Z706" s="203"/>
      <c r="AA706" s="203"/>
      <c r="AB706" s="203"/>
      <c r="AC706" s="203"/>
      <c r="AD706" s="203"/>
      <c r="AE706" s="203"/>
      <c r="AF706" s="203"/>
      <c r="AG706" s="203"/>
      <c r="AH706" s="203"/>
      <c r="AI706" s="203"/>
      <c r="AJ706" s="203"/>
      <c r="AK706" s="203"/>
      <c r="AL706" s="203"/>
      <c r="AM706" s="203"/>
      <c r="AN706" s="203"/>
      <c r="AO706" s="203"/>
      <c r="AP706" s="203"/>
      <c r="AQ706" s="203"/>
      <c r="AR706" s="203"/>
      <c r="AS706" s="203"/>
      <c r="AT706" s="203"/>
      <c r="AU706" s="203"/>
      <c r="AV706" s="203"/>
      <c r="AW706" s="203"/>
      <c r="AX706" s="203"/>
      <c r="AY706" s="203"/>
      <c r="AZ706" s="203"/>
      <c r="BA706" s="203"/>
      <c r="BB706" s="203"/>
      <c r="BC706" s="203"/>
      <c r="BD706" s="203"/>
      <c r="BE706" s="203"/>
      <c r="BF706" s="203"/>
    </row>
    <row r="707" spans="1:58" s="15" customFormat="1" ht="14.1" customHeight="1">
      <c r="A707" s="247"/>
      <c r="B707" s="203"/>
      <c r="C707" s="203"/>
      <c r="D707" s="203"/>
      <c r="E707" s="203"/>
      <c r="F707" s="203"/>
      <c r="G707" s="203"/>
      <c r="H707" s="203"/>
      <c r="I707" s="203"/>
      <c r="J707" s="203"/>
      <c r="K707" s="203"/>
      <c r="L707" s="203"/>
      <c r="M707" s="203"/>
      <c r="N707" s="203"/>
      <c r="O707" s="203"/>
      <c r="P707" s="203"/>
      <c r="Q707" s="203"/>
      <c r="R707" s="203"/>
      <c r="S707" s="203"/>
      <c r="T707" s="203"/>
      <c r="U707" s="203"/>
      <c r="V707" s="203"/>
      <c r="W707" s="203"/>
      <c r="X707" s="203"/>
      <c r="Y707" s="203"/>
      <c r="Z707" s="203"/>
      <c r="AA707" s="203"/>
      <c r="AB707" s="203"/>
      <c r="AC707" s="203"/>
      <c r="AD707" s="203"/>
      <c r="AE707" s="203"/>
      <c r="AF707" s="203"/>
      <c r="AG707" s="203"/>
      <c r="AH707" s="203"/>
      <c r="AI707" s="203"/>
      <c r="AJ707" s="203"/>
      <c r="AK707" s="203"/>
      <c r="AL707" s="203"/>
      <c r="AM707" s="203"/>
      <c r="AN707" s="203"/>
      <c r="AO707" s="203"/>
      <c r="AP707" s="203"/>
      <c r="AQ707" s="203"/>
      <c r="AR707" s="203"/>
      <c r="AS707" s="203"/>
      <c r="AT707" s="203"/>
      <c r="AU707" s="203"/>
      <c r="AV707" s="203"/>
      <c r="AW707" s="203"/>
      <c r="AX707" s="203"/>
      <c r="AY707" s="203"/>
      <c r="AZ707" s="203"/>
      <c r="BA707" s="203"/>
      <c r="BB707" s="203"/>
      <c r="BC707" s="203"/>
      <c r="BD707" s="203"/>
      <c r="BE707" s="203"/>
      <c r="BF707" s="203"/>
    </row>
    <row r="708" spans="1:58" s="15" customFormat="1" ht="14.1" customHeight="1">
      <c r="A708" s="247"/>
      <c r="B708" s="203"/>
      <c r="C708" s="203"/>
      <c r="D708" s="203"/>
      <c r="E708" s="203"/>
      <c r="F708" s="203"/>
      <c r="G708" s="203"/>
      <c r="H708" s="203"/>
      <c r="I708" s="203"/>
      <c r="J708" s="203"/>
      <c r="K708" s="203"/>
      <c r="L708" s="203"/>
      <c r="M708" s="203"/>
      <c r="N708" s="203"/>
      <c r="O708" s="203"/>
      <c r="P708" s="203"/>
      <c r="Q708" s="203"/>
      <c r="R708" s="203"/>
      <c r="S708" s="203"/>
      <c r="T708" s="203"/>
      <c r="U708" s="203"/>
      <c r="V708" s="203"/>
      <c r="W708" s="203"/>
      <c r="X708" s="203"/>
      <c r="Y708" s="203"/>
      <c r="Z708" s="203"/>
      <c r="AA708" s="203"/>
      <c r="AB708" s="203"/>
      <c r="AC708" s="203"/>
      <c r="AD708" s="203"/>
      <c r="AE708" s="203"/>
      <c r="AF708" s="203"/>
      <c r="AG708" s="203"/>
      <c r="AH708" s="203"/>
      <c r="AI708" s="203"/>
      <c r="AJ708" s="203"/>
      <c r="AK708" s="203"/>
      <c r="AL708" s="203"/>
      <c r="AM708" s="203"/>
      <c r="AN708" s="203"/>
      <c r="AO708" s="203"/>
      <c r="AP708" s="203"/>
      <c r="AQ708" s="203"/>
      <c r="AR708" s="203"/>
      <c r="AS708" s="203"/>
      <c r="AT708" s="203"/>
      <c r="AU708" s="203"/>
      <c r="AV708" s="203"/>
      <c r="AW708" s="203"/>
      <c r="AX708" s="203"/>
      <c r="AY708" s="203"/>
      <c r="AZ708" s="203"/>
      <c r="BA708" s="203"/>
      <c r="BB708" s="203"/>
      <c r="BC708" s="203"/>
      <c r="BD708" s="203"/>
      <c r="BE708" s="203"/>
      <c r="BF708" s="203"/>
    </row>
    <row r="709" spans="1:58" s="15" customFormat="1" ht="14.1" customHeight="1">
      <c r="A709" s="247"/>
      <c r="B709" s="203"/>
      <c r="C709" s="203"/>
      <c r="D709" s="203"/>
      <c r="E709" s="203"/>
      <c r="F709" s="203"/>
      <c r="G709" s="203"/>
      <c r="H709" s="203"/>
      <c r="I709" s="203"/>
      <c r="J709" s="203"/>
      <c r="K709" s="203"/>
      <c r="L709" s="203"/>
      <c r="M709" s="203"/>
      <c r="N709" s="203"/>
      <c r="O709" s="203"/>
      <c r="P709" s="203"/>
      <c r="Q709" s="203"/>
      <c r="R709" s="203"/>
      <c r="S709" s="203"/>
      <c r="T709" s="203"/>
      <c r="U709" s="203"/>
      <c r="V709" s="203"/>
      <c r="W709" s="203"/>
      <c r="X709" s="203"/>
      <c r="Y709" s="203"/>
      <c r="Z709" s="203"/>
      <c r="AA709" s="203"/>
      <c r="AB709" s="203"/>
      <c r="AC709" s="203"/>
      <c r="AD709" s="203"/>
      <c r="AE709" s="203"/>
      <c r="AF709" s="203"/>
      <c r="AG709" s="203"/>
      <c r="AH709" s="203"/>
      <c r="AI709" s="203"/>
      <c r="AJ709" s="203"/>
      <c r="AK709" s="203"/>
      <c r="AL709" s="203"/>
      <c r="AM709" s="203"/>
      <c r="AN709" s="203"/>
      <c r="AO709" s="203"/>
      <c r="AP709" s="203"/>
      <c r="AQ709" s="203"/>
      <c r="AR709" s="203"/>
      <c r="AS709" s="203"/>
      <c r="AT709" s="203"/>
      <c r="AU709" s="203"/>
      <c r="AV709" s="203"/>
      <c r="AW709" s="203"/>
      <c r="AX709" s="203"/>
      <c r="AY709" s="203"/>
      <c r="AZ709" s="203"/>
      <c r="BA709" s="203"/>
      <c r="BB709" s="203"/>
      <c r="BC709" s="203"/>
      <c r="BD709" s="203"/>
      <c r="BE709" s="203"/>
      <c r="BF709" s="203"/>
    </row>
    <row r="710" spans="1:58" s="15" customFormat="1" ht="14.1" customHeight="1">
      <c r="A710" s="247"/>
      <c r="B710" s="203"/>
      <c r="C710" s="203"/>
      <c r="D710" s="203"/>
      <c r="E710" s="203"/>
      <c r="F710" s="203"/>
      <c r="G710" s="203"/>
      <c r="H710" s="203"/>
      <c r="I710" s="203"/>
      <c r="J710" s="203"/>
      <c r="K710" s="203"/>
      <c r="L710" s="203"/>
      <c r="M710" s="203"/>
      <c r="N710" s="203"/>
      <c r="O710" s="203"/>
      <c r="P710" s="203"/>
      <c r="Q710" s="203"/>
      <c r="R710" s="203"/>
      <c r="S710" s="203"/>
      <c r="T710" s="203"/>
      <c r="U710" s="203"/>
      <c r="V710" s="203"/>
      <c r="W710" s="203"/>
      <c r="X710" s="203"/>
      <c r="Y710" s="203"/>
      <c r="Z710" s="203"/>
      <c r="AA710" s="203"/>
      <c r="AB710" s="203"/>
      <c r="AC710" s="203"/>
      <c r="AD710" s="203"/>
      <c r="AE710" s="203"/>
      <c r="AF710" s="203"/>
      <c r="AG710" s="203"/>
      <c r="AH710" s="203"/>
      <c r="AI710" s="203"/>
      <c r="AJ710" s="203"/>
      <c r="AK710" s="203"/>
      <c r="AL710" s="203"/>
      <c r="AM710" s="203"/>
      <c r="AN710" s="203"/>
      <c r="AO710" s="203"/>
      <c r="AP710" s="203"/>
      <c r="AQ710" s="203"/>
      <c r="AR710" s="203"/>
      <c r="AS710" s="203"/>
      <c r="AT710" s="203"/>
      <c r="AU710" s="203"/>
      <c r="AV710" s="203"/>
      <c r="AW710" s="203"/>
      <c r="AX710" s="203"/>
      <c r="AY710" s="203"/>
      <c r="AZ710" s="203"/>
      <c r="BA710" s="203"/>
      <c r="BB710" s="203"/>
      <c r="BC710" s="203"/>
      <c r="BD710" s="203"/>
      <c r="BE710" s="203"/>
      <c r="BF710" s="203"/>
    </row>
    <row r="711" spans="1:58" s="15" customFormat="1" ht="14.1" customHeight="1">
      <c r="A711" s="247"/>
      <c r="B711" s="203"/>
      <c r="C711" s="203"/>
      <c r="D711" s="203"/>
      <c r="E711" s="203"/>
      <c r="F711" s="203"/>
      <c r="G711" s="203"/>
      <c r="H711" s="203"/>
      <c r="I711" s="203"/>
      <c r="J711" s="203"/>
      <c r="K711" s="203"/>
      <c r="L711" s="203"/>
      <c r="M711" s="203"/>
      <c r="N711" s="203"/>
      <c r="O711" s="203"/>
      <c r="P711" s="203"/>
      <c r="Q711" s="203"/>
      <c r="R711" s="203"/>
      <c r="S711" s="203"/>
      <c r="T711" s="203"/>
      <c r="U711" s="203"/>
      <c r="V711" s="203"/>
      <c r="W711" s="203"/>
      <c r="X711" s="203"/>
      <c r="Y711" s="203"/>
      <c r="Z711" s="203"/>
      <c r="AA711" s="203"/>
      <c r="AB711" s="203"/>
      <c r="AC711" s="203"/>
      <c r="AD711" s="203"/>
      <c r="AE711" s="203"/>
      <c r="AF711" s="203"/>
      <c r="AG711" s="203"/>
      <c r="AH711" s="203"/>
      <c r="AI711" s="203"/>
      <c r="AJ711" s="203"/>
      <c r="AK711" s="203"/>
      <c r="AL711" s="203"/>
      <c r="AM711" s="203"/>
      <c r="AN711" s="203"/>
      <c r="AO711" s="203"/>
      <c r="AP711" s="203"/>
      <c r="AQ711" s="203"/>
      <c r="AR711" s="203"/>
      <c r="AS711" s="203"/>
      <c r="AT711" s="203"/>
      <c r="AU711" s="203"/>
      <c r="AV711" s="203"/>
      <c r="AW711" s="203"/>
      <c r="AX711" s="203"/>
      <c r="AY711" s="203"/>
      <c r="AZ711" s="203"/>
      <c r="BA711" s="203"/>
      <c r="BB711" s="203"/>
      <c r="BC711" s="203"/>
      <c r="BD711" s="203"/>
      <c r="BE711" s="203"/>
      <c r="BF711" s="203"/>
    </row>
    <row r="712" spans="1:58" s="15" customFormat="1" ht="14.1" customHeight="1">
      <c r="A712" s="247"/>
      <c r="B712" s="203"/>
      <c r="C712" s="203"/>
      <c r="D712" s="203"/>
      <c r="E712" s="203"/>
      <c r="F712" s="203"/>
      <c r="G712" s="203"/>
      <c r="H712" s="203"/>
      <c r="I712" s="203"/>
      <c r="J712" s="203"/>
      <c r="K712" s="203"/>
      <c r="L712" s="203"/>
      <c r="M712" s="203"/>
      <c r="N712" s="203"/>
      <c r="O712" s="203"/>
      <c r="P712" s="203"/>
      <c r="Q712" s="203"/>
      <c r="R712" s="203"/>
      <c r="S712" s="203"/>
      <c r="T712" s="203"/>
      <c r="U712" s="203"/>
      <c r="V712" s="203"/>
      <c r="W712" s="203"/>
      <c r="X712" s="203"/>
      <c r="Y712" s="203"/>
      <c r="Z712" s="203"/>
      <c r="AA712" s="203"/>
      <c r="AB712" s="203"/>
      <c r="AC712" s="203"/>
      <c r="AD712" s="203"/>
      <c r="AE712" s="203"/>
      <c r="AF712" s="203"/>
      <c r="AG712" s="203"/>
      <c r="AH712" s="203"/>
      <c r="AI712" s="203"/>
      <c r="AJ712" s="203"/>
      <c r="AK712" s="203"/>
      <c r="AL712" s="203"/>
      <c r="AM712" s="203"/>
      <c r="AN712" s="203"/>
      <c r="AO712" s="203"/>
      <c r="AP712" s="203"/>
      <c r="AQ712" s="203"/>
      <c r="AR712" s="203"/>
      <c r="AS712" s="203"/>
      <c r="AT712" s="203"/>
      <c r="AU712" s="203"/>
      <c r="AV712" s="203"/>
      <c r="AW712" s="203"/>
      <c r="AX712" s="203"/>
      <c r="AY712" s="203"/>
      <c r="AZ712" s="203"/>
      <c r="BA712" s="203"/>
      <c r="BB712" s="203"/>
      <c r="BC712" s="203"/>
      <c r="BD712" s="203"/>
      <c r="BE712" s="203"/>
      <c r="BF712" s="203"/>
    </row>
    <row r="713" spans="1:58" s="15" customFormat="1" ht="14.1" customHeight="1">
      <c r="A713" s="247"/>
      <c r="B713" s="203"/>
      <c r="C713" s="203"/>
      <c r="D713" s="203"/>
      <c r="E713" s="203"/>
      <c r="F713" s="203"/>
      <c r="G713" s="203"/>
      <c r="H713" s="203"/>
      <c r="I713" s="203"/>
      <c r="J713" s="203"/>
      <c r="K713" s="203"/>
      <c r="L713" s="203"/>
      <c r="M713" s="203"/>
      <c r="N713" s="203"/>
      <c r="O713" s="203"/>
      <c r="P713" s="203"/>
      <c r="Q713" s="203"/>
      <c r="R713" s="203"/>
      <c r="S713" s="203"/>
      <c r="T713" s="203"/>
      <c r="U713" s="203"/>
      <c r="V713" s="203"/>
      <c r="W713" s="203"/>
      <c r="X713" s="203"/>
      <c r="Y713" s="203"/>
      <c r="Z713" s="203"/>
      <c r="AA713" s="203"/>
      <c r="AB713" s="203"/>
      <c r="AC713" s="203"/>
      <c r="AD713" s="203"/>
      <c r="AE713" s="203"/>
      <c r="AF713" s="203"/>
      <c r="AG713" s="203"/>
      <c r="AH713" s="203"/>
      <c r="AI713" s="203"/>
      <c r="AJ713" s="203"/>
      <c r="AK713" s="203"/>
      <c r="AL713" s="203"/>
      <c r="AM713" s="203"/>
      <c r="AN713" s="203"/>
      <c r="AO713" s="203"/>
      <c r="AP713" s="203"/>
      <c r="AQ713" s="203"/>
      <c r="AR713" s="203"/>
      <c r="AS713" s="203"/>
      <c r="AT713" s="203"/>
      <c r="AU713" s="203"/>
      <c r="AV713" s="203"/>
      <c r="AW713" s="203"/>
      <c r="AX713" s="203"/>
      <c r="AY713" s="203"/>
      <c r="AZ713" s="203"/>
      <c r="BA713" s="203"/>
      <c r="BB713" s="203"/>
      <c r="BC713" s="203"/>
      <c r="BD713" s="203"/>
      <c r="BE713" s="203"/>
      <c r="BF713" s="203"/>
    </row>
    <row r="714" spans="1:58" s="15" customFormat="1" ht="14.1" customHeight="1">
      <c r="A714" s="247"/>
      <c r="B714" s="203"/>
      <c r="C714" s="203"/>
      <c r="D714" s="203"/>
      <c r="E714" s="203"/>
      <c r="F714" s="203"/>
      <c r="G714" s="203"/>
      <c r="H714" s="203"/>
      <c r="I714" s="203"/>
      <c r="J714" s="203"/>
      <c r="K714" s="203"/>
      <c r="L714" s="203"/>
      <c r="M714" s="203"/>
      <c r="N714" s="203"/>
      <c r="O714" s="203"/>
      <c r="P714" s="203"/>
      <c r="Q714" s="203"/>
      <c r="R714" s="203"/>
      <c r="S714" s="203"/>
      <c r="T714" s="203"/>
      <c r="U714" s="203"/>
      <c r="V714" s="203"/>
      <c r="W714" s="203"/>
      <c r="X714" s="203"/>
      <c r="Y714" s="203"/>
      <c r="Z714" s="203"/>
      <c r="AA714" s="203"/>
      <c r="AB714" s="203"/>
      <c r="AC714" s="203"/>
      <c r="AD714" s="203"/>
      <c r="AE714" s="203"/>
      <c r="AF714" s="203"/>
      <c r="AG714" s="203"/>
      <c r="AH714" s="203"/>
      <c r="AI714" s="203"/>
      <c r="AJ714" s="203"/>
      <c r="AK714" s="203"/>
      <c r="AL714" s="203"/>
      <c r="AM714" s="203"/>
      <c r="AN714" s="203"/>
      <c r="AO714" s="203"/>
      <c r="AP714" s="203"/>
      <c r="AQ714" s="203"/>
      <c r="AR714" s="203"/>
      <c r="AS714" s="203"/>
      <c r="AT714" s="203"/>
      <c r="AU714" s="203"/>
      <c r="AV714" s="203"/>
      <c r="AW714" s="203"/>
      <c r="AX714" s="203"/>
      <c r="AY714" s="203"/>
      <c r="AZ714" s="203"/>
      <c r="BA714" s="203"/>
      <c r="BB714" s="203"/>
      <c r="BC714" s="203"/>
      <c r="BD714" s="203"/>
      <c r="BE714" s="203"/>
      <c r="BF714" s="203"/>
    </row>
    <row r="715" spans="1:58" s="15" customFormat="1" ht="14.1" customHeight="1">
      <c r="A715" s="247"/>
      <c r="B715" s="203"/>
      <c r="C715" s="203"/>
      <c r="D715" s="203"/>
      <c r="E715" s="203"/>
      <c r="F715" s="203"/>
      <c r="G715" s="203"/>
      <c r="H715" s="203"/>
      <c r="I715" s="203"/>
      <c r="J715" s="203"/>
      <c r="K715" s="203"/>
      <c r="L715" s="203"/>
      <c r="M715" s="203"/>
      <c r="N715" s="203"/>
      <c r="O715" s="203"/>
      <c r="P715" s="203"/>
      <c r="Q715" s="203"/>
      <c r="R715" s="203"/>
      <c r="S715" s="203"/>
      <c r="T715" s="203"/>
      <c r="U715" s="203"/>
      <c r="V715" s="203"/>
      <c r="W715" s="203"/>
      <c r="X715" s="203"/>
      <c r="Y715" s="203"/>
      <c r="Z715" s="203"/>
      <c r="AA715" s="203"/>
      <c r="AB715" s="203"/>
      <c r="AC715" s="203"/>
      <c r="AD715" s="203"/>
      <c r="AE715" s="203"/>
      <c r="AF715" s="203"/>
      <c r="AG715" s="203"/>
      <c r="AH715" s="203"/>
      <c r="AI715" s="203"/>
      <c r="AJ715" s="203"/>
      <c r="AK715" s="203"/>
      <c r="AL715" s="203"/>
      <c r="AM715" s="203"/>
      <c r="AN715" s="203"/>
      <c r="AO715" s="203"/>
      <c r="AP715" s="203"/>
      <c r="AQ715" s="203"/>
      <c r="AR715" s="203"/>
      <c r="AS715" s="203"/>
      <c r="AT715" s="203"/>
      <c r="AU715" s="203"/>
      <c r="AV715" s="203"/>
      <c r="AW715" s="203"/>
      <c r="AX715" s="203"/>
      <c r="AY715" s="203"/>
      <c r="AZ715" s="203"/>
      <c r="BA715" s="203"/>
      <c r="BB715" s="203"/>
      <c r="BC715" s="203"/>
      <c r="BD715" s="203"/>
      <c r="BE715" s="203"/>
      <c r="BF715" s="203"/>
    </row>
    <row r="716" spans="1:58" s="15" customFormat="1" ht="14.1" customHeight="1">
      <c r="A716" s="247"/>
      <c r="B716" s="203"/>
      <c r="C716" s="203"/>
      <c r="D716" s="203"/>
      <c r="E716" s="203"/>
      <c r="F716" s="203"/>
      <c r="G716" s="203"/>
      <c r="H716" s="203"/>
      <c r="I716" s="203"/>
      <c r="J716" s="203"/>
      <c r="K716" s="203"/>
      <c r="L716" s="203"/>
      <c r="M716" s="203"/>
      <c r="N716" s="203"/>
      <c r="O716" s="203"/>
      <c r="P716" s="203"/>
      <c r="Q716" s="203"/>
      <c r="R716" s="203"/>
      <c r="S716" s="203"/>
      <c r="T716" s="203"/>
      <c r="U716" s="203"/>
      <c r="V716" s="203"/>
      <c r="W716" s="203"/>
      <c r="X716" s="203"/>
      <c r="Y716" s="203"/>
      <c r="Z716" s="203"/>
      <c r="AA716" s="203"/>
      <c r="AB716" s="203"/>
      <c r="AC716" s="203"/>
      <c r="AD716" s="203"/>
      <c r="AE716" s="203"/>
      <c r="AF716" s="203"/>
      <c r="AG716" s="203"/>
      <c r="AH716" s="203"/>
      <c r="AI716" s="203"/>
      <c r="AJ716" s="203"/>
      <c r="AK716" s="203"/>
      <c r="AL716" s="203"/>
      <c r="AM716" s="203"/>
      <c r="AN716" s="203"/>
      <c r="AO716" s="203"/>
      <c r="AP716" s="203"/>
      <c r="AQ716" s="203"/>
      <c r="AR716" s="203"/>
      <c r="AS716" s="203"/>
      <c r="AT716" s="203"/>
      <c r="AU716" s="203"/>
      <c r="AV716" s="203"/>
      <c r="AW716" s="203"/>
      <c r="AX716" s="203"/>
      <c r="AY716" s="203"/>
      <c r="AZ716" s="203"/>
      <c r="BA716" s="203"/>
      <c r="BB716" s="203"/>
      <c r="BC716" s="203"/>
      <c r="BD716" s="203"/>
      <c r="BE716" s="203"/>
      <c r="BF716" s="203"/>
    </row>
    <row r="717" spans="1:58" s="15" customFormat="1" ht="14.1" customHeight="1">
      <c r="A717" s="247"/>
      <c r="B717" s="203"/>
      <c r="C717" s="203"/>
      <c r="D717" s="203"/>
      <c r="E717" s="203"/>
      <c r="F717" s="203"/>
      <c r="G717" s="203"/>
      <c r="H717" s="203"/>
      <c r="I717" s="203"/>
      <c r="J717" s="203"/>
      <c r="K717" s="203"/>
      <c r="L717" s="203"/>
      <c r="M717" s="203"/>
      <c r="N717" s="203"/>
      <c r="O717" s="203"/>
      <c r="P717" s="203"/>
      <c r="Q717" s="203"/>
      <c r="R717" s="203"/>
      <c r="S717" s="203"/>
      <c r="T717" s="203"/>
      <c r="U717" s="203"/>
      <c r="V717" s="203"/>
      <c r="W717" s="203"/>
      <c r="X717" s="203"/>
      <c r="Y717" s="203"/>
      <c r="Z717" s="203"/>
      <c r="AA717" s="203"/>
      <c r="AB717" s="203"/>
      <c r="AC717" s="203"/>
      <c r="AD717" s="203"/>
      <c r="AE717" s="203"/>
      <c r="AF717" s="203"/>
      <c r="AG717" s="203"/>
      <c r="AH717" s="203"/>
      <c r="AI717" s="203"/>
      <c r="AJ717" s="203"/>
      <c r="AK717" s="203"/>
      <c r="AL717" s="203"/>
      <c r="AM717" s="203"/>
      <c r="AN717" s="203"/>
      <c r="AO717" s="203"/>
      <c r="AP717" s="203"/>
      <c r="AQ717" s="203"/>
      <c r="AR717" s="203"/>
      <c r="AS717" s="203"/>
      <c r="AT717" s="203"/>
      <c r="AU717" s="203"/>
      <c r="AV717" s="203"/>
      <c r="AW717" s="203"/>
      <c r="AX717" s="203"/>
      <c r="AY717" s="203"/>
      <c r="AZ717" s="203"/>
      <c r="BA717" s="203"/>
      <c r="BB717" s="203"/>
      <c r="BC717" s="203"/>
      <c r="BD717" s="203"/>
      <c r="BE717" s="203"/>
      <c r="BF717" s="203"/>
    </row>
    <row r="718" spans="1:58" s="15" customFormat="1" ht="14.1" customHeight="1">
      <c r="A718" s="247"/>
      <c r="B718" s="203"/>
      <c r="C718" s="203"/>
      <c r="D718" s="203"/>
      <c r="E718" s="203"/>
      <c r="F718" s="203"/>
      <c r="G718" s="203"/>
      <c r="H718" s="203"/>
      <c r="I718" s="203"/>
      <c r="J718" s="203"/>
      <c r="K718" s="203"/>
      <c r="L718" s="203"/>
      <c r="M718" s="203"/>
      <c r="N718" s="203"/>
      <c r="O718" s="203"/>
      <c r="P718" s="203"/>
      <c r="Q718" s="203"/>
      <c r="R718" s="203"/>
      <c r="S718" s="203"/>
      <c r="T718" s="203"/>
      <c r="U718" s="203"/>
      <c r="V718" s="203"/>
      <c r="W718" s="203"/>
      <c r="X718" s="203"/>
      <c r="Y718" s="203"/>
      <c r="Z718" s="203"/>
      <c r="AA718" s="203"/>
      <c r="AB718" s="203"/>
      <c r="AC718" s="203"/>
      <c r="AD718" s="203"/>
      <c r="AE718" s="203"/>
      <c r="AF718" s="203"/>
      <c r="AG718" s="203"/>
      <c r="AH718" s="203"/>
      <c r="AI718" s="203"/>
      <c r="AJ718" s="203"/>
      <c r="AK718" s="203"/>
      <c r="AL718" s="203"/>
      <c r="AM718" s="203"/>
      <c r="AN718" s="203"/>
      <c r="AO718" s="203"/>
      <c r="AP718" s="203"/>
      <c r="AQ718" s="203"/>
      <c r="AR718" s="203"/>
      <c r="AS718" s="203"/>
      <c r="AT718" s="203"/>
      <c r="AU718" s="203"/>
      <c r="AV718" s="203"/>
      <c r="AW718" s="203"/>
      <c r="AX718" s="203"/>
      <c r="AY718" s="203"/>
      <c r="AZ718" s="203"/>
      <c r="BA718" s="203"/>
      <c r="BB718" s="203"/>
      <c r="BC718" s="203"/>
      <c r="BD718" s="203"/>
      <c r="BE718" s="203"/>
      <c r="BF718" s="203"/>
    </row>
    <row r="719" spans="1:58" s="15" customFormat="1" ht="14.1" customHeight="1">
      <c r="A719" s="247"/>
      <c r="B719" s="203"/>
      <c r="C719" s="203"/>
      <c r="D719" s="203"/>
      <c r="E719" s="203"/>
      <c r="F719" s="203"/>
      <c r="G719" s="203"/>
      <c r="H719" s="203"/>
      <c r="I719" s="203"/>
      <c r="J719" s="203"/>
      <c r="K719" s="203"/>
      <c r="L719" s="203"/>
      <c r="M719" s="203"/>
      <c r="N719" s="203"/>
      <c r="O719" s="203"/>
      <c r="P719" s="203"/>
      <c r="Q719" s="203"/>
      <c r="R719" s="203"/>
      <c r="S719" s="203"/>
      <c r="T719" s="203"/>
      <c r="U719" s="203"/>
      <c r="V719" s="203"/>
      <c r="W719" s="203"/>
      <c r="X719" s="203"/>
      <c r="Y719" s="203"/>
      <c r="Z719" s="203"/>
      <c r="AA719" s="203"/>
      <c r="AB719" s="203"/>
      <c r="AC719" s="203"/>
      <c r="AD719" s="203"/>
      <c r="AE719" s="203"/>
      <c r="AF719" s="203"/>
      <c r="AG719" s="203"/>
      <c r="AH719" s="203"/>
      <c r="AI719" s="203"/>
      <c r="AJ719" s="203"/>
      <c r="AK719" s="203"/>
      <c r="AL719" s="203"/>
      <c r="AM719" s="203"/>
      <c r="AN719" s="203"/>
      <c r="AO719" s="203"/>
      <c r="AP719" s="203"/>
      <c r="AQ719" s="203"/>
      <c r="AR719" s="203"/>
      <c r="AS719" s="203"/>
      <c r="AT719" s="203"/>
      <c r="AU719" s="203"/>
      <c r="AV719" s="203"/>
      <c r="AW719" s="203"/>
      <c r="AX719" s="203"/>
      <c r="AY719" s="203"/>
      <c r="AZ719" s="203"/>
      <c r="BA719" s="203"/>
      <c r="BB719" s="203"/>
      <c r="BC719" s="203"/>
      <c r="BD719" s="203"/>
      <c r="BE719" s="203"/>
      <c r="BF719" s="203"/>
    </row>
    <row r="720" spans="1:58" s="15" customFormat="1" ht="14.1" customHeight="1">
      <c r="A720" s="247"/>
      <c r="B720" s="203"/>
      <c r="C720" s="203"/>
      <c r="D720" s="203"/>
      <c r="E720" s="203"/>
      <c r="F720" s="203"/>
      <c r="G720" s="203"/>
      <c r="H720" s="203"/>
      <c r="I720" s="203"/>
      <c r="J720" s="203"/>
      <c r="K720" s="203"/>
      <c r="L720" s="203"/>
      <c r="M720" s="203"/>
      <c r="N720" s="203"/>
      <c r="O720" s="203"/>
      <c r="P720" s="203"/>
      <c r="Q720" s="203"/>
      <c r="R720" s="203"/>
      <c r="S720" s="203"/>
      <c r="T720" s="203"/>
      <c r="U720" s="203"/>
      <c r="V720" s="203"/>
      <c r="W720" s="203"/>
      <c r="X720" s="203"/>
      <c r="Y720" s="203"/>
      <c r="Z720" s="203"/>
      <c r="AA720" s="203"/>
      <c r="AB720" s="203"/>
      <c r="AC720" s="203"/>
      <c r="AD720" s="203"/>
      <c r="AE720" s="203"/>
      <c r="AF720" s="203"/>
      <c r="AG720" s="203"/>
      <c r="AH720" s="203"/>
      <c r="AI720" s="203"/>
      <c r="AJ720" s="203"/>
      <c r="AK720" s="203"/>
      <c r="AL720" s="203"/>
      <c r="AM720" s="203"/>
      <c r="AN720" s="203"/>
      <c r="AO720" s="203"/>
      <c r="AP720" s="203"/>
      <c r="AQ720" s="203"/>
      <c r="AR720" s="203"/>
      <c r="AS720" s="203"/>
      <c r="AT720" s="203"/>
      <c r="AU720" s="203"/>
      <c r="AV720" s="203"/>
      <c r="AW720" s="203"/>
      <c r="AX720" s="203"/>
      <c r="AY720" s="203"/>
      <c r="AZ720" s="203"/>
      <c r="BA720" s="203"/>
      <c r="BB720" s="203"/>
      <c r="BC720" s="203"/>
      <c r="BD720" s="203"/>
      <c r="BE720" s="203"/>
      <c r="BF720" s="203"/>
    </row>
    <row r="721" spans="1:58" s="15" customFormat="1" ht="14.1" customHeight="1">
      <c r="A721" s="247"/>
      <c r="B721" s="203"/>
      <c r="C721" s="203"/>
      <c r="D721" s="203"/>
      <c r="E721" s="203"/>
      <c r="F721" s="203"/>
      <c r="G721" s="203"/>
      <c r="H721" s="203"/>
      <c r="I721" s="203"/>
      <c r="J721" s="203"/>
      <c r="K721" s="203"/>
      <c r="L721" s="203"/>
      <c r="M721" s="203"/>
      <c r="N721" s="203"/>
      <c r="O721" s="203"/>
      <c r="P721" s="203"/>
      <c r="Q721" s="203"/>
      <c r="R721" s="203"/>
      <c r="S721" s="203"/>
      <c r="T721" s="203"/>
      <c r="U721" s="203"/>
      <c r="V721" s="203"/>
      <c r="W721" s="203"/>
      <c r="X721" s="203"/>
      <c r="Y721" s="203"/>
      <c r="Z721" s="203"/>
      <c r="AA721" s="203"/>
      <c r="AB721" s="203"/>
      <c r="AC721" s="203"/>
      <c r="AD721" s="203"/>
      <c r="AE721" s="203"/>
      <c r="AF721" s="203"/>
      <c r="AG721" s="203"/>
      <c r="AH721" s="203"/>
      <c r="AI721" s="203"/>
      <c r="AJ721" s="203"/>
      <c r="AK721" s="203"/>
      <c r="AL721" s="203"/>
      <c r="AM721" s="203"/>
      <c r="AN721" s="203"/>
      <c r="AO721" s="203"/>
      <c r="AP721" s="203"/>
      <c r="AQ721" s="203"/>
      <c r="AR721" s="203"/>
      <c r="AS721" s="203"/>
      <c r="AT721" s="203"/>
      <c r="AU721" s="203"/>
      <c r="AV721" s="203"/>
      <c r="AW721" s="203"/>
      <c r="AX721" s="203"/>
      <c r="AY721" s="203"/>
      <c r="AZ721" s="203"/>
      <c r="BA721" s="203"/>
      <c r="BB721" s="203"/>
      <c r="BC721" s="203"/>
      <c r="BD721" s="203"/>
      <c r="BE721" s="203"/>
      <c r="BF721" s="203"/>
    </row>
    <row r="722" spans="1:58" s="15" customFormat="1" ht="14.1" customHeight="1">
      <c r="A722" s="247"/>
      <c r="B722" s="203"/>
      <c r="C722" s="203"/>
      <c r="D722" s="203"/>
      <c r="E722" s="203"/>
      <c r="F722" s="203"/>
      <c r="G722" s="203"/>
      <c r="H722" s="203"/>
      <c r="I722" s="203"/>
      <c r="J722" s="203"/>
      <c r="K722" s="203"/>
      <c r="L722" s="203"/>
      <c r="M722" s="203"/>
      <c r="N722" s="203"/>
      <c r="O722" s="203"/>
      <c r="P722" s="203"/>
      <c r="Q722" s="203"/>
      <c r="R722" s="203"/>
      <c r="S722" s="203"/>
      <c r="T722" s="203"/>
      <c r="U722" s="203"/>
      <c r="V722" s="203"/>
      <c r="W722" s="203"/>
      <c r="X722" s="203"/>
      <c r="Y722" s="203"/>
      <c r="Z722" s="203"/>
      <c r="AA722" s="203"/>
      <c r="AB722" s="203"/>
      <c r="AC722" s="203"/>
      <c r="AD722" s="203"/>
      <c r="AE722" s="203"/>
      <c r="AF722" s="203"/>
      <c r="AG722" s="203"/>
      <c r="AH722" s="203"/>
      <c r="AI722" s="203"/>
      <c r="AJ722" s="203"/>
      <c r="AK722" s="203"/>
      <c r="AL722" s="203"/>
      <c r="AM722" s="203"/>
      <c r="AN722" s="203"/>
      <c r="AO722" s="203"/>
      <c r="AP722" s="203"/>
      <c r="AQ722" s="203"/>
      <c r="AR722" s="203"/>
      <c r="AS722" s="203"/>
      <c r="AT722" s="203"/>
      <c r="AU722" s="203"/>
      <c r="AV722" s="203"/>
      <c r="AW722" s="203"/>
      <c r="AX722" s="203"/>
      <c r="AY722" s="203"/>
      <c r="AZ722" s="203"/>
      <c r="BA722" s="203"/>
      <c r="BB722" s="203"/>
      <c r="BC722" s="203"/>
      <c r="BD722" s="203"/>
      <c r="BE722" s="203"/>
      <c r="BF722" s="203"/>
    </row>
    <row r="723" spans="1:58" s="15" customFormat="1" ht="14.1" customHeight="1">
      <c r="A723" s="247"/>
      <c r="B723" s="203"/>
      <c r="C723" s="203"/>
      <c r="D723" s="203"/>
      <c r="E723" s="203"/>
      <c r="F723" s="203"/>
      <c r="G723" s="203"/>
      <c r="H723" s="203"/>
      <c r="I723" s="203"/>
      <c r="J723" s="203"/>
      <c r="K723" s="203"/>
      <c r="L723" s="203"/>
      <c r="M723" s="203"/>
      <c r="N723" s="203"/>
      <c r="O723" s="203"/>
      <c r="P723" s="203"/>
      <c r="Q723" s="203"/>
      <c r="R723" s="203"/>
      <c r="S723" s="203"/>
      <c r="T723" s="203"/>
      <c r="U723" s="203"/>
      <c r="V723" s="203"/>
      <c r="W723" s="203"/>
      <c r="X723" s="203"/>
      <c r="Y723" s="203"/>
      <c r="Z723" s="203"/>
      <c r="AA723" s="203"/>
      <c r="AB723" s="203"/>
      <c r="AC723" s="203"/>
      <c r="AD723" s="203"/>
      <c r="AE723" s="203"/>
      <c r="AF723" s="203"/>
      <c r="AG723" s="203"/>
      <c r="AH723" s="203"/>
      <c r="AI723" s="203"/>
      <c r="AJ723" s="203"/>
      <c r="AK723" s="203"/>
      <c r="AL723" s="203"/>
      <c r="AM723" s="203"/>
      <c r="AN723" s="203"/>
      <c r="AO723" s="203"/>
      <c r="AP723" s="203"/>
      <c r="AQ723" s="203"/>
      <c r="AR723" s="203"/>
      <c r="AS723" s="203"/>
      <c r="AT723" s="203"/>
      <c r="AU723" s="203"/>
      <c r="AV723" s="203"/>
      <c r="AW723" s="203"/>
      <c r="AX723" s="203"/>
      <c r="AY723" s="203"/>
      <c r="AZ723" s="203"/>
      <c r="BA723" s="203"/>
      <c r="BB723" s="203"/>
      <c r="BC723" s="203"/>
      <c r="BD723" s="203"/>
      <c r="BE723" s="203"/>
      <c r="BF723" s="203"/>
    </row>
    <row r="724" spans="1:58" s="15" customFormat="1" ht="14.1" customHeight="1">
      <c r="A724" s="247"/>
      <c r="B724" s="203"/>
      <c r="C724" s="203"/>
      <c r="D724" s="203"/>
      <c r="E724" s="203"/>
      <c r="F724" s="203"/>
      <c r="G724" s="203"/>
      <c r="H724" s="203"/>
      <c r="I724" s="203"/>
      <c r="J724" s="203"/>
      <c r="K724" s="203"/>
      <c r="L724" s="203"/>
      <c r="M724" s="203"/>
      <c r="N724" s="203"/>
      <c r="O724" s="203"/>
      <c r="P724" s="203"/>
      <c r="Q724" s="203"/>
      <c r="R724" s="203"/>
      <c r="S724" s="203"/>
      <c r="T724" s="203"/>
      <c r="U724" s="203"/>
      <c r="V724" s="203"/>
      <c r="W724" s="203"/>
      <c r="X724" s="203"/>
      <c r="Y724" s="203"/>
      <c r="Z724" s="203"/>
      <c r="AA724" s="203"/>
      <c r="AB724" s="203"/>
      <c r="AC724" s="203"/>
      <c r="AD724" s="203"/>
      <c r="AE724" s="203"/>
      <c r="AF724" s="203"/>
      <c r="AG724" s="203"/>
      <c r="AH724" s="203"/>
      <c r="AI724" s="203"/>
      <c r="AJ724" s="203"/>
      <c r="AK724" s="203"/>
      <c r="AL724" s="203"/>
      <c r="AM724" s="203"/>
      <c r="AN724" s="203"/>
      <c r="AO724" s="203"/>
      <c r="AP724" s="203"/>
      <c r="AQ724" s="203"/>
      <c r="AR724" s="203"/>
      <c r="AS724" s="203"/>
      <c r="AT724" s="203"/>
      <c r="AU724" s="203"/>
      <c r="AV724" s="203"/>
      <c r="AW724" s="203"/>
      <c r="AX724" s="203"/>
      <c r="AY724" s="203"/>
      <c r="AZ724" s="203"/>
      <c r="BA724" s="203"/>
      <c r="BB724" s="203"/>
      <c r="BC724" s="203"/>
      <c r="BD724" s="203"/>
      <c r="BE724" s="203"/>
      <c r="BF724" s="203"/>
    </row>
    <row r="725" spans="1:58" s="15" customFormat="1" ht="14.1" customHeight="1">
      <c r="A725" s="247"/>
      <c r="B725" s="203"/>
      <c r="C725" s="203"/>
      <c r="D725" s="203"/>
      <c r="E725" s="203"/>
      <c r="F725" s="203"/>
      <c r="G725" s="203"/>
      <c r="H725" s="203"/>
      <c r="I725" s="203"/>
      <c r="J725" s="203"/>
      <c r="K725" s="203"/>
      <c r="L725" s="203"/>
      <c r="M725" s="203"/>
      <c r="N725" s="203"/>
      <c r="O725" s="203"/>
      <c r="P725" s="203"/>
      <c r="Q725" s="203"/>
      <c r="R725" s="203"/>
      <c r="S725" s="203"/>
      <c r="T725" s="203"/>
      <c r="U725" s="203"/>
      <c r="V725" s="203"/>
      <c r="W725" s="203"/>
      <c r="X725" s="203"/>
      <c r="Y725" s="203"/>
      <c r="Z725" s="203"/>
      <c r="AA725" s="203"/>
      <c r="AB725" s="203"/>
      <c r="AC725" s="203"/>
      <c r="AD725" s="203"/>
      <c r="AE725" s="203"/>
      <c r="AF725" s="203"/>
      <c r="AG725" s="203"/>
      <c r="AH725" s="203"/>
      <c r="AI725" s="203"/>
      <c r="AJ725" s="203"/>
      <c r="AK725" s="203"/>
      <c r="AL725" s="203"/>
      <c r="AM725" s="203"/>
      <c r="AN725" s="203"/>
      <c r="AO725" s="203"/>
      <c r="AP725" s="203"/>
      <c r="AQ725" s="203"/>
      <c r="AR725" s="203"/>
      <c r="AS725" s="203"/>
      <c r="AT725" s="203"/>
      <c r="AU725" s="203"/>
      <c r="AV725" s="203"/>
      <c r="AW725" s="203"/>
      <c r="AX725" s="203"/>
      <c r="AY725" s="203"/>
      <c r="AZ725" s="203"/>
      <c r="BA725" s="203"/>
      <c r="BB725" s="203"/>
      <c r="BC725" s="203"/>
      <c r="BD725" s="203"/>
      <c r="BE725" s="203"/>
      <c r="BF725" s="203"/>
    </row>
    <row r="726" spans="1:58" s="15" customFormat="1" ht="14.1" customHeight="1">
      <c r="A726" s="247"/>
      <c r="B726" s="203"/>
      <c r="C726" s="203"/>
      <c r="D726" s="203"/>
      <c r="E726" s="203"/>
      <c r="F726" s="203"/>
      <c r="G726" s="203"/>
      <c r="H726" s="203"/>
      <c r="I726" s="203"/>
      <c r="J726" s="203"/>
      <c r="K726" s="203"/>
      <c r="L726" s="203"/>
      <c r="M726" s="203"/>
      <c r="N726" s="203"/>
      <c r="O726" s="203"/>
      <c r="P726" s="203"/>
      <c r="Q726" s="203"/>
      <c r="R726" s="203"/>
      <c r="S726" s="203"/>
      <c r="T726" s="203"/>
      <c r="U726" s="203"/>
      <c r="V726" s="203"/>
      <c r="W726" s="203"/>
      <c r="X726" s="203"/>
      <c r="Y726" s="203"/>
      <c r="Z726" s="203"/>
      <c r="AA726" s="203"/>
      <c r="AB726" s="203"/>
      <c r="AC726" s="203"/>
      <c r="AD726" s="203"/>
      <c r="AE726" s="203"/>
      <c r="AF726" s="203"/>
      <c r="AG726" s="203"/>
      <c r="AH726" s="203"/>
      <c r="AI726" s="203"/>
      <c r="AJ726" s="203"/>
      <c r="AK726" s="203"/>
      <c r="AL726" s="203"/>
      <c r="AM726" s="203"/>
      <c r="AN726" s="203"/>
      <c r="AO726" s="203"/>
      <c r="AP726" s="203"/>
      <c r="AQ726" s="203"/>
      <c r="AR726" s="203"/>
      <c r="AS726" s="203"/>
      <c r="AT726" s="203"/>
      <c r="AU726" s="203"/>
      <c r="AV726" s="203"/>
      <c r="AW726" s="203"/>
      <c r="AX726" s="203"/>
      <c r="AY726" s="203"/>
      <c r="AZ726" s="203"/>
      <c r="BA726" s="203"/>
      <c r="BB726" s="203"/>
      <c r="BC726" s="203"/>
      <c r="BD726" s="203"/>
      <c r="BE726" s="203"/>
      <c r="BF726" s="203"/>
    </row>
    <row r="727" spans="1:58" s="15" customFormat="1" ht="14.1" customHeight="1">
      <c r="A727" s="247"/>
      <c r="B727" s="203"/>
      <c r="C727" s="203"/>
      <c r="D727" s="203"/>
      <c r="E727" s="203"/>
      <c r="F727" s="203"/>
      <c r="G727" s="203"/>
      <c r="H727" s="203"/>
      <c r="I727" s="203"/>
      <c r="J727" s="203"/>
      <c r="K727" s="203"/>
      <c r="L727" s="203"/>
      <c r="M727" s="203"/>
      <c r="N727" s="203"/>
      <c r="O727" s="203"/>
      <c r="P727" s="203"/>
      <c r="Q727" s="203"/>
      <c r="R727" s="203"/>
      <c r="S727" s="203"/>
      <c r="T727" s="203"/>
      <c r="U727" s="203"/>
      <c r="V727" s="203"/>
      <c r="W727" s="203"/>
      <c r="X727" s="203"/>
      <c r="Y727" s="203"/>
      <c r="Z727" s="203"/>
      <c r="AA727" s="203"/>
      <c r="AB727" s="203"/>
      <c r="AC727" s="203"/>
      <c r="AD727" s="203"/>
      <c r="AE727" s="203"/>
      <c r="AF727" s="203"/>
      <c r="AG727" s="203"/>
      <c r="AH727" s="203"/>
      <c r="AI727" s="203"/>
      <c r="AJ727" s="203"/>
      <c r="AK727" s="203"/>
      <c r="AL727" s="203"/>
      <c r="AM727" s="203"/>
      <c r="AN727" s="203"/>
      <c r="AO727" s="203"/>
      <c r="AP727" s="203"/>
      <c r="AQ727" s="203"/>
      <c r="AR727" s="203"/>
      <c r="AS727" s="203"/>
      <c r="AT727" s="203"/>
      <c r="AU727" s="203"/>
      <c r="AV727" s="203"/>
      <c r="AW727" s="203"/>
      <c r="AX727" s="203"/>
      <c r="AY727" s="203"/>
      <c r="AZ727" s="203"/>
      <c r="BA727" s="203"/>
      <c r="BB727" s="203"/>
      <c r="BC727" s="203"/>
      <c r="BD727" s="203"/>
      <c r="BE727" s="203"/>
      <c r="BF727" s="203"/>
    </row>
    <row r="728" spans="1:58" s="15" customFormat="1" ht="14.1" customHeight="1">
      <c r="A728" s="247"/>
      <c r="B728" s="203"/>
      <c r="C728" s="203"/>
      <c r="D728" s="203"/>
      <c r="E728" s="203"/>
      <c r="F728" s="203"/>
      <c r="G728" s="203"/>
      <c r="H728" s="203"/>
      <c r="I728" s="203"/>
      <c r="J728" s="203"/>
      <c r="K728" s="203"/>
      <c r="L728" s="203"/>
      <c r="M728" s="203"/>
      <c r="N728" s="203"/>
      <c r="O728" s="203"/>
      <c r="P728" s="203"/>
      <c r="Q728" s="203"/>
      <c r="R728" s="203"/>
      <c r="S728" s="203"/>
      <c r="T728" s="203"/>
      <c r="U728" s="203"/>
      <c r="V728" s="203"/>
      <c r="W728" s="203"/>
      <c r="X728" s="203"/>
      <c r="Y728" s="203"/>
      <c r="Z728" s="203"/>
      <c r="AA728" s="203"/>
      <c r="AB728" s="203"/>
      <c r="AC728" s="203"/>
      <c r="AD728" s="203"/>
      <c r="AE728" s="203"/>
      <c r="AF728" s="203"/>
      <c r="AG728" s="203"/>
      <c r="AH728" s="203"/>
      <c r="AI728" s="203"/>
      <c r="AJ728" s="203"/>
      <c r="AK728" s="203"/>
      <c r="AL728" s="203"/>
      <c r="AM728" s="203"/>
      <c r="AN728" s="203"/>
      <c r="AO728" s="203"/>
      <c r="AP728" s="203"/>
      <c r="AQ728" s="203"/>
      <c r="AR728" s="203"/>
      <c r="AS728" s="203"/>
      <c r="AT728" s="203"/>
      <c r="AU728" s="203"/>
      <c r="AV728" s="203"/>
      <c r="AW728" s="203"/>
      <c r="AX728" s="203"/>
      <c r="AY728" s="203"/>
      <c r="AZ728" s="203"/>
      <c r="BA728" s="203"/>
      <c r="BB728" s="203"/>
      <c r="BC728" s="203"/>
      <c r="BD728" s="203"/>
      <c r="BE728" s="203"/>
      <c r="BF728" s="203"/>
    </row>
    <row r="729" spans="1:58" s="15" customFormat="1" ht="14.1" customHeight="1">
      <c r="A729" s="247"/>
      <c r="B729" s="203"/>
      <c r="C729" s="203"/>
      <c r="D729" s="203"/>
      <c r="E729" s="203"/>
      <c r="F729" s="203"/>
      <c r="G729" s="203"/>
      <c r="H729" s="203"/>
      <c r="I729" s="203"/>
      <c r="J729" s="203"/>
      <c r="K729" s="203"/>
      <c r="L729" s="203"/>
      <c r="M729" s="203"/>
      <c r="N729" s="203"/>
      <c r="O729" s="203"/>
      <c r="P729" s="203"/>
      <c r="Q729" s="203"/>
      <c r="R729" s="203"/>
      <c r="S729" s="203"/>
      <c r="T729" s="203"/>
      <c r="U729" s="203"/>
      <c r="V729" s="203"/>
      <c r="W729" s="203"/>
      <c r="X729" s="203"/>
      <c r="Y729" s="203"/>
      <c r="Z729" s="203"/>
      <c r="AA729" s="203"/>
      <c r="AB729" s="203"/>
      <c r="AC729" s="203"/>
      <c r="AD729" s="203"/>
      <c r="AE729" s="203"/>
      <c r="AF729" s="203"/>
      <c r="AG729" s="203"/>
      <c r="AH729" s="203"/>
      <c r="AI729" s="203"/>
      <c r="AJ729" s="203"/>
      <c r="AK729" s="203"/>
      <c r="AL729" s="203"/>
      <c r="AM729" s="203"/>
      <c r="AN729" s="203"/>
      <c r="AO729" s="203"/>
      <c r="AP729" s="203"/>
      <c r="AQ729" s="203"/>
      <c r="AR729" s="203"/>
      <c r="AS729" s="203"/>
      <c r="AT729" s="203"/>
      <c r="AU729" s="203"/>
      <c r="AV729" s="203"/>
      <c r="AW729" s="203"/>
      <c r="AX729" s="203"/>
      <c r="AY729" s="203"/>
      <c r="AZ729" s="203"/>
      <c r="BA729" s="203"/>
      <c r="BB729" s="203"/>
      <c r="BC729" s="203"/>
      <c r="BD729" s="203"/>
      <c r="BE729" s="203"/>
      <c r="BF729" s="203"/>
    </row>
    <row r="730" spans="1:58" s="15" customFormat="1" ht="14.1" customHeight="1">
      <c r="A730" s="247"/>
      <c r="B730" s="203"/>
      <c r="C730" s="203"/>
      <c r="D730" s="203"/>
      <c r="E730" s="203"/>
      <c r="F730" s="203"/>
      <c r="G730" s="203"/>
      <c r="H730" s="203"/>
      <c r="I730" s="203"/>
      <c r="J730" s="203"/>
      <c r="K730" s="203"/>
      <c r="L730" s="203"/>
      <c r="M730" s="203"/>
      <c r="N730" s="203"/>
      <c r="O730" s="203"/>
      <c r="P730" s="203"/>
      <c r="Q730" s="203"/>
      <c r="R730" s="203"/>
      <c r="S730" s="203"/>
      <c r="T730" s="203"/>
      <c r="U730" s="203"/>
      <c r="V730" s="203"/>
      <c r="W730" s="203"/>
      <c r="X730" s="203"/>
      <c r="Y730" s="203"/>
      <c r="Z730" s="203"/>
      <c r="AA730" s="203"/>
      <c r="AB730" s="203"/>
      <c r="AC730" s="203"/>
      <c r="AD730" s="203"/>
      <c r="AE730" s="203"/>
      <c r="AF730" s="203"/>
      <c r="AG730" s="203"/>
      <c r="AH730" s="203"/>
      <c r="AI730" s="203"/>
      <c r="AJ730" s="203"/>
      <c r="AK730" s="203"/>
      <c r="AL730" s="203"/>
      <c r="AM730" s="203"/>
      <c r="AN730" s="203"/>
      <c r="AO730" s="203"/>
      <c r="AP730" s="203"/>
      <c r="AQ730" s="203"/>
      <c r="AR730" s="203"/>
      <c r="AS730" s="203"/>
      <c r="AT730" s="203"/>
      <c r="AU730" s="203"/>
      <c r="AV730" s="203"/>
      <c r="AW730" s="203"/>
      <c r="AX730" s="203"/>
      <c r="AY730" s="203"/>
      <c r="AZ730" s="203"/>
      <c r="BA730" s="203"/>
      <c r="BB730" s="203"/>
      <c r="BC730" s="203"/>
      <c r="BD730" s="203"/>
      <c r="BE730" s="203"/>
      <c r="BF730" s="203"/>
    </row>
    <row r="731" spans="1:58" s="15" customFormat="1" ht="14.1" customHeight="1">
      <c r="A731" s="247"/>
      <c r="B731" s="203"/>
      <c r="C731" s="203"/>
      <c r="D731" s="203"/>
      <c r="E731" s="203"/>
      <c r="F731" s="203"/>
      <c r="G731" s="203"/>
      <c r="H731" s="203"/>
      <c r="I731" s="203"/>
      <c r="J731" s="203"/>
      <c r="K731" s="203"/>
      <c r="L731" s="203"/>
      <c r="M731" s="203"/>
      <c r="N731" s="203"/>
      <c r="O731" s="203"/>
      <c r="P731" s="203"/>
      <c r="Q731" s="203"/>
      <c r="R731" s="203"/>
      <c r="S731" s="203"/>
      <c r="T731" s="203"/>
      <c r="U731" s="203"/>
      <c r="V731" s="203"/>
      <c r="W731" s="203"/>
      <c r="X731" s="203"/>
      <c r="Y731" s="203"/>
      <c r="Z731" s="203"/>
      <c r="AA731" s="203"/>
      <c r="AB731" s="203"/>
      <c r="AC731" s="203"/>
      <c r="AD731" s="203"/>
      <c r="AE731" s="203"/>
      <c r="AF731" s="203"/>
      <c r="AG731" s="203"/>
      <c r="AH731" s="203"/>
      <c r="AI731" s="203"/>
      <c r="AJ731" s="203"/>
      <c r="AK731" s="203"/>
      <c r="AL731" s="203"/>
      <c r="AM731" s="203"/>
      <c r="AN731" s="203"/>
      <c r="AO731" s="203"/>
      <c r="AP731" s="203"/>
      <c r="AQ731" s="203"/>
      <c r="AR731" s="203"/>
      <c r="AS731" s="203"/>
      <c r="AT731" s="203"/>
      <c r="AU731" s="203"/>
      <c r="AV731" s="203"/>
      <c r="AW731" s="203"/>
      <c r="AX731" s="203"/>
      <c r="AY731" s="203"/>
      <c r="AZ731" s="203"/>
      <c r="BA731" s="203"/>
      <c r="BB731" s="203"/>
      <c r="BC731" s="203"/>
      <c r="BD731" s="203"/>
      <c r="BE731" s="203"/>
      <c r="BF731" s="203"/>
    </row>
    <row r="732" spans="1:58" s="15" customFormat="1" ht="14.1" customHeight="1">
      <c r="A732" s="247"/>
      <c r="B732" s="203"/>
      <c r="C732" s="203"/>
      <c r="D732" s="203"/>
      <c r="E732" s="203"/>
      <c r="F732" s="203"/>
      <c r="G732" s="203"/>
      <c r="H732" s="203"/>
      <c r="I732" s="203"/>
      <c r="J732" s="203"/>
      <c r="K732" s="203"/>
      <c r="L732" s="203"/>
      <c r="M732" s="203"/>
      <c r="N732" s="203"/>
      <c r="O732" s="203"/>
      <c r="P732" s="203"/>
      <c r="Q732" s="203"/>
      <c r="R732" s="203"/>
      <c r="S732" s="203"/>
      <c r="T732" s="203"/>
      <c r="U732" s="203"/>
      <c r="V732" s="203"/>
      <c r="W732" s="203"/>
      <c r="X732" s="203"/>
      <c r="Y732" s="203"/>
      <c r="Z732" s="203"/>
      <c r="AA732" s="203"/>
      <c r="AB732" s="203"/>
      <c r="AC732" s="203"/>
      <c r="AD732" s="203"/>
      <c r="AE732" s="203"/>
      <c r="AF732" s="203"/>
      <c r="AG732" s="203"/>
      <c r="AH732" s="203"/>
      <c r="AI732" s="203"/>
      <c r="AJ732" s="203"/>
      <c r="AK732" s="203"/>
      <c r="AL732" s="203"/>
      <c r="AM732" s="203"/>
      <c r="AN732" s="203"/>
      <c r="AO732" s="203"/>
      <c r="AP732" s="203"/>
      <c r="AQ732" s="203"/>
      <c r="AR732" s="203"/>
      <c r="AS732" s="203"/>
      <c r="AT732" s="203"/>
      <c r="AU732" s="203"/>
      <c r="AV732" s="203"/>
      <c r="AW732" s="203"/>
      <c r="AX732" s="203"/>
      <c r="AY732" s="203"/>
      <c r="AZ732" s="203"/>
      <c r="BA732" s="203"/>
      <c r="BB732" s="203"/>
      <c r="BC732" s="203"/>
      <c r="BD732" s="203"/>
      <c r="BE732" s="203"/>
      <c r="BF732" s="203"/>
    </row>
    <row r="733" spans="1:58" s="15" customFormat="1" ht="14.1" customHeight="1">
      <c r="A733" s="247"/>
      <c r="B733" s="203"/>
      <c r="C733" s="203"/>
      <c r="D733" s="203"/>
      <c r="E733" s="203"/>
      <c r="F733" s="203"/>
      <c r="G733" s="203"/>
      <c r="H733" s="203"/>
      <c r="I733" s="203"/>
      <c r="J733" s="203"/>
      <c r="K733" s="203"/>
      <c r="L733" s="203"/>
      <c r="M733" s="203"/>
      <c r="N733" s="203"/>
      <c r="O733" s="203"/>
      <c r="P733" s="203"/>
      <c r="Q733" s="203"/>
      <c r="R733" s="203"/>
      <c r="S733" s="203"/>
      <c r="T733" s="203"/>
      <c r="U733" s="203"/>
      <c r="V733" s="203"/>
      <c r="W733" s="203"/>
      <c r="X733" s="203"/>
      <c r="Y733" s="203"/>
      <c r="Z733" s="203"/>
      <c r="AA733" s="203"/>
      <c r="AB733" s="203"/>
      <c r="AC733" s="203"/>
      <c r="AD733" s="203"/>
      <c r="AE733" s="203"/>
      <c r="AF733" s="203"/>
      <c r="AG733" s="203"/>
      <c r="AH733" s="203"/>
      <c r="AI733" s="203"/>
      <c r="AJ733" s="203"/>
      <c r="AK733" s="203"/>
      <c r="AL733" s="203"/>
      <c r="AM733" s="203"/>
      <c r="AN733" s="203"/>
      <c r="AO733" s="203"/>
      <c r="AP733" s="203"/>
      <c r="AQ733" s="203"/>
      <c r="AR733" s="203"/>
      <c r="AS733" s="203"/>
      <c r="AT733" s="203"/>
      <c r="AU733" s="203"/>
      <c r="AV733" s="203"/>
      <c r="AW733" s="203"/>
      <c r="AX733" s="203"/>
      <c r="AY733" s="203"/>
      <c r="AZ733" s="203"/>
      <c r="BA733" s="203"/>
      <c r="BB733" s="203"/>
      <c r="BC733" s="203"/>
      <c r="BD733" s="203"/>
      <c r="BE733" s="203"/>
      <c r="BF733" s="203"/>
    </row>
    <row r="734" spans="1:58" s="15" customFormat="1" ht="14.1" customHeight="1">
      <c r="A734" s="247"/>
      <c r="B734" s="203"/>
      <c r="C734" s="203"/>
      <c r="D734" s="203"/>
      <c r="E734" s="203"/>
      <c r="F734" s="203"/>
      <c r="G734" s="203"/>
      <c r="H734" s="203"/>
      <c r="I734" s="203"/>
      <c r="J734" s="203"/>
      <c r="K734" s="203"/>
      <c r="L734" s="203"/>
      <c r="M734" s="203"/>
      <c r="N734" s="203"/>
      <c r="O734" s="203"/>
      <c r="P734" s="203"/>
      <c r="Q734" s="203"/>
      <c r="R734" s="203"/>
      <c r="S734" s="203"/>
      <c r="T734" s="203"/>
      <c r="U734" s="203"/>
      <c r="V734" s="203"/>
      <c r="W734" s="203"/>
      <c r="X734" s="203"/>
      <c r="Y734" s="203"/>
      <c r="Z734" s="203"/>
      <c r="AA734" s="203"/>
      <c r="AB734" s="203"/>
      <c r="AC734" s="203"/>
      <c r="AD734" s="203"/>
      <c r="AE734" s="203"/>
      <c r="AF734" s="203"/>
      <c r="AG734" s="203"/>
      <c r="AH734" s="203"/>
      <c r="AI734" s="203"/>
      <c r="AJ734" s="203"/>
      <c r="AK734" s="203"/>
      <c r="AL734" s="203"/>
      <c r="AM734" s="203"/>
      <c r="AN734" s="203"/>
      <c r="AO734" s="203"/>
      <c r="AP734" s="203"/>
      <c r="AQ734" s="203"/>
      <c r="AR734" s="203"/>
      <c r="AS734" s="203"/>
      <c r="AT734" s="203"/>
      <c r="AU734" s="203"/>
      <c r="AV734" s="203"/>
      <c r="AW734" s="203"/>
      <c r="AX734" s="203"/>
      <c r="AY734" s="203"/>
      <c r="AZ734" s="203"/>
      <c r="BA734" s="203"/>
      <c r="BB734" s="203"/>
      <c r="BC734" s="203"/>
      <c r="BD734" s="203"/>
      <c r="BE734" s="203"/>
      <c r="BF734" s="203"/>
    </row>
    <row r="735" spans="1:58" s="15" customFormat="1" ht="14.1" customHeight="1">
      <c r="A735" s="247"/>
      <c r="B735" s="203"/>
      <c r="C735" s="203"/>
      <c r="D735" s="203"/>
      <c r="E735" s="203"/>
      <c r="F735" s="203"/>
      <c r="G735" s="203"/>
      <c r="H735" s="203"/>
      <c r="I735" s="203"/>
      <c r="J735" s="203"/>
      <c r="K735" s="203"/>
      <c r="L735" s="203"/>
      <c r="M735" s="203"/>
      <c r="N735" s="203"/>
      <c r="O735" s="203"/>
      <c r="P735" s="203"/>
      <c r="Q735" s="203"/>
      <c r="R735" s="203"/>
      <c r="S735" s="203"/>
      <c r="T735" s="203"/>
      <c r="U735" s="203"/>
      <c r="V735" s="203"/>
      <c r="W735" s="203"/>
      <c r="X735" s="203"/>
      <c r="Y735" s="203"/>
      <c r="Z735" s="203"/>
      <c r="AA735" s="203"/>
      <c r="AB735" s="203"/>
      <c r="AC735" s="203"/>
      <c r="AD735" s="203"/>
      <c r="AE735" s="203"/>
      <c r="AF735" s="203"/>
      <c r="AG735" s="203"/>
      <c r="AH735" s="203"/>
      <c r="AI735" s="203"/>
      <c r="AJ735" s="203"/>
      <c r="AK735" s="203"/>
      <c r="AL735" s="203"/>
      <c r="AM735" s="203"/>
      <c r="AN735" s="203"/>
      <c r="AO735" s="203"/>
      <c r="AP735" s="203"/>
      <c r="AQ735" s="203"/>
      <c r="AR735" s="203"/>
      <c r="AS735" s="203"/>
      <c r="AT735" s="203"/>
      <c r="AU735" s="203"/>
      <c r="AV735" s="203"/>
      <c r="AW735" s="203"/>
      <c r="AX735" s="203"/>
      <c r="AY735" s="203"/>
      <c r="AZ735" s="203"/>
      <c r="BA735" s="203"/>
      <c r="BB735" s="203"/>
      <c r="BC735" s="203"/>
      <c r="BD735" s="203"/>
      <c r="BE735" s="203"/>
      <c r="BF735" s="203"/>
    </row>
    <row r="736" spans="1:58" s="15" customFormat="1" ht="14.1" customHeight="1">
      <c r="A736" s="247"/>
      <c r="B736" s="203"/>
      <c r="C736" s="203"/>
      <c r="D736" s="203"/>
      <c r="E736" s="203"/>
      <c r="F736" s="203"/>
      <c r="G736" s="203"/>
      <c r="H736" s="203"/>
      <c r="I736" s="203"/>
      <c r="J736" s="203"/>
      <c r="K736" s="203"/>
      <c r="L736" s="203"/>
      <c r="M736" s="203"/>
      <c r="N736" s="203"/>
      <c r="O736" s="203"/>
      <c r="P736" s="203"/>
      <c r="Q736" s="203"/>
      <c r="R736" s="203"/>
      <c r="S736" s="203"/>
      <c r="T736" s="203"/>
      <c r="U736" s="203"/>
      <c r="V736" s="203"/>
      <c r="W736" s="203"/>
      <c r="X736" s="203"/>
      <c r="Y736" s="203"/>
      <c r="Z736" s="203"/>
      <c r="AA736" s="203"/>
      <c r="AB736" s="203"/>
      <c r="AC736" s="203"/>
      <c r="AD736" s="203"/>
      <c r="AE736" s="203"/>
      <c r="AF736" s="203"/>
      <c r="AG736" s="203"/>
      <c r="AH736" s="203"/>
      <c r="AI736" s="203"/>
      <c r="AJ736" s="203"/>
      <c r="AK736" s="203"/>
      <c r="AL736" s="203"/>
      <c r="AM736" s="203"/>
      <c r="AN736" s="203"/>
      <c r="AO736" s="203"/>
      <c r="AP736" s="203"/>
      <c r="AQ736" s="203"/>
      <c r="AR736" s="203"/>
      <c r="AS736" s="203"/>
      <c r="AT736" s="203"/>
      <c r="AU736" s="203"/>
      <c r="AV736" s="203"/>
      <c r="AW736" s="203"/>
      <c r="AX736" s="203"/>
      <c r="AY736" s="203"/>
      <c r="AZ736" s="203"/>
      <c r="BA736" s="203"/>
      <c r="BB736" s="203"/>
      <c r="BC736" s="203"/>
      <c r="BD736" s="203"/>
      <c r="BE736" s="203"/>
      <c r="BF736" s="203"/>
    </row>
    <row r="737" spans="1:58" s="15" customFormat="1" ht="14.1" customHeight="1">
      <c r="A737" s="247"/>
      <c r="B737" s="203"/>
      <c r="C737" s="203"/>
      <c r="D737" s="203"/>
      <c r="E737" s="203"/>
      <c r="F737" s="203"/>
      <c r="G737" s="203"/>
      <c r="H737" s="203"/>
      <c r="I737" s="203"/>
      <c r="J737" s="203"/>
      <c r="K737" s="203"/>
      <c r="L737" s="203"/>
      <c r="M737" s="203"/>
      <c r="N737" s="203"/>
      <c r="O737" s="203"/>
      <c r="P737" s="203"/>
      <c r="Q737" s="203"/>
      <c r="R737" s="203"/>
      <c r="S737" s="203"/>
      <c r="T737" s="203"/>
      <c r="U737" s="203"/>
      <c r="V737" s="203"/>
      <c r="W737" s="203"/>
      <c r="X737" s="203"/>
      <c r="Y737" s="203"/>
      <c r="Z737" s="203"/>
      <c r="AA737" s="203"/>
      <c r="AB737" s="203"/>
      <c r="AC737" s="203"/>
      <c r="AD737" s="203"/>
      <c r="AE737" s="203"/>
      <c r="AF737" s="203"/>
      <c r="AG737" s="203"/>
      <c r="AH737" s="203"/>
      <c r="AI737" s="203"/>
      <c r="AJ737" s="203"/>
      <c r="AK737" s="203"/>
      <c r="AL737" s="203"/>
      <c r="AM737" s="203"/>
      <c r="AN737" s="203"/>
      <c r="AO737" s="203"/>
      <c r="AP737" s="203"/>
      <c r="AQ737" s="203"/>
      <c r="AR737" s="203"/>
      <c r="AS737" s="203"/>
      <c r="AT737" s="203"/>
      <c r="AU737" s="203"/>
      <c r="AV737" s="203"/>
      <c r="AW737" s="203"/>
      <c r="AX737" s="203"/>
      <c r="AY737" s="203"/>
      <c r="AZ737" s="203"/>
      <c r="BA737" s="203"/>
      <c r="BB737" s="203"/>
      <c r="BC737" s="203"/>
      <c r="BD737" s="203"/>
      <c r="BE737" s="203"/>
      <c r="BF737" s="203"/>
    </row>
    <row r="738" spans="1:58" s="15" customFormat="1" ht="14.1" customHeight="1">
      <c r="A738" s="247"/>
      <c r="B738" s="203"/>
      <c r="C738" s="203"/>
      <c r="D738" s="203"/>
      <c r="E738" s="203"/>
      <c r="F738" s="203"/>
      <c r="G738" s="203"/>
      <c r="H738" s="203"/>
      <c r="I738" s="203"/>
      <c r="J738" s="203"/>
      <c r="K738" s="203"/>
      <c r="L738" s="203"/>
      <c r="M738" s="203"/>
      <c r="N738" s="203"/>
      <c r="O738" s="203"/>
      <c r="P738" s="203"/>
      <c r="Q738" s="203"/>
      <c r="R738" s="203"/>
      <c r="S738" s="203"/>
      <c r="T738" s="203"/>
      <c r="U738" s="203"/>
      <c r="V738" s="203"/>
      <c r="W738" s="203"/>
      <c r="X738" s="203"/>
      <c r="Y738" s="203"/>
      <c r="Z738" s="203"/>
      <c r="AA738" s="203"/>
      <c r="AB738" s="203"/>
      <c r="AC738" s="203"/>
      <c r="AD738" s="203"/>
      <c r="AE738" s="203"/>
      <c r="AF738" s="203"/>
      <c r="AG738" s="203"/>
      <c r="AH738" s="203"/>
      <c r="AI738" s="203"/>
      <c r="AJ738" s="203"/>
      <c r="AK738" s="203"/>
      <c r="AL738" s="203"/>
      <c r="AM738" s="203"/>
      <c r="AN738" s="203"/>
      <c r="AO738" s="203"/>
      <c r="AP738" s="203"/>
      <c r="AQ738" s="203"/>
      <c r="AR738" s="203"/>
      <c r="AS738" s="203"/>
      <c r="AT738" s="203"/>
      <c r="AU738" s="203"/>
      <c r="AV738" s="203"/>
      <c r="AW738" s="203"/>
      <c r="AX738" s="203"/>
      <c r="AY738" s="203"/>
      <c r="AZ738" s="203"/>
      <c r="BA738" s="203"/>
      <c r="BB738" s="203"/>
      <c r="BC738" s="203"/>
      <c r="BD738" s="203"/>
      <c r="BE738" s="203"/>
      <c r="BF738" s="203"/>
    </row>
    <row r="739" spans="1:58" s="15" customFormat="1" ht="14.1" customHeight="1">
      <c r="A739" s="247"/>
      <c r="B739" s="203"/>
      <c r="C739" s="203"/>
      <c r="D739" s="203"/>
      <c r="E739" s="203"/>
      <c r="F739" s="203"/>
      <c r="G739" s="203"/>
      <c r="H739" s="203"/>
      <c r="I739" s="203"/>
      <c r="J739" s="203"/>
      <c r="K739" s="203"/>
      <c r="L739" s="203"/>
      <c r="M739" s="203"/>
      <c r="N739" s="203"/>
      <c r="O739" s="203"/>
      <c r="P739" s="203"/>
      <c r="Q739" s="203"/>
      <c r="R739" s="203"/>
      <c r="S739" s="203"/>
      <c r="T739" s="203"/>
      <c r="U739" s="203"/>
      <c r="V739" s="203"/>
      <c r="W739" s="203"/>
      <c r="X739" s="203"/>
      <c r="Y739" s="203"/>
      <c r="Z739" s="203"/>
      <c r="AA739" s="203"/>
      <c r="AB739" s="203"/>
      <c r="AC739" s="203"/>
      <c r="AD739" s="203"/>
      <c r="AE739" s="203"/>
      <c r="AF739" s="203"/>
      <c r="AG739" s="203"/>
      <c r="AH739" s="203"/>
      <c r="AI739" s="203"/>
      <c r="AJ739" s="203"/>
      <c r="AK739" s="203"/>
      <c r="AL739" s="203"/>
      <c r="AM739" s="203"/>
      <c r="AN739" s="203"/>
      <c r="AO739" s="203"/>
      <c r="AP739" s="203"/>
      <c r="AQ739" s="203"/>
      <c r="AR739" s="203"/>
      <c r="AS739" s="203"/>
      <c r="AT739" s="203"/>
      <c r="AU739" s="203"/>
      <c r="AV739" s="203"/>
      <c r="AW739" s="203"/>
      <c r="AX739" s="203"/>
      <c r="AY739" s="203"/>
      <c r="AZ739" s="203"/>
      <c r="BA739" s="203"/>
      <c r="BB739" s="203"/>
      <c r="BC739" s="203"/>
      <c r="BD739" s="203"/>
      <c r="BE739" s="203"/>
      <c r="BF739" s="203"/>
    </row>
    <row r="740" spans="1:58" s="15" customFormat="1" ht="14.1" customHeight="1">
      <c r="A740" s="247"/>
      <c r="B740" s="203"/>
      <c r="C740" s="203"/>
      <c r="D740" s="203"/>
      <c r="E740" s="203"/>
      <c r="F740" s="203"/>
      <c r="G740" s="203"/>
      <c r="H740" s="203"/>
      <c r="I740" s="203"/>
      <c r="J740" s="203"/>
      <c r="K740" s="203"/>
      <c r="L740" s="203"/>
      <c r="M740" s="203"/>
      <c r="N740" s="203"/>
      <c r="O740" s="203"/>
      <c r="P740" s="203"/>
      <c r="Q740" s="203"/>
      <c r="R740" s="203"/>
      <c r="S740" s="203"/>
      <c r="T740" s="203"/>
      <c r="U740" s="203"/>
      <c r="V740" s="203"/>
      <c r="W740" s="203"/>
      <c r="X740" s="203"/>
      <c r="Y740" s="203"/>
      <c r="Z740" s="203"/>
      <c r="AA740" s="203"/>
      <c r="AB740" s="203"/>
      <c r="AC740" s="203"/>
      <c r="AD740" s="203"/>
      <c r="AE740" s="203"/>
      <c r="AF740" s="203"/>
      <c r="AG740" s="203"/>
      <c r="AH740" s="203"/>
      <c r="AI740" s="203"/>
      <c r="AJ740" s="203"/>
      <c r="AK740" s="203"/>
      <c r="AL740" s="203"/>
      <c r="AM740" s="203"/>
      <c r="AN740" s="203"/>
      <c r="AO740" s="203"/>
      <c r="AP740" s="203"/>
      <c r="AQ740" s="203"/>
      <c r="AR740" s="203"/>
      <c r="AS740" s="203"/>
      <c r="AT740" s="203"/>
      <c r="AU740" s="203"/>
      <c r="AV740" s="203"/>
      <c r="AW740" s="203"/>
      <c r="AX740" s="203"/>
      <c r="AY740" s="203"/>
      <c r="AZ740" s="203"/>
      <c r="BA740" s="203"/>
      <c r="BB740" s="203"/>
      <c r="BC740" s="203"/>
      <c r="BD740" s="203"/>
      <c r="BE740" s="203"/>
      <c r="BF740" s="203"/>
    </row>
    <row r="741" spans="1:58" s="15" customFormat="1" ht="14.1" customHeight="1">
      <c r="A741" s="247"/>
      <c r="B741" s="203"/>
      <c r="C741" s="203"/>
      <c r="D741" s="203"/>
      <c r="E741" s="203"/>
      <c r="F741" s="203"/>
      <c r="G741" s="203"/>
      <c r="H741" s="203"/>
      <c r="I741" s="203"/>
      <c r="J741" s="203"/>
      <c r="K741" s="203"/>
      <c r="L741" s="203"/>
      <c r="M741" s="203"/>
      <c r="N741" s="203"/>
      <c r="O741" s="203"/>
      <c r="P741" s="203"/>
      <c r="Q741" s="203"/>
      <c r="R741" s="203"/>
      <c r="S741" s="203"/>
      <c r="T741" s="203"/>
      <c r="U741" s="203"/>
      <c r="V741" s="203"/>
      <c r="W741" s="203"/>
      <c r="X741" s="203"/>
      <c r="Y741" s="203"/>
      <c r="Z741" s="203"/>
      <c r="AA741" s="203"/>
      <c r="AB741" s="203"/>
      <c r="AC741" s="203"/>
      <c r="AD741" s="203"/>
      <c r="AE741" s="203"/>
      <c r="AF741" s="203"/>
      <c r="AG741" s="203"/>
      <c r="AH741" s="203"/>
      <c r="AI741" s="203"/>
      <c r="AJ741" s="203"/>
      <c r="AK741" s="203"/>
      <c r="AL741" s="203"/>
      <c r="AM741" s="203"/>
      <c r="AN741" s="203"/>
      <c r="AO741" s="203"/>
      <c r="AP741" s="203"/>
      <c r="AQ741" s="203"/>
      <c r="AR741" s="203"/>
      <c r="AS741" s="203"/>
      <c r="AT741" s="203"/>
      <c r="AU741" s="203"/>
      <c r="AV741" s="203"/>
      <c r="AW741" s="203"/>
      <c r="AX741" s="203"/>
      <c r="AY741" s="203"/>
      <c r="AZ741" s="203"/>
      <c r="BA741" s="203"/>
      <c r="BB741" s="203"/>
      <c r="BC741" s="203"/>
      <c r="BD741" s="203"/>
      <c r="BE741" s="203"/>
      <c r="BF741" s="203"/>
    </row>
    <row r="742" spans="1:58" s="15" customFormat="1" ht="14.1" customHeight="1">
      <c r="A742" s="247"/>
      <c r="B742" s="203"/>
      <c r="C742" s="203"/>
      <c r="D742" s="203"/>
      <c r="E742" s="203"/>
      <c r="F742" s="203"/>
      <c r="G742" s="203"/>
      <c r="H742" s="203"/>
      <c r="I742" s="203"/>
      <c r="J742" s="203"/>
      <c r="K742" s="203"/>
      <c r="L742" s="203"/>
      <c r="M742" s="203"/>
      <c r="N742" s="203"/>
      <c r="O742" s="203"/>
      <c r="P742" s="203"/>
      <c r="Q742" s="203"/>
      <c r="R742" s="203"/>
      <c r="S742" s="203"/>
      <c r="T742" s="203"/>
      <c r="U742" s="203"/>
      <c r="V742" s="203"/>
      <c r="W742" s="203"/>
      <c r="X742" s="203"/>
      <c r="Y742" s="203"/>
      <c r="Z742" s="203"/>
      <c r="AA742" s="203"/>
      <c r="AB742" s="203"/>
      <c r="AC742" s="203"/>
      <c r="AD742" s="203"/>
      <c r="AE742" s="203"/>
      <c r="AF742" s="203"/>
      <c r="AG742" s="203"/>
      <c r="AH742" s="203"/>
      <c r="AI742" s="203"/>
      <c r="AJ742" s="203"/>
      <c r="AK742" s="203"/>
      <c r="AL742" s="203"/>
      <c r="AM742" s="203"/>
      <c r="AN742" s="203"/>
      <c r="AO742" s="203"/>
      <c r="AP742" s="203"/>
      <c r="AQ742" s="203"/>
      <c r="AR742" s="203"/>
      <c r="AS742" s="203"/>
      <c r="AT742" s="203"/>
      <c r="AU742" s="203"/>
      <c r="AV742" s="203"/>
      <c r="AW742" s="203"/>
      <c r="AX742" s="203"/>
      <c r="AY742" s="203"/>
      <c r="AZ742" s="203"/>
      <c r="BA742" s="203"/>
      <c r="BB742" s="203"/>
      <c r="BC742" s="203"/>
      <c r="BD742" s="203"/>
      <c r="BE742" s="203"/>
      <c r="BF742" s="203"/>
    </row>
    <row r="743" spans="1:58" s="15" customFormat="1" ht="14.1" customHeight="1">
      <c r="A743" s="247"/>
      <c r="B743" s="203"/>
      <c r="C743" s="203"/>
      <c r="D743" s="203"/>
      <c r="E743" s="203"/>
      <c r="F743" s="203"/>
      <c r="G743" s="203"/>
      <c r="H743" s="203"/>
      <c r="I743" s="203"/>
      <c r="J743" s="203"/>
      <c r="K743" s="203"/>
      <c r="L743" s="203"/>
      <c r="M743" s="203"/>
      <c r="N743" s="203"/>
      <c r="O743" s="203"/>
      <c r="P743" s="203"/>
      <c r="Q743" s="203"/>
      <c r="R743" s="203"/>
      <c r="S743" s="203"/>
      <c r="T743" s="203"/>
      <c r="U743" s="203"/>
      <c r="V743" s="203"/>
      <c r="W743" s="203"/>
      <c r="X743" s="203"/>
      <c r="Y743" s="203"/>
      <c r="Z743" s="203"/>
      <c r="AA743" s="203"/>
      <c r="AB743" s="203"/>
      <c r="AC743" s="203"/>
      <c r="AD743" s="203"/>
      <c r="AE743" s="203"/>
      <c r="AF743" s="203"/>
      <c r="AG743" s="203"/>
      <c r="AH743" s="203"/>
      <c r="AI743" s="203"/>
      <c r="AJ743" s="203"/>
      <c r="AK743" s="203"/>
      <c r="AL743" s="203"/>
      <c r="AM743" s="203"/>
      <c r="AN743" s="203"/>
      <c r="AO743" s="203"/>
      <c r="AP743" s="203"/>
      <c r="AQ743" s="203"/>
      <c r="AR743" s="203"/>
      <c r="AS743" s="203"/>
      <c r="AT743" s="203"/>
      <c r="AU743" s="203"/>
      <c r="AV743" s="203"/>
      <c r="AW743" s="203"/>
      <c r="AX743" s="203"/>
      <c r="AY743" s="203"/>
      <c r="AZ743" s="203"/>
      <c r="BA743" s="203"/>
      <c r="BB743" s="203"/>
      <c r="BC743" s="203"/>
      <c r="BD743" s="203"/>
      <c r="BE743" s="203"/>
      <c r="BF743" s="203"/>
    </row>
    <row r="744" spans="1:58" s="15" customFormat="1" ht="14.1" customHeight="1">
      <c r="A744" s="247"/>
      <c r="B744" s="203"/>
      <c r="C744" s="203"/>
      <c r="D744" s="203"/>
      <c r="E744" s="203"/>
      <c r="F744" s="203"/>
      <c r="G744" s="203"/>
      <c r="H744" s="203"/>
      <c r="I744" s="203"/>
      <c r="J744" s="203"/>
      <c r="K744" s="203"/>
      <c r="L744" s="203"/>
      <c r="M744" s="203"/>
      <c r="N744" s="203"/>
      <c r="O744" s="203"/>
      <c r="P744" s="203"/>
      <c r="Q744" s="203"/>
      <c r="R744" s="203"/>
      <c r="S744" s="203"/>
      <c r="T744" s="203"/>
      <c r="U744" s="203"/>
      <c r="V744" s="203"/>
      <c r="W744" s="203"/>
      <c r="X744" s="203"/>
      <c r="Y744" s="203"/>
      <c r="Z744" s="203"/>
      <c r="AA744" s="203"/>
      <c r="AB744" s="203"/>
      <c r="AC744" s="203"/>
      <c r="AD744" s="203"/>
      <c r="AE744" s="203"/>
      <c r="AF744" s="203"/>
      <c r="AG744" s="203"/>
      <c r="AH744" s="203"/>
      <c r="AI744" s="203"/>
      <c r="AJ744" s="203"/>
      <c r="AK744" s="203"/>
      <c r="AL744" s="203"/>
      <c r="AM744" s="203"/>
      <c r="AN744" s="203"/>
      <c r="AO744" s="203"/>
      <c r="AP744" s="203"/>
      <c r="AQ744" s="203"/>
      <c r="AR744" s="203"/>
      <c r="AS744" s="203"/>
      <c r="AT744" s="203"/>
      <c r="AU744" s="203"/>
      <c r="AV744" s="203"/>
      <c r="AW744" s="203"/>
      <c r="AX744" s="203"/>
      <c r="AY744" s="203"/>
      <c r="AZ744" s="203"/>
      <c r="BA744" s="203"/>
      <c r="BB744" s="203"/>
      <c r="BC744" s="203"/>
      <c r="BD744" s="203"/>
      <c r="BE744" s="203"/>
      <c r="BF744" s="203"/>
    </row>
    <row r="745" spans="1:58" s="15" customFormat="1" ht="14.1" customHeight="1">
      <c r="A745" s="247"/>
      <c r="B745" s="203"/>
      <c r="C745" s="203"/>
      <c r="D745" s="203"/>
      <c r="E745" s="203"/>
      <c r="F745" s="203"/>
      <c r="G745" s="203"/>
      <c r="H745" s="203"/>
      <c r="I745" s="203"/>
      <c r="J745" s="203"/>
      <c r="K745" s="203"/>
      <c r="L745" s="203"/>
      <c r="M745" s="203"/>
      <c r="N745" s="203"/>
      <c r="O745" s="203"/>
      <c r="P745" s="203"/>
      <c r="Q745" s="203"/>
      <c r="R745" s="203"/>
      <c r="S745" s="203"/>
      <c r="T745" s="203"/>
      <c r="U745" s="203"/>
      <c r="V745" s="203"/>
      <c r="W745" s="203"/>
      <c r="X745" s="203"/>
      <c r="Y745" s="203"/>
      <c r="Z745" s="203"/>
      <c r="AA745" s="203"/>
      <c r="AB745" s="203"/>
      <c r="AC745" s="203"/>
      <c r="AD745" s="203"/>
      <c r="AE745" s="203"/>
      <c r="AF745" s="203"/>
      <c r="AG745" s="203"/>
      <c r="AH745" s="203"/>
      <c r="AI745" s="203"/>
      <c r="AJ745" s="203"/>
      <c r="AK745" s="203"/>
      <c r="AL745" s="203"/>
      <c r="AM745" s="203"/>
      <c r="AN745" s="203"/>
      <c r="AO745" s="203"/>
      <c r="AP745" s="203"/>
      <c r="AQ745" s="203"/>
      <c r="AR745" s="203"/>
      <c r="AS745" s="203"/>
      <c r="AT745" s="203"/>
      <c r="AU745" s="203"/>
      <c r="AV745" s="203"/>
      <c r="AW745" s="203"/>
      <c r="AX745" s="203"/>
      <c r="AY745" s="203"/>
      <c r="AZ745" s="203"/>
      <c r="BA745" s="203"/>
      <c r="BB745" s="203"/>
      <c r="BC745" s="203"/>
      <c r="BD745" s="203"/>
      <c r="BE745" s="203"/>
      <c r="BF745" s="203"/>
    </row>
    <row r="746" spans="1:58" s="15" customFormat="1" ht="14.1" customHeight="1">
      <c r="A746" s="247"/>
      <c r="B746" s="203"/>
      <c r="C746" s="203"/>
      <c r="D746" s="203"/>
      <c r="E746" s="203"/>
      <c r="F746" s="203"/>
      <c r="G746" s="203"/>
      <c r="H746" s="203"/>
      <c r="I746" s="203"/>
      <c r="J746" s="203"/>
      <c r="K746" s="203"/>
      <c r="L746" s="203"/>
      <c r="M746" s="203"/>
      <c r="N746" s="203"/>
      <c r="O746" s="203"/>
      <c r="P746" s="203"/>
      <c r="Q746" s="203"/>
      <c r="R746" s="203"/>
      <c r="S746" s="203"/>
      <c r="T746" s="203"/>
      <c r="U746" s="203"/>
      <c r="V746" s="203"/>
      <c r="W746" s="203"/>
      <c r="X746" s="203"/>
      <c r="Y746" s="203"/>
      <c r="Z746" s="203"/>
      <c r="AA746" s="203"/>
      <c r="AB746" s="203"/>
      <c r="AC746" s="203"/>
      <c r="AD746" s="203"/>
      <c r="AE746" s="203"/>
      <c r="AF746" s="203"/>
      <c r="AG746" s="203"/>
      <c r="AH746" s="203"/>
      <c r="AI746" s="203"/>
      <c r="AJ746" s="203"/>
      <c r="AK746" s="203"/>
      <c r="AL746" s="203"/>
      <c r="AM746" s="203"/>
      <c r="AN746" s="203"/>
      <c r="AO746" s="203"/>
      <c r="AP746" s="203"/>
      <c r="AQ746" s="203"/>
      <c r="AR746" s="203"/>
      <c r="AS746" s="203"/>
      <c r="AT746" s="203"/>
      <c r="AU746" s="203"/>
      <c r="AV746" s="203"/>
      <c r="AW746" s="203"/>
      <c r="AX746" s="203"/>
      <c r="AY746" s="203"/>
      <c r="AZ746" s="203"/>
      <c r="BA746" s="203"/>
      <c r="BB746" s="203"/>
      <c r="BC746" s="203"/>
      <c r="BD746" s="203"/>
      <c r="BE746" s="203"/>
      <c r="BF746" s="203"/>
    </row>
    <row r="747" spans="1:58" s="15" customFormat="1" ht="14.1" customHeight="1">
      <c r="A747" s="247"/>
      <c r="B747" s="203"/>
      <c r="C747" s="203"/>
      <c r="D747" s="203"/>
      <c r="E747" s="203"/>
      <c r="F747" s="203"/>
      <c r="G747" s="203"/>
      <c r="H747" s="203"/>
      <c r="I747" s="203"/>
      <c r="J747" s="203"/>
      <c r="K747" s="203"/>
      <c r="L747" s="203"/>
      <c r="M747" s="203"/>
      <c r="N747" s="203"/>
      <c r="O747" s="203"/>
      <c r="P747" s="203"/>
      <c r="Q747" s="203"/>
      <c r="R747" s="203"/>
      <c r="S747" s="203"/>
      <c r="T747" s="203"/>
      <c r="U747" s="203"/>
      <c r="V747" s="203"/>
      <c r="W747" s="203"/>
      <c r="X747" s="203"/>
      <c r="Y747" s="203"/>
      <c r="Z747" s="203"/>
      <c r="AA747" s="203"/>
      <c r="AB747" s="203"/>
      <c r="AC747" s="203"/>
      <c r="AD747" s="203"/>
      <c r="AE747" s="203"/>
      <c r="AF747" s="203"/>
      <c r="AG747" s="203"/>
      <c r="AH747" s="203"/>
      <c r="AI747" s="203"/>
      <c r="AJ747" s="203"/>
      <c r="AK747" s="203"/>
      <c r="AL747" s="203"/>
      <c r="AM747" s="203"/>
      <c r="AN747" s="203"/>
      <c r="AO747" s="203"/>
      <c r="AP747" s="203"/>
      <c r="AQ747" s="203"/>
      <c r="AR747" s="203"/>
      <c r="AS747" s="203"/>
      <c r="AT747" s="203"/>
      <c r="AU747" s="203"/>
      <c r="AV747" s="203"/>
      <c r="AW747" s="203"/>
      <c r="AX747" s="203"/>
      <c r="AY747" s="203"/>
      <c r="AZ747" s="203"/>
      <c r="BA747" s="203"/>
      <c r="BB747" s="203"/>
      <c r="BC747" s="203"/>
      <c r="BD747" s="203"/>
      <c r="BE747" s="203"/>
      <c r="BF747" s="203"/>
    </row>
    <row r="748" spans="1:58" s="15" customFormat="1" ht="14.1" customHeight="1">
      <c r="A748" s="247"/>
      <c r="B748" s="203"/>
      <c r="C748" s="203"/>
      <c r="D748" s="203"/>
      <c r="E748" s="203"/>
      <c r="F748" s="203"/>
      <c r="G748" s="203"/>
      <c r="H748" s="203"/>
      <c r="I748" s="203"/>
      <c r="J748" s="203"/>
      <c r="K748" s="203"/>
      <c r="L748" s="203"/>
      <c r="M748" s="203"/>
      <c r="N748" s="203"/>
      <c r="O748" s="203"/>
      <c r="P748" s="203"/>
      <c r="Q748" s="203"/>
      <c r="R748" s="203"/>
      <c r="S748" s="203"/>
      <c r="T748" s="203"/>
      <c r="U748" s="203"/>
      <c r="V748" s="203"/>
      <c r="W748" s="203"/>
      <c r="X748" s="203"/>
      <c r="Y748" s="203"/>
      <c r="Z748" s="203"/>
      <c r="AA748" s="203"/>
      <c r="AB748" s="203"/>
      <c r="AC748" s="203"/>
      <c r="AD748" s="203"/>
      <c r="AE748" s="203"/>
      <c r="AF748" s="203"/>
      <c r="AG748" s="203"/>
      <c r="AH748" s="203"/>
      <c r="AI748" s="203"/>
      <c r="AJ748" s="203"/>
      <c r="AK748" s="203"/>
      <c r="AL748" s="203"/>
      <c r="AM748" s="203"/>
      <c r="AN748" s="203"/>
      <c r="AO748" s="203"/>
      <c r="AP748" s="203"/>
      <c r="AQ748" s="203"/>
      <c r="AR748" s="203"/>
      <c r="AS748" s="203"/>
      <c r="AT748" s="203"/>
      <c r="AU748" s="203"/>
      <c r="AV748" s="203"/>
      <c r="AW748" s="203"/>
      <c r="AX748" s="203"/>
      <c r="AY748" s="203"/>
      <c r="AZ748" s="203"/>
      <c r="BA748" s="203"/>
      <c r="BB748" s="203"/>
      <c r="BC748" s="203"/>
      <c r="BD748" s="203"/>
      <c r="BE748" s="203"/>
      <c r="BF748" s="203"/>
    </row>
    <row r="749" spans="1:58" s="15" customFormat="1" ht="14.1" customHeight="1">
      <c r="A749" s="247"/>
      <c r="B749" s="203"/>
      <c r="C749" s="203"/>
      <c r="D749" s="203"/>
      <c r="E749" s="203"/>
      <c r="F749" s="203"/>
      <c r="G749" s="203"/>
      <c r="H749" s="203"/>
      <c r="I749" s="203"/>
      <c r="J749" s="203"/>
      <c r="K749" s="203"/>
      <c r="L749" s="203"/>
      <c r="M749" s="203"/>
      <c r="N749" s="203"/>
      <c r="O749" s="203"/>
      <c r="P749" s="203"/>
      <c r="Q749" s="203"/>
      <c r="R749" s="203"/>
      <c r="S749" s="203"/>
      <c r="T749" s="203"/>
      <c r="U749" s="203"/>
      <c r="V749" s="203"/>
      <c r="W749" s="203"/>
      <c r="X749" s="203"/>
      <c r="Y749" s="203"/>
      <c r="Z749" s="203"/>
      <c r="AA749" s="203"/>
      <c r="AB749" s="203"/>
      <c r="AC749" s="203"/>
      <c r="AD749" s="203"/>
      <c r="AE749" s="203"/>
      <c r="AF749" s="203"/>
      <c r="AG749" s="203"/>
      <c r="AH749" s="203"/>
      <c r="AI749" s="203"/>
      <c r="AJ749" s="203"/>
      <c r="AK749" s="203"/>
      <c r="AL749" s="203"/>
      <c r="AM749" s="203"/>
      <c r="AN749" s="203"/>
      <c r="AO749" s="203"/>
      <c r="AP749" s="203"/>
      <c r="AQ749" s="203"/>
      <c r="AR749" s="203"/>
      <c r="AS749" s="203"/>
      <c r="AT749" s="203"/>
      <c r="AU749" s="203"/>
      <c r="AV749" s="203"/>
      <c r="AW749" s="203"/>
      <c r="AX749" s="203"/>
      <c r="AY749" s="203"/>
      <c r="AZ749" s="203"/>
      <c r="BA749" s="203"/>
      <c r="BB749" s="203"/>
      <c r="BC749" s="203"/>
      <c r="BD749" s="203"/>
      <c r="BE749" s="203"/>
      <c r="BF749" s="203"/>
    </row>
    <row r="750" spans="1:58" s="15" customFormat="1" ht="14.1" customHeight="1">
      <c r="A750" s="247"/>
      <c r="B750" s="203"/>
      <c r="C750" s="203"/>
      <c r="D750" s="203"/>
      <c r="E750" s="203"/>
      <c r="F750" s="203"/>
      <c r="G750" s="203"/>
      <c r="H750" s="203"/>
      <c r="I750" s="203"/>
      <c r="J750" s="203"/>
      <c r="K750" s="203"/>
      <c r="L750" s="203"/>
      <c r="M750" s="203"/>
      <c r="N750" s="203"/>
      <c r="O750" s="203"/>
      <c r="P750" s="203"/>
      <c r="Q750" s="203"/>
      <c r="R750" s="203"/>
      <c r="S750" s="203"/>
      <c r="T750" s="203"/>
      <c r="U750" s="203"/>
      <c r="V750" s="203"/>
      <c r="W750" s="203"/>
      <c r="X750" s="203"/>
      <c r="Y750" s="203"/>
      <c r="Z750" s="203"/>
      <c r="AA750" s="203"/>
      <c r="AB750" s="203"/>
      <c r="AC750" s="203"/>
      <c r="AD750" s="203"/>
      <c r="AE750" s="203"/>
      <c r="AF750" s="203"/>
      <c r="AG750" s="203"/>
      <c r="AH750" s="203"/>
      <c r="AI750" s="203"/>
      <c r="AJ750" s="203"/>
      <c r="AK750" s="203"/>
      <c r="AL750" s="203"/>
      <c r="AM750" s="203"/>
      <c r="AN750" s="203"/>
      <c r="AO750" s="203"/>
      <c r="AP750" s="203"/>
      <c r="AQ750" s="203"/>
      <c r="AR750" s="203"/>
      <c r="AS750" s="203"/>
      <c r="AT750" s="203"/>
      <c r="AU750" s="203"/>
      <c r="AV750" s="203"/>
      <c r="AW750" s="203"/>
      <c r="AX750" s="203"/>
      <c r="AY750" s="203"/>
      <c r="AZ750" s="203"/>
      <c r="BA750" s="203"/>
      <c r="BB750" s="203"/>
      <c r="BC750" s="203"/>
      <c r="BD750" s="203"/>
      <c r="BE750" s="203"/>
      <c r="BF750" s="203"/>
    </row>
    <row r="751" spans="1:58" s="15" customFormat="1" ht="14.1" customHeight="1">
      <c r="A751" s="247"/>
      <c r="B751" s="203"/>
      <c r="C751" s="203"/>
      <c r="D751" s="203"/>
      <c r="E751" s="203"/>
      <c r="F751" s="203"/>
      <c r="G751" s="203"/>
      <c r="H751" s="203"/>
      <c r="I751" s="203"/>
      <c r="J751" s="203"/>
      <c r="K751" s="203"/>
      <c r="L751" s="203"/>
      <c r="M751" s="203"/>
      <c r="N751" s="203"/>
      <c r="O751" s="203"/>
      <c r="P751" s="203"/>
      <c r="Q751" s="203"/>
      <c r="R751" s="203"/>
      <c r="S751" s="203"/>
      <c r="T751" s="203"/>
      <c r="U751" s="203"/>
      <c r="V751" s="203"/>
      <c r="W751" s="203"/>
      <c r="X751" s="203"/>
      <c r="Y751" s="203"/>
      <c r="Z751" s="203"/>
      <c r="AA751" s="203"/>
      <c r="AB751" s="203"/>
      <c r="AC751" s="203"/>
      <c r="AD751" s="203"/>
      <c r="AE751" s="203"/>
      <c r="AF751" s="203"/>
      <c r="AG751" s="203"/>
      <c r="AH751" s="203"/>
      <c r="AI751" s="203"/>
      <c r="AJ751" s="203"/>
      <c r="AK751" s="203"/>
      <c r="AL751" s="203"/>
      <c r="AM751" s="203"/>
      <c r="AN751" s="203"/>
      <c r="AO751" s="203"/>
      <c r="AP751" s="203"/>
      <c r="AQ751" s="203"/>
      <c r="AR751" s="203"/>
      <c r="AS751" s="203"/>
      <c r="AT751" s="203"/>
      <c r="AU751" s="203"/>
      <c r="AV751" s="203"/>
      <c r="AW751" s="203"/>
      <c r="AX751" s="203"/>
      <c r="AY751" s="203"/>
      <c r="AZ751" s="203"/>
      <c r="BA751" s="203"/>
      <c r="BB751" s="203"/>
      <c r="BC751" s="203"/>
      <c r="BD751" s="203"/>
      <c r="BE751" s="203"/>
      <c r="BF751" s="203"/>
    </row>
    <row r="752" spans="1:58" s="15" customFormat="1" ht="14.1" customHeight="1">
      <c r="A752" s="247"/>
      <c r="B752" s="203"/>
      <c r="C752" s="203"/>
      <c r="D752" s="203"/>
      <c r="E752" s="203"/>
      <c r="F752" s="203"/>
      <c r="G752" s="203"/>
      <c r="H752" s="203"/>
      <c r="I752" s="203"/>
      <c r="J752" s="203"/>
      <c r="K752" s="203"/>
      <c r="L752" s="203"/>
      <c r="M752" s="203"/>
      <c r="N752" s="203"/>
      <c r="O752" s="203"/>
      <c r="P752" s="203"/>
      <c r="Q752" s="203"/>
      <c r="R752" s="203"/>
      <c r="S752" s="203"/>
      <c r="T752" s="203"/>
      <c r="U752" s="203"/>
      <c r="V752" s="203"/>
      <c r="W752" s="203"/>
      <c r="X752" s="203"/>
      <c r="Y752" s="203"/>
      <c r="Z752" s="203"/>
      <c r="AA752" s="203"/>
      <c r="AB752" s="203"/>
      <c r="AC752" s="203"/>
      <c r="AD752" s="203"/>
      <c r="AE752" s="203"/>
      <c r="AF752" s="203"/>
      <c r="AG752" s="203"/>
      <c r="AH752" s="203"/>
      <c r="AI752" s="203"/>
      <c r="AJ752" s="203"/>
      <c r="AK752" s="203"/>
      <c r="AL752" s="203"/>
      <c r="AM752" s="203"/>
      <c r="AN752" s="203"/>
      <c r="AO752" s="203"/>
      <c r="AP752" s="203"/>
      <c r="AQ752" s="203"/>
      <c r="AR752" s="203"/>
      <c r="AS752" s="203"/>
      <c r="AT752" s="203"/>
      <c r="AU752" s="203"/>
      <c r="AV752" s="203"/>
      <c r="AW752" s="203"/>
      <c r="AX752" s="203"/>
      <c r="AY752" s="203"/>
      <c r="AZ752" s="203"/>
      <c r="BA752" s="203"/>
      <c r="BB752" s="203"/>
      <c r="BC752" s="203"/>
      <c r="BD752" s="203"/>
      <c r="BE752" s="203"/>
      <c r="BF752" s="203"/>
    </row>
    <row r="753" spans="1:58" s="15" customFormat="1" ht="14.1" customHeight="1">
      <c r="A753" s="247"/>
      <c r="B753" s="203"/>
      <c r="C753" s="203"/>
      <c r="D753" s="203"/>
      <c r="E753" s="203"/>
      <c r="F753" s="203"/>
      <c r="G753" s="203"/>
      <c r="H753" s="203"/>
      <c r="I753" s="203"/>
      <c r="J753" s="203"/>
      <c r="K753" s="203"/>
      <c r="L753" s="203"/>
      <c r="M753" s="203"/>
      <c r="N753" s="203"/>
      <c r="O753" s="203"/>
      <c r="P753" s="203"/>
      <c r="Q753" s="203"/>
      <c r="R753" s="203"/>
      <c r="S753" s="203"/>
      <c r="T753" s="203"/>
      <c r="U753" s="203"/>
      <c r="V753" s="203"/>
      <c r="W753" s="203"/>
      <c r="X753" s="203"/>
      <c r="Y753" s="203"/>
      <c r="Z753" s="203"/>
      <c r="AA753" s="203"/>
      <c r="AB753" s="203"/>
      <c r="AC753" s="203"/>
      <c r="AD753" s="203"/>
      <c r="AE753" s="203"/>
      <c r="AF753" s="203"/>
      <c r="AG753" s="203"/>
      <c r="AH753" s="203"/>
      <c r="AI753" s="203"/>
      <c r="AJ753" s="203"/>
      <c r="AK753" s="203"/>
      <c r="AL753" s="203"/>
      <c r="AM753" s="203"/>
      <c r="AN753" s="203"/>
      <c r="AO753" s="203"/>
      <c r="AP753" s="203"/>
      <c r="AQ753" s="203"/>
      <c r="AR753" s="203"/>
      <c r="AS753" s="203"/>
      <c r="AT753" s="203"/>
      <c r="AU753" s="203"/>
      <c r="AV753" s="203"/>
      <c r="AW753" s="203"/>
      <c r="AX753" s="203"/>
      <c r="AY753" s="203"/>
      <c r="AZ753" s="203"/>
      <c r="BA753" s="203"/>
      <c r="BB753" s="203"/>
      <c r="BC753" s="203"/>
      <c r="BD753" s="203"/>
      <c r="BE753" s="203"/>
      <c r="BF753" s="203"/>
    </row>
    <row r="754" spans="1:58" s="15" customFormat="1" ht="14.1" customHeight="1">
      <c r="A754" s="247"/>
      <c r="B754" s="203"/>
      <c r="C754" s="203"/>
      <c r="D754" s="203"/>
      <c r="E754" s="203"/>
      <c r="F754" s="203"/>
      <c r="G754" s="203"/>
      <c r="H754" s="203"/>
      <c r="I754" s="203"/>
      <c r="J754" s="203"/>
      <c r="K754" s="203"/>
      <c r="L754" s="203"/>
      <c r="M754" s="203"/>
      <c r="N754" s="203"/>
      <c r="O754" s="203"/>
      <c r="P754" s="203"/>
      <c r="Q754" s="203"/>
      <c r="R754" s="203"/>
      <c r="S754" s="203"/>
      <c r="T754" s="203"/>
      <c r="U754" s="203"/>
      <c r="V754" s="203"/>
      <c r="W754" s="203"/>
      <c r="X754" s="203"/>
      <c r="Y754" s="203"/>
      <c r="Z754" s="203"/>
      <c r="AA754" s="203"/>
      <c r="AB754" s="203"/>
      <c r="AC754" s="203"/>
      <c r="AD754" s="203"/>
      <c r="AE754" s="203"/>
      <c r="AF754" s="203"/>
      <c r="AG754" s="203"/>
      <c r="AH754" s="203"/>
      <c r="AI754" s="203"/>
      <c r="AJ754" s="203"/>
      <c r="AK754" s="203"/>
      <c r="AL754" s="203"/>
      <c r="AM754" s="203"/>
      <c r="AN754" s="203"/>
      <c r="AO754" s="203"/>
      <c r="AP754" s="203"/>
      <c r="AQ754" s="203"/>
      <c r="AR754" s="203"/>
      <c r="AS754" s="203"/>
      <c r="AT754" s="203"/>
      <c r="AU754" s="203"/>
      <c r="AV754" s="203"/>
      <c r="AW754" s="203"/>
      <c r="AX754" s="203"/>
      <c r="AY754" s="203"/>
      <c r="AZ754" s="203"/>
      <c r="BA754" s="203"/>
      <c r="BB754" s="203"/>
      <c r="BC754" s="203"/>
      <c r="BD754" s="203"/>
      <c r="BE754" s="203"/>
      <c r="BF754" s="203"/>
    </row>
    <row r="755" spans="1:58" s="15" customFormat="1" ht="14.1" customHeight="1">
      <c r="A755" s="247"/>
      <c r="B755" s="203"/>
      <c r="C755" s="203"/>
      <c r="D755" s="203"/>
      <c r="E755" s="203"/>
      <c r="F755" s="203"/>
      <c r="G755" s="203"/>
      <c r="H755" s="203"/>
      <c r="I755" s="203"/>
      <c r="J755" s="203"/>
      <c r="K755" s="203"/>
      <c r="L755" s="203"/>
      <c r="M755" s="203"/>
      <c r="N755" s="203"/>
      <c r="O755" s="203"/>
      <c r="P755" s="203"/>
      <c r="Q755" s="203"/>
      <c r="R755" s="203"/>
      <c r="S755" s="203"/>
      <c r="T755" s="203"/>
      <c r="U755" s="203"/>
      <c r="V755" s="203"/>
      <c r="W755" s="203"/>
      <c r="X755" s="203"/>
      <c r="Y755" s="203"/>
      <c r="Z755" s="203"/>
      <c r="AA755" s="203"/>
      <c r="AB755" s="203"/>
      <c r="AC755" s="203"/>
      <c r="AD755" s="203"/>
      <c r="AE755" s="203"/>
      <c r="AF755" s="203"/>
      <c r="AG755" s="203"/>
      <c r="AH755" s="203"/>
      <c r="AI755" s="203"/>
      <c r="AJ755" s="203"/>
      <c r="AK755" s="203"/>
      <c r="AL755" s="203"/>
      <c r="AM755" s="203"/>
      <c r="AN755" s="203"/>
      <c r="AO755" s="203"/>
      <c r="AP755" s="203"/>
      <c r="AQ755" s="203"/>
      <c r="AR755" s="203"/>
      <c r="AS755" s="203"/>
      <c r="AT755" s="203"/>
      <c r="AU755" s="203"/>
      <c r="AV755" s="203"/>
      <c r="AW755" s="203"/>
      <c r="AX755" s="203"/>
      <c r="AY755" s="203"/>
      <c r="AZ755" s="203"/>
      <c r="BA755" s="203"/>
      <c r="BB755" s="203"/>
      <c r="BC755" s="203"/>
      <c r="BD755" s="203"/>
      <c r="BE755" s="203"/>
      <c r="BF755" s="203"/>
    </row>
    <row r="756" spans="1:58" s="15" customFormat="1" ht="14.1" customHeight="1">
      <c r="A756" s="247"/>
      <c r="B756" s="203"/>
      <c r="C756" s="203"/>
      <c r="D756" s="203"/>
      <c r="E756" s="203"/>
      <c r="F756" s="203"/>
      <c r="G756" s="203"/>
      <c r="H756" s="203"/>
      <c r="I756" s="203"/>
      <c r="J756" s="203"/>
      <c r="K756" s="203"/>
      <c r="L756" s="203"/>
      <c r="M756" s="203"/>
      <c r="N756" s="203"/>
      <c r="O756" s="203"/>
      <c r="P756" s="203"/>
      <c r="Q756" s="203"/>
      <c r="R756" s="203"/>
      <c r="S756" s="203"/>
      <c r="T756" s="203"/>
      <c r="U756" s="203"/>
      <c r="V756" s="203"/>
      <c r="W756" s="203"/>
      <c r="X756" s="203"/>
      <c r="Y756" s="203"/>
      <c r="Z756" s="203"/>
      <c r="AA756" s="203"/>
      <c r="AB756" s="203"/>
      <c r="AC756" s="203"/>
      <c r="AD756" s="203"/>
      <c r="AE756" s="203"/>
      <c r="AF756" s="203"/>
      <c r="AG756" s="203"/>
      <c r="AH756" s="203"/>
      <c r="AI756" s="203"/>
      <c r="AJ756" s="203"/>
      <c r="AK756" s="203"/>
      <c r="AL756" s="203"/>
      <c r="AM756" s="203"/>
      <c r="AN756" s="203"/>
      <c r="AO756" s="203"/>
      <c r="AP756" s="203"/>
      <c r="AQ756" s="203"/>
      <c r="AR756" s="203"/>
      <c r="AS756" s="203"/>
      <c r="AT756" s="203"/>
      <c r="AU756" s="203"/>
      <c r="AV756" s="203"/>
      <c r="AW756" s="203"/>
      <c r="AX756" s="203"/>
      <c r="AY756" s="203"/>
      <c r="AZ756" s="203"/>
      <c r="BA756" s="203"/>
      <c r="BB756" s="203"/>
      <c r="BC756" s="203"/>
      <c r="BD756" s="203"/>
      <c r="BE756" s="203"/>
      <c r="BF756" s="203"/>
    </row>
    <row r="757" spans="1:58" s="15" customFormat="1" ht="14.1" customHeight="1">
      <c r="A757" s="247"/>
      <c r="B757" s="203"/>
      <c r="C757" s="203"/>
      <c r="D757" s="203"/>
      <c r="E757" s="203"/>
      <c r="F757" s="203"/>
      <c r="G757" s="203"/>
      <c r="H757" s="203"/>
      <c r="I757" s="203"/>
      <c r="J757" s="203"/>
      <c r="K757" s="203"/>
      <c r="L757" s="203"/>
      <c r="M757" s="203"/>
      <c r="N757" s="203"/>
      <c r="O757" s="203"/>
      <c r="P757" s="203"/>
      <c r="Q757" s="203"/>
      <c r="R757" s="203"/>
      <c r="S757" s="203"/>
      <c r="T757" s="203"/>
      <c r="U757" s="203"/>
      <c r="V757" s="203"/>
      <c r="W757" s="203"/>
      <c r="X757" s="203"/>
      <c r="Y757" s="203"/>
      <c r="Z757" s="203"/>
      <c r="AA757" s="203"/>
      <c r="AB757" s="203"/>
      <c r="AC757" s="203"/>
      <c r="AD757" s="203"/>
      <c r="AE757" s="203"/>
      <c r="AF757" s="203"/>
      <c r="AG757" s="203"/>
      <c r="AH757" s="203"/>
      <c r="AI757" s="203"/>
      <c r="AJ757" s="203"/>
      <c r="AK757" s="203"/>
      <c r="AL757" s="203"/>
      <c r="AM757" s="203"/>
      <c r="AN757" s="203"/>
      <c r="AO757" s="203"/>
      <c r="AP757" s="203"/>
      <c r="AQ757" s="203"/>
      <c r="AR757" s="203"/>
      <c r="AS757" s="203"/>
      <c r="AT757" s="203"/>
      <c r="AU757" s="203"/>
      <c r="AV757" s="203"/>
      <c r="AW757" s="203"/>
      <c r="AX757" s="203"/>
      <c r="AY757" s="203"/>
      <c r="AZ757" s="203"/>
      <c r="BA757" s="203"/>
      <c r="BB757" s="203"/>
      <c r="BC757" s="203"/>
      <c r="BD757" s="203"/>
      <c r="BE757" s="203"/>
      <c r="BF757" s="203"/>
    </row>
    <row r="758" spans="1:58" s="15" customFormat="1" ht="14.1" customHeight="1">
      <c r="A758" s="247"/>
      <c r="B758" s="203"/>
      <c r="C758" s="203"/>
      <c r="D758" s="203"/>
      <c r="E758" s="203"/>
      <c r="F758" s="203"/>
      <c r="G758" s="203"/>
      <c r="H758" s="203"/>
      <c r="I758" s="203"/>
      <c r="J758" s="203"/>
      <c r="K758" s="203"/>
      <c r="L758" s="203"/>
      <c r="M758" s="203"/>
      <c r="N758" s="203"/>
      <c r="O758" s="203"/>
      <c r="P758" s="203"/>
      <c r="Q758" s="203"/>
      <c r="R758" s="203"/>
      <c r="S758" s="203"/>
      <c r="T758" s="203"/>
      <c r="U758" s="203"/>
      <c r="V758" s="203"/>
      <c r="W758" s="203"/>
      <c r="X758" s="203"/>
      <c r="Y758" s="203"/>
      <c r="Z758" s="203"/>
      <c r="AA758" s="203"/>
      <c r="AB758" s="203"/>
      <c r="AC758" s="203"/>
      <c r="AD758" s="203"/>
      <c r="AE758" s="203"/>
      <c r="AF758" s="203"/>
      <c r="AG758" s="203"/>
      <c r="AH758" s="203"/>
      <c r="AI758" s="203"/>
      <c r="AJ758" s="203"/>
      <c r="AK758" s="203"/>
      <c r="AL758" s="203"/>
      <c r="AM758" s="203"/>
      <c r="AN758" s="203"/>
      <c r="AO758" s="203"/>
      <c r="AP758" s="203"/>
      <c r="AQ758" s="203"/>
      <c r="AR758" s="203"/>
      <c r="AS758" s="203"/>
      <c r="AT758" s="203"/>
      <c r="AU758" s="203"/>
      <c r="AV758" s="203"/>
      <c r="AW758" s="203"/>
      <c r="AX758" s="203"/>
      <c r="AY758" s="203"/>
      <c r="AZ758" s="203"/>
      <c r="BA758" s="203"/>
      <c r="BB758" s="203"/>
      <c r="BC758" s="203"/>
      <c r="BD758" s="203"/>
      <c r="BE758" s="203"/>
      <c r="BF758" s="203"/>
    </row>
    <row r="759" spans="1:58" s="15" customFormat="1" ht="14.1" customHeight="1">
      <c r="A759" s="247"/>
      <c r="B759" s="203"/>
      <c r="C759" s="203"/>
      <c r="D759" s="203"/>
      <c r="E759" s="203"/>
      <c r="F759" s="203"/>
      <c r="G759" s="203"/>
      <c r="H759" s="203"/>
      <c r="I759" s="203"/>
      <c r="J759" s="203"/>
      <c r="K759" s="203"/>
      <c r="L759" s="203"/>
      <c r="M759" s="203"/>
      <c r="N759" s="203"/>
      <c r="O759" s="203"/>
      <c r="P759" s="203"/>
      <c r="Q759" s="203"/>
      <c r="R759" s="203"/>
      <c r="S759" s="203"/>
      <c r="T759" s="203"/>
      <c r="U759" s="203"/>
      <c r="V759" s="203"/>
      <c r="W759" s="203"/>
      <c r="X759" s="203"/>
      <c r="Y759" s="203"/>
      <c r="Z759" s="203"/>
      <c r="AA759" s="203"/>
      <c r="AB759" s="203"/>
      <c r="AC759" s="203"/>
      <c r="AD759" s="203"/>
      <c r="AE759" s="203"/>
      <c r="AF759" s="203"/>
      <c r="AG759" s="203"/>
      <c r="AH759" s="203"/>
      <c r="AI759" s="203"/>
      <c r="AJ759" s="203"/>
      <c r="AK759" s="203"/>
      <c r="AL759" s="203"/>
      <c r="AM759" s="203"/>
      <c r="AN759" s="203"/>
      <c r="AO759" s="203"/>
      <c r="AP759" s="203"/>
      <c r="AQ759" s="203"/>
      <c r="AR759" s="203"/>
      <c r="AS759" s="203"/>
      <c r="AT759" s="203"/>
      <c r="AU759" s="203"/>
      <c r="AV759" s="203"/>
      <c r="AW759" s="203"/>
      <c r="AX759" s="203"/>
      <c r="AY759" s="203"/>
      <c r="AZ759" s="203"/>
      <c r="BA759" s="203"/>
      <c r="BB759" s="203"/>
      <c r="BC759" s="203"/>
      <c r="BD759" s="203"/>
      <c r="BE759" s="203"/>
      <c r="BF759" s="203"/>
    </row>
    <row r="760" spans="1:58" s="15" customFormat="1" ht="14.1" customHeight="1">
      <c r="A760" s="247"/>
      <c r="B760" s="203"/>
      <c r="C760" s="203"/>
      <c r="D760" s="203"/>
      <c r="E760" s="203"/>
      <c r="F760" s="203"/>
      <c r="G760" s="203"/>
      <c r="H760" s="203"/>
      <c r="I760" s="203"/>
      <c r="J760" s="203"/>
      <c r="K760" s="203"/>
      <c r="L760" s="203"/>
      <c r="M760" s="203"/>
      <c r="N760" s="203"/>
      <c r="O760" s="203"/>
      <c r="P760" s="203"/>
      <c r="Q760" s="203"/>
      <c r="R760" s="203"/>
      <c r="S760" s="203"/>
      <c r="T760" s="203"/>
      <c r="U760" s="203"/>
      <c r="V760" s="203"/>
      <c r="W760" s="203"/>
      <c r="X760" s="203"/>
      <c r="Y760" s="203"/>
      <c r="Z760" s="203"/>
      <c r="AA760" s="203"/>
      <c r="AB760" s="203"/>
      <c r="AC760" s="203"/>
      <c r="AD760" s="203"/>
      <c r="AE760" s="203"/>
      <c r="AF760" s="203"/>
      <c r="AG760" s="203"/>
      <c r="AH760" s="203"/>
      <c r="AI760" s="203"/>
      <c r="AJ760" s="203"/>
      <c r="AK760" s="203"/>
      <c r="AL760" s="203"/>
      <c r="AM760" s="203"/>
      <c r="AN760" s="203"/>
      <c r="AO760" s="203"/>
      <c r="AP760" s="203"/>
      <c r="AQ760" s="203"/>
      <c r="AR760" s="203"/>
      <c r="AS760" s="203"/>
      <c r="AT760" s="203"/>
      <c r="AU760" s="203"/>
      <c r="AV760" s="203"/>
      <c r="AW760" s="203"/>
      <c r="AX760" s="203"/>
      <c r="AY760" s="203"/>
      <c r="AZ760" s="203"/>
      <c r="BA760" s="203"/>
      <c r="BB760" s="203"/>
      <c r="BC760" s="203"/>
      <c r="BD760" s="203"/>
      <c r="BE760" s="203"/>
      <c r="BF760" s="203"/>
    </row>
    <row r="761" spans="1:58" s="15" customFormat="1" ht="14.1" customHeight="1">
      <c r="A761" s="247"/>
      <c r="B761" s="203"/>
      <c r="C761" s="203"/>
      <c r="D761" s="203"/>
      <c r="E761" s="203"/>
      <c r="F761" s="203"/>
      <c r="G761" s="203"/>
      <c r="H761" s="203"/>
      <c r="I761" s="203"/>
      <c r="J761" s="203"/>
      <c r="K761" s="203"/>
      <c r="L761" s="203"/>
      <c r="M761" s="203"/>
      <c r="N761" s="203"/>
      <c r="O761" s="203"/>
      <c r="P761" s="203"/>
      <c r="Q761" s="203"/>
      <c r="R761" s="203"/>
      <c r="S761" s="203"/>
      <c r="T761" s="203"/>
      <c r="U761" s="203"/>
      <c r="V761" s="203"/>
      <c r="W761" s="203"/>
      <c r="X761" s="203"/>
      <c r="Y761" s="203"/>
      <c r="Z761" s="203"/>
      <c r="AA761" s="203"/>
      <c r="AB761" s="203"/>
      <c r="AC761" s="203"/>
      <c r="AD761" s="203"/>
      <c r="AE761" s="203"/>
      <c r="AF761" s="203"/>
      <c r="AG761" s="203"/>
      <c r="AH761" s="203"/>
      <c r="AI761" s="203"/>
      <c r="AJ761" s="203"/>
      <c r="AK761" s="203"/>
      <c r="AL761" s="203"/>
      <c r="AM761" s="203"/>
      <c r="AN761" s="203"/>
      <c r="AO761" s="203"/>
      <c r="AP761" s="203"/>
      <c r="AQ761" s="203"/>
      <c r="AR761" s="203"/>
      <c r="AS761" s="203"/>
      <c r="AT761" s="203"/>
      <c r="AU761" s="203"/>
      <c r="AV761" s="203"/>
      <c r="AW761" s="203"/>
      <c r="AX761" s="203"/>
      <c r="AY761" s="203"/>
      <c r="AZ761" s="203"/>
      <c r="BA761" s="203"/>
      <c r="BB761" s="203"/>
      <c r="BC761" s="203"/>
      <c r="BD761" s="203"/>
      <c r="BE761" s="203"/>
      <c r="BF761" s="203"/>
    </row>
    <row r="762" spans="1:58" s="15" customFormat="1" ht="14.1" customHeight="1">
      <c r="A762" s="247"/>
      <c r="B762" s="203"/>
      <c r="C762" s="203"/>
      <c r="D762" s="203"/>
      <c r="E762" s="203"/>
      <c r="F762" s="203"/>
      <c r="G762" s="203"/>
      <c r="H762" s="203"/>
      <c r="I762" s="203"/>
      <c r="J762" s="203"/>
      <c r="K762" s="203"/>
      <c r="L762" s="203"/>
      <c r="M762" s="203"/>
      <c r="N762" s="203"/>
      <c r="O762" s="203"/>
      <c r="P762" s="203"/>
      <c r="Q762" s="203"/>
      <c r="R762" s="203"/>
      <c r="S762" s="203"/>
      <c r="T762" s="203"/>
      <c r="U762" s="203"/>
      <c r="V762" s="203"/>
      <c r="W762" s="203"/>
      <c r="X762" s="203"/>
      <c r="Y762" s="203"/>
      <c r="Z762" s="203"/>
      <c r="AA762" s="203"/>
      <c r="AB762" s="203"/>
      <c r="AC762" s="203"/>
      <c r="AD762" s="203"/>
      <c r="AE762" s="203"/>
      <c r="AF762" s="203"/>
      <c r="AG762" s="203"/>
      <c r="AH762" s="203"/>
      <c r="AI762" s="203"/>
      <c r="AJ762" s="203"/>
      <c r="AK762" s="203"/>
      <c r="AL762" s="203"/>
      <c r="AM762" s="203"/>
      <c r="AN762" s="203"/>
      <c r="AO762" s="203"/>
      <c r="AP762" s="203"/>
      <c r="AQ762" s="203"/>
      <c r="AR762" s="203"/>
      <c r="AS762" s="203"/>
      <c r="AT762" s="203"/>
      <c r="AU762" s="203"/>
      <c r="AV762" s="203"/>
      <c r="AW762" s="203"/>
      <c r="AX762" s="203"/>
      <c r="AY762" s="203"/>
      <c r="AZ762" s="203"/>
      <c r="BA762" s="203"/>
      <c r="BB762" s="203"/>
      <c r="BC762" s="203"/>
      <c r="BD762" s="203"/>
      <c r="BE762" s="203"/>
      <c r="BF762" s="203"/>
    </row>
    <row r="763" spans="1:58" s="15" customFormat="1" ht="14.1" customHeight="1">
      <c r="A763" s="247"/>
      <c r="B763" s="203"/>
      <c r="C763" s="203"/>
      <c r="D763" s="203"/>
      <c r="E763" s="203"/>
      <c r="F763" s="203"/>
      <c r="G763" s="203"/>
      <c r="H763" s="203"/>
      <c r="I763" s="203"/>
      <c r="J763" s="203"/>
      <c r="K763" s="203"/>
      <c r="L763" s="203"/>
      <c r="M763" s="203"/>
      <c r="N763" s="203"/>
      <c r="O763" s="203"/>
      <c r="P763" s="203"/>
      <c r="Q763" s="203"/>
      <c r="R763" s="203"/>
      <c r="S763" s="203"/>
      <c r="T763" s="203"/>
      <c r="U763" s="203"/>
      <c r="V763" s="203"/>
      <c r="W763" s="203"/>
      <c r="X763" s="203"/>
      <c r="Y763" s="203"/>
      <c r="Z763" s="203"/>
      <c r="AA763" s="203"/>
      <c r="AB763" s="203"/>
      <c r="AC763" s="203"/>
      <c r="AD763" s="203"/>
      <c r="AE763" s="203"/>
      <c r="AF763" s="203"/>
      <c r="AG763" s="203"/>
      <c r="AH763" s="203"/>
      <c r="AI763" s="203"/>
      <c r="AJ763" s="203"/>
      <c r="AK763" s="203"/>
      <c r="AL763" s="203"/>
      <c r="AM763" s="203"/>
      <c r="AN763" s="203"/>
      <c r="AO763" s="203"/>
      <c r="AP763" s="203"/>
      <c r="AQ763" s="203"/>
      <c r="AR763" s="203"/>
      <c r="AS763" s="203"/>
      <c r="AT763" s="203"/>
      <c r="AU763" s="203"/>
      <c r="AV763" s="203"/>
      <c r="AW763" s="203"/>
      <c r="AX763" s="203"/>
      <c r="AY763" s="203"/>
      <c r="AZ763" s="203"/>
      <c r="BA763" s="203"/>
      <c r="BB763" s="203"/>
      <c r="BC763" s="203"/>
      <c r="BD763" s="203"/>
      <c r="BE763" s="203"/>
      <c r="BF763" s="203"/>
    </row>
    <row r="764" spans="1:58" s="15" customFormat="1" ht="14.1" customHeight="1">
      <c r="A764" s="247"/>
      <c r="B764" s="203"/>
      <c r="C764" s="203"/>
      <c r="D764" s="203"/>
      <c r="E764" s="203"/>
      <c r="F764" s="203"/>
      <c r="G764" s="203"/>
      <c r="H764" s="203"/>
      <c r="I764" s="203"/>
      <c r="J764" s="203"/>
      <c r="K764" s="203"/>
      <c r="L764" s="203"/>
      <c r="M764" s="203"/>
      <c r="N764" s="203"/>
      <c r="O764" s="203"/>
      <c r="P764" s="203"/>
      <c r="Q764" s="203"/>
      <c r="R764" s="203"/>
      <c r="S764" s="203"/>
      <c r="T764" s="203"/>
      <c r="U764" s="203"/>
      <c r="V764" s="203"/>
      <c r="W764" s="203"/>
      <c r="X764" s="203"/>
      <c r="Y764" s="203"/>
      <c r="Z764" s="203"/>
      <c r="AA764" s="203"/>
      <c r="AB764" s="203"/>
      <c r="AC764" s="203"/>
      <c r="AD764" s="203"/>
      <c r="AE764" s="203"/>
      <c r="AF764" s="203"/>
      <c r="AG764" s="203"/>
      <c r="AH764" s="203"/>
      <c r="AI764" s="203"/>
      <c r="AJ764" s="203"/>
      <c r="AK764" s="203"/>
      <c r="AL764" s="203"/>
      <c r="AM764" s="203"/>
      <c r="AN764" s="203"/>
      <c r="AO764" s="203"/>
      <c r="AP764" s="203"/>
      <c r="AQ764" s="203"/>
      <c r="AR764" s="203"/>
      <c r="AS764" s="203"/>
      <c r="AT764" s="203"/>
      <c r="AU764" s="203"/>
      <c r="AV764" s="203"/>
      <c r="AW764" s="203"/>
      <c r="AX764" s="203"/>
      <c r="AY764" s="203"/>
      <c r="AZ764" s="203"/>
      <c r="BA764" s="203"/>
      <c r="BB764" s="203"/>
      <c r="BC764" s="203"/>
      <c r="BD764" s="203"/>
      <c r="BE764" s="203"/>
      <c r="BF764" s="203"/>
    </row>
    <row r="765" spans="1:58" s="15" customFormat="1" ht="14.1" customHeight="1">
      <c r="A765" s="247"/>
      <c r="B765" s="203"/>
      <c r="C765" s="203"/>
      <c r="D765" s="203"/>
      <c r="E765" s="203"/>
      <c r="F765" s="203"/>
      <c r="G765" s="203"/>
      <c r="H765" s="203"/>
      <c r="I765" s="203"/>
      <c r="J765" s="203"/>
      <c r="K765" s="203"/>
      <c r="L765" s="203"/>
      <c r="M765" s="203"/>
      <c r="N765" s="203"/>
      <c r="O765" s="203"/>
      <c r="P765" s="203"/>
      <c r="Q765" s="203"/>
      <c r="R765" s="203"/>
      <c r="S765" s="203"/>
      <c r="T765" s="203"/>
      <c r="U765" s="203"/>
      <c r="V765" s="203"/>
      <c r="W765" s="203"/>
      <c r="X765" s="203"/>
      <c r="Y765" s="203"/>
      <c r="Z765" s="203"/>
      <c r="AA765" s="203"/>
      <c r="AB765" s="203"/>
      <c r="AC765" s="203"/>
      <c r="AD765" s="203"/>
      <c r="AE765" s="203"/>
      <c r="AF765" s="203"/>
      <c r="AG765" s="203"/>
      <c r="AH765" s="203"/>
      <c r="AI765" s="203"/>
      <c r="AJ765" s="203"/>
      <c r="AK765" s="203"/>
      <c r="AL765" s="203"/>
      <c r="AM765" s="203"/>
      <c r="AN765" s="203"/>
      <c r="AO765" s="203"/>
      <c r="AP765" s="203"/>
      <c r="AQ765" s="203"/>
      <c r="AR765" s="203"/>
      <c r="AS765" s="203"/>
      <c r="AT765" s="203"/>
      <c r="AU765" s="203"/>
      <c r="AV765" s="203"/>
      <c r="AW765" s="203"/>
      <c r="AX765" s="203"/>
      <c r="AY765" s="203"/>
      <c r="AZ765" s="203"/>
      <c r="BA765" s="203"/>
      <c r="BB765" s="203"/>
      <c r="BC765" s="203"/>
      <c r="BD765" s="203"/>
      <c r="BE765" s="203"/>
      <c r="BF765" s="203"/>
    </row>
    <row r="766" spans="1:58" s="15" customFormat="1" ht="14.1" customHeight="1">
      <c r="A766" s="247"/>
      <c r="B766" s="203"/>
      <c r="C766" s="203"/>
      <c r="D766" s="203"/>
      <c r="E766" s="203"/>
      <c r="F766" s="203"/>
      <c r="G766" s="203"/>
      <c r="H766" s="203"/>
      <c r="I766" s="203"/>
      <c r="J766" s="203"/>
      <c r="K766" s="203"/>
      <c r="L766" s="203"/>
      <c r="M766" s="203"/>
      <c r="N766" s="203"/>
      <c r="O766" s="203"/>
      <c r="P766" s="203"/>
      <c r="Q766" s="203"/>
      <c r="R766" s="203"/>
      <c r="S766" s="203"/>
      <c r="T766" s="203"/>
      <c r="U766" s="203"/>
      <c r="V766" s="203"/>
      <c r="W766" s="203"/>
      <c r="X766" s="203"/>
      <c r="Y766" s="203"/>
      <c r="Z766" s="203"/>
      <c r="AA766" s="203"/>
      <c r="AB766" s="203"/>
      <c r="AC766" s="203"/>
      <c r="AD766" s="203"/>
      <c r="AE766" s="203"/>
      <c r="AF766" s="203"/>
      <c r="AG766" s="203"/>
      <c r="AH766" s="203"/>
      <c r="AI766" s="203"/>
      <c r="AJ766" s="203"/>
      <c r="AK766" s="203"/>
      <c r="AL766" s="203"/>
      <c r="AM766" s="203"/>
      <c r="AN766" s="203"/>
      <c r="AO766" s="203"/>
      <c r="AP766" s="203"/>
      <c r="AQ766" s="203"/>
      <c r="AR766" s="203"/>
      <c r="AS766" s="203"/>
      <c r="AT766" s="203"/>
      <c r="AU766" s="203"/>
      <c r="AV766" s="203"/>
      <c r="AW766" s="203"/>
      <c r="AX766" s="203"/>
      <c r="AY766" s="203"/>
      <c r="AZ766" s="203"/>
      <c r="BA766" s="203"/>
      <c r="BB766" s="203"/>
      <c r="BC766" s="203"/>
      <c r="BD766" s="203"/>
      <c r="BE766" s="203"/>
      <c r="BF766" s="203"/>
    </row>
    <row r="767" spans="1:58" s="15" customFormat="1" ht="14.1" customHeight="1">
      <c r="A767" s="247"/>
      <c r="B767" s="203"/>
      <c r="C767" s="203"/>
      <c r="D767" s="203"/>
      <c r="E767" s="203"/>
      <c r="F767" s="203"/>
      <c r="G767" s="203"/>
      <c r="H767" s="203"/>
      <c r="I767" s="203"/>
      <c r="J767" s="203"/>
      <c r="K767" s="203"/>
      <c r="L767" s="203"/>
      <c r="M767" s="203"/>
      <c r="N767" s="203"/>
      <c r="O767" s="203"/>
      <c r="P767" s="203"/>
      <c r="Q767" s="203"/>
      <c r="R767" s="203"/>
      <c r="S767" s="203"/>
      <c r="T767" s="203"/>
      <c r="U767" s="203"/>
      <c r="V767" s="203"/>
      <c r="W767" s="203"/>
      <c r="X767" s="203"/>
      <c r="Y767" s="203"/>
      <c r="Z767" s="203"/>
      <c r="AA767" s="203"/>
      <c r="AB767" s="203"/>
      <c r="AC767" s="203"/>
      <c r="AD767" s="203"/>
      <c r="AE767" s="203"/>
      <c r="AF767" s="203"/>
      <c r="AG767" s="203"/>
      <c r="AH767" s="203"/>
      <c r="AI767" s="203"/>
      <c r="AJ767" s="203"/>
      <c r="AK767" s="203"/>
      <c r="AL767" s="203"/>
      <c r="AM767" s="203"/>
      <c r="AN767" s="203"/>
      <c r="AO767" s="203"/>
      <c r="AP767" s="203"/>
      <c r="AQ767" s="203"/>
      <c r="AR767" s="203"/>
      <c r="AS767" s="203"/>
      <c r="AT767" s="203"/>
      <c r="AU767" s="203"/>
      <c r="AV767" s="203"/>
      <c r="AW767" s="203"/>
      <c r="AX767" s="203"/>
      <c r="AY767" s="203"/>
      <c r="AZ767" s="203"/>
      <c r="BA767" s="203"/>
      <c r="BB767" s="203"/>
      <c r="BC767" s="203"/>
      <c r="BD767" s="203"/>
      <c r="BE767" s="203"/>
      <c r="BF767" s="203"/>
    </row>
    <row r="768" spans="1:58" s="15" customFormat="1" ht="14.1" customHeight="1">
      <c r="A768" s="247"/>
      <c r="B768" s="203"/>
      <c r="C768" s="203"/>
      <c r="D768" s="203"/>
      <c r="E768" s="203"/>
      <c r="F768" s="203"/>
      <c r="G768" s="203"/>
      <c r="H768" s="203"/>
      <c r="I768" s="203"/>
      <c r="J768" s="203"/>
      <c r="K768" s="203"/>
      <c r="L768" s="203"/>
      <c r="M768" s="203"/>
      <c r="N768" s="203"/>
      <c r="O768" s="203"/>
      <c r="P768" s="203"/>
      <c r="Q768" s="203"/>
      <c r="R768" s="203"/>
      <c r="S768" s="203"/>
      <c r="T768" s="203"/>
      <c r="U768" s="203"/>
      <c r="V768" s="203"/>
      <c r="W768" s="203"/>
      <c r="X768" s="203"/>
      <c r="Y768" s="203"/>
      <c r="Z768" s="203"/>
      <c r="AA768" s="203"/>
      <c r="AB768" s="203"/>
      <c r="AC768" s="203"/>
      <c r="AD768" s="203"/>
      <c r="AE768" s="203"/>
      <c r="AF768" s="203"/>
      <c r="AG768" s="203"/>
      <c r="AH768" s="203"/>
      <c r="AI768" s="203"/>
      <c r="AJ768" s="203"/>
      <c r="AK768" s="203"/>
      <c r="AL768" s="203"/>
      <c r="AM768" s="203"/>
      <c r="AN768" s="203"/>
      <c r="AO768" s="203"/>
      <c r="AP768" s="203"/>
      <c r="AQ768" s="203"/>
      <c r="AR768" s="203"/>
      <c r="AS768" s="203"/>
      <c r="AT768" s="203"/>
      <c r="AU768" s="203"/>
      <c r="AV768" s="203"/>
      <c r="AW768" s="203"/>
      <c r="AX768" s="203"/>
      <c r="AY768" s="203"/>
      <c r="AZ768" s="203"/>
      <c r="BA768" s="203"/>
      <c r="BB768" s="203"/>
      <c r="BC768" s="203"/>
      <c r="BD768" s="203"/>
      <c r="BE768" s="203"/>
      <c r="BF768" s="203"/>
    </row>
    <row r="769" spans="1:58" s="15" customFormat="1" ht="14.1" customHeight="1">
      <c r="A769" s="247"/>
      <c r="B769" s="203"/>
      <c r="C769" s="203"/>
      <c r="D769" s="203"/>
      <c r="E769" s="203"/>
      <c r="F769" s="203"/>
      <c r="G769" s="203"/>
      <c r="H769" s="203"/>
      <c r="I769" s="203"/>
      <c r="J769" s="203"/>
      <c r="K769" s="203"/>
      <c r="L769" s="203"/>
      <c r="M769" s="203"/>
      <c r="N769" s="203"/>
      <c r="O769" s="203"/>
      <c r="P769" s="203"/>
      <c r="Q769" s="203"/>
      <c r="R769" s="203"/>
      <c r="S769" s="203"/>
      <c r="T769" s="203"/>
      <c r="U769" s="203"/>
      <c r="V769" s="203"/>
      <c r="W769" s="203"/>
      <c r="X769" s="203"/>
      <c r="Y769" s="203"/>
      <c r="Z769" s="203"/>
      <c r="AA769" s="203"/>
      <c r="AB769" s="203"/>
      <c r="AC769" s="203"/>
      <c r="AD769" s="203"/>
      <c r="AE769" s="203"/>
      <c r="AF769" s="203"/>
      <c r="AG769" s="203"/>
      <c r="AH769" s="203"/>
      <c r="AI769" s="203"/>
      <c r="AJ769" s="203"/>
      <c r="AK769" s="203"/>
      <c r="AL769" s="203"/>
      <c r="AM769" s="203"/>
      <c r="AN769" s="203"/>
      <c r="AO769" s="203"/>
      <c r="AP769" s="203"/>
      <c r="AQ769" s="203"/>
      <c r="AR769" s="203"/>
      <c r="AS769" s="203"/>
      <c r="AT769" s="203"/>
      <c r="AU769" s="203"/>
      <c r="AV769" s="203"/>
      <c r="AW769" s="203"/>
      <c r="AX769" s="203"/>
      <c r="AY769" s="203"/>
      <c r="AZ769" s="203"/>
      <c r="BA769" s="203"/>
      <c r="BB769" s="203"/>
      <c r="BC769" s="203"/>
      <c r="BD769" s="203"/>
      <c r="BE769" s="203"/>
      <c r="BF769" s="203"/>
    </row>
    <row r="770" spans="1:58" s="15" customFormat="1" ht="14.1" customHeight="1">
      <c r="A770" s="247"/>
      <c r="B770" s="203"/>
      <c r="C770" s="203"/>
      <c r="D770" s="203"/>
      <c r="E770" s="203"/>
      <c r="F770" s="203"/>
      <c r="G770" s="203"/>
      <c r="H770" s="203"/>
      <c r="I770" s="203"/>
      <c r="J770" s="203"/>
      <c r="K770" s="203"/>
      <c r="L770" s="203"/>
      <c r="M770" s="203"/>
      <c r="N770" s="203"/>
      <c r="O770" s="203"/>
      <c r="P770" s="203"/>
      <c r="Q770" s="203"/>
      <c r="R770" s="203"/>
      <c r="S770" s="203"/>
      <c r="T770" s="203"/>
      <c r="U770" s="203"/>
      <c r="V770" s="203"/>
      <c r="W770" s="203"/>
      <c r="X770" s="203"/>
      <c r="Y770" s="203"/>
      <c r="Z770" s="203"/>
      <c r="AA770" s="203"/>
      <c r="AB770" s="203"/>
      <c r="AC770" s="203"/>
      <c r="AD770" s="203"/>
      <c r="AE770" s="203"/>
      <c r="AF770" s="203"/>
      <c r="AG770" s="203"/>
      <c r="AH770" s="203"/>
      <c r="AI770" s="203"/>
      <c r="AJ770" s="203"/>
      <c r="AK770" s="203"/>
      <c r="AL770" s="203"/>
      <c r="AM770" s="203"/>
      <c r="AN770" s="203"/>
      <c r="AO770" s="203"/>
      <c r="AP770" s="203"/>
      <c r="AQ770" s="203"/>
      <c r="AR770" s="203"/>
      <c r="AS770" s="203"/>
      <c r="AT770" s="203"/>
      <c r="AU770" s="203"/>
      <c r="AV770" s="203"/>
      <c r="AW770" s="203"/>
      <c r="AX770" s="203"/>
      <c r="AY770" s="203"/>
      <c r="AZ770" s="203"/>
      <c r="BA770" s="203"/>
      <c r="BB770" s="203"/>
      <c r="BC770" s="203"/>
      <c r="BD770" s="203"/>
      <c r="BE770" s="203"/>
      <c r="BF770" s="203"/>
    </row>
    <row r="771" spans="1:58" s="15" customFormat="1" ht="14.1" customHeight="1">
      <c r="A771" s="247"/>
      <c r="B771" s="203"/>
      <c r="C771" s="203"/>
      <c r="D771" s="203"/>
      <c r="E771" s="203"/>
      <c r="F771" s="203"/>
      <c r="G771" s="203"/>
      <c r="H771" s="203"/>
      <c r="I771" s="203"/>
      <c r="J771" s="203"/>
      <c r="K771" s="203"/>
      <c r="L771" s="203"/>
      <c r="M771" s="203"/>
      <c r="N771" s="203"/>
      <c r="O771" s="203"/>
      <c r="P771" s="203"/>
      <c r="Q771" s="203"/>
      <c r="R771" s="203"/>
      <c r="S771" s="203"/>
      <c r="T771" s="203"/>
      <c r="U771" s="203"/>
      <c r="V771" s="203"/>
      <c r="W771" s="203"/>
      <c r="X771" s="203"/>
      <c r="Y771" s="203"/>
      <c r="Z771" s="203"/>
      <c r="AA771" s="203"/>
      <c r="AB771" s="203"/>
      <c r="AC771" s="203"/>
      <c r="AD771" s="203"/>
      <c r="AE771" s="203"/>
      <c r="AF771" s="203"/>
      <c r="AG771" s="203"/>
      <c r="AH771" s="203"/>
      <c r="AI771" s="203"/>
      <c r="AJ771" s="203"/>
      <c r="AK771" s="203"/>
      <c r="AL771" s="203"/>
      <c r="AM771" s="203"/>
      <c r="AN771" s="203"/>
      <c r="AO771" s="203"/>
      <c r="AP771" s="203"/>
      <c r="AQ771" s="203"/>
      <c r="AR771" s="203"/>
      <c r="AS771" s="203"/>
      <c r="AT771" s="203"/>
      <c r="AU771" s="203"/>
      <c r="AV771" s="203"/>
      <c r="AW771" s="203"/>
      <c r="AX771" s="203"/>
      <c r="AY771" s="203"/>
      <c r="AZ771" s="203"/>
      <c r="BA771" s="203"/>
      <c r="BB771" s="203"/>
      <c r="BC771" s="203"/>
      <c r="BD771" s="203"/>
      <c r="BE771" s="203"/>
      <c r="BF771" s="203"/>
    </row>
    <row r="772" spans="1:58" s="15" customFormat="1" ht="14.1" customHeight="1">
      <c r="A772" s="247"/>
      <c r="B772" s="203"/>
      <c r="C772" s="203"/>
      <c r="D772" s="203"/>
      <c r="E772" s="203"/>
      <c r="F772" s="203"/>
      <c r="G772" s="203"/>
      <c r="H772" s="203"/>
      <c r="I772" s="203"/>
      <c r="J772" s="203"/>
      <c r="K772" s="203"/>
      <c r="L772" s="203"/>
      <c r="M772" s="203"/>
      <c r="N772" s="203"/>
      <c r="O772" s="203"/>
      <c r="P772" s="203"/>
      <c r="Q772" s="203"/>
      <c r="R772" s="203"/>
      <c r="S772" s="203"/>
      <c r="T772" s="203"/>
      <c r="U772" s="203"/>
      <c r="V772" s="203"/>
      <c r="W772" s="203"/>
      <c r="X772" s="203"/>
      <c r="Y772" s="203"/>
      <c r="Z772" s="203"/>
      <c r="AA772" s="203"/>
      <c r="AB772" s="203"/>
      <c r="AC772" s="203"/>
      <c r="AD772" s="203"/>
      <c r="AE772" s="203"/>
      <c r="AF772" s="203"/>
      <c r="AG772" s="203"/>
      <c r="AH772" s="203"/>
      <c r="AI772" s="203"/>
      <c r="AJ772" s="203"/>
      <c r="AK772" s="203"/>
      <c r="AL772" s="203"/>
      <c r="AM772" s="203"/>
      <c r="AN772" s="203"/>
      <c r="AO772" s="203"/>
      <c r="AP772" s="203"/>
      <c r="AQ772" s="203"/>
      <c r="AR772" s="203"/>
      <c r="AS772" s="203"/>
      <c r="AT772" s="203"/>
      <c r="AU772" s="203"/>
      <c r="AV772" s="203"/>
      <c r="AW772" s="203"/>
      <c r="AX772" s="203"/>
      <c r="AY772" s="203"/>
      <c r="AZ772" s="203"/>
      <c r="BA772" s="203"/>
      <c r="BB772" s="203"/>
      <c r="BC772" s="203"/>
      <c r="BD772" s="203"/>
      <c r="BE772" s="203"/>
      <c r="BF772" s="203"/>
    </row>
    <row r="773" spans="1:58" s="15" customFormat="1" ht="14.1" customHeight="1">
      <c r="A773" s="247"/>
      <c r="B773" s="203"/>
      <c r="C773" s="203"/>
      <c r="D773" s="203"/>
      <c r="E773" s="203"/>
      <c r="F773" s="203"/>
      <c r="G773" s="203"/>
      <c r="H773" s="203"/>
      <c r="I773" s="203"/>
      <c r="J773" s="203"/>
      <c r="K773" s="203"/>
      <c r="L773" s="203"/>
      <c r="M773" s="203"/>
      <c r="N773" s="203"/>
      <c r="O773" s="203"/>
      <c r="P773" s="203"/>
      <c r="Q773" s="203"/>
      <c r="R773" s="203"/>
      <c r="S773" s="203"/>
      <c r="T773" s="203"/>
      <c r="U773" s="203"/>
      <c r="V773" s="203"/>
      <c r="W773" s="203"/>
      <c r="X773" s="203"/>
      <c r="Y773" s="203"/>
      <c r="Z773" s="203"/>
      <c r="AA773" s="203"/>
      <c r="AB773" s="203"/>
      <c r="AC773" s="203"/>
      <c r="AD773" s="203"/>
      <c r="AE773" s="203"/>
      <c r="AF773" s="203"/>
      <c r="AG773" s="203"/>
      <c r="AH773" s="203"/>
      <c r="AI773" s="203"/>
      <c r="AJ773" s="203"/>
      <c r="AK773" s="203"/>
      <c r="AL773" s="203"/>
      <c r="AM773" s="203"/>
      <c r="AN773" s="203"/>
      <c r="AO773" s="203"/>
      <c r="AP773" s="203"/>
      <c r="AQ773" s="203"/>
      <c r="AR773" s="203"/>
      <c r="AS773" s="203"/>
      <c r="AT773" s="203"/>
      <c r="AU773" s="203"/>
      <c r="AV773" s="203"/>
      <c r="AW773" s="203"/>
      <c r="AX773" s="203"/>
      <c r="AY773" s="203"/>
      <c r="AZ773" s="203"/>
      <c r="BA773" s="203"/>
      <c r="BB773" s="203"/>
      <c r="BC773" s="203"/>
      <c r="BD773" s="203"/>
      <c r="BE773" s="203"/>
      <c r="BF773" s="203"/>
    </row>
    <row r="774" spans="1:58" s="15" customFormat="1" ht="14.1" customHeight="1">
      <c r="A774" s="247"/>
      <c r="B774" s="203"/>
      <c r="C774" s="203"/>
      <c r="D774" s="203"/>
      <c r="E774" s="203"/>
      <c r="F774" s="203"/>
      <c r="G774" s="203"/>
      <c r="H774" s="203"/>
      <c r="I774" s="203"/>
      <c r="J774" s="203"/>
      <c r="K774" s="203"/>
      <c r="L774" s="203"/>
      <c r="M774" s="203"/>
      <c r="N774" s="203"/>
      <c r="O774" s="203"/>
      <c r="P774" s="203"/>
      <c r="Q774" s="203"/>
      <c r="R774" s="203"/>
      <c r="S774" s="203"/>
      <c r="T774" s="203"/>
      <c r="U774" s="203"/>
      <c r="V774" s="203"/>
      <c r="W774" s="203"/>
      <c r="X774" s="203"/>
      <c r="Y774" s="203"/>
      <c r="Z774" s="203"/>
      <c r="AA774" s="203"/>
      <c r="AB774" s="203"/>
      <c r="AC774" s="203"/>
      <c r="AD774" s="203"/>
      <c r="AE774" s="203"/>
      <c r="AF774" s="203"/>
      <c r="AG774" s="203"/>
      <c r="AH774" s="203"/>
      <c r="AI774" s="203"/>
      <c r="AJ774" s="203"/>
      <c r="AK774" s="203"/>
      <c r="AL774" s="203"/>
      <c r="AM774" s="203"/>
      <c r="AN774" s="203"/>
      <c r="AO774" s="203"/>
      <c r="AP774" s="203"/>
      <c r="AQ774" s="203"/>
      <c r="AR774" s="203"/>
      <c r="AS774" s="203"/>
      <c r="AT774" s="203"/>
      <c r="AU774" s="203"/>
      <c r="AV774" s="203"/>
      <c r="AW774" s="203"/>
      <c r="AX774" s="203"/>
      <c r="AY774" s="203"/>
      <c r="AZ774" s="203"/>
      <c r="BA774" s="203"/>
      <c r="BB774" s="203"/>
      <c r="BC774" s="203"/>
      <c r="BD774" s="203"/>
      <c r="BE774" s="203"/>
      <c r="BF774" s="203"/>
    </row>
    <row r="775" spans="1:58" s="15" customFormat="1" ht="14.1" customHeight="1">
      <c r="A775" s="247"/>
      <c r="B775" s="203"/>
      <c r="C775" s="203"/>
      <c r="D775" s="203"/>
      <c r="E775" s="203"/>
      <c r="F775" s="203"/>
      <c r="G775" s="203"/>
      <c r="H775" s="203"/>
      <c r="I775" s="203"/>
      <c r="J775" s="203"/>
      <c r="K775" s="203"/>
      <c r="L775" s="203"/>
      <c r="M775" s="203"/>
      <c r="N775" s="203"/>
      <c r="O775" s="203"/>
      <c r="P775" s="203"/>
      <c r="Q775" s="203"/>
      <c r="R775" s="203"/>
      <c r="S775" s="203"/>
      <c r="T775" s="203"/>
      <c r="U775" s="203"/>
      <c r="V775" s="203"/>
      <c r="W775" s="203"/>
      <c r="X775" s="203"/>
      <c r="Y775" s="203"/>
      <c r="Z775" s="203"/>
      <c r="AA775" s="203"/>
      <c r="AB775" s="203"/>
      <c r="AC775" s="203"/>
      <c r="AD775" s="203"/>
      <c r="AE775" s="203"/>
      <c r="AF775" s="203"/>
      <c r="AG775" s="203"/>
      <c r="AH775" s="203"/>
      <c r="AI775" s="203"/>
      <c r="AJ775" s="203"/>
      <c r="AK775" s="203"/>
      <c r="AL775" s="203"/>
      <c r="AM775" s="203"/>
      <c r="AN775" s="203"/>
      <c r="AO775" s="203"/>
      <c r="AP775" s="203"/>
      <c r="AQ775" s="203"/>
      <c r="AR775" s="203"/>
      <c r="AS775" s="203"/>
      <c r="AT775" s="203"/>
      <c r="AU775" s="203"/>
      <c r="AV775" s="203"/>
      <c r="AW775" s="203"/>
      <c r="AX775" s="203"/>
      <c r="AY775" s="203"/>
      <c r="AZ775" s="203"/>
      <c r="BA775" s="203"/>
      <c r="BB775" s="203"/>
      <c r="BC775" s="203"/>
      <c r="BD775" s="203"/>
      <c r="BE775" s="203"/>
      <c r="BF775" s="203"/>
    </row>
    <row r="776" spans="1:58" s="15" customFormat="1" ht="14.1" customHeight="1">
      <c r="A776" s="247"/>
      <c r="B776" s="203"/>
      <c r="C776" s="203"/>
      <c r="D776" s="203"/>
      <c r="E776" s="203"/>
      <c r="F776" s="203"/>
      <c r="G776" s="203"/>
      <c r="H776" s="203"/>
      <c r="I776" s="203"/>
      <c r="J776" s="203"/>
      <c r="K776" s="203"/>
      <c r="L776" s="203"/>
      <c r="M776" s="203"/>
      <c r="N776" s="203"/>
      <c r="O776" s="203"/>
      <c r="P776" s="203"/>
      <c r="Q776" s="203"/>
      <c r="R776" s="203"/>
      <c r="S776" s="203"/>
      <c r="T776" s="203"/>
      <c r="U776" s="203"/>
      <c r="V776" s="203"/>
      <c r="W776" s="203"/>
      <c r="X776" s="203"/>
      <c r="Y776" s="203"/>
      <c r="Z776" s="203"/>
      <c r="AA776" s="203"/>
      <c r="AB776" s="203"/>
      <c r="AC776" s="203"/>
      <c r="AD776" s="203"/>
      <c r="AE776" s="203"/>
      <c r="AF776" s="203"/>
      <c r="AG776" s="203"/>
      <c r="AH776" s="203"/>
      <c r="AI776" s="203"/>
      <c r="AJ776" s="203"/>
      <c r="AK776" s="203"/>
      <c r="AL776" s="203"/>
      <c r="AM776" s="203"/>
      <c r="AN776" s="203"/>
      <c r="AO776" s="203"/>
      <c r="AP776" s="203"/>
      <c r="AQ776" s="203"/>
      <c r="AR776" s="203"/>
      <c r="AS776" s="203"/>
      <c r="AT776" s="203"/>
      <c r="AU776" s="203"/>
      <c r="AV776" s="203"/>
      <c r="AW776" s="203"/>
      <c r="AX776" s="203"/>
      <c r="AY776" s="203"/>
      <c r="AZ776" s="203"/>
      <c r="BA776" s="203"/>
      <c r="BB776" s="203"/>
      <c r="BC776" s="203"/>
      <c r="BD776" s="203"/>
      <c r="BE776" s="203"/>
      <c r="BF776" s="203"/>
    </row>
    <row r="777" spans="1:58" s="15" customFormat="1" ht="14.1" customHeight="1">
      <c r="A777" s="247"/>
      <c r="B777" s="203"/>
      <c r="C777" s="203"/>
      <c r="D777" s="203"/>
      <c r="E777" s="203"/>
      <c r="F777" s="203"/>
      <c r="G777" s="203"/>
      <c r="H777" s="203"/>
      <c r="I777" s="203"/>
      <c r="J777" s="203"/>
      <c r="K777" s="203"/>
      <c r="L777" s="203"/>
      <c r="M777" s="203"/>
      <c r="N777" s="203"/>
      <c r="O777" s="203"/>
      <c r="P777" s="203"/>
      <c r="Q777" s="203"/>
      <c r="R777" s="203"/>
      <c r="S777" s="203"/>
      <c r="T777" s="203"/>
      <c r="U777" s="203"/>
      <c r="V777" s="203"/>
      <c r="W777" s="203"/>
      <c r="X777" s="203"/>
      <c r="Y777" s="203"/>
      <c r="Z777" s="203"/>
      <c r="AA777" s="203"/>
      <c r="AB777" s="203"/>
      <c r="AC777" s="203"/>
      <c r="AD777" s="203"/>
      <c r="AE777" s="203"/>
      <c r="AF777" s="203"/>
      <c r="AG777" s="203"/>
      <c r="AH777" s="203"/>
      <c r="AI777" s="203"/>
      <c r="AJ777" s="203"/>
      <c r="AK777" s="203"/>
      <c r="AL777" s="203"/>
      <c r="AM777" s="203"/>
      <c r="AN777" s="203"/>
      <c r="AO777" s="203"/>
      <c r="AP777" s="203"/>
      <c r="AQ777" s="203"/>
      <c r="AR777" s="203"/>
      <c r="AS777" s="203"/>
      <c r="AT777" s="203"/>
      <c r="AU777" s="203"/>
      <c r="AV777" s="203"/>
      <c r="AW777" s="203"/>
      <c r="AX777" s="203"/>
      <c r="AY777" s="203"/>
      <c r="AZ777" s="203"/>
      <c r="BA777" s="203"/>
      <c r="BB777" s="203"/>
      <c r="BC777" s="203"/>
      <c r="BD777" s="203"/>
      <c r="BE777" s="203"/>
      <c r="BF777" s="203"/>
    </row>
    <row r="778" spans="1:58" s="15" customFormat="1" ht="14.1" customHeight="1">
      <c r="A778" s="247"/>
      <c r="B778" s="203"/>
      <c r="C778" s="203"/>
      <c r="D778" s="203"/>
      <c r="E778" s="203"/>
      <c r="F778" s="203"/>
      <c r="G778" s="203"/>
      <c r="H778" s="203"/>
      <c r="I778" s="203"/>
      <c r="J778" s="203"/>
      <c r="K778" s="203"/>
      <c r="L778" s="203"/>
      <c r="M778" s="203"/>
      <c r="N778" s="203"/>
      <c r="O778" s="203"/>
      <c r="P778" s="203"/>
      <c r="Q778" s="203"/>
      <c r="R778" s="203"/>
      <c r="S778" s="203"/>
      <c r="T778" s="203"/>
      <c r="U778" s="203"/>
      <c r="V778" s="203"/>
      <c r="W778" s="203"/>
      <c r="X778" s="203"/>
      <c r="Y778" s="203"/>
      <c r="Z778" s="203"/>
      <c r="AA778" s="203"/>
      <c r="AB778" s="203"/>
      <c r="AC778" s="203"/>
      <c r="AD778" s="203"/>
      <c r="AE778" s="203"/>
      <c r="AF778" s="203"/>
      <c r="AG778" s="203"/>
      <c r="AH778" s="203"/>
      <c r="AI778" s="203"/>
      <c r="AJ778" s="203"/>
      <c r="AK778" s="203"/>
      <c r="AL778" s="203"/>
      <c r="AM778" s="203"/>
      <c r="AN778" s="203"/>
      <c r="AO778" s="203"/>
      <c r="AP778" s="203"/>
      <c r="AQ778" s="203"/>
      <c r="AR778" s="203"/>
      <c r="AS778" s="203"/>
      <c r="AT778" s="203"/>
      <c r="AU778" s="203"/>
      <c r="AV778" s="203"/>
      <c r="AW778" s="203"/>
      <c r="AX778" s="203"/>
      <c r="AY778" s="203"/>
      <c r="AZ778" s="203"/>
      <c r="BA778" s="203"/>
      <c r="BB778" s="203"/>
      <c r="BC778" s="203"/>
      <c r="BD778" s="203"/>
      <c r="BE778" s="203"/>
      <c r="BF778" s="203"/>
    </row>
    <row r="779" spans="1:58" s="15" customFormat="1" ht="14.1" customHeight="1">
      <c r="A779" s="247"/>
      <c r="B779" s="203"/>
      <c r="C779" s="203"/>
      <c r="D779" s="203"/>
      <c r="E779" s="203"/>
      <c r="F779" s="203"/>
      <c r="G779" s="203"/>
      <c r="H779" s="203"/>
      <c r="I779" s="203"/>
      <c r="J779" s="203"/>
      <c r="K779" s="203"/>
      <c r="L779" s="203"/>
      <c r="M779" s="203"/>
      <c r="N779" s="203"/>
      <c r="O779" s="203"/>
      <c r="P779" s="203"/>
      <c r="Q779" s="203"/>
      <c r="R779" s="203"/>
      <c r="S779" s="203"/>
      <c r="T779" s="203"/>
      <c r="U779" s="203"/>
      <c r="V779" s="203"/>
      <c r="W779" s="203"/>
      <c r="X779" s="203"/>
      <c r="Y779" s="203"/>
      <c r="Z779" s="203"/>
      <c r="AA779" s="203"/>
      <c r="AB779" s="203"/>
      <c r="AC779" s="203"/>
      <c r="AD779" s="203"/>
      <c r="AE779" s="203"/>
      <c r="AF779" s="203"/>
      <c r="AG779" s="203"/>
      <c r="AH779" s="203"/>
      <c r="AI779" s="203"/>
      <c r="AJ779" s="203"/>
      <c r="AK779" s="203"/>
      <c r="AL779" s="203"/>
      <c r="AM779" s="203"/>
      <c r="AN779" s="203"/>
      <c r="AO779" s="203"/>
      <c r="AP779" s="203"/>
      <c r="AQ779" s="203"/>
      <c r="AR779" s="203"/>
      <c r="AS779" s="203"/>
      <c r="AT779" s="203"/>
      <c r="AU779" s="203"/>
      <c r="AV779" s="203"/>
      <c r="AW779" s="203"/>
      <c r="AX779" s="203"/>
      <c r="AY779" s="203"/>
      <c r="AZ779" s="203"/>
      <c r="BA779" s="203"/>
      <c r="BB779" s="203"/>
      <c r="BC779" s="203"/>
      <c r="BD779" s="203"/>
      <c r="BE779" s="203"/>
      <c r="BF779" s="203"/>
    </row>
    <row r="780" spans="1:58" s="15" customFormat="1" ht="14.1" customHeight="1">
      <c r="A780" s="247"/>
      <c r="B780" s="203"/>
      <c r="C780" s="203"/>
      <c r="D780" s="203"/>
      <c r="E780" s="203"/>
      <c r="F780" s="203"/>
      <c r="G780" s="203"/>
      <c r="H780" s="203"/>
      <c r="I780" s="203"/>
      <c r="J780" s="203"/>
      <c r="K780" s="203"/>
      <c r="L780" s="203"/>
      <c r="M780" s="203"/>
      <c r="N780" s="203"/>
      <c r="O780" s="203"/>
      <c r="P780" s="203"/>
      <c r="Q780" s="203"/>
      <c r="R780" s="203"/>
      <c r="S780" s="203"/>
      <c r="T780" s="203"/>
      <c r="U780" s="203"/>
      <c r="V780" s="203"/>
      <c r="W780" s="203"/>
      <c r="X780" s="203"/>
      <c r="Y780" s="203"/>
      <c r="Z780" s="203"/>
      <c r="AA780" s="203"/>
      <c r="AB780" s="203"/>
      <c r="AC780" s="203"/>
      <c r="AD780" s="203"/>
      <c r="AE780" s="203"/>
      <c r="AF780" s="203"/>
      <c r="AG780" s="203"/>
      <c r="AH780" s="203"/>
      <c r="AI780" s="203"/>
      <c r="AJ780" s="203"/>
      <c r="AK780" s="203"/>
      <c r="AL780" s="203"/>
      <c r="AM780" s="203"/>
      <c r="AN780" s="203"/>
      <c r="AO780" s="203"/>
      <c r="AP780" s="203"/>
      <c r="AQ780" s="203"/>
      <c r="AR780" s="203"/>
      <c r="AS780" s="203"/>
      <c r="AT780" s="203"/>
      <c r="AU780" s="203"/>
      <c r="AV780" s="203"/>
      <c r="AW780" s="203"/>
      <c r="AX780" s="203"/>
      <c r="AY780" s="203"/>
      <c r="AZ780" s="203"/>
      <c r="BA780" s="203"/>
      <c r="BB780" s="203"/>
      <c r="BC780" s="203"/>
      <c r="BD780" s="203"/>
      <c r="BE780" s="203"/>
      <c r="BF780" s="203"/>
    </row>
    <row r="781" spans="1:58" s="15" customFormat="1" ht="14.1" customHeight="1">
      <c r="A781" s="247"/>
      <c r="B781" s="203"/>
      <c r="C781" s="203"/>
      <c r="D781" s="203"/>
      <c r="E781" s="203"/>
      <c r="F781" s="203"/>
      <c r="G781" s="203"/>
      <c r="H781" s="203"/>
      <c r="I781" s="203"/>
      <c r="J781" s="203"/>
      <c r="K781" s="203"/>
      <c r="L781" s="203"/>
      <c r="M781" s="203"/>
      <c r="N781" s="203"/>
      <c r="O781" s="203"/>
      <c r="P781" s="203"/>
      <c r="Q781" s="203"/>
      <c r="R781" s="203"/>
      <c r="S781" s="203"/>
      <c r="T781" s="203"/>
      <c r="U781" s="203"/>
      <c r="V781" s="203"/>
      <c r="W781" s="203"/>
      <c r="X781" s="203"/>
      <c r="Y781" s="203"/>
      <c r="Z781" s="203"/>
      <c r="AA781" s="203"/>
      <c r="AB781" s="203"/>
      <c r="AC781" s="203"/>
      <c r="AD781" s="203"/>
      <c r="AE781" s="203"/>
      <c r="AF781" s="203"/>
      <c r="AG781" s="203"/>
      <c r="AH781" s="203"/>
      <c r="AI781" s="203"/>
      <c r="AJ781" s="203"/>
      <c r="AK781" s="203"/>
      <c r="AL781" s="203"/>
      <c r="AM781" s="203"/>
      <c r="AN781" s="203"/>
      <c r="AO781" s="203"/>
      <c r="AP781" s="203"/>
      <c r="AQ781" s="203"/>
      <c r="AR781" s="203"/>
      <c r="AS781" s="203"/>
      <c r="AT781" s="203"/>
      <c r="AU781" s="203"/>
      <c r="AV781" s="203"/>
      <c r="AW781" s="203"/>
      <c r="AX781" s="203"/>
      <c r="AY781" s="203"/>
      <c r="AZ781" s="203"/>
      <c r="BA781" s="203"/>
      <c r="BB781" s="203"/>
      <c r="BC781" s="203"/>
      <c r="BD781" s="203"/>
      <c r="BE781" s="203"/>
      <c r="BF781" s="203"/>
    </row>
    <row r="782" spans="1:58" s="15" customFormat="1" ht="14.1" customHeight="1">
      <c r="A782" s="247"/>
      <c r="B782" s="203"/>
      <c r="C782" s="203"/>
      <c r="D782" s="203"/>
      <c r="E782" s="203"/>
      <c r="F782" s="203"/>
      <c r="G782" s="203"/>
      <c r="H782" s="203"/>
      <c r="I782" s="203"/>
      <c r="J782" s="203"/>
      <c r="K782" s="203"/>
      <c r="L782" s="203"/>
      <c r="M782" s="203"/>
      <c r="N782" s="203"/>
      <c r="O782" s="203"/>
      <c r="P782" s="203"/>
      <c r="Q782" s="203"/>
      <c r="R782" s="203"/>
      <c r="S782" s="203"/>
      <c r="T782" s="203"/>
      <c r="U782" s="203"/>
      <c r="V782" s="203"/>
      <c r="W782" s="203"/>
      <c r="X782" s="203"/>
      <c r="Y782" s="203"/>
      <c r="Z782" s="203"/>
      <c r="AA782" s="203"/>
      <c r="AB782" s="203"/>
      <c r="AC782" s="203"/>
      <c r="AD782" s="203"/>
      <c r="AE782" s="203"/>
      <c r="AF782" s="203"/>
      <c r="AG782" s="203"/>
      <c r="AH782" s="203"/>
      <c r="AI782" s="203"/>
      <c r="AJ782" s="203"/>
      <c r="AK782" s="203"/>
      <c r="AL782" s="203"/>
      <c r="AM782" s="203"/>
      <c r="AN782" s="203"/>
      <c r="AO782" s="203"/>
      <c r="AP782" s="203"/>
      <c r="AQ782" s="203"/>
      <c r="AR782" s="203"/>
      <c r="AS782" s="203"/>
      <c r="AT782" s="203"/>
      <c r="AU782" s="203"/>
      <c r="AV782" s="203"/>
      <c r="AW782" s="203"/>
      <c r="AX782" s="203"/>
      <c r="AY782" s="203"/>
      <c r="AZ782" s="203"/>
      <c r="BA782" s="203"/>
      <c r="BB782" s="203"/>
      <c r="BC782" s="203"/>
      <c r="BD782" s="203"/>
      <c r="BE782" s="203"/>
      <c r="BF782" s="203"/>
    </row>
    <row r="783" spans="1:58" s="15" customFormat="1" ht="14.1" customHeight="1">
      <c r="A783" s="247"/>
      <c r="B783" s="203"/>
      <c r="C783" s="203"/>
      <c r="D783" s="203"/>
      <c r="E783" s="203"/>
      <c r="F783" s="203"/>
      <c r="G783" s="203"/>
      <c r="H783" s="203"/>
      <c r="I783" s="203"/>
      <c r="J783" s="203"/>
      <c r="K783" s="203"/>
      <c r="L783" s="203"/>
      <c r="M783" s="203"/>
      <c r="N783" s="203"/>
      <c r="O783" s="203"/>
      <c r="P783" s="203"/>
      <c r="Q783" s="203"/>
      <c r="R783" s="203"/>
      <c r="S783" s="203"/>
      <c r="T783" s="203"/>
      <c r="U783" s="203"/>
      <c r="V783" s="203"/>
      <c r="W783" s="203"/>
      <c r="X783" s="203"/>
      <c r="Y783" s="203"/>
      <c r="Z783" s="203"/>
      <c r="AA783" s="203"/>
      <c r="AB783" s="203"/>
      <c r="AC783" s="203"/>
      <c r="AD783" s="203"/>
      <c r="AE783" s="203"/>
      <c r="AF783" s="203"/>
      <c r="AG783" s="203"/>
      <c r="AH783" s="203"/>
      <c r="AI783" s="203"/>
      <c r="AJ783" s="203"/>
      <c r="AK783" s="203"/>
      <c r="AL783" s="203"/>
      <c r="AM783" s="203"/>
      <c r="AN783" s="203"/>
      <c r="AO783" s="203"/>
      <c r="AP783" s="203"/>
      <c r="AQ783" s="203"/>
      <c r="AR783" s="203"/>
      <c r="AS783" s="203"/>
      <c r="AT783" s="203"/>
      <c r="AU783" s="203"/>
      <c r="AV783" s="203"/>
      <c r="AW783" s="203"/>
      <c r="AX783" s="203"/>
      <c r="AY783" s="203"/>
      <c r="AZ783" s="203"/>
      <c r="BA783" s="203"/>
      <c r="BB783" s="203"/>
      <c r="BC783" s="203"/>
      <c r="BD783" s="203"/>
      <c r="BE783" s="203"/>
      <c r="BF783" s="203"/>
    </row>
    <row r="784" spans="1:58" s="15" customFormat="1" ht="14.1" customHeight="1">
      <c r="A784" s="247"/>
      <c r="B784" s="203"/>
      <c r="C784" s="203"/>
      <c r="D784" s="203"/>
      <c r="E784" s="203"/>
      <c r="F784" s="203"/>
      <c r="G784" s="203"/>
      <c r="H784" s="203"/>
      <c r="I784" s="203"/>
      <c r="J784" s="203"/>
      <c r="K784" s="203"/>
      <c r="L784" s="203"/>
      <c r="M784" s="203"/>
      <c r="N784" s="203"/>
      <c r="O784" s="203"/>
      <c r="P784" s="203"/>
      <c r="Q784" s="203"/>
      <c r="R784" s="203"/>
      <c r="S784" s="203"/>
      <c r="T784" s="203"/>
      <c r="U784" s="203"/>
      <c r="V784" s="203"/>
      <c r="W784" s="203"/>
      <c r="X784" s="203"/>
      <c r="Y784" s="203"/>
      <c r="Z784" s="203"/>
      <c r="AA784" s="203"/>
      <c r="AB784" s="203"/>
      <c r="AC784" s="203"/>
      <c r="AD784" s="203"/>
      <c r="AE784" s="203"/>
      <c r="AF784" s="203"/>
      <c r="AG784" s="203"/>
      <c r="AH784" s="203"/>
      <c r="AI784" s="203"/>
      <c r="AJ784" s="203"/>
      <c r="AK784" s="203"/>
      <c r="AL784" s="203"/>
      <c r="AM784" s="203"/>
      <c r="AN784" s="203"/>
      <c r="AO784" s="203"/>
      <c r="AP784" s="203"/>
      <c r="AQ784" s="203"/>
      <c r="AR784" s="203"/>
      <c r="AS784" s="203"/>
      <c r="AT784" s="203"/>
      <c r="AU784" s="203"/>
      <c r="AV784" s="203"/>
      <c r="AW784" s="203"/>
      <c r="AX784" s="203"/>
      <c r="AY784" s="203"/>
      <c r="AZ784" s="203"/>
      <c r="BA784" s="203"/>
      <c r="BB784" s="203"/>
      <c r="BC784" s="203"/>
      <c r="BD784" s="203"/>
      <c r="BE784" s="203"/>
      <c r="BF784" s="203"/>
    </row>
    <row r="785" spans="1:58" s="15" customFormat="1" ht="14.1" customHeight="1">
      <c r="A785" s="247"/>
      <c r="B785" s="203"/>
      <c r="C785" s="203"/>
      <c r="D785" s="203"/>
      <c r="E785" s="203"/>
      <c r="F785" s="203"/>
      <c r="G785" s="203"/>
      <c r="H785" s="203"/>
      <c r="I785" s="203"/>
      <c r="J785" s="203"/>
      <c r="K785" s="203"/>
      <c r="L785" s="203"/>
      <c r="M785" s="203"/>
      <c r="N785" s="203"/>
      <c r="O785" s="203"/>
      <c r="P785" s="203"/>
      <c r="Q785" s="203"/>
      <c r="R785" s="203"/>
      <c r="S785" s="203"/>
      <c r="T785" s="203"/>
      <c r="U785" s="203"/>
      <c r="V785" s="203"/>
      <c r="W785" s="203"/>
      <c r="X785" s="203"/>
      <c r="Y785" s="203"/>
      <c r="Z785" s="203"/>
      <c r="AA785" s="203"/>
      <c r="AB785" s="203"/>
      <c r="AC785" s="203"/>
      <c r="AD785" s="203"/>
      <c r="AE785" s="203"/>
      <c r="AF785" s="203"/>
      <c r="AG785" s="203"/>
      <c r="AH785" s="203"/>
      <c r="AI785" s="203"/>
      <c r="AJ785" s="203"/>
      <c r="AK785" s="203"/>
      <c r="AL785" s="203"/>
      <c r="AM785" s="203"/>
      <c r="AN785" s="203"/>
      <c r="AO785" s="203"/>
      <c r="AP785" s="203"/>
      <c r="AQ785" s="203"/>
      <c r="AR785" s="203"/>
      <c r="AS785" s="203"/>
      <c r="AT785" s="203"/>
      <c r="AU785" s="203"/>
      <c r="AV785" s="203"/>
      <c r="AW785" s="203"/>
      <c r="AX785" s="203"/>
      <c r="AY785" s="203"/>
      <c r="AZ785" s="203"/>
      <c r="BA785" s="203"/>
      <c r="BB785" s="203"/>
      <c r="BC785" s="203"/>
      <c r="BD785" s="203"/>
      <c r="BE785" s="203"/>
      <c r="BF785" s="203"/>
    </row>
    <row r="786" spans="1:58" s="15" customFormat="1" ht="14.1" customHeight="1">
      <c r="A786" s="247"/>
      <c r="B786" s="203"/>
      <c r="C786" s="203"/>
      <c r="D786" s="203"/>
      <c r="E786" s="203"/>
      <c r="F786" s="203"/>
      <c r="G786" s="203"/>
      <c r="H786" s="203"/>
      <c r="I786" s="203"/>
      <c r="J786" s="203"/>
      <c r="K786" s="203"/>
      <c r="L786" s="203"/>
      <c r="M786" s="203"/>
      <c r="N786" s="203"/>
      <c r="O786" s="203"/>
      <c r="P786" s="203"/>
      <c r="Q786" s="203"/>
      <c r="R786" s="203"/>
      <c r="S786" s="203"/>
      <c r="T786" s="203"/>
      <c r="U786" s="203"/>
      <c r="V786" s="203"/>
      <c r="W786" s="203"/>
      <c r="X786" s="203"/>
      <c r="Y786" s="203"/>
      <c r="Z786" s="203"/>
      <c r="AA786" s="203"/>
      <c r="AB786" s="203"/>
      <c r="AC786" s="203"/>
      <c r="AD786" s="203"/>
      <c r="AE786" s="203"/>
      <c r="AF786" s="203"/>
      <c r="AG786" s="203"/>
      <c r="AH786" s="203"/>
      <c r="AI786" s="203"/>
      <c r="AJ786" s="203"/>
      <c r="AK786" s="203"/>
      <c r="AL786" s="203"/>
      <c r="AM786" s="203"/>
      <c r="AN786" s="203"/>
      <c r="AO786" s="203"/>
      <c r="AP786" s="203"/>
      <c r="AQ786" s="203"/>
      <c r="AR786" s="203"/>
      <c r="AS786" s="203"/>
      <c r="AT786" s="203"/>
      <c r="AU786" s="203"/>
      <c r="AV786" s="203"/>
      <c r="AW786" s="203"/>
      <c r="AX786" s="203"/>
      <c r="AY786" s="203"/>
      <c r="AZ786" s="203"/>
      <c r="BA786" s="203"/>
      <c r="BB786" s="203"/>
      <c r="BC786" s="203"/>
      <c r="BD786" s="203"/>
      <c r="BE786" s="203"/>
      <c r="BF786" s="203"/>
    </row>
    <row r="787" spans="1:58" s="15" customFormat="1" ht="14.1" customHeight="1">
      <c r="A787" s="247"/>
      <c r="B787" s="203"/>
      <c r="C787" s="203"/>
      <c r="D787" s="203"/>
      <c r="E787" s="203"/>
      <c r="F787" s="203"/>
      <c r="G787" s="203"/>
      <c r="H787" s="203"/>
      <c r="I787" s="203"/>
      <c r="J787" s="203"/>
      <c r="K787" s="203"/>
      <c r="L787" s="203"/>
      <c r="M787" s="203"/>
      <c r="N787" s="203"/>
      <c r="O787" s="203"/>
      <c r="P787" s="203"/>
      <c r="Q787" s="203"/>
      <c r="R787" s="203"/>
      <c r="S787" s="203"/>
      <c r="T787" s="203"/>
      <c r="U787" s="203"/>
      <c r="V787" s="203"/>
      <c r="W787" s="203"/>
      <c r="X787" s="203"/>
      <c r="Y787" s="203"/>
      <c r="Z787" s="203"/>
      <c r="AA787" s="203"/>
      <c r="AB787" s="203"/>
      <c r="AC787" s="203"/>
      <c r="AD787" s="203"/>
      <c r="AE787" s="203"/>
      <c r="AF787" s="203"/>
      <c r="AG787" s="203"/>
      <c r="AH787" s="203"/>
      <c r="AI787" s="203"/>
      <c r="AJ787" s="203"/>
      <c r="AK787" s="203"/>
      <c r="AL787" s="203"/>
      <c r="AM787" s="203"/>
      <c r="AN787" s="203"/>
      <c r="AO787" s="203"/>
      <c r="AP787" s="203"/>
      <c r="AQ787" s="203"/>
      <c r="AR787" s="203"/>
      <c r="AS787" s="203"/>
      <c r="AT787" s="203"/>
      <c r="AU787" s="203"/>
      <c r="AV787" s="203"/>
      <c r="AW787" s="203"/>
      <c r="AX787" s="203"/>
      <c r="AY787" s="203"/>
      <c r="AZ787" s="203"/>
      <c r="BA787" s="203"/>
      <c r="BB787" s="203"/>
      <c r="BC787" s="203"/>
      <c r="BD787" s="203"/>
      <c r="BE787" s="203"/>
      <c r="BF787" s="203"/>
    </row>
    <row r="788" spans="1:58" s="15" customFormat="1" ht="14.1" customHeight="1">
      <c r="A788" s="247"/>
      <c r="B788" s="203"/>
      <c r="C788" s="203"/>
      <c r="D788" s="203"/>
      <c r="E788" s="203"/>
      <c r="F788" s="203"/>
      <c r="G788" s="203"/>
      <c r="H788" s="203"/>
      <c r="I788" s="203"/>
      <c r="J788" s="203"/>
      <c r="K788" s="203"/>
      <c r="L788" s="203"/>
      <c r="M788" s="203"/>
      <c r="N788" s="203"/>
      <c r="O788" s="203"/>
      <c r="P788" s="203"/>
      <c r="Q788" s="203"/>
      <c r="R788" s="203"/>
      <c r="S788" s="203"/>
      <c r="T788" s="203"/>
      <c r="U788" s="203"/>
      <c r="V788" s="203"/>
      <c r="W788" s="203"/>
      <c r="X788" s="203"/>
      <c r="Y788" s="203"/>
      <c r="Z788" s="203"/>
      <c r="AA788" s="203"/>
      <c r="AB788" s="203"/>
      <c r="AC788" s="203"/>
      <c r="AD788" s="203"/>
      <c r="AE788" s="203"/>
      <c r="AF788" s="203"/>
      <c r="AG788" s="203"/>
      <c r="AH788" s="203"/>
      <c r="AI788" s="203"/>
      <c r="AJ788" s="203"/>
      <c r="AK788" s="203"/>
      <c r="AL788" s="203"/>
      <c r="AM788" s="203"/>
      <c r="AN788" s="203"/>
      <c r="AO788" s="203"/>
      <c r="AP788" s="203"/>
      <c r="AQ788" s="203"/>
      <c r="AR788" s="203"/>
      <c r="AS788" s="203"/>
      <c r="AT788" s="203"/>
      <c r="AU788" s="203"/>
      <c r="AV788" s="203"/>
      <c r="AW788" s="203"/>
      <c r="AX788" s="203"/>
      <c r="AY788" s="203"/>
      <c r="AZ788" s="203"/>
      <c r="BA788" s="203"/>
      <c r="BB788" s="203"/>
      <c r="BC788" s="203"/>
      <c r="BD788" s="203"/>
      <c r="BE788" s="203"/>
      <c r="BF788" s="203"/>
    </row>
    <row r="789" spans="1:58" s="15" customFormat="1" ht="14.1" customHeight="1">
      <c r="A789" s="247"/>
      <c r="B789" s="203"/>
      <c r="C789" s="203"/>
      <c r="D789" s="203"/>
      <c r="E789" s="203"/>
      <c r="F789" s="203"/>
      <c r="G789" s="203"/>
      <c r="H789" s="203"/>
      <c r="I789" s="203"/>
      <c r="J789" s="203"/>
      <c r="K789" s="203"/>
      <c r="L789" s="203"/>
      <c r="M789" s="203"/>
      <c r="N789" s="203"/>
      <c r="O789" s="203"/>
      <c r="P789" s="203"/>
      <c r="Q789" s="203"/>
      <c r="R789" s="203"/>
      <c r="S789" s="203"/>
      <c r="T789" s="203"/>
      <c r="U789" s="203"/>
      <c r="V789" s="203"/>
      <c r="W789" s="203"/>
      <c r="X789" s="203"/>
      <c r="Y789" s="203"/>
      <c r="Z789" s="203"/>
      <c r="AA789" s="203"/>
      <c r="AB789" s="203"/>
      <c r="AC789" s="203"/>
      <c r="AD789" s="203"/>
      <c r="AE789" s="203"/>
      <c r="AF789" s="203"/>
      <c r="AG789" s="203"/>
      <c r="AH789" s="203"/>
      <c r="AI789" s="203"/>
      <c r="AJ789" s="203"/>
      <c r="AK789" s="203"/>
      <c r="AL789" s="203"/>
      <c r="AM789" s="203"/>
      <c r="AN789" s="203"/>
      <c r="AO789" s="203"/>
      <c r="AP789" s="203"/>
      <c r="AQ789" s="203"/>
      <c r="AR789" s="203"/>
      <c r="AS789" s="203"/>
      <c r="AT789" s="203"/>
      <c r="AU789" s="203"/>
      <c r="AV789" s="203"/>
      <c r="AW789" s="203"/>
      <c r="AX789" s="203"/>
      <c r="AY789" s="203"/>
      <c r="AZ789" s="203"/>
      <c r="BA789" s="203"/>
      <c r="BB789" s="203"/>
      <c r="BC789" s="203"/>
      <c r="BD789" s="203"/>
      <c r="BE789" s="203"/>
      <c r="BF789" s="203"/>
    </row>
    <row r="790" spans="1:58" s="15" customFormat="1" ht="14.1" customHeight="1">
      <c r="A790" s="247"/>
      <c r="B790" s="203"/>
      <c r="C790" s="203"/>
      <c r="D790" s="203"/>
      <c r="E790" s="203"/>
      <c r="F790" s="203"/>
      <c r="G790" s="203"/>
      <c r="H790" s="203"/>
      <c r="I790" s="203"/>
      <c r="J790" s="203"/>
      <c r="K790" s="203"/>
      <c r="L790" s="203"/>
      <c r="M790" s="203"/>
      <c r="N790" s="203"/>
      <c r="O790" s="203"/>
      <c r="P790" s="203"/>
      <c r="Q790" s="203"/>
      <c r="R790" s="203"/>
      <c r="S790" s="203"/>
      <c r="T790" s="203"/>
      <c r="U790" s="203"/>
      <c r="V790" s="203"/>
      <c r="W790" s="203"/>
      <c r="X790" s="203"/>
      <c r="Y790" s="203"/>
      <c r="Z790" s="203"/>
      <c r="AA790" s="203"/>
      <c r="AB790" s="203"/>
      <c r="AC790" s="203"/>
      <c r="AD790" s="203"/>
      <c r="AE790" s="203"/>
      <c r="AF790" s="203"/>
      <c r="AG790" s="203"/>
      <c r="AH790" s="203"/>
      <c r="AI790" s="203"/>
      <c r="AJ790" s="203"/>
      <c r="AK790" s="203"/>
      <c r="AL790" s="203"/>
      <c r="AM790" s="203"/>
      <c r="AN790" s="203"/>
      <c r="AO790" s="203"/>
      <c r="AP790" s="203"/>
      <c r="AQ790" s="203"/>
      <c r="AR790" s="203"/>
      <c r="AS790" s="203"/>
      <c r="AT790" s="203"/>
      <c r="AU790" s="203"/>
      <c r="AV790" s="203"/>
      <c r="AW790" s="203"/>
      <c r="AX790" s="203"/>
      <c r="AY790" s="203"/>
      <c r="AZ790" s="203"/>
      <c r="BA790" s="203"/>
      <c r="BB790" s="203"/>
      <c r="BC790" s="203"/>
      <c r="BD790" s="203"/>
      <c r="BE790" s="203"/>
      <c r="BF790" s="203"/>
    </row>
    <row r="791" spans="1:58" s="15" customFormat="1" ht="14.1" customHeight="1">
      <c r="A791" s="247"/>
      <c r="B791" s="203"/>
      <c r="C791" s="203"/>
      <c r="D791" s="203"/>
      <c r="E791" s="203"/>
      <c r="F791" s="203"/>
      <c r="G791" s="203"/>
      <c r="H791" s="203"/>
      <c r="I791" s="203"/>
      <c r="J791" s="203"/>
      <c r="K791" s="203"/>
      <c r="L791" s="203"/>
      <c r="M791" s="203"/>
      <c r="N791" s="203"/>
      <c r="O791" s="203"/>
      <c r="P791" s="203"/>
      <c r="Q791" s="203"/>
      <c r="R791" s="203"/>
      <c r="S791" s="203"/>
      <c r="T791" s="203"/>
      <c r="U791" s="203"/>
      <c r="V791" s="203"/>
      <c r="W791" s="203"/>
      <c r="X791" s="203"/>
      <c r="Y791" s="203"/>
      <c r="Z791" s="203"/>
      <c r="AA791" s="203"/>
      <c r="AB791" s="203"/>
      <c r="AC791" s="203"/>
      <c r="AD791" s="203"/>
      <c r="AE791" s="203"/>
      <c r="AF791" s="203"/>
      <c r="AG791" s="203"/>
      <c r="AH791" s="203"/>
      <c r="AI791" s="203"/>
      <c r="AJ791" s="203"/>
      <c r="AK791" s="203"/>
      <c r="AL791" s="203"/>
      <c r="AM791" s="203"/>
      <c r="AN791" s="203"/>
      <c r="AO791" s="203"/>
      <c r="AP791" s="203"/>
      <c r="AQ791" s="203"/>
      <c r="AR791" s="203"/>
      <c r="AS791" s="203"/>
      <c r="AT791" s="203"/>
      <c r="AU791" s="203"/>
      <c r="AV791" s="203"/>
      <c r="AW791" s="203"/>
      <c r="AX791" s="203"/>
      <c r="AY791" s="203"/>
      <c r="AZ791" s="203"/>
      <c r="BA791" s="203"/>
      <c r="BB791" s="203"/>
      <c r="BC791" s="203"/>
      <c r="BD791" s="203"/>
      <c r="BE791" s="203"/>
      <c r="BF791" s="203"/>
    </row>
    <row r="792" spans="1:58" s="15" customFormat="1" ht="14.1" customHeight="1">
      <c r="A792" s="247"/>
      <c r="B792" s="203"/>
      <c r="C792" s="203"/>
      <c r="D792" s="203"/>
      <c r="E792" s="203"/>
      <c r="F792" s="203"/>
      <c r="G792" s="203"/>
      <c r="H792" s="203"/>
      <c r="I792" s="203"/>
      <c r="J792" s="203"/>
      <c r="K792" s="203"/>
      <c r="L792" s="203"/>
      <c r="M792" s="203"/>
      <c r="N792" s="203"/>
      <c r="O792" s="203"/>
      <c r="P792" s="203"/>
      <c r="Q792" s="203"/>
      <c r="R792" s="203"/>
      <c r="S792" s="203"/>
      <c r="T792" s="203"/>
      <c r="U792" s="203"/>
      <c r="V792" s="203"/>
      <c r="W792" s="203"/>
      <c r="X792" s="203"/>
      <c r="Y792" s="203"/>
      <c r="Z792" s="203"/>
      <c r="AA792" s="203"/>
      <c r="AB792" s="203"/>
      <c r="AC792" s="203"/>
      <c r="AD792" s="203"/>
      <c r="AE792" s="203"/>
      <c r="AF792" s="203"/>
      <c r="AG792" s="203"/>
      <c r="AH792" s="203"/>
      <c r="AI792" s="203"/>
      <c r="AJ792" s="203"/>
      <c r="AK792" s="203"/>
      <c r="AL792" s="203"/>
      <c r="AM792" s="203"/>
      <c r="AN792" s="203"/>
      <c r="AO792" s="203"/>
      <c r="AP792" s="203"/>
      <c r="AQ792" s="203"/>
      <c r="AR792" s="203"/>
      <c r="AS792" s="203"/>
      <c r="AT792" s="203"/>
      <c r="AU792" s="203"/>
      <c r="AV792" s="203"/>
      <c r="AW792" s="203"/>
      <c r="AX792" s="203"/>
      <c r="AY792" s="203"/>
      <c r="AZ792" s="203"/>
      <c r="BA792" s="203"/>
      <c r="BB792" s="203"/>
      <c r="BC792" s="203"/>
      <c r="BD792" s="203"/>
      <c r="BE792" s="203"/>
      <c r="BF792" s="203"/>
    </row>
    <row r="793" spans="1:58" s="15" customFormat="1" ht="14.1" customHeight="1">
      <c r="A793" s="247"/>
      <c r="B793" s="203"/>
      <c r="C793" s="203"/>
      <c r="D793" s="203"/>
      <c r="E793" s="203"/>
      <c r="F793" s="203"/>
      <c r="G793" s="203"/>
      <c r="H793" s="203"/>
      <c r="I793" s="203"/>
      <c r="J793" s="203"/>
      <c r="K793" s="203"/>
      <c r="L793" s="203"/>
      <c r="M793" s="203"/>
      <c r="N793" s="203"/>
      <c r="O793" s="203"/>
      <c r="P793" s="203"/>
      <c r="Q793" s="203"/>
      <c r="R793" s="203"/>
      <c r="S793" s="203"/>
      <c r="T793" s="203"/>
      <c r="U793" s="203"/>
      <c r="V793" s="203"/>
      <c r="W793" s="203"/>
      <c r="X793" s="203"/>
      <c r="Y793" s="203"/>
      <c r="Z793" s="203"/>
      <c r="AA793" s="203"/>
      <c r="AB793" s="203"/>
      <c r="AC793" s="203"/>
      <c r="AD793" s="203"/>
      <c r="AE793" s="203"/>
      <c r="AF793" s="203"/>
      <c r="AG793" s="203"/>
      <c r="AH793" s="203"/>
      <c r="AI793" s="203"/>
      <c r="AJ793" s="203"/>
      <c r="AK793" s="203"/>
      <c r="AL793" s="203"/>
      <c r="AM793" s="203"/>
      <c r="AN793" s="203"/>
      <c r="AO793" s="203"/>
      <c r="AP793" s="203"/>
      <c r="AQ793" s="203"/>
      <c r="AR793" s="203"/>
      <c r="AS793" s="203"/>
      <c r="AT793" s="203"/>
      <c r="AU793" s="203"/>
      <c r="AV793" s="203"/>
      <c r="AW793" s="203"/>
      <c r="AX793" s="203"/>
      <c r="AY793" s="203"/>
      <c r="AZ793" s="203"/>
      <c r="BA793" s="203"/>
      <c r="BB793" s="203"/>
      <c r="BC793" s="203"/>
      <c r="BD793" s="203"/>
      <c r="BE793" s="203"/>
      <c r="BF793" s="203"/>
    </row>
    <row r="794" spans="1:58" s="15" customFormat="1" ht="14.1" customHeight="1">
      <c r="A794" s="247"/>
      <c r="B794" s="203"/>
      <c r="C794" s="203"/>
      <c r="D794" s="203"/>
      <c r="E794" s="203"/>
      <c r="F794" s="203"/>
      <c r="G794" s="203"/>
      <c r="H794" s="203"/>
      <c r="I794" s="203"/>
      <c r="J794" s="203"/>
      <c r="K794" s="203"/>
      <c r="L794" s="203"/>
      <c r="M794" s="203"/>
      <c r="N794" s="203"/>
      <c r="O794" s="203"/>
      <c r="P794" s="203"/>
      <c r="Q794" s="203"/>
      <c r="R794" s="203"/>
      <c r="S794" s="203"/>
      <c r="T794" s="203"/>
      <c r="U794" s="203"/>
      <c r="V794" s="203"/>
      <c r="W794" s="203"/>
      <c r="X794" s="203"/>
      <c r="Y794" s="203"/>
      <c r="Z794" s="203"/>
      <c r="AA794" s="203"/>
      <c r="AB794" s="203"/>
      <c r="AC794" s="203"/>
      <c r="AD794" s="203"/>
      <c r="AE794" s="203"/>
      <c r="AF794" s="203"/>
      <c r="AG794" s="203"/>
      <c r="AH794" s="203"/>
      <c r="AI794" s="203"/>
      <c r="AJ794" s="203"/>
      <c r="AK794" s="203"/>
      <c r="AL794" s="203"/>
      <c r="AM794" s="203"/>
      <c r="AN794" s="203"/>
      <c r="AO794" s="203"/>
      <c r="AP794" s="203"/>
      <c r="AQ794" s="203"/>
      <c r="AR794" s="203"/>
      <c r="AS794" s="203"/>
      <c r="AT794" s="203"/>
      <c r="AU794" s="203"/>
      <c r="AV794" s="203"/>
      <c r="AW794" s="203"/>
      <c r="AX794" s="203"/>
      <c r="AY794" s="203"/>
      <c r="AZ794" s="203"/>
      <c r="BA794" s="203"/>
      <c r="BB794" s="203"/>
      <c r="BC794" s="203"/>
      <c r="BD794" s="203"/>
      <c r="BE794" s="203"/>
      <c r="BF794" s="203"/>
    </row>
    <row r="795" spans="1:58" s="15" customFormat="1" ht="14.1" customHeight="1">
      <c r="A795" s="247"/>
      <c r="B795" s="203"/>
      <c r="C795" s="203"/>
      <c r="D795" s="203"/>
      <c r="E795" s="203"/>
      <c r="F795" s="203"/>
      <c r="G795" s="203"/>
      <c r="H795" s="203"/>
      <c r="I795" s="203"/>
      <c r="J795" s="203"/>
      <c r="K795" s="203"/>
      <c r="L795" s="203"/>
      <c r="M795" s="203"/>
      <c r="N795" s="203"/>
      <c r="O795" s="203"/>
      <c r="P795" s="203"/>
      <c r="Q795" s="203"/>
      <c r="R795" s="203"/>
      <c r="S795" s="203"/>
      <c r="T795" s="203"/>
      <c r="U795" s="203"/>
      <c r="V795" s="203"/>
      <c r="W795" s="203"/>
      <c r="X795" s="203"/>
      <c r="Y795" s="203"/>
      <c r="Z795" s="203"/>
      <c r="AA795" s="203"/>
      <c r="AB795" s="203"/>
      <c r="AC795" s="203"/>
      <c r="AD795" s="203"/>
      <c r="AE795" s="203"/>
      <c r="AF795" s="203"/>
      <c r="AG795" s="203"/>
      <c r="AH795" s="203"/>
      <c r="AI795" s="203"/>
      <c r="AJ795" s="203"/>
      <c r="AK795" s="203"/>
      <c r="AL795" s="203"/>
      <c r="AM795" s="203"/>
      <c r="AN795" s="203"/>
      <c r="AO795" s="203"/>
      <c r="AP795" s="203"/>
      <c r="AQ795" s="203"/>
      <c r="AR795" s="203"/>
      <c r="AS795" s="203"/>
      <c r="AT795" s="203"/>
      <c r="AU795" s="203"/>
      <c r="AV795" s="203"/>
      <c r="AW795" s="203"/>
      <c r="AX795" s="203"/>
      <c r="AY795" s="203"/>
      <c r="AZ795" s="203"/>
      <c r="BA795" s="203"/>
      <c r="BB795" s="203"/>
      <c r="BC795" s="203"/>
      <c r="BD795" s="203"/>
      <c r="BE795" s="203"/>
      <c r="BF795" s="203"/>
    </row>
    <row r="796" spans="1:58" s="15" customFormat="1" ht="14.1" customHeight="1">
      <c r="A796" s="247"/>
      <c r="B796" s="203"/>
      <c r="C796" s="203"/>
      <c r="D796" s="203"/>
      <c r="E796" s="203"/>
      <c r="F796" s="203"/>
      <c r="G796" s="203"/>
      <c r="H796" s="203"/>
      <c r="I796" s="203"/>
      <c r="J796" s="203"/>
      <c r="K796" s="203"/>
      <c r="L796" s="203"/>
      <c r="M796" s="203"/>
      <c r="N796" s="203"/>
      <c r="O796" s="203"/>
      <c r="P796" s="203"/>
      <c r="Q796" s="203"/>
      <c r="R796" s="203"/>
      <c r="S796" s="203"/>
      <c r="T796" s="203"/>
      <c r="U796" s="203"/>
      <c r="V796" s="203"/>
      <c r="W796" s="203"/>
      <c r="X796" s="203"/>
      <c r="Y796" s="203"/>
      <c r="Z796" s="203"/>
      <c r="AA796" s="203"/>
      <c r="AB796" s="203"/>
      <c r="AC796" s="203"/>
      <c r="AD796" s="203"/>
      <c r="AE796" s="203"/>
      <c r="AF796" s="203"/>
      <c r="AG796" s="203"/>
      <c r="AH796" s="203"/>
      <c r="AI796" s="203"/>
      <c r="AJ796" s="203"/>
      <c r="AK796" s="203"/>
      <c r="AL796" s="203"/>
      <c r="AM796" s="203"/>
      <c r="AN796" s="203"/>
      <c r="AO796" s="203"/>
      <c r="AP796" s="203"/>
      <c r="AQ796" s="203"/>
      <c r="AR796" s="203"/>
      <c r="AS796" s="203"/>
      <c r="AT796" s="203"/>
      <c r="AU796" s="203"/>
      <c r="AV796" s="203"/>
      <c r="AW796" s="203"/>
      <c r="AX796" s="203"/>
      <c r="AY796" s="203"/>
      <c r="AZ796" s="203"/>
      <c r="BA796" s="203"/>
      <c r="BB796" s="203"/>
      <c r="BC796" s="203"/>
      <c r="BD796" s="203"/>
      <c r="BE796" s="203"/>
      <c r="BF796" s="203"/>
    </row>
    <row r="797" spans="1:58" s="15" customFormat="1" ht="14.1" customHeight="1">
      <c r="A797" s="247"/>
      <c r="B797" s="203"/>
      <c r="C797" s="203"/>
      <c r="D797" s="203"/>
      <c r="E797" s="203"/>
      <c r="F797" s="203"/>
      <c r="G797" s="203"/>
      <c r="H797" s="203"/>
      <c r="I797" s="203"/>
      <c r="J797" s="203"/>
      <c r="K797" s="203"/>
      <c r="L797" s="203"/>
      <c r="M797" s="203"/>
      <c r="N797" s="203"/>
      <c r="O797" s="203"/>
      <c r="P797" s="203"/>
      <c r="Q797" s="203"/>
      <c r="R797" s="203"/>
      <c r="S797" s="203"/>
      <c r="T797" s="203"/>
      <c r="U797" s="203"/>
      <c r="V797" s="203"/>
      <c r="W797" s="203"/>
      <c r="X797" s="203"/>
      <c r="Y797" s="203"/>
      <c r="Z797" s="203"/>
      <c r="AA797" s="203"/>
      <c r="AB797" s="203"/>
      <c r="AC797" s="203"/>
      <c r="AD797" s="203"/>
      <c r="AE797" s="203"/>
      <c r="AF797" s="203"/>
      <c r="AG797" s="203"/>
      <c r="AH797" s="203"/>
      <c r="AI797" s="203"/>
      <c r="AJ797" s="203"/>
      <c r="AK797" s="203"/>
      <c r="AL797" s="203"/>
      <c r="AM797" s="203"/>
      <c r="AN797" s="203"/>
      <c r="AO797" s="203"/>
      <c r="AP797" s="203"/>
      <c r="AQ797" s="203"/>
      <c r="AR797" s="203"/>
      <c r="AS797" s="203"/>
      <c r="AT797" s="203"/>
      <c r="AU797" s="203"/>
      <c r="AV797" s="203"/>
      <c r="AW797" s="203"/>
      <c r="AX797" s="203"/>
      <c r="AY797" s="203"/>
      <c r="AZ797" s="203"/>
      <c r="BA797" s="203"/>
      <c r="BB797" s="203"/>
      <c r="BC797" s="203"/>
      <c r="BD797" s="203"/>
      <c r="BE797" s="203"/>
      <c r="BF797" s="203"/>
    </row>
    <row r="798" spans="1:58" s="15" customFormat="1" ht="14.1" customHeight="1">
      <c r="A798" s="247"/>
      <c r="B798" s="203"/>
      <c r="C798" s="203"/>
      <c r="D798" s="203"/>
      <c r="E798" s="203"/>
      <c r="F798" s="203"/>
      <c r="G798" s="203"/>
      <c r="H798" s="203"/>
      <c r="I798" s="203"/>
      <c r="J798" s="203"/>
      <c r="K798" s="203"/>
      <c r="L798" s="203"/>
      <c r="M798" s="203"/>
      <c r="N798" s="203"/>
      <c r="O798" s="203"/>
      <c r="P798" s="203"/>
      <c r="Q798" s="203"/>
      <c r="R798" s="203"/>
      <c r="S798" s="203"/>
      <c r="T798" s="203"/>
      <c r="U798" s="203"/>
      <c r="V798" s="203"/>
      <c r="W798" s="203"/>
      <c r="X798" s="203"/>
      <c r="Y798" s="203"/>
      <c r="Z798" s="203"/>
      <c r="AA798" s="203"/>
      <c r="AB798" s="203"/>
      <c r="AC798" s="203"/>
      <c r="AD798" s="203"/>
      <c r="AE798" s="203"/>
      <c r="AF798" s="203"/>
      <c r="AG798" s="203"/>
      <c r="AH798" s="203"/>
      <c r="AI798" s="203"/>
      <c r="AJ798" s="203"/>
      <c r="AK798" s="203"/>
      <c r="AL798" s="203"/>
      <c r="AM798" s="203"/>
      <c r="AN798" s="203"/>
      <c r="AO798" s="203"/>
      <c r="AP798" s="203"/>
      <c r="AQ798" s="203"/>
      <c r="AR798" s="203"/>
      <c r="AS798" s="203"/>
      <c r="AT798" s="203"/>
      <c r="AU798" s="203"/>
      <c r="AV798" s="203"/>
      <c r="AW798" s="203"/>
      <c r="AX798" s="203"/>
      <c r="AY798" s="203"/>
      <c r="AZ798" s="203"/>
      <c r="BA798" s="203"/>
      <c r="BB798" s="203"/>
      <c r="BC798" s="203"/>
      <c r="BD798" s="203"/>
      <c r="BE798" s="203"/>
      <c r="BF798" s="203"/>
    </row>
    <row r="799" spans="1:58" s="15" customFormat="1" ht="14.1" customHeight="1">
      <c r="A799" s="247"/>
      <c r="B799" s="203"/>
      <c r="C799" s="203"/>
      <c r="D799" s="203"/>
      <c r="E799" s="203"/>
      <c r="F799" s="203"/>
      <c r="G799" s="203"/>
      <c r="H799" s="203"/>
      <c r="I799" s="203"/>
      <c r="J799" s="203"/>
      <c r="K799" s="203"/>
      <c r="L799" s="203"/>
      <c r="M799" s="203"/>
      <c r="N799" s="203"/>
      <c r="O799" s="203"/>
      <c r="P799" s="203"/>
      <c r="Q799" s="203"/>
      <c r="R799" s="203"/>
      <c r="S799" s="203"/>
      <c r="T799" s="203"/>
      <c r="U799" s="203"/>
      <c r="V799" s="203"/>
      <c r="W799" s="203"/>
      <c r="X799" s="203"/>
      <c r="Y799" s="203"/>
      <c r="Z799" s="203"/>
      <c r="AA799" s="203"/>
      <c r="AB799" s="203"/>
      <c r="AC799" s="203"/>
      <c r="AD799" s="203"/>
      <c r="AE799" s="203"/>
      <c r="AF799" s="203"/>
      <c r="AG799" s="203"/>
      <c r="AH799" s="203"/>
      <c r="AI799" s="203"/>
      <c r="AJ799" s="203"/>
      <c r="AK799" s="203"/>
      <c r="AL799" s="203"/>
      <c r="AM799" s="203"/>
      <c r="AN799" s="203"/>
      <c r="AO799" s="203"/>
      <c r="AP799" s="203"/>
      <c r="AQ799" s="203"/>
      <c r="AR799" s="203"/>
      <c r="AS799" s="203"/>
      <c r="AT799" s="203"/>
      <c r="AU799" s="203"/>
      <c r="AV799" s="203"/>
      <c r="AW799" s="203"/>
      <c r="AX799" s="203"/>
      <c r="AY799" s="203"/>
      <c r="AZ799" s="203"/>
      <c r="BA799" s="203"/>
      <c r="BB799" s="203"/>
      <c r="BC799" s="203"/>
      <c r="BD799" s="203"/>
      <c r="BE799" s="203"/>
      <c r="BF799" s="203"/>
    </row>
    <row r="800" spans="1:58" s="15" customFormat="1" ht="14.1" customHeight="1">
      <c r="A800" s="247"/>
      <c r="B800" s="203"/>
      <c r="C800" s="203"/>
      <c r="D800" s="203"/>
      <c r="E800" s="203"/>
      <c r="F800" s="203"/>
      <c r="G800" s="203"/>
      <c r="H800" s="203"/>
      <c r="I800" s="203"/>
      <c r="J800" s="203"/>
      <c r="K800" s="203"/>
      <c r="L800" s="203"/>
      <c r="M800" s="203"/>
      <c r="N800" s="203"/>
      <c r="O800" s="203"/>
      <c r="P800" s="203"/>
      <c r="Q800" s="203"/>
      <c r="R800" s="203"/>
      <c r="S800" s="203"/>
      <c r="T800" s="203"/>
      <c r="U800" s="203"/>
      <c r="V800" s="203"/>
      <c r="W800" s="203"/>
      <c r="X800" s="203"/>
      <c r="Y800" s="203"/>
      <c r="Z800" s="203"/>
      <c r="AA800" s="203"/>
      <c r="AB800" s="203"/>
      <c r="AC800" s="203"/>
      <c r="AD800" s="203"/>
      <c r="AE800" s="203"/>
      <c r="AF800" s="203"/>
      <c r="AG800" s="203"/>
      <c r="AH800" s="203"/>
      <c r="AI800" s="203"/>
      <c r="AJ800" s="203"/>
      <c r="AK800" s="203"/>
      <c r="AL800" s="203"/>
      <c r="AM800" s="203"/>
      <c r="AN800" s="203"/>
      <c r="AO800" s="203"/>
      <c r="AP800" s="203"/>
      <c r="AQ800" s="203"/>
      <c r="AR800" s="203"/>
      <c r="AS800" s="203"/>
      <c r="AT800" s="203"/>
      <c r="AU800" s="203"/>
      <c r="AV800" s="203"/>
      <c r="AW800" s="203"/>
      <c r="AX800" s="203"/>
      <c r="AY800" s="203"/>
      <c r="AZ800" s="203"/>
      <c r="BA800" s="203"/>
      <c r="BB800" s="203"/>
      <c r="BC800" s="203"/>
      <c r="BD800" s="203"/>
      <c r="BE800" s="203"/>
      <c r="BF800" s="203"/>
    </row>
    <row r="801" spans="1:58" s="15" customFormat="1" ht="14.1" customHeight="1">
      <c r="A801" s="247"/>
      <c r="B801" s="203"/>
      <c r="C801" s="203"/>
      <c r="D801" s="203"/>
      <c r="E801" s="203"/>
      <c r="F801" s="203"/>
      <c r="G801" s="203"/>
      <c r="H801" s="203"/>
      <c r="I801" s="203"/>
      <c r="J801" s="203"/>
      <c r="K801" s="203"/>
      <c r="L801" s="203"/>
      <c r="M801" s="203"/>
      <c r="N801" s="203"/>
      <c r="O801" s="203"/>
      <c r="P801" s="203"/>
      <c r="Q801" s="203"/>
      <c r="R801" s="203"/>
      <c r="S801" s="203"/>
      <c r="T801" s="203"/>
      <c r="U801" s="203"/>
      <c r="V801" s="203"/>
      <c r="W801" s="203"/>
      <c r="X801" s="203"/>
      <c r="Y801" s="203"/>
      <c r="Z801" s="203"/>
      <c r="AA801" s="203"/>
      <c r="AB801" s="203"/>
      <c r="AC801" s="203"/>
      <c r="AD801" s="203"/>
      <c r="AE801" s="203"/>
      <c r="AF801" s="203"/>
      <c r="AG801" s="203"/>
      <c r="AH801" s="203"/>
      <c r="AI801" s="203"/>
      <c r="AJ801" s="203"/>
      <c r="AK801" s="203"/>
      <c r="AL801" s="203"/>
      <c r="AM801" s="203"/>
      <c r="AN801" s="203"/>
      <c r="AO801" s="203"/>
      <c r="AP801" s="203"/>
      <c r="AQ801" s="203"/>
      <c r="AR801" s="203"/>
      <c r="AS801" s="203"/>
      <c r="AT801" s="203"/>
      <c r="AU801" s="203"/>
      <c r="AV801" s="203"/>
      <c r="AW801" s="203"/>
      <c r="AX801" s="203"/>
      <c r="AY801" s="203"/>
      <c r="AZ801" s="203"/>
      <c r="BA801" s="203"/>
      <c r="BB801" s="203"/>
      <c r="BC801" s="203"/>
      <c r="BD801" s="203"/>
      <c r="BE801" s="203"/>
      <c r="BF801" s="203"/>
    </row>
    <row r="802" spans="1:58" s="15" customFormat="1" ht="14.1" customHeight="1">
      <c r="A802" s="247"/>
      <c r="B802" s="203"/>
      <c r="C802" s="203"/>
      <c r="D802" s="203"/>
      <c r="E802" s="203"/>
      <c r="F802" s="203"/>
      <c r="G802" s="203"/>
      <c r="H802" s="203"/>
      <c r="I802" s="203"/>
      <c r="J802" s="203"/>
      <c r="K802" s="203"/>
      <c r="L802" s="203"/>
      <c r="M802" s="203"/>
      <c r="N802" s="203"/>
      <c r="O802" s="203"/>
      <c r="P802" s="203"/>
      <c r="Q802" s="203"/>
      <c r="R802" s="203"/>
      <c r="S802" s="203"/>
      <c r="T802" s="203"/>
      <c r="U802" s="203"/>
      <c r="V802" s="203"/>
      <c r="W802" s="203"/>
      <c r="X802" s="203"/>
      <c r="Y802" s="203"/>
      <c r="Z802" s="203"/>
      <c r="AA802" s="203"/>
      <c r="AB802" s="203"/>
      <c r="AC802" s="203"/>
      <c r="AD802" s="203"/>
      <c r="AE802" s="203"/>
      <c r="AF802" s="203"/>
      <c r="AG802" s="203"/>
      <c r="AH802" s="203"/>
      <c r="AI802" s="203"/>
      <c r="AJ802" s="203"/>
      <c r="AK802" s="203"/>
      <c r="AL802" s="203"/>
      <c r="AM802" s="203"/>
      <c r="AN802" s="203"/>
      <c r="AO802" s="203"/>
      <c r="AP802" s="203"/>
      <c r="AQ802" s="203"/>
      <c r="AR802" s="203"/>
      <c r="AS802" s="203"/>
      <c r="AT802" s="203"/>
      <c r="AU802" s="203"/>
      <c r="AV802" s="203"/>
      <c r="AW802" s="203"/>
      <c r="AX802" s="203"/>
      <c r="AY802" s="203"/>
      <c r="AZ802" s="203"/>
      <c r="BA802" s="203"/>
      <c r="BB802" s="203"/>
      <c r="BC802" s="203"/>
      <c r="BD802" s="203"/>
      <c r="BE802" s="203"/>
      <c r="BF802" s="203"/>
    </row>
    <row r="803" spans="1:58" s="15" customFormat="1" ht="14.1" customHeight="1">
      <c r="A803" s="247"/>
      <c r="B803" s="203"/>
      <c r="C803" s="203"/>
      <c r="D803" s="203"/>
      <c r="E803" s="203"/>
      <c r="F803" s="203"/>
      <c r="G803" s="203"/>
      <c r="H803" s="203"/>
      <c r="I803" s="203"/>
      <c r="J803" s="203"/>
      <c r="K803" s="203"/>
      <c r="L803" s="203"/>
      <c r="M803" s="203"/>
      <c r="N803" s="203"/>
      <c r="O803" s="203"/>
      <c r="P803" s="203"/>
      <c r="Q803" s="203"/>
      <c r="R803" s="203"/>
      <c r="S803" s="203"/>
      <c r="T803" s="203"/>
      <c r="U803" s="203"/>
      <c r="V803" s="203"/>
      <c r="W803" s="203"/>
      <c r="X803" s="203"/>
      <c r="Y803" s="203"/>
      <c r="Z803" s="203"/>
      <c r="AA803" s="203"/>
      <c r="AB803" s="203"/>
      <c r="AC803" s="203"/>
      <c r="AD803" s="203"/>
      <c r="AE803" s="203"/>
      <c r="AF803" s="203"/>
      <c r="AG803" s="203"/>
      <c r="AH803" s="203"/>
      <c r="AI803" s="203"/>
      <c r="AJ803" s="203"/>
      <c r="AK803" s="203"/>
      <c r="AL803" s="203"/>
      <c r="AM803" s="203"/>
      <c r="AN803" s="203"/>
      <c r="AO803" s="203"/>
      <c r="AP803" s="203"/>
      <c r="AQ803" s="203"/>
      <c r="AR803" s="203"/>
      <c r="AS803" s="203"/>
      <c r="AT803" s="203"/>
      <c r="AU803" s="203"/>
      <c r="AV803" s="203"/>
      <c r="AW803" s="203"/>
      <c r="AX803" s="203"/>
      <c r="AY803" s="203"/>
      <c r="AZ803" s="203"/>
      <c r="BA803" s="203"/>
      <c r="BB803" s="203"/>
      <c r="BC803" s="203"/>
      <c r="BD803" s="203"/>
      <c r="BE803" s="203"/>
      <c r="BF803" s="203"/>
    </row>
    <row r="804" spans="1:58" s="15" customFormat="1" ht="14.1" customHeight="1">
      <c r="A804" s="247"/>
      <c r="B804" s="203"/>
      <c r="C804" s="203"/>
      <c r="D804" s="203"/>
      <c r="E804" s="203"/>
      <c r="F804" s="203"/>
      <c r="G804" s="203"/>
      <c r="H804" s="203"/>
      <c r="I804" s="203"/>
      <c r="J804" s="203"/>
      <c r="K804" s="203"/>
      <c r="L804" s="203"/>
      <c r="M804" s="203"/>
      <c r="N804" s="203"/>
      <c r="O804" s="203"/>
      <c r="P804" s="203"/>
      <c r="Q804" s="203"/>
      <c r="R804" s="203"/>
      <c r="S804" s="203"/>
      <c r="T804" s="203"/>
      <c r="U804" s="203"/>
      <c r="V804" s="203"/>
      <c r="W804" s="203"/>
      <c r="X804" s="203"/>
      <c r="Y804" s="203"/>
      <c r="Z804" s="203"/>
      <c r="AA804" s="203"/>
      <c r="AB804" s="203"/>
      <c r="AC804" s="203"/>
      <c r="AD804" s="203"/>
      <c r="AE804" s="203"/>
      <c r="AF804" s="203"/>
      <c r="AG804" s="203"/>
      <c r="AH804" s="203"/>
      <c r="AI804" s="203"/>
      <c r="AJ804" s="203"/>
      <c r="AK804" s="203"/>
      <c r="AL804" s="203"/>
      <c r="AM804" s="203"/>
      <c r="AN804" s="203"/>
      <c r="AO804" s="203"/>
      <c r="AP804" s="203"/>
      <c r="AQ804" s="203"/>
      <c r="AR804" s="203"/>
      <c r="AS804" s="203"/>
      <c r="AT804" s="203"/>
      <c r="AU804" s="203"/>
      <c r="AV804" s="203"/>
      <c r="AW804" s="203"/>
      <c r="AX804" s="203"/>
      <c r="AY804" s="203"/>
      <c r="AZ804" s="203"/>
      <c r="BA804" s="203"/>
      <c r="BB804" s="203"/>
      <c r="BC804" s="203"/>
      <c r="BD804" s="203"/>
      <c r="BE804" s="203"/>
      <c r="BF804" s="203"/>
    </row>
    <row r="805" spans="1:58" s="15" customFormat="1" ht="14.1" customHeight="1">
      <c r="A805" s="247"/>
      <c r="B805" s="203"/>
      <c r="C805" s="203"/>
      <c r="D805" s="203"/>
      <c r="E805" s="203"/>
      <c r="F805" s="203"/>
      <c r="G805" s="203"/>
      <c r="H805" s="203"/>
      <c r="I805" s="203"/>
      <c r="J805" s="203"/>
      <c r="K805" s="203"/>
      <c r="L805" s="203"/>
      <c r="M805" s="203"/>
      <c r="N805" s="203"/>
      <c r="O805" s="203"/>
      <c r="P805" s="203"/>
      <c r="Q805" s="203"/>
      <c r="R805" s="203"/>
      <c r="S805" s="203"/>
      <c r="T805" s="203"/>
      <c r="U805" s="203"/>
      <c r="V805" s="203"/>
      <c r="W805" s="203"/>
      <c r="X805" s="203"/>
      <c r="Y805" s="203"/>
      <c r="Z805" s="203"/>
      <c r="AA805" s="203"/>
      <c r="AB805" s="203"/>
      <c r="AC805" s="203"/>
      <c r="AD805" s="203"/>
      <c r="AE805" s="203"/>
      <c r="AF805" s="203"/>
      <c r="AG805" s="203"/>
      <c r="AH805" s="203"/>
      <c r="AI805" s="203"/>
      <c r="AJ805" s="203"/>
      <c r="AK805" s="203"/>
      <c r="AL805" s="203"/>
      <c r="AM805" s="203"/>
      <c r="AN805" s="203"/>
      <c r="AO805" s="203"/>
      <c r="AP805" s="203"/>
      <c r="AQ805" s="203"/>
      <c r="AR805" s="203"/>
      <c r="AS805" s="203"/>
      <c r="AT805" s="203"/>
      <c r="AU805" s="203"/>
      <c r="AV805" s="203"/>
      <c r="AW805" s="203"/>
      <c r="AX805" s="203"/>
      <c r="AY805" s="203"/>
      <c r="AZ805" s="203"/>
      <c r="BA805" s="203"/>
      <c r="BB805" s="203"/>
      <c r="BC805" s="203"/>
      <c r="BD805" s="203"/>
      <c r="BE805" s="203"/>
      <c r="BF805" s="203"/>
    </row>
    <row r="806" spans="1:58" s="15" customFormat="1" ht="14.1" customHeight="1">
      <c r="A806" s="247"/>
      <c r="B806" s="203"/>
      <c r="C806" s="203"/>
      <c r="D806" s="203"/>
      <c r="E806" s="203"/>
      <c r="F806" s="203"/>
      <c r="G806" s="203"/>
      <c r="H806" s="203"/>
      <c r="I806" s="203"/>
      <c r="J806" s="203"/>
      <c r="K806" s="203"/>
      <c r="L806" s="203"/>
      <c r="M806" s="203"/>
      <c r="N806" s="203"/>
      <c r="O806" s="203"/>
      <c r="P806" s="203"/>
      <c r="Q806" s="203"/>
      <c r="R806" s="203"/>
      <c r="S806" s="203"/>
      <c r="T806" s="203"/>
      <c r="U806" s="203"/>
      <c r="V806" s="203"/>
      <c r="W806" s="203"/>
      <c r="X806" s="203"/>
      <c r="Y806" s="203"/>
      <c r="Z806" s="203"/>
      <c r="AA806" s="203"/>
      <c r="AB806" s="203"/>
      <c r="AC806" s="203"/>
      <c r="AD806" s="203"/>
      <c r="AE806" s="203"/>
      <c r="AF806" s="203"/>
      <c r="AG806" s="203"/>
      <c r="AH806" s="203"/>
      <c r="AI806" s="203"/>
      <c r="AJ806" s="203"/>
      <c r="AK806" s="203"/>
      <c r="AL806" s="203"/>
      <c r="AM806" s="203"/>
      <c r="AN806" s="203"/>
      <c r="AO806" s="203"/>
      <c r="AP806" s="203"/>
      <c r="AQ806" s="203"/>
      <c r="AR806" s="203"/>
      <c r="AS806" s="203"/>
      <c r="AT806" s="203"/>
      <c r="AU806" s="203"/>
      <c r="AV806" s="203"/>
      <c r="AW806" s="203"/>
      <c r="AX806" s="203"/>
      <c r="AY806" s="203"/>
      <c r="AZ806" s="203"/>
      <c r="BA806" s="203"/>
      <c r="BB806" s="203"/>
      <c r="BC806" s="203"/>
      <c r="BD806" s="203"/>
      <c r="BE806" s="203"/>
      <c r="BF806" s="203"/>
    </row>
    <row r="807" spans="1:58" s="15" customFormat="1" ht="14.1" customHeight="1">
      <c r="A807" s="247"/>
      <c r="B807" s="203"/>
      <c r="C807" s="203"/>
      <c r="D807" s="203"/>
      <c r="E807" s="203"/>
      <c r="F807" s="203"/>
      <c r="G807" s="203"/>
      <c r="H807" s="203"/>
      <c r="I807" s="203"/>
      <c r="J807" s="203"/>
      <c r="K807" s="203"/>
      <c r="L807" s="203"/>
      <c r="M807" s="203"/>
      <c r="N807" s="203"/>
      <c r="O807" s="203"/>
      <c r="P807" s="203"/>
      <c r="Q807" s="203"/>
      <c r="R807" s="203"/>
      <c r="S807" s="203"/>
      <c r="T807" s="203"/>
      <c r="U807" s="203"/>
      <c r="V807" s="203"/>
      <c r="W807" s="203"/>
      <c r="X807" s="203"/>
      <c r="Y807" s="203"/>
      <c r="Z807" s="203"/>
      <c r="AA807" s="203"/>
      <c r="AB807" s="203"/>
      <c r="AC807" s="203"/>
      <c r="AD807" s="203"/>
      <c r="AE807" s="203"/>
      <c r="AF807" s="203"/>
      <c r="AG807" s="203"/>
      <c r="AH807" s="203"/>
      <c r="AI807" s="203"/>
      <c r="AJ807" s="203"/>
      <c r="AK807" s="203"/>
      <c r="AL807" s="203"/>
      <c r="AM807" s="203"/>
      <c r="AN807" s="203"/>
      <c r="AO807" s="203"/>
      <c r="AP807" s="203"/>
      <c r="AQ807" s="203"/>
      <c r="AR807" s="203"/>
      <c r="AS807" s="203"/>
      <c r="AT807" s="203"/>
      <c r="AU807" s="203"/>
      <c r="AV807" s="203"/>
      <c r="AW807" s="203"/>
      <c r="AX807" s="203"/>
      <c r="AY807" s="203"/>
      <c r="AZ807" s="203"/>
      <c r="BA807" s="203"/>
      <c r="BB807" s="203"/>
      <c r="BC807" s="203"/>
      <c r="BD807" s="203"/>
      <c r="BE807" s="203"/>
      <c r="BF807" s="203"/>
    </row>
    <row r="808" spans="1:58" s="15" customFormat="1" ht="14.1" customHeight="1">
      <c r="A808" s="247"/>
      <c r="B808" s="203"/>
      <c r="C808" s="203"/>
      <c r="D808" s="203"/>
      <c r="E808" s="203"/>
      <c r="F808" s="203"/>
      <c r="G808" s="203"/>
      <c r="H808" s="203"/>
      <c r="I808" s="203"/>
      <c r="J808" s="203"/>
      <c r="K808" s="203"/>
      <c r="L808" s="203"/>
      <c r="M808" s="203"/>
      <c r="N808" s="203"/>
      <c r="O808" s="203"/>
      <c r="P808" s="203"/>
      <c r="Q808" s="203"/>
      <c r="R808" s="203"/>
      <c r="S808" s="203"/>
      <c r="T808" s="203"/>
      <c r="U808" s="203"/>
      <c r="V808" s="203"/>
      <c r="W808" s="203"/>
      <c r="X808" s="203"/>
      <c r="Y808" s="203"/>
      <c r="Z808" s="203"/>
      <c r="AA808" s="203"/>
      <c r="AB808" s="203"/>
      <c r="AC808" s="203"/>
      <c r="AD808" s="203"/>
      <c r="AE808" s="203"/>
      <c r="AF808" s="203"/>
      <c r="AG808" s="203"/>
      <c r="AH808" s="203"/>
      <c r="AI808" s="203"/>
      <c r="AJ808" s="203"/>
      <c r="AK808" s="203"/>
      <c r="AL808" s="203"/>
      <c r="AM808" s="203"/>
      <c r="AN808" s="203"/>
      <c r="AO808" s="203"/>
      <c r="AP808" s="203"/>
      <c r="AQ808" s="203"/>
      <c r="AR808" s="203"/>
      <c r="AS808" s="203"/>
      <c r="AT808" s="203"/>
      <c r="AU808" s="203"/>
      <c r="AV808" s="203"/>
      <c r="AW808" s="203"/>
      <c r="AX808" s="203"/>
      <c r="AY808" s="203"/>
      <c r="AZ808" s="203"/>
      <c r="BA808" s="203"/>
      <c r="BB808" s="203"/>
      <c r="BC808" s="203"/>
      <c r="BD808" s="203"/>
      <c r="BE808" s="203"/>
      <c r="BF808" s="203"/>
    </row>
    <row r="809" spans="1:58" s="15" customFormat="1" ht="14.1" customHeight="1">
      <c r="A809" s="247"/>
      <c r="B809" s="203"/>
      <c r="C809" s="203"/>
      <c r="D809" s="203"/>
      <c r="E809" s="203"/>
      <c r="F809" s="203"/>
      <c r="G809" s="203"/>
      <c r="H809" s="203"/>
      <c r="I809" s="203"/>
      <c r="J809" s="203"/>
      <c r="K809" s="203"/>
      <c r="L809" s="203"/>
      <c r="M809" s="203"/>
      <c r="N809" s="203"/>
      <c r="O809" s="203"/>
      <c r="P809" s="203"/>
      <c r="Q809" s="203"/>
      <c r="R809" s="203"/>
      <c r="S809" s="203"/>
      <c r="T809" s="203"/>
      <c r="U809" s="203"/>
      <c r="V809" s="203"/>
      <c r="W809" s="203"/>
      <c r="X809" s="203"/>
      <c r="Y809" s="203"/>
      <c r="Z809" s="203"/>
      <c r="AA809" s="203"/>
      <c r="AB809" s="203"/>
      <c r="AC809" s="203"/>
      <c r="AD809" s="203"/>
      <c r="AE809" s="203"/>
      <c r="AF809" s="203"/>
      <c r="AG809" s="203"/>
      <c r="AH809" s="203"/>
      <c r="AI809" s="203"/>
      <c r="AJ809" s="203"/>
      <c r="AK809" s="203"/>
      <c r="AL809" s="203"/>
      <c r="AM809" s="203"/>
      <c r="AN809" s="203"/>
      <c r="AO809" s="203"/>
      <c r="AP809" s="203"/>
      <c r="AQ809" s="203"/>
      <c r="AR809" s="203"/>
      <c r="AS809" s="203"/>
      <c r="AT809" s="203"/>
      <c r="AU809" s="203"/>
      <c r="AV809" s="203"/>
      <c r="AW809" s="203"/>
      <c r="AX809" s="203"/>
      <c r="AY809" s="203"/>
      <c r="AZ809" s="203"/>
      <c r="BA809" s="203"/>
      <c r="BB809" s="203"/>
      <c r="BC809" s="203"/>
      <c r="BD809" s="203"/>
      <c r="BE809" s="203"/>
      <c r="BF809" s="203"/>
    </row>
    <row r="810" spans="1:58" s="15" customFormat="1" ht="14.1" customHeight="1">
      <c r="A810" s="247"/>
      <c r="B810" s="203"/>
      <c r="C810" s="203"/>
      <c r="D810" s="203"/>
      <c r="E810" s="203"/>
      <c r="F810" s="203"/>
      <c r="G810" s="203"/>
      <c r="H810" s="203"/>
      <c r="I810" s="203"/>
      <c r="J810" s="203"/>
      <c r="K810" s="203"/>
      <c r="L810" s="203"/>
      <c r="M810" s="203"/>
      <c r="N810" s="203"/>
      <c r="O810" s="203"/>
      <c r="P810" s="203"/>
      <c r="Q810" s="203"/>
      <c r="R810" s="203"/>
      <c r="S810" s="203"/>
      <c r="T810" s="203"/>
      <c r="U810" s="203"/>
      <c r="V810" s="203"/>
      <c r="W810" s="203"/>
      <c r="X810" s="203"/>
      <c r="Y810" s="203"/>
      <c r="Z810" s="203"/>
      <c r="AA810" s="203"/>
      <c r="AB810" s="203"/>
      <c r="AC810" s="203"/>
      <c r="AD810" s="203"/>
      <c r="AE810" s="203"/>
      <c r="AF810" s="203"/>
      <c r="AG810" s="203"/>
      <c r="AH810" s="203"/>
      <c r="AI810" s="203"/>
      <c r="AJ810" s="203"/>
      <c r="AK810" s="203"/>
      <c r="AL810" s="203"/>
      <c r="AM810" s="203"/>
      <c r="AN810" s="203"/>
      <c r="AO810" s="203"/>
      <c r="AP810" s="203"/>
      <c r="AQ810" s="203"/>
      <c r="AR810" s="203"/>
      <c r="AS810" s="203"/>
      <c r="AT810" s="203"/>
      <c r="AU810" s="203"/>
      <c r="AV810" s="203"/>
      <c r="AW810" s="203"/>
      <c r="AX810" s="203"/>
      <c r="AY810" s="203"/>
      <c r="AZ810" s="203"/>
      <c r="BA810" s="203"/>
      <c r="BB810" s="203"/>
      <c r="BC810" s="203"/>
      <c r="BD810" s="203"/>
      <c r="BE810" s="203"/>
      <c r="BF810" s="203"/>
    </row>
    <row r="811" spans="1:58" s="15" customFormat="1" ht="14.1" customHeight="1">
      <c r="A811" s="247"/>
      <c r="B811" s="203"/>
      <c r="C811" s="203"/>
      <c r="D811" s="203"/>
      <c r="E811" s="203"/>
      <c r="F811" s="203"/>
      <c r="G811" s="203"/>
      <c r="H811" s="203"/>
      <c r="I811" s="203"/>
      <c r="J811" s="203"/>
      <c r="K811" s="203"/>
      <c r="L811" s="203"/>
      <c r="M811" s="203"/>
      <c r="N811" s="203"/>
      <c r="O811" s="203"/>
      <c r="P811" s="203"/>
      <c r="Q811" s="203"/>
      <c r="R811" s="203"/>
      <c r="S811" s="203"/>
      <c r="T811" s="203"/>
      <c r="U811" s="203"/>
      <c r="V811" s="203"/>
      <c r="W811" s="203"/>
      <c r="X811" s="203"/>
      <c r="Y811" s="203"/>
      <c r="Z811" s="203"/>
      <c r="AA811" s="203"/>
      <c r="AB811" s="203"/>
      <c r="AC811" s="203"/>
      <c r="AD811" s="203"/>
      <c r="AE811" s="203"/>
      <c r="AF811" s="203"/>
      <c r="AG811" s="203"/>
      <c r="AH811" s="203"/>
      <c r="AI811" s="203"/>
      <c r="AJ811" s="203"/>
      <c r="AK811" s="203"/>
      <c r="AL811" s="203"/>
      <c r="AM811" s="203"/>
      <c r="AN811" s="203"/>
      <c r="AO811" s="203"/>
      <c r="AP811" s="203"/>
      <c r="AQ811" s="203"/>
      <c r="AR811" s="203"/>
      <c r="AS811" s="203"/>
      <c r="AT811" s="203"/>
      <c r="AU811" s="203"/>
      <c r="AV811" s="203"/>
      <c r="AW811" s="203"/>
      <c r="AX811" s="203"/>
      <c r="AY811" s="203"/>
      <c r="AZ811" s="203"/>
      <c r="BA811" s="203"/>
      <c r="BB811" s="203"/>
      <c r="BC811" s="203"/>
      <c r="BD811" s="203"/>
      <c r="BE811" s="203"/>
      <c r="BF811" s="203"/>
    </row>
    <row r="812" spans="1:58" s="15" customFormat="1" ht="14.1" customHeight="1">
      <c r="A812" s="247"/>
      <c r="B812" s="203"/>
      <c r="C812" s="203"/>
      <c r="D812" s="203"/>
      <c r="E812" s="203"/>
      <c r="F812" s="203"/>
      <c r="G812" s="203"/>
      <c r="H812" s="203"/>
      <c r="I812" s="203"/>
      <c r="J812" s="203"/>
      <c r="K812" s="203"/>
      <c r="L812" s="203"/>
      <c r="M812" s="203"/>
      <c r="N812" s="203"/>
      <c r="O812" s="203"/>
      <c r="P812" s="203"/>
      <c r="Q812" s="203"/>
      <c r="R812" s="203"/>
      <c r="S812" s="203"/>
      <c r="T812" s="203"/>
      <c r="U812" s="203"/>
      <c r="V812" s="203"/>
      <c r="W812" s="203"/>
      <c r="X812" s="203"/>
      <c r="Y812" s="203"/>
      <c r="Z812" s="203"/>
      <c r="AA812" s="203"/>
      <c r="AB812" s="203"/>
      <c r="AC812" s="203"/>
      <c r="AD812" s="203"/>
      <c r="AE812" s="203"/>
      <c r="AF812" s="203"/>
      <c r="AG812" s="203"/>
      <c r="AH812" s="203"/>
      <c r="AI812" s="203"/>
      <c r="AJ812" s="203"/>
      <c r="AK812" s="203"/>
      <c r="AL812" s="203"/>
      <c r="AM812" s="203"/>
      <c r="AN812" s="203"/>
      <c r="AO812" s="203"/>
      <c r="AP812" s="203"/>
      <c r="AQ812" s="203"/>
      <c r="AR812" s="203"/>
      <c r="AS812" s="203"/>
      <c r="AT812" s="203"/>
      <c r="AU812" s="203"/>
      <c r="AV812" s="203"/>
      <c r="AW812" s="203"/>
      <c r="AX812" s="203"/>
      <c r="AY812" s="203"/>
      <c r="AZ812" s="203"/>
      <c r="BA812" s="203"/>
      <c r="BB812" s="203"/>
      <c r="BC812" s="203"/>
      <c r="BD812" s="203"/>
      <c r="BE812" s="203"/>
      <c r="BF812" s="203"/>
    </row>
    <row r="813" spans="1:58" s="15" customFormat="1" ht="14.1" customHeight="1">
      <c r="A813" s="247"/>
      <c r="B813" s="203"/>
      <c r="C813" s="203"/>
      <c r="D813" s="203"/>
      <c r="E813" s="203"/>
      <c r="F813" s="203"/>
      <c r="G813" s="203"/>
      <c r="H813" s="203"/>
      <c r="I813" s="203"/>
      <c r="J813" s="203"/>
      <c r="K813" s="203"/>
      <c r="L813" s="203"/>
      <c r="M813" s="203"/>
      <c r="N813" s="203"/>
      <c r="O813" s="203"/>
      <c r="P813" s="203"/>
      <c r="Q813" s="203"/>
      <c r="R813" s="203"/>
      <c r="S813" s="203"/>
      <c r="T813" s="203"/>
      <c r="U813" s="203"/>
      <c r="V813" s="203"/>
      <c r="W813" s="203"/>
      <c r="X813" s="203"/>
      <c r="Y813" s="203"/>
      <c r="Z813" s="203"/>
      <c r="AA813" s="203"/>
      <c r="AB813" s="203"/>
      <c r="AC813" s="203"/>
      <c r="AD813" s="203"/>
      <c r="AE813" s="203"/>
      <c r="AF813" s="203"/>
      <c r="AG813" s="203"/>
      <c r="AH813" s="203"/>
      <c r="AI813" s="203"/>
      <c r="AJ813" s="203"/>
      <c r="AK813" s="203"/>
      <c r="AL813" s="203"/>
      <c r="AM813" s="203"/>
      <c r="AN813" s="203"/>
      <c r="AO813" s="203"/>
      <c r="AP813" s="203"/>
      <c r="AQ813" s="203"/>
      <c r="AR813" s="203"/>
      <c r="AS813" s="203"/>
      <c r="AT813" s="203"/>
      <c r="AU813" s="203"/>
      <c r="AV813" s="203"/>
      <c r="AW813" s="203"/>
      <c r="AX813" s="203"/>
      <c r="AY813" s="203"/>
      <c r="AZ813" s="203"/>
      <c r="BA813" s="203"/>
      <c r="BB813" s="203"/>
      <c r="BC813" s="203"/>
      <c r="BD813" s="203"/>
      <c r="BE813" s="203"/>
      <c r="BF813" s="203"/>
    </row>
    <row r="814" spans="1:58" s="15" customFormat="1" ht="14.1" customHeight="1">
      <c r="A814" s="247"/>
      <c r="B814" s="203"/>
      <c r="C814" s="203"/>
      <c r="D814" s="203"/>
      <c r="E814" s="203"/>
      <c r="F814" s="203"/>
      <c r="G814" s="203"/>
      <c r="H814" s="203"/>
      <c r="I814" s="203"/>
      <c r="J814" s="203"/>
      <c r="K814" s="203"/>
      <c r="L814" s="203"/>
      <c r="M814" s="203"/>
      <c r="N814" s="203"/>
      <c r="O814" s="203"/>
      <c r="P814" s="203"/>
      <c r="Q814" s="203"/>
      <c r="R814" s="203"/>
      <c r="S814" s="203"/>
      <c r="T814" s="203"/>
      <c r="U814" s="203"/>
      <c r="V814" s="203"/>
      <c r="W814" s="203"/>
      <c r="X814" s="203"/>
      <c r="Y814" s="203"/>
      <c r="Z814" s="203"/>
      <c r="AA814" s="203"/>
      <c r="AB814" s="203"/>
      <c r="AC814" s="203"/>
      <c r="AD814" s="203"/>
      <c r="AE814" s="203"/>
      <c r="AF814" s="203"/>
      <c r="AG814" s="203"/>
      <c r="AH814" s="203"/>
      <c r="AI814" s="203"/>
      <c r="AJ814" s="203"/>
      <c r="AK814" s="203"/>
      <c r="AL814" s="203"/>
      <c r="AM814" s="203"/>
      <c r="AN814" s="203"/>
      <c r="AO814" s="203"/>
      <c r="AP814" s="203"/>
      <c r="AQ814" s="203"/>
      <c r="AR814" s="203"/>
      <c r="AS814" s="203"/>
      <c r="AT814" s="203"/>
      <c r="AU814" s="203"/>
      <c r="AV814" s="203"/>
      <c r="AW814" s="203"/>
      <c r="AX814" s="203"/>
      <c r="AY814" s="203"/>
      <c r="AZ814" s="203"/>
      <c r="BA814" s="203"/>
      <c r="BB814" s="203"/>
      <c r="BC814" s="203"/>
      <c r="BD814" s="203"/>
      <c r="BE814" s="203"/>
      <c r="BF814" s="203"/>
    </row>
    <row r="815" spans="1:58" s="15" customFormat="1" ht="14.1" customHeight="1">
      <c r="A815" s="247"/>
      <c r="B815" s="203"/>
      <c r="C815" s="203"/>
      <c r="D815" s="203"/>
      <c r="E815" s="203"/>
      <c r="F815" s="203"/>
      <c r="G815" s="203"/>
      <c r="H815" s="203"/>
      <c r="I815" s="203"/>
      <c r="J815" s="203"/>
      <c r="K815" s="203"/>
      <c r="L815" s="203"/>
      <c r="M815" s="203"/>
      <c r="N815" s="203"/>
      <c r="O815" s="203"/>
      <c r="P815" s="203"/>
      <c r="Q815" s="203"/>
      <c r="R815" s="203"/>
      <c r="S815" s="203"/>
      <c r="T815" s="203"/>
      <c r="U815" s="203"/>
      <c r="V815" s="203"/>
      <c r="W815" s="203"/>
      <c r="X815" s="203"/>
      <c r="Y815" s="203"/>
      <c r="Z815" s="203"/>
      <c r="AA815" s="203"/>
      <c r="AB815" s="203"/>
      <c r="AC815" s="203"/>
      <c r="AD815" s="203"/>
      <c r="AE815" s="203"/>
      <c r="AF815" s="203"/>
      <c r="AG815" s="203"/>
      <c r="AH815" s="203"/>
      <c r="AI815" s="203"/>
      <c r="AJ815" s="203"/>
      <c r="AK815" s="203"/>
      <c r="AL815" s="203"/>
      <c r="AM815" s="203"/>
      <c r="AN815" s="203"/>
      <c r="AO815" s="203"/>
      <c r="AP815" s="203"/>
      <c r="AQ815" s="203"/>
      <c r="AR815" s="203"/>
      <c r="AS815" s="203"/>
      <c r="AT815" s="203"/>
      <c r="AU815" s="203"/>
      <c r="AV815" s="203"/>
      <c r="AW815" s="203"/>
      <c r="AX815" s="203"/>
      <c r="AY815" s="203"/>
      <c r="AZ815" s="203"/>
      <c r="BA815" s="203"/>
      <c r="BB815" s="203"/>
      <c r="BC815" s="203"/>
      <c r="BD815" s="203"/>
      <c r="BE815" s="203"/>
      <c r="BF815" s="203"/>
    </row>
    <row r="816" spans="1:58" s="15" customFormat="1" ht="14.1" customHeight="1">
      <c r="A816" s="247"/>
      <c r="B816" s="203"/>
      <c r="C816" s="203"/>
      <c r="D816" s="203"/>
      <c r="E816" s="203"/>
      <c r="F816" s="203"/>
      <c r="G816" s="203"/>
      <c r="H816" s="203"/>
      <c r="I816" s="203"/>
      <c r="J816" s="203"/>
      <c r="K816" s="203"/>
      <c r="L816" s="203"/>
      <c r="M816" s="203"/>
      <c r="N816" s="203"/>
      <c r="O816" s="203"/>
      <c r="P816" s="203"/>
      <c r="Q816" s="203"/>
      <c r="R816" s="203"/>
      <c r="S816" s="203"/>
      <c r="T816" s="203"/>
      <c r="U816" s="203"/>
      <c r="V816" s="203"/>
      <c r="W816" s="203"/>
      <c r="X816" s="203"/>
      <c r="Y816" s="203"/>
      <c r="Z816" s="203"/>
      <c r="AA816" s="203"/>
      <c r="AB816" s="203"/>
      <c r="AC816" s="203"/>
      <c r="AD816" s="203"/>
      <c r="AE816" s="203"/>
      <c r="AF816" s="203"/>
      <c r="AG816" s="203"/>
      <c r="AH816" s="203"/>
      <c r="AI816" s="203"/>
      <c r="AJ816" s="203"/>
      <c r="AK816" s="203"/>
      <c r="AL816" s="203"/>
      <c r="AM816" s="203"/>
      <c r="AN816" s="203"/>
      <c r="AO816" s="203"/>
      <c r="AP816" s="203"/>
      <c r="AQ816" s="203"/>
      <c r="AR816" s="203"/>
      <c r="AS816" s="203"/>
      <c r="AT816" s="203"/>
      <c r="AU816" s="203"/>
      <c r="AV816" s="203"/>
      <c r="AW816" s="203"/>
      <c r="AX816" s="203"/>
      <c r="AY816" s="203"/>
      <c r="AZ816" s="203"/>
      <c r="BA816" s="203"/>
      <c r="BB816" s="203"/>
      <c r="BC816" s="203"/>
      <c r="BD816" s="203"/>
      <c r="BE816" s="203"/>
      <c r="BF816" s="203"/>
    </row>
    <row r="817" spans="1:58" s="15" customFormat="1" ht="14.1" customHeight="1">
      <c r="A817" s="247"/>
      <c r="B817" s="203"/>
      <c r="C817" s="203"/>
      <c r="D817" s="203"/>
      <c r="E817" s="203"/>
      <c r="F817" s="203"/>
      <c r="G817" s="203"/>
      <c r="H817" s="203"/>
      <c r="I817" s="203"/>
      <c r="J817" s="203"/>
      <c r="K817" s="203"/>
      <c r="L817" s="203"/>
      <c r="M817" s="203"/>
      <c r="N817" s="203"/>
      <c r="O817" s="203"/>
      <c r="P817" s="203"/>
      <c r="Q817" s="203"/>
      <c r="R817" s="203"/>
      <c r="S817" s="203"/>
      <c r="T817" s="203"/>
      <c r="U817" s="203"/>
      <c r="V817" s="203"/>
      <c r="W817" s="203"/>
      <c r="X817" s="203"/>
      <c r="Y817" s="203"/>
      <c r="Z817" s="203"/>
      <c r="AA817" s="203"/>
      <c r="AB817" s="203"/>
      <c r="AC817" s="203"/>
      <c r="AD817" s="203"/>
      <c r="AE817" s="203"/>
      <c r="AF817" s="203"/>
      <c r="AG817" s="203"/>
      <c r="AH817" s="203"/>
      <c r="AI817" s="203"/>
      <c r="AJ817" s="203"/>
      <c r="AK817" s="203"/>
      <c r="AL817" s="203"/>
      <c r="AM817" s="203"/>
      <c r="AN817" s="203"/>
      <c r="AO817" s="203"/>
      <c r="AP817" s="203"/>
      <c r="AQ817" s="203"/>
      <c r="AR817" s="203"/>
      <c r="AS817" s="203"/>
      <c r="AT817" s="203"/>
      <c r="AU817" s="203"/>
      <c r="AV817" s="203"/>
      <c r="AW817" s="203"/>
      <c r="AX817" s="203"/>
      <c r="AY817" s="203"/>
      <c r="AZ817" s="203"/>
      <c r="BA817" s="203"/>
      <c r="BB817" s="203"/>
      <c r="BC817" s="203"/>
      <c r="BD817" s="203"/>
      <c r="BE817" s="203"/>
      <c r="BF817" s="203"/>
    </row>
    <row r="818" spans="1:58" s="15" customFormat="1" ht="14.1" customHeight="1">
      <c r="A818" s="247"/>
      <c r="B818" s="203"/>
      <c r="C818" s="203"/>
      <c r="D818" s="203"/>
      <c r="E818" s="203"/>
      <c r="F818" s="203"/>
      <c r="G818" s="203"/>
      <c r="H818" s="203"/>
      <c r="I818" s="203"/>
      <c r="J818" s="203"/>
      <c r="K818" s="203"/>
      <c r="L818" s="203"/>
      <c r="M818" s="203"/>
      <c r="N818" s="203"/>
      <c r="O818" s="203"/>
      <c r="P818" s="203"/>
      <c r="Q818" s="203"/>
      <c r="R818" s="203"/>
      <c r="S818" s="203"/>
      <c r="T818" s="203"/>
      <c r="U818" s="203"/>
      <c r="V818" s="203"/>
      <c r="W818" s="203"/>
      <c r="X818" s="203"/>
      <c r="Y818" s="203"/>
      <c r="Z818" s="203"/>
      <c r="AA818" s="203"/>
      <c r="AB818" s="203"/>
      <c r="AC818" s="203"/>
      <c r="AD818" s="203"/>
      <c r="AE818" s="203"/>
      <c r="AF818" s="203"/>
      <c r="AG818" s="203"/>
      <c r="AH818" s="203"/>
      <c r="AI818" s="203"/>
      <c r="AJ818" s="203"/>
      <c r="AK818" s="203"/>
      <c r="AL818" s="203"/>
      <c r="AM818" s="203"/>
      <c r="AN818" s="203"/>
      <c r="AO818" s="203"/>
      <c r="AP818" s="203"/>
      <c r="AQ818" s="203"/>
      <c r="AR818" s="203"/>
      <c r="AS818" s="203"/>
      <c r="AT818" s="203"/>
      <c r="AU818" s="203"/>
      <c r="AV818" s="203"/>
      <c r="AW818" s="203"/>
      <c r="AX818" s="203"/>
      <c r="AY818" s="203"/>
      <c r="AZ818" s="203"/>
      <c r="BA818" s="203"/>
      <c r="BB818" s="203"/>
      <c r="BC818" s="203"/>
      <c r="BD818" s="203"/>
      <c r="BE818" s="203"/>
      <c r="BF818" s="203"/>
    </row>
    <row r="819" spans="1:58" s="15" customFormat="1" ht="14.1" customHeight="1">
      <c r="A819" s="247"/>
      <c r="B819" s="203"/>
      <c r="C819" s="203"/>
      <c r="D819" s="203"/>
      <c r="E819" s="203"/>
      <c r="F819" s="203"/>
      <c r="G819" s="203"/>
      <c r="H819" s="203"/>
      <c r="I819" s="203"/>
      <c r="J819" s="203"/>
      <c r="K819" s="203"/>
      <c r="L819" s="203"/>
      <c r="M819" s="203"/>
      <c r="N819" s="203"/>
      <c r="O819" s="203"/>
      <c r="P819" s="203"/>
      <c r="Q819" s="203"/>
      <c r="R819" s="203"/>
      <c r="S819" s="203"/>
      <c r="T819" s="203"/>
      <c r="U819" s="203"/>
      <c r="V819" s="203"/>
      <c r="W819" s="203"/>
      <c r="X819" s="203"/>
      <c r="Y819" s="203"/>
      <c r="Z819" s="203"/>
      <c r="AA819" s="203"/>
      <c r="AB819" s="203"/>
      <c r="AC819" s="203"/>
      <c r="AD819" s="203"/>
      <c r="AE819" s="203"/>
      <c r="AF819" s="203"/>
      <c r="AG819" s="203"/>
      <c r="AH819" s="203"/>
      <c r="AI819" s="203"/>
      <c r="AJ819" s="203"/>
      <c r="AK819" s="203"/>
      <c r="AL819" s="203"/>
      <c r="AM819" s="203"/>
      <c r="AN819" s="203"/>
      <c r="AO819" s="203"/>
      <c r="AP819" s="203"/>
      <c r="AQ819" s="203"/>
      <c r="AR819" s="203"/>
      <c r="AS819" s="203"/>
      <c r="AT819" s="203"/>
      <c r="AU819" s="203"/>
      <c r="AV819" s="203"/>
      <c r="AW819" s="203"/>
      <c r="AX819" s="203"/>
      <c r="AY819" s="203"/>
      <c r="AZ819" s="203"/>
      <c r="BA819" s="203"/>
      <c r="BB819" s="203"/>
      <c r="BC819" s="203"/>
      <c r="BD819" s="203"/>
      <c r="BE819" s="203"/>
      <c r="BF819" s="203"/>
    </row>
    <row r="820" spans="1:58" s="15" customFormat="1" ht="14.1" customHeight="1">
      <c r="A820" s="247"/>
      <c r="B820" s="203"/>
      <c r="C820" s="203"/>
      <c r="D820" s="203"/>
      <c r="E820" s="203"/>
      <c r="F820" s="203"/>
      <c r="G820" s="203"/>
      <c r="H820" s="203"/>
      <c r="I820" s="203"/>
      <c r="J820" s="203"/>
      <c r="K820" s="203"/>
      <c r="L820" s="203"/>
      <c r="M820" s="203"/>
      <c r="N820" s="203"/>
      <c r="O820" s="203"/>
      <c r="P820" s="203"/>
      <c r="Q820" s="203"/>
      <c r="R820" s="203"/>
      <c r="S820" s="203"/>
      <c r="T820" s="203"/>
      <c r="U820" s="203"/>
      <c r="V820" s="203"/>
      <c r="W820" s="203"/>
      <c r="X820" s="203"/>
      <c r="Y820" s="203"/>
      <c r="Z820" s="203"/>
      <c r="AA820" s="203"/>
      <c r="AB820" s="203"/>
      <c r="AC820" s="203"/>
      <c r="AD820" s="203"/>
      <c r="AE820" s="203"/>
      <c r="AF820" s="203"/>
      <c r="AG820" s="203"/>
      <c r="AH820" s="203"/>
      <c r="AI820" s="203"/>
      <c r="AJ820" s="203"/>
      <c r="AK820" s="203"/>
      <c r="AL820" s="203"/>
      <c r="AM820" s="203"/>
      <c r="AN820" s="203"/>
      <c r="AO820" s="203"/>
      <c r="AP820" s="203"/>
      <c r="AQ820" s="203"/>
      <c r="AR820" s="203"/>
      <c r="AS820" s="203"/>
      <c r="AT820" s="203"/>
      <c r="AU820" s="203"/>
      <c r="AV820" s="203"/>
      <c r="AW820" s="203"/>
      <c r="AX820" s="203"/>
      <c r="AY820" s="203"/>
      <c r="AZ820" s="203"/>
      <c r="BA820" s="203"/>
      <c r="BB820" s="203"/>
      <c r="BC820" s="203"/>
      <c r="BD820" s="203"/>
      <c r="BE820" s="203"/>
      <c r="BF820" s="203"/>
    </row>
    <row r="821" spans="1:58" s="15" customFormat="1" ht="14.1" customHeight="1">
      <c r="A821" s="247"/>
      <c r="B821" s="203"/>
      <c r="C821" s="203"/>
      <c r="D821" s="203"/>
      <c r="E821" s="203"/>
      <c r="F821" s="203"/>
      <c r="G821" s="203"/>
      <c r="H821" s="203"/>
      <c r="I821" s="203"/>
      <c r="J821" s="203"/>
      <c r="K821" s="203"/>
      <c r="L821" s="203"/>
      <c r="M821" s="203"/>
      <c r="N821" s="203"/>
      <c r="O821" s="203"/>
      <c r="P821" s="203"/>
      <c r="Q821" s="203"/>
      <c r="R821" s="203"/>
      <c r="S821" s="203"/>
      <c r="T821" s="203"/>
      <c r="U821" s="203"/>
      <c r="V821" s="203"/>
      <c r="W821" s="203"/>
      <c r="X821" s="203"/>
      <c r="Y821" s="203"/>
      <c r="Z821" s="203"/>
      <c r="AA821" s="203"/>
      <c r="AB821" s="203"/>
      <c r="AC821" s="203"/>
      <c r="AD821" s="203"/>
      <c r="AE821" s="203"/>
      <c r="AF821" s="203"/>
      <c r="AG821" s="203"/>
      <c r="AH821" s="203"/>
      <c r="AI821" s="203"/>
      <c r="AJ821" s="203"/>
      <c r="AK821" s="203"/>
      <c r="AL821" s="203"/>
      <c r="AM821" s="203"/>
      <c r="AN821" s="203"/>
      <c r="AO821" s="203"/>
      <c r="AP821" s="203"/>
      <c r="AQ821" s="203"/>
      <c r="AR821" s="203"/>
      <c r="AS821" s="203"/>
      <c r="AT821" s="203"/>
      <c r="AU821" s="203"/>
      <c r="AV821" s="203"/>
      <c r="AW821" s="203"/>
      <c r="AX821" s="203"/>
      <c r="AY821" s="203"/>
      <c r="AZ821" s="203"/>
      <c r="BA821" s="203"/>
      <c r="BB821" s="203"/>
      <c r="BC821" s="203"/>
      <c r="BD821" s="203"/>
      <c r="BE821" s="203"/>
      <c r="BF821" s="203"/>
    </row>
    <row r="822" spans="1:58" s="15" customFormat="1" ht="14.1" customHeight="1">
      <c r="A822" s="247"/>
      <c r="B822" s="203"/>
      <c r="C822" s="203"/>
      <c r="D822" s="203"/>
      <c r="E822" s="203"/>
      <c r="F822" s="203"/>
      <c r="G822" s="203"/>
      <c r="H822" s="203"/>
      <c r="I822" s="203"/>
      <c r="J822" s="203"/>
      <c r="K822" s="203"/>
      <c r="L822" s="203"/>
      <c r="M822" s="203"/>
      <c r="N822" s="203"/>
      <c r="O822" s="203"/>
      <c r="P822" s="203"/>
      <c r="Q822" s="203"/>
      <c r="R822" s="203"/>
      <c r="S822" s="203"/>
      <c r="T822" s="203"/>
      <c r="U822" s="203"/>
      <c r="V822" s="203"/>
      <c r="W822" s="203"/>
      <c r="X822" s="203"/>
      <c r="Y822" s="203"/>
      <c r="Z822" s="203"/>
      <c r="AA822" s="203"/>
      <c r="AB822" s="203"/>
      <c r="AC822" s="203"/>
      <c r="AD822" s="203"/>
      <c r="AE822" s="203"/>
      <c r="AF822" s="203"/>
      <c r="AG822" s="203"/>
      <c r="AH822" s="203"/>
      <c r="AI822" s="203"/>
      <c r="AJ822" s="203"/>
      <c r="AK822" s="203"/>
      <c r="AL822" s="203"/>
      <c r="AM822" s="203"/>
      <c r="AN822" s="203"/>
      <c r="AO822" s="203"/>
      <c r="AP822" s="203"/>
      <c r="AQ822" s="203"/>
      <c r="AR822" s="203"/>
      <c r="AS822" s="203"/>
      <c r="AT822" s="203"/>
      <c r="AU822" s="203"/>
      <c r="AV822" s="203"/>
      <c r="AW822" s="203"/>
      <c r="AX822" s="203"/>
      <c r="AY822" s="203"/>
      <c r="AZ822" s="203"/>
      <c r="BA822" s="203"/>
      <c r="BB822" s="203"/>
      <c r="BC822" s="203"/>
      <c r="BD822" s="203"/>
      <c r="BE822" s="203"/>
      <c r="BF822" s="203"/>
    </row>
    <row r="823" spans="1:58" s="15" customFormat="1" ht="14.1" customHeight="1">
      <c r="A823" s="247"/>
      <c r="B823" s="203"/>
      <c r="C823" s="203"/>
      <c r="D823" s="203"/>
      <c r="E823" s="203"/>
      <c r="F823" s="203"/>
      <c r="G823" s="203"/>
      <c r="H823" s="203"/>
      <c r="I823" s="203"/>
      <c r="J823" s="203"/>
      <c r="K823" s="203"/>
      <c r="L823" s="203"/>
      <c r="M823" s="203"/>
      <c r="N823" s="203"/>
      <c r="O823" s="203"/>
      <c r="P823" s="203"/>
      <c r="Q823" s="203"/>
      <c r="R823" s="203"/>
      <c r="S823" s="203"/>
      <c r="T823" s="203"/>
      <c r="U823" s="203"/>
      <c r="V823" s="203"/>
      <c r="W823" s="203"/>
      <c r="X823" s="203"/>
      <c r="Y823" s="203"/>
      <c r="Z823" s="203"/>
      <c r="AA823" s="203"/>
      <c r="AB823" s="203"/>
      <c r="AC823" s="203"/>
      <c r="AD823" s="203"/>
      <c r="AE823" s="203"/>
      <c r="AF823" s="203"/>
      <c r="AG823" s="203"/>
      <c r="AH823" s="203"/>
      <c r="AI823" s="203"/>
      <c r="AJ823" s="203"/>
      <c r="AK823" s="203"/>
      <c r="AL823" s="203"/>
      <c r="AM823" s="203"/>
      <c r="AN823" s="203"/>
      <c r="AO823" s="203"/>
      <c r="AP823" s="203"/>
      <c r="AQ823" s="203"/>
      <c r="AR823" s="203"/>
      <c r="AS823" s="203"/>
      <c r="AT823" s="203"/>
      <c r="AU823" s="203"/>
      <c r="AV823" s="203"/>
      <c r="AW823" s="203"/>
      <c r="AX823" s="203"/>
      <c r="AY823" s="203"/>
      <c r="AZ823" s="203"/>
      <c r="BA823" s="203"/>
      <c r="BB823" s="203"/>
      <c r="BC823" s="203"/>
      <c r="BD823" s="203"/>
      <c r="BE823" s="203"/>
      <c r="BF823" s="203"/>
    </row>
    <row r="824" spans="1:58" s="15" customFormat="1" ht="14.1" customHeight="1">
      <c r="A824" s="247"/>
      <c r="B824" s="203"/>
      <c r="C824" s="203"/>
      <c r="D824" s="203"/>
      <c r="E824" s="203"/>
      <c r="F824" s="203"/>
      <c r="G824" s="203"/>
      <c r="H824" s="203"/>
      <c r="I824" s="203"/>
      <c r="J824" s="203"/>
      <c r="K824" s="203"/>
      <c r="L824" s="203"/>
      <c r="M824" s="203"/>
      <c r="N824" s="203"/>
      <c r="O824" s="203"/>
      <c r="P824" s="203"/>
      <c r="Q824" s="203"/>
      <c r="R824" s="203"/>
      <c r="S824" s="203"/>
      <c r="T824" s="203"/>
      <c r="U824" s="203"/>
      <c r="V824" s="203"/>
      <c r="W824" s="203"/>
      <c r="X824" s="203"/>
      <c r="Y824" s="203"/>
      <c r="Z824" s="203"/>
      <c r="AA824" s="203"/>
      <c r="AB824" s="203"/>
      <c r="AC824" s="203"/>
      <c r="AD824" s="203"/>
      <c r="AE824" s="203"/>
      <c r="AF824" s="203"/>
      <c r="AG824" s="203"/>
      <c r="AH824" s="203"/>
      <c r="AI824" s="203"/>
      <c r="AJ824" s="203"/>
      <c r="AK824" s="203"/>
      <c r="AL824" s="203"/>
      <c r="AM824" s="203"/>
      <c r="AN824" s="203"/>
      <c r="AO824" s="203"/>
      <c r="AP824" s="203"/>
      <c r="AQ824" s="203"/>
      <c r="AR824" s="203"/>
      <c r="AS824" s="203"/>
      <c r="AT824" s="203"/>
      <c r="AU824" s="203"/>
      <c r="AV824" s="203"/>
      <c r="AW824" s="203"/>
      <c r="AX824" s="203"/>
      <c r="AY824" s="203"/>
      <c r="AZ824" s="203"/>
      <c r="BA824" s="203"/>
      <c r="BB824" s="203"/>
      <c r="BC824" s="203"/>
      <c r="BD824" s="203"/>
      <c r="BE824" s="203"/>
      <c r="BF824" s="203"/>
    </row>
    <row r="825" spans="1:58" s="15" customFormat="1" ht="14.1" customHeight="1">
      <c r="A825" s="247"/>
      <c r="B825" s="203"/>
      <c r="C825" s="203"/>
      <c r="D825" s="203"/>
      <c r="E825" s="203"/>
      <c r="F825" s="203"/>
      <c r="G825" s="203"/>
      <c r="H825" s="203"/>
      <c r="I825" s="203"/>
      <c r="J825" s="203"/>
      <c r="K825" s="203"/>
      <c r="L825" s="203"/>
      <c r="M825" s="203"/>
      <c r="N825" s="203"/>
      <c r="O825" s="203"/>
      <c r="P825" s="203"/>
      <c r="Q825" s="203"/>
      <c r="R825" s="203"/>
      <c r="S825" s="203"/>
      <c r="T825" s="203"/>
      <c r="U825" s="203"/>
      <c r="V825" s="203"/>
      <c r="W825" s="203"/>
      <c r="X825" s="203"/>
      <c r="Y825" s="203"/>
      <c r="Z825" s="203"/>
      <c r="AA825" s="203"/>
      <c r="AB825" s="203"/>
      <c r="AC825" s="203"/>
      <c r="AD825" s="203"/>
      <c r="AE825" s="203"/>
      <c r="AF825" s="203"/>
      <c r="AG825" s="203"/>
      <c r="AH825" s="203"/>
      <c r="AI825" s="203"/>
      <c r="AJ825" s="203"/>
      <c r="AK825" s="203"/>
      <c r="AL825" s="203"/>
      <c r="AM825" s="203"/>
      <c r="AN825" s="203"/>
      <c r="AO825" s="203"/>
      <c r="AP825" s="203"/>
      <c r="AQ825" s="203"/>
      <c r="AR825" s="203"/>
      <c r="AS825" s="203"/>
      <c r="AT825" s="203"/>
      <c r="AU825" s="203"/>
      <c r="AV825" s="203"/>
      <c r="AW825" s="203"/>
      <c r="AX825" s="203"/>
      <c r="AY825" s="203"/>
      <c r="AZ825" s="203"/>
      <c r="BA825" s="203"/>
      <c r="BB825" s="203"/>
      <c r="BC825" s="203"/>
      <c r="BD825" s="203"/>
      <c r="BE825" s="203"/>
      <c r="BF825" s="203"/>
    </row>
    <row r="826" spans="1:58" s="15" customFormat="1" ht="14.1" customHeight="1">
      <c r="A826" s="247"/>
      <c r="B826" s="203"/>
      <c r="C826" s="203"/>
      <c r="D826" s="203"/>
      <c r="E826" s="203"/>
      <c r="F826" s="203"/>
      <c r="G826" s="203"/>
      <c r="H826" s="203"/>
      <c r="I826" s="203"/>
      <c r="J826" s="203"/>
      <c r="K826" s="203"/>
      <c r="L826" s="203"/>
      <c r="M826" s="203"/>
      <c r="N826" s="203"/>
      <c r="O826" s="203"/>
      <c r="P826" s="203"/>
      <c r="Q826" s="203"/>
      <c r="R826" s="203"/>
      <c r="S826" s="203"/>
      <c r="T826" s="203"/>
      <c r="U826" s="203"/>
      <c r="V826" s="203"/>
      <c r="W826" s="203"/>
      <c r="X826" s="203"/>
      <c r="Y826" s="203"/>
      <c r="Z826" s="203"/>
      <c r="AA826" s="203"/>
      <c r="AB826" s="203"/>
      <c r="AC826" s="203"/>
      <c r="AD826" s="203"/>
      <c r="AE826" s="203"/>
      <c r="AF826" s="203"/>
      <c r="AG826" s="203"/>
      <c r="AH826" s="203"/>
      <c r="AI826" s="203"/>
      <c r="AJ826" s="203"/>
      <c r="AK826" s="203"/>
      <c r="AL826" s="203"/>
      <c r="AM826" s="203"/>
      <c r="AN826" s="203"/>
      <c r="AO826" s="203"/>
      <c r="AP826" s="203"/>
      <c r="AQ826" s="203"/>
      <c r="AR826" s="203"/>
      <c r="AS826" s="203"/>
      <c r="AT826" s="203"/>
      <c r="AU826" s="203"/>
      <c r="AV826" s="203"/>
      <c r="AW826" s="203"/>
      <c r="AX826" s="203"/>
      <c r="AY826" s="203"/>
      <c r="AZ826" s="203"/>
      <c r="BA826" s="203"/>
      <c r="BB826" s="203"/>
      <c r="BC826" s="203"/>
      <c r="BD826" s="203"/>
      <c r="BE826" s="203"/>
      <c r="BF826" s="203"/>
    </row>
    <row r="827" spans="1:58" s="15" customFormat="1" ht="14.1" customHeight="1">
      <c r="A827" s="247"/>
      <c r="B827" s="203"/>
      <c r="C827" s="203"/>
      <c r="D827" s="203"/>
      <c r="E827" s="203"/>
      <c r="F827" s="203"/>
      <c r="G827" s="203"/>
      <c r="H827" s="203"/>
      <c r="I827" s="203"/>
      <c r="J827" s="203"/>
      <c r="K827" s="203"/>
      <c r="L827" s="203"/>
      <c r="M827" s="203"/>
      <c r="N827" s="203"/>
      <c r="O827" s="203"/>
      <c r="P827" s="203"/>
      <c r="Q827" s="203"/>
      <c r="R827" s="203"/>
      <c r="S827" s="203"/>
      <c r="T827" s="203"/>
      <c r="U827" s="203"/>
      <c r="V827" s="203"/>
      <c r="W827" s="203"/>
      <c r="X827" s="203"/>
      <c r="Y827" s="203"/>
      <c r="Z827" s="203"/>
      <c r="AA827" s="203"/>
      <c r="AB827" s="203"/>
      <c r="AC827" s="203"/>
      <c r="AD827" s="203"/>
      <c r="AE827" s="203"/>
      <c r="AF827" s="203"/>
      <c r="AG827" s="203"/>
      <c r="AH827" s="203"/>
      <c r="AI827" s="203"/>
      <c r="AJ827" s="203"/>
      <c r="AK827" s="203"/>
      <c r="AL827" s="203"/>
      <c r="AM827" s="203"/>
      <c r="AN827" s="203"/>
      <c r="AO827" s="203"/>
      <c r="AP827" s="203"/>
      <c r="AQ827" s="203"/>
      <c r="AR827" s="203"/>
      <c r="AS827" s="203"/>
      <c r="AT827" s="203"/>
      <c r="AU827" s="203"/>
      <c r="AV827" s="203"/>
      <c r="AW827" s="203"/>
      <c r="AX827" s="203"/>
      <c r="AY827" s="203"/>
      <c r="AZ827" s="203"/>
      <c r="BA827" s="203"/>
      <c r="BB827" s="203"/>
      <c r="BC827" s="203"/>
      <c r="BD827" s="203"/>
      <c r="BE827" s="203"/>
      <c r="BF827" s="203"/>
    </row>
    <row r="828" spans="1:58" s="15" customFormat="1" ht="14.1" customHeight="1">
      <c r="A828" s="247"/>
      <c r="B828" s="203"/>
      <c r="C828" s="203"/>
      <c r="D828" s="203"/>
      <c r="E828" s="203"/>
      <c r="F828" s="203"/>
      <c r="G828" s="203"/>
      <c r="H828" s="203"/>
      <c r="I828" s="203"/>
      <c r="J828" s="203"/>
      <c r="K828" s="203"/>
      <c r="L828" s="203"/>
      <c r="M828" s="203"/>
      <c r="N828" s="203"/>
      <c r="O828" s="203"/>
      <c r="P828" s="203"/>
      <c r="Q828" s="203"/>
      <c r="R828" s="203"/>
      <c r="S828" s="203"/>
      <c r="T828" s="203"/>
      <c r="U828" s="203"/>
      <c r="V828" s="203"/>
      <c r="W828" s="203"/>
      <c r="X828" s="203"/>
      <c r="Y828" s="203"/>
      <c r="Z828" s="203"/>
      <c r="AA828" s="203"/>
      <c r="AB828" s="203"/>
      <c r="AC828" s="203"/>
      <c r="AD828" s="203"/>
      <c r="AE828" s="203"/>
      <c r="AF828" s="203"/>
      <c r="AG828" s="203"/>
      <c r="AH828" s="203"/>
      <c r="AI828" s="203"/>
      <c r="AJ828" s="203"/>
      <c r="AK828" s="203"/>
      <c r="AL828" s="203"/>
      <c r="AM828" s="203"/>
      <c r="AN828" s="203"/>
      <c r="AO828" s="203"/>
      <c r="AP828" s="203"/>
      <c r="AQ828" s="203"/>
      <c r="AR828" s="203"/>
      <c r="AS828" s="203"/>
      <c r="AT828" s="203"/>
      <c r="AU828" s="203"/>
      <c r="AV828" s="203"/>
      <c r="AW828" s="203"/>
      <c r="AX828" s="203"/>
      <c r="AY828" s="203"/>
      <c r="AZ828" s="203"/>
      <c r="BA828" s="203"/>
      <c r="BB828" s="203"/>
      <c r="BC828" s="203"/>
      <c r="BD828" s="203"/>
      <c r="BE828" s="203"/>
      <c r="BF828" s="203"/>
    </row>
    <row r="829" spans="1:58" s="15" customFormat="1" ht="14.1" customHeight="1">
      <c r="A829" s="247"/>
      <c r="B829" s="203"/>
      <c r="C829" s="203"/>
      <c r="D829" s="203"/>
      <c r="E829" s="203"/>
      <c r="F829" s="203"/>
      <c r="G829" s="203"/>
      <c r="H829" s="203"/>
      <c r="I829" s="203"/>
      <c r="J829" s="203"/>
      <c r="K829" s="203"/>
      <c r="L829" s="203"/>
      <c r="M829" s="203"/>
      <c r="N829" s="203"/>
      <c r="O829" s="203"/>
      <c r="P829" s="203"/>
      <c r="Q829" s="203"/>
      <c r="R829" s="203"/>
      <c r="S829" s="203"/>
      <c r="T829" s="203"/>
      <c r="U829" s="203"/>
      <c r="V829" s="203"/>
      <c r="W829" s="203"/>
      <c r="X829" s="203"/>
      <c r="Y829" s="203"/>
      <c r="Z829" s="203"/>
      <c r="AA829" s="203"/>
      <c r="AB829" s="203"/>
      <c r="AC829" s="203"/>
      <c r="AD829" s="203"/>
      <c r="AE829" s="203"/>
      <c r="AF829" s="203"/>
      <c r="AG829" s="203"/>
      <c r="AH829" s="203"/>
      <c r="AI829" s="203"/>
      <c r="AJ829" s="203"/>
      <c r="AK829" s="203"/>
      <c r="AL829" s="203"/>
      <c r="AM829" s="203"/>
      <c r="AN829" s="203"/>
      <c r="AO829" s="203"/>
      <c r="AP829" s="203"/>
      <c r="AQ829" s="203"/>
      <c r="AR829" s="203"/>
      <c r="AS829" s="203"/>
      <c r="AT829" s="203"/>
      <c r="AU829" s="203"/>
      <c r="AV829" s="203"/>
      <c r="AW829" s="203"/>
      <c r="AX829" s="203"/>
      <c r="AY829" s="203"/>
      <c r="AZ829" s="203"/>
      <c r="BA829" s="203"/>
      <c r="BB829" s="203"/>
      <c r="BC829" s="203"/>
      <c r="BD829" s="203"/>
      <c r="BE829" s="203"/>
      <c r="BF829" s="203"/>
    </row>
    <row r="830" spans="1:58" s="15" customFormat="1" ht="14.1" customHeight="1">
      <c r="A830" s="247"/>
      <c r="B830" s="203"/>
      <c r="C830" s="203"/>
      <c r="D830" s="203"/>
      <c r="E830" s="203"/>
      <c r="F830" s="203"/>
      <c r="G830" s="203"/>
      <c r="H830" s="203"/>
      <c r="I830" s="203"/>
      <c r="J830" s="203"/>
      <c r="K830" s="203"/>
      <c r="L830" s="203"/>
      <c r="M830" s="203"/>
      <c r="N830" s="203"/>
      <c r="O830" s="203"/>
      <c r="P830" s="203"/>
      <c r="Q830" s="203"/>
      <c r="R830" s="203"/>
      <c r="S830" s="203"/>
      <c r="T830" s="203"/>
      <c r="U830" s="203"/>
      <c r="V830" s="203"/>
      <c r="W830" s="203"/>
      <c r="X830" s="203"/>
      <c r="Y830" s="203"/>
      <c r="Z830" s="203"/>
      <c r="AA830" s="203"/>
      <c r="AB830" s="203"/>
      <c r="AC830" s="203"/>
      <c r="AD830" s="203"/>
      <c r="AE830" s="203"/>
      <c r="AF830" s="203"/>
      <c r="AG830" s="203"/>
      <c r="AH830" s="203"/>
      <c r="AI830" s="203"/>
      <c r="AJ830" s="203"/>
      <c r="AK830" s="203"/>
      <c r="AL830" s="203"/>
      <c r="AM830" s="203"/>
      <c r="AN830" s="203"/>
      <c r="AO830" s="203"/>
      <c r="AP830" s="203"/>
      <c r="AQ830" s="203"/>
      <c r="AR830" s="203"/>
      <c r="AS830" s="203"/>
      <c r="AT830" s="203"/>
      <c r="AU830" s="203"/>
      <c r="AV830" s="203"/>
      <c r="AW830" s="203"/>
      <c r="AX830" s="203"/>
      <c r="AY830" s="203"/>
      <c r="AZ830" s="203"/>
      <c r="BA830" s="203"/>
      <c r="BB830" s="203"/>
      <c r="BC830" s="203"/>
      <c r="BD830" s="203"/>
      <c r="BE830" s="203"/>
      <c r="BF830" s="203"/>
    </row>
    <row r="831" spans="1:58" s="15" customFormat="1" ht="14.1" customHeight="1">
      <c r="A831" s="247"/>
      <c r="B831" s="203"/>
      <c r="C831" s="203"/>
      <c r="D831" s="203"/>
      <c r="E831" s="203"/>
      <c r="F831" s="203"/>
      <c r="G831" s="203"/>
      <c r="H831" s="203"/>
      <c r="I831" s="203"/>
      <c r="J831" s="203"/>
      <c r="K831" s="203"/>
      <c r="L831" s="203"/>
      <c r="M831" s="203"/>
      <c r="N831" s="203"/>
      <c r="O831" s="203"/>
      <c r="P831" s="203"/>
      <c r="Q831" s="203"/>
      <c r="R831" s="203"/>
      <c r="S831" s="203"/>
      <c r="T831" s="203"/>
      <c r="U831" s="203"/>
      <c r="V831" s="203"/>
      <c r="W831" s="203"/>
      <c r="X831" s="203"/>
      <c r="Y831" s="203"/>
      <c r="Z831" s="203"/>
      <c r="AA831" s="203"/>
      <c r="AB831" s="203"/>
      <c r="AC831" s="203"/>
      <c r="AD831" s="203"/>
      <c r="AE831" s="203"/>
      <c r="AF831" s="203"/>
      <c r="AG831" s="203"/>
      <c r="AH831" s="203"/>
      <c r="AI831" s="203"/>
      <c r="AJ831" s="203"/>
      <c r="AK831" s="203"/>
      <c r="AL831" s="203"/>
      <c r="AM831" s="203"/>
      <c r="AN831" s="203"/>
      <c r="AO831" s="203"/>
      <c r="AP831" s="203"/>
      <c r="AQ831" s="203"/>
      <c r="AR831" s="203"/>
      <c r="AS831" s="203"/>
      <c r="AT831" s="203"/>
      <c r="AU831" s="203"/>
      <c r="AV831" s="203"/>
      <c r="AW831" s="203"/>
      <c r="AX831" s="203"/>
      <c r="AY831" s="203"/>
      <c r="AZ831" s="203"/>
      <c r="BA831" s="203"/>
      <c r="BB831" s="203"/>
      <c r="BC831" s="203"/>
      <c r="BD831" s="203"/>
      <c r="BE831" s="203"/>
      <c r="BF831" s="203"/>
    </row>
    <row r="832" spans="1:58" s="15" customFormat="1" ht="14.1" customHeight="1">
      <c r="A832" s="247"/>
      <c r="B832" s="203"/>
      <c r="C832" s="203"/>
      <c r="D832" s="203"/>
      <c r="E832" s="203"/>
      <c r="F832" s="203"/>
      <c r="G832" s="203"/>
      <c r="H832" s="203"/>
      <c r="I832" s="203"/>
      <c r="J832" s="203"/>
      <c r="K832" s="203"/>
      <c r="L832" s="203"/>
      <c r="M832" s="203"/>
      <c r="N832" s="203"/>
      <c r="O832" s="203"/>
      <c r="P832" s="203"/>
      <c r="Q832" s="203"/>
      <c r="R832" s="203"/>
      <c r="S832" s="203"/>
      <c r="T832" s="203"/>
      <c r="U832" s="203"/>
      <c r="V832" s="203"/>
      <c r="W832" s="203"/>
      <c r="X832" s="203"/>
      <c r="Y832" s="203"/>
      <c r="Z832" s="203"/>
      <c r="AA832" s="203"/>
      <c r="AB832" s="203"/>
      <c r="AC832" s="203"/>
      <c r="AD832" s="203"/>
      <c r="AE832" s="203"/>
      <c r="AF832" s="203"/>
      <c r="AG832" s="203"/>
      <c r="AH832" s="203"/>
      <c r="AI832" s="203"/>
      <c r="AJ832" s="203"/>
      <c r="AK832" s="203"/>
      <c r="AL832" s="203"/>
      <c r="AM832" s="203"/>
      <c r="AN832" s="203"/>
      <c r="AO832" s="203"/>
      <c r="AP832" s="203"/>
      <c r="AQ832" s="203"/>
      <c r="AR832" s="203"/>
      <c r="AS832" s="203"/>
      <c r="AT832" s="203"/>
      <c r="AU832" s="203"/>
      <c r="AV832" s="203"/>
      <c r="AW832" s="203"/>
      <c r="AX832" s="203"/>
      <c r="AY832" s="203"/>
      <c r="AZ832" s="203"/>
      <c r="BA832" s="203"/>
      <c r="BB832" s="203"/>
      <c r="BC832" s="203"/>
      <c r="BD832" s="203"/>
      <c r="BE832" s="203"/>
      <c r="BF832" s="203"/>
    </row>
    <row r="833" spans="1:58" s="15" customFormat="1" ht="14.1" customHeight="1">
      <c r="A833" s="247"/>
      <c r="B833" s="203"/>
      <c r="C833" s="203"/>
      <c r="D833" s="203"/>
      <c r="E833" s="203"/>
      <c r="F833" s="203"/>
      <c r="G833" s="203"/>
      <c r="H833" s="203"/>
      <c r="I833" s="203"/>
      <c r="J833" s="203"/>
      <c r="K833" s="203"/>
      <c r="L833" s="203"/>
      <c r="M833" s="203"/>
      <c r="N833" s="203"/>
      <c r="O833" s="203"/>
      <c r="P833" s="203"/>
      <c r="Q833" s="203"/>
      <c r="R833" s="203"/>
      <c r="S833" s="203"/>
      <c r="T833" s="203"/>
      <c r="U833" s="203"/>
      <c r="V833" s="203"/>
      <c r="W833" s="203"/>
      <c r="X833" s="203"/>
      <c r="Y833" s="203"/>
      <c r="Z833" s="203"/>
      <c r="AA833" s="203"/>
      <c r="AB833" s="203"/>
      <c r="AC833" s="203"/>
      <c r="AD833" s="203"/>
      <c r="AE833" s="203"/>
      <c r="AF833" s="203"/>
      <c r="AG833" s="203"/>
      <c r="AH833" s="203"/>
      <c r="AI833" s="203"/>
      <c r="AJ833" s="203"/>
      <c r="AK833" s="203"/>
      <c r="AL833" s="203"/>
      <c r="AM833" s="203"/>
      <c r="AN833" s="203"/>
      <c r="AO833" s="203"/>
      <c r="AP833" s="203"/>
      <c r="AQ833" s="203"/>
      <c r="AR833" s="203"/>
      <c r="AS833" s="203"/>
      <c r="AT833" s="203"/>
      <c r="AU833" s="203"/>
      <c r="AV833" s="203"/>
      <c r="AW833" s="203"/>
      <c r="AX833" s="203"/>
      <c r="AY833" s="203"/>
      <c r="AZ833" s="203"/>
      <c r="BA833" s="203"/>
      <c r="BB833" s="203"/>
      <c r="BC833" s="203"/>
      <c r="BD833" s="203"/>
      <c r="BE833" s="203"/>
      <c r="BF833" s="203"/>
    </row>
    <row r="834" spans="1:58" s="15" customFormat="1" ht="14.1" customHeight="1">
      <c r="A834" s="247"/>
      <c r="B834" s="203"/>
      <c r="C834" s="203"/>
      <c r="D834" s="203"/>
      <c r="E834" s="203"/>
      <c r="F834" s="203"/>
      <c r="G834" s="203"/>
      <c r="H834" s="203"/>
      <c r="I834" s="203"/>
      <c r="J834" s="203"/>
      <c r="K834" s="203"/>
      <c r="L834" s="203"/>
      <c r="M834" s="203"/>
      <c r="N834" s="203"/>
      <c r="O834" s="203"/>
      <c r="P834" s="203"/>
      <c r="Q834" s="203"/>
      <c r="R834" s="203"/>
      <c r="S834" s="203"/>
      <c r="T834" s="203"/>
      <c r="U834" s="203"/>
      <c r="V834" s="203"/>
      <c r="W834" s="203"/>
      <c r="X834" s="203"/>
      <c r="Y834" s="203"/>
      <c r="Z834" s="203"/>
      <c r="AA834" s="203"/>
      <c r="AB834" s="203"/>
      <c r="AC834" s="203"/>
      <c r="AD834" s="203"/>
      <c r="AE834" s="203"/>
      <c r="AF834" s="203"/>
      <c r="AG834" s="203"/>
      <c r="AH834" s="203"/>
      <c r="AI834" s="203"/>
      <c r="AJ834" s="203"/>
      <c r="AK834" s="203"/>
      <c r="AL834" s="203"/>
      <c r="AM834" s="203"/>
      <c r="AN834" s="203"/>
      <c r="AO834" s="203"/>
      <c r="AP834" s="203"/>
      <c r="AQ834" s="203"/>
      <c r="AR834" s="203"/>
      <c r="AS834" s="203"/>
      <c r="AT834" s="203"/>
      <c r="AU834" s="203"/>
      <c r="AV834" s="203"/>
      <c r="AW834" s="203"/>
      <c r="AX834" s="203"/>
      <c r="AY834" s="203"/>
      <c r="AZ834" s="203"/>
      <c r="BA834" s="203"/>
      <c r="BB834" s="203"/>
      <c r="BC834" s="203"/>
      <c r="BD834" s="203"/>
      <c r="BE834" s="203"/>
      <c r="BF834" s="203"/>
    </row>
    <row r="835" spans="1:58" s="15" customFormat="1" ht="14.1" customHeight="1">
      <c r="A835" s="247"/>
      <c r="B835" s="203"/>
      <c r="C835" s="203"/>
      <c r="D835" s="203"/>
      <c r="E835" s="203"/>
      <c r="F835" s="203"/>
      <c r="G835" s="203"/>
      <c r="H835" s="203"/>
      <c r="I835" s="203"/>
      <c r="J835" s="203"/>
      <c r="K835" s="203"/>
      <c r="L835" s="203"/>
      <c r="M835" s="203"/>
      <c r="N835" s="203"/>
      <c r="O835" s="203"/>
      <c r="P835" s="203"/>
      <c r="Q835" s="203"/>
      <c r="R835" s="203"/>
      <c r="S835" s="203"/>
      <c r="T835" s="203"/>
      <c r="U835" s="203"/>
      <c r="V835" s="203"/>
      <c r="W835" s="203"/>
      <c r="X835" s="203"/>
      <c r="Y835" s="203"/>
      <c r="Z835" s="203"/>
      <c r="AA835" s="203"/>
      <c r="AB835" s="203"/>
      <c r="AC835" s="203"/>
      <c r="AD835" s="203"/>
      <c r="AE835" s="203"/>
      <c r="AF835" s="203"/>
      <c r="AG835" s="203"/>
      <c r="AH835" s="203"/>
      <c r="AI835" s="203"/>
      <c r="AJ835" s="203"/>
      <c r="AK835" s="203"/>
      <c r="AL835" s="203"/>
      <c r="AM835" s="203"/>
      <c r="AN835" s="203"/>
      <c r="AO835" s="203"/>
      <c r="AP835" s="203"/>
      <c r="AQ835" s="203"/>
      <c r="AR835" s="203"/>
      <c r="AS835" s="203"/>
      <c r="AT835" s="203"/>
      <c r="AU835" s="203"/>
      <c r="AV835" s="203"/>
      <c r="AW835" s="203"/>
      <c r="AX835" s="203"/>
      <c r="AY835" s="203"/>
      <c r="AZ835" s="203"/>
      <c r="BA835" s="203"/>
      <c r="BB835" s="203"/>
      <c r="BC835" s="203"/>
      <c r="BD835" s="203"/>
      <c r="BE835" s="203"/>
      <c r="BF835" s="203"/>
    </row>
    <row r="836" spans="1:58" s="15" customFormat="1" ht="14.1" customHeight="1">
      <c r="A836" s="247"/>
      <c r="B836" s="203"/>
      <c r="C836" s="203"/>
      <c r="D836" s="203"/>
      <c r="E836" s="203"/>
      <c r="F836" s="203"/>
      <c r="G836" s="203"/>
      <c r="H836" s="203"/>
      <c r="I836" s="203"/>
      <c r="J836" s="203"/>
      <c r="K836" s="203"/>
      <c r="L836" s="203"/>
      <c r="M836" s="203"/>
      <c r="N836" s="203"/>
      <c r="O836" s="203"/>
      <c r="P836" s="203"/>
      <c r="Q836" s="203"/>
      <c r="R836" s="203"/>
      <c r="S836" s="203"/>
      <c r="T836" s="203"/>
      <c r="U836" s="203"/>
      <c r="V836" s="203"/>
      <c r="W836" s="203"/>
      <c r="X836" s="203"/>
      <c r="Y836" s="203"/>
      <c r="Z836" s="203"/>
      <c r="AA836" s="203"/>
      <c r="AB836" s="203"/>
      <c r="AC836" s="203"/>
      <c r="AD836" s="203"/>
      <c r="AE836" s="203"/>
      <c r="AF836" s="203"/>
      <c r="AG836" s="203"/>
      <c r="AH836" s="203"/>
      <c r="AI836" s="203"/>
      <c r="AJ836" s="203"/>
      <c r="AK836" s="203"/>
      <c r="AL836" s="203"/>
      <c r="AM836" s="203"/>
      <c r="AN836" s="203"/>
      <c r="AO836" s="203"/>
      <c r="AP836" s="203"/>
      <c r="AQ836" s="203"/>
      <c r="AR836" s="203"/>
      <c r="AS836" s="203"/>
      <c r="AT836" s="203"/>
      <c r="AU836" s="203"/>
      <c r="AV836" s="203"/>
      <c r="AW836" s="203"/>
      <c r="AX836" s="203"/>
      <c r="AY836" s="203"/>
      <c r="AZ836" s="203"/>
      <c r="BA836" s="203"/>
      <c r="BB836" s="203"/>
      <c r="BC836" s="203"/>
      <c r="BD836" s="203"/>
      <c r="BE836" s="203"/>
      <c r="BF836" s="203"/>
    </row>
    <row r="837" spans="1:58" s="15" customFormat="1" ht="14.1" customHeight="1">
      <c r="A837" s="247"/>
      <c r="B837" s="203"/>
      <c r="C837" s="203"/>
      <c r="D837" s="203"/>
      <c r="E837" s="203"/>
      <c r="F837" s="203"/>
      <c r="G837" s="203"/>
      <c r="H837" s="203"/>
      <c r="I837" s="203"/>
      <c r="J837" s="203"/>
      <c r="K837" s="203"/>
      <c r="L837" s="203"/>
      <c r="M837" s="203"/>
      <c r="N837" s="203"/>
      <c r="O837" s="203"/>
      <c r="P837" s="203"/>
      <c r="Q837" s="203"/>
      <c r="R837" s="203"/>
      <c r="S837" s="203"/>
      <c r="T837" s="203"/>
      <c r="U837" s="203"/>
      <c r="V837" s="203"/>
      <c r="W837" s="203"/>
      <c r="X837" s="203"/>
      <c r="Y837" s="203"/>
      <c r="Z837" s="203"/>
      <c r="AA837" s="203"/>
      <c r="AB837" s="203"/>
      <c r="AC837" s="203"/>
      <c r="AD837" s="203"/>
      <c r="AE837" s="203"/>
      <c r="AF837" s="203"/>
      <c r="AG837" s="203"/>
      <c r="AH837" s="203"/>
      <c r="AI837" s="203"/>
      <c r="AJ837" s="203"/>
      <c r="AK837" s="203"/>
      <c r="AL837" s="203"/>
      <c r="AM837" s="203"/>
      <c r="AN837" s="203"/>
      <c r="AO837" s="203"/>
      <c r="AP837" s="203"/>
      <c r="AQ837" s="203"/>
      <c r="AR837" s="203"/>
      <c r="AS837" s="203"/>
      <c r="AT837" s="203"/>
      <c r="AU837" s="203"/>
      <c r="AV837" s="203"/>
      <c r="AW837" s="203"/>
      <c r="AX837" s="203"/>
      <c r="AY837" s="203"/>
      <c r="AZ837" s="203"/>
      <c r="BA837" s="203"/>
      <c r="BB837" s="203"/>
      <c r="BC837" s="203"/>
      <c r="BD837" s="203"/>
      <c r="BE837" s="203"/>
      <c r="BF837" s="203"/>
    </row>
    <row r="838" spans="1:58" s="15" customFormat="1" ht="14.1" customHeight="1">
      <c r="A838" s="247"/>
      <c r="B838" s="203"/>
      <c r="C838" s="203"/>
      <c r="D838" s="203"/>
      <c r="E838" s="203"/>
      <c r="F838" s="203"/>
      <c r="G838" s="203"/>
      <c r="H838" s="203"/>
      <c r="I838" s="203"/>
      <c r="J838" s="203"/>
      <c r="K838" s="203"/>
      <c r="L838" s="203"/>
      <c r="M838" s="203"/>
      <c r="N838" s="203"/>
      <c r="O838" s="203"/>
      <c r="P838" s="203"/>
      <c r="Q838" s="203"/>
      <c r="R838" s="203"/>
      <c r="S838" s="203"/>
      <c r="T838" s="203"/>
      <c r="U838" s="203"/>
      <c r="V838" s="203"/>
      <c r="W838" s="203"/>
      <c r="X838" s="203"/>
      <c r="Y838" s="203"/>
      <c r="Z838" s="203"/>
      <c r="AA838" s="203"/>
      <c r="AB838" s="203"/>
      <c r="AC838" s="203"/>
      <c r="AD838" s="203"/>
      <c r="AE838" s="203"/>
      <c r="AF838" s="203"/>
      <c r="AG838" s="203"/>
      <c r="AH838" s="203"/>
      <c r="AI838" s="203"/>
      <c r="AJ838" s="203"/>
      <c r="AK838" s="203"/>
      <c r="AL838" s="203"/>
      <c r="AM838" s="203"/>
      <c r="AN838" s="203"/>
      <c r="AO838" s="203"/>
      <c r="AP838" s="203"/>
      <c r="AQ838" s="203"/>
      <c r="AR838" s="203"/>
      <c r="AS838" s="203"/>
      <c r="AT838" s="203"/>
      <c r="AU838" s="203"/>
      <c r="AV838" s="203"/>
      <c r="AW838" s="203"/>
      <c r="AX838" s="203"/>
      <c r="AY838" s="203"/>
      <c r="AZ838" s="203"/>
      <c r="BA838" s="203"/>
      <c r="BB838" s="203"/>
      <c r="BC838" s="203"/>
      <c r="BD838" s="203"/>
      <c r="BE838" s="203"/>
      <c r="BF838" s="203"/>
    </row>
    <row r="839" spans="1:58" s="15" customFormat="1" ht="14.1" customHeight="1">
      <c r="A839" s="247"/>
      <c r="B839" s="203"/>
      <c r="C839" s="203"/>
      <c r="D839" s="203"/>
      <c r="E839" s="203"/>
      <c r="F839" s="203"/>
      <c r="G839" s="203"/>
      <c r="H839" s="203"/>
      <c r="I839" s="203"/>
      <c r="J839" s="203"/>
      <c r="K839" s="203"/>
      <c r="L839" s="203"/>
      <c r="M839" s="203"/>
      <c r="N839" s="203"/>
      <c r="O839" s="203"/>
      <c r="P839" s="203"/>
      <c r="Q839" s="203"/>
      <c r="R839" s="203"/>
      <c r="S839" s="203"/>
      <c r="T839" s="203"/>
      <c r="U839" s="203"/>
      <c r="V839" s="203"/>
      <c r="W839" s="203"/>
      <c r="X839" s="203"/>
      <c r="Y839" s="203"/>
      <c r="Z839" s="203"/>
      <c r="AA839" s="203"/>
      <c r="AB839" s="203"/>
      <c r="AC839" s="203"/>
      <c r="AD839" s="203"/>
      <c r="AE839" s="203"/>
      <c r="AF839" s="203"/>
      <c r="AG839" s="203"/>
      <c r="AH839" s="203"/>
      <c r="AI839" s="203"/>
      <c r="AJ839" s="203"/>
      <c r="AK839" s="203"/>
      <c r="AL839" s="203"/>
      <c r="AM839" s="203"/>
      <c r="AN839" s="203"/>
      <c r="AO839" s="203"/>
      <c r="AP839" s="203"/>
      <c r="AQ839" s="203"/>
      <c r="AR839" s="203"/>
      <c r="AS839" s="203"/>
      <c r="AT839" s="203"/>
      <c r="AU839" s="203"/>
      <c r="AV839" s="203"/>
      <c r="AW839" s="203"/>
      <c r="AX839" s="203"/>
      <c r="AY839" s="203"/>
      <c r="AZ839" s="203"/>
      <c r="BA839" s="203"/>
      <c r="BB839" s="203"/>
      <c r="BC839" s="203"/>
      <c r="BD839" s="203"/>
      <c r="BE839" s="203"/>
      <c r="BF839" s="203"/>
    </row>
    <row r="840" spans="1:58" s="15" customFormat="1" ht="14.1" customHeight="1">
      <c r="A840" s="247"/>
      <c r="B840" s="203"/>
      <c r="C840" s="203"/>
      <c r="D840" s="203"/>
      <c r="E840" s="203"/>
      <c r="F840" s="203"/>
      <c r="G840" s="203"/>
      <c r="H840" s="203"/>
      <c r="I840" s="203"/>
      <c r="J840" s="203"/>
      <c r="K840" s="203"/>
      <c r="L840" s="203"/>
      <c r="M840" s="203"/>
      <c r="N840" s="203"/>
      <c r="O840" s="203"/>
      <c r="P840" s="203"/>
      <c r="Q840" s="203"/>
      <c r="R840" s="203"/>
      <c r="S840" s="203"/>
      <c r="T840" s="203"/>
      <c r="U840" s="203"/>
      <c r="V840" s="203"/>
      <c r="W840" s="203"/>
      <c r="X840" s="203"/>
      <c r="Y840" s="203"/>
      <c r="Z840" s="203"/>
      <c r="AA840" s="203"/>
      <c r="AB840" s="203"/>
      <c r="AC840" s="203"/>
      <c r="AD840" s="203"/>
      <c r="AE840" s="203"/>
      <c r="AF840" s="203"/>
      <c r="AG840" s="203"/>
      <c r="AH840" s="203"/>
      <c r="AI840" s="203"/>
      <c r="AJ840" s="203"/>
      <c r="AK840" s="203"/>
      <c r="AL840" s="203"/>
      <c r="AM840" s="203"/>
      <c r="AN840" s="203"/>
      <c r="AO840" s="203"/>
      <c r="AP840" s="203"/>
      <c r="AQ840" s="203"/>
      <c r="AR840" s="203"/>
      <c r="AS840" s="203"/>
      <c r="AT840" s="203"/>
      <c r="AU840" s="203"/>
      <c r="AV840" s="203"/>
      <c r="AW840" s="203"/>
      <c r="AX840" s="203"/>
      <c r="AY840" s="203"/>
      <c r="AZ840" s="203"/>
      <c r="BA840" s="203"/>
      <c r="BB840" s="203"/>
      <c r="BC840" s="203"/>
      <c r="BD840" s="203"/>
      <c r="BE840" s="203"/>
      <c r="BF840" s="203"/>
    </row>
    <row r="841" spans="1:58" s="15" customFormat="1" ht="14.1" customHeight="1">
      <c r="A841" s="247"/>
      <c r="B841" s="203"/>
      <c r="C841" s="203"/>
      <c r="D841" s="203"/>
      <c r="E841" s="203"/>
      <c r="F841" s="203"/>
      <c r="G841" s="203"/>
      <c r="H841" s="203"/>
      <c r="I841" s="203"/>
      <c r="J841" s="203"/>
      <c r="K841" s="203"/>
      <c r="L841" s="203"/>
      <c r="M841" s="203"/>
      <c r="N841" s="203"/>
      <c r="O841" s="203"/>
      <c r="P841" s="203"/>
      <c r="Q841" s="203"/>
      <c r="R841" s="203"/>
      <c r="S841" s="203"/>
      <c r="T841" s="203"/>
      <c r="U841" s="203"/>
      <c r="V841" s="203"/>
      <c r="W841" s="203"/>
      <c r="X841" s="203"/>
      <c r="Y841" s="203"/>
      <c r="Z841" s="203"/>
      <c r="AA841" s="203"/>
      <c r="AB841" s="203"/>
      <c r="AC841" s="203"/>
      <c r="AD841" s="203"/>
      <c r="AE841" s="203"/>
      <c r="AF841" s="203"/>
      <c r="AG841" s="203"/>
      <c r="AH841" s="203"/>
      <c r="AI841" s="203"/>
      <c r="AJ841" s="203"/>
      <c r="AK841" s="203"/>
      <c r="AL841" s="203"/>
      <c r="AM841" s="203"/>
      <c r="AN841" s="203"/>
      <c r="AO841" s="203"/>
      <c r="AP841" s="203"/>
      <c r="AQ841" s="203"/>
      <c r="AR841" s="203"/>
      <c r="AS841" s="203"/>
      <c r="AT841" s="203"/>
      <c r="AU841" s="203"/>
      <c r="AV841" s="203"/>
      <c r="AW841" s="203"/>
      <c r="AX841" s="203"/>
      <c r="AY841" s="203"/>
      <c r="AZ841" s="203"/>
      <c r="BA841" s="203"/>
      <c r="BB841" s="203"/>
      <c r="BC841" s="203"/>
      <c r="BD841" s="203"/>
      <c r="BE841" s="203"/>
      <c r="BF841" s="203"/>
    </row>
    <row r="842" spans="1:58" s="15" customFormat="1" ht="14.1" customHeight="1">
      <c r="A842" s="247"/>
      <c r="B842" s="203"/>
      <c r="C842" s="203"/>
      <c r="D842" s="203"/>
      <c r="E842" s="203"/>
      <c r="F842" s="203"/>
      <c r="G842" s="203"/>
      <c r="H842" s="203"/>
      <c r="I842" s="203"/>
      <c r="J842" s="203"/>
      <c r="K842" s="203"/>
      <c r="L842" s="203"/>
      <c r="M842" s="203"/>
      <c r="N842" s="203"/>
      <c r="O842" s="203"/>
      <c r="P842" s="203"/>
      <c r="Q842" s="203"/>
      <c r="R842" s="203"/>
      <c r="S842" s="203"/>
      <c r="T842" s="203"/>
      <c r="U842" s="203"/>
      <c r="V842" s="203"/>
      <c r="W842" s="203"/>
      <c r="X842" s="203"/>
      <c r="Y842" s="203"/>
      <c r="Z842" s="203"/>
      <c r="AA842" s="203"/>
      <c r="AB842" s="203"/>
      <c r="AC842" s="203"/>
      <c r="AD842" s="203"/>
      <c r="AE842" s="203"/>
      <c r="AF842" s="203"/>
      <c r="AG842" s="203"/>
      <c r="AH842" s="203"/>
      <c r="AI842" s="203"/>
      <c r="AJ842" s="203"/>
      <c r="AK842" s="203"/>
      <c r="AL842" s="203"/>
      <c r="AM842" s="203"/>
      <c r="AN842" s="203"/>
      <c r="AO842" s="203"/>
      <c r="AP842" s="203"/>
      <c r="AQ842" s="203"/>
      <c r="AR842" s="203"/>
      <c r="AS842" s="203"/>
      <c r="AT842" s="203"/>
      <c r="AU842" s="203"/>
      <c r="AV842" s="203"/>
      <c r="AW842" s="203"/>
      <c r="AX842" s="203"/>
      <c r="AY842" s="203"/>
      <c r="AZ842" s="203"/>
      <c r="BA842" s="203"/>
      <c r="BB842" s="203"/>
      <c r="BC842" s="203"/>
      <c r="BD842" s="203"/>
      <c r="BE842" s="203"/>
      <c r="BF842" s="203"/>
    </row>
    <row r="843" spans="1:58" s="15" customFormat="1" ht="14.1" customHeight="1">
      <c r="A843" s="247"/>
      <c r="B843" s="203"/>
      <c r="C843" s="203"/>
      <c r="D843" s="203"/>
      <c r="E843" s="203"/>
      <c r="F843" s="203"/>
      <c r="G843" s="203"/>
      <c r="H843" s="203"/>
      <c r="I843" s="203"/>
      <c r="J843" s="203"/>
      <c r="K843" s="203"/>
      <c r="L843" s="203"/>
      <c r="M843" s="203"/>
      <c r="N843" s="203"/>
      <c r="O843" s="203"/>
      <c r="P843" s="203"/>
      <c r="Q843" s="203"/>
      <c r="R843" s="203"/>
      <c r="S843" s="203"/>
      <c r="T843" s="203"/>
      <c r="U843" s="203"/>
      <c r="V843" s="203"/>
      <c r="W843" s="203"/>
      <c r="X843" s="203"/>
      <c r="Y843" s="203"/>
      <c r="Z843" s="203"/>
      <c r="AA843" s="203"/>
      <c r="AB843" s="203"/>
      <c r="AC843" s="203"/>
      <c r="AD843" s="203"/>
      <c r="AE843" s="203"/>
      <c r="AF843" s="203"/>
      <c r="AG843" s="203"/>
      <c r="AH843" s="203"/>
      <c r="AI843" s="203"/>
      <c r="AJ843" s="203"/>
      <c r="AK843" s="203"/>
      <c r="AL843" s="203"/>
      <c r="AM843" s="203"/>
      <c r="AN843" s="203"/>
      <c r="AO843" s="203"/>
      <c r="AP843" s="203"/>
      <c r="AQ843" s="203"/>
      <c r="AR843" s="203"/>
      <c r="AS843" s="203"/>
      <c r="AT843" s="203"/>
      <c r="AU843" s="203"/>
      <c r="AV843" s="203"/>
      <c r="AW843" s="203"/>
      <c r="AX843" s="203"/>
      <c r="AY843" s="203"/>
      <c r="AZ843" s="203"/>
      <c r="BA843" s="203"/>
      <c r="BB843" s="203"/>
      <c r="BC843" s="203"/>
      <c r="BD843" s="203"/>
      <c r="BE843" s="203"/>
      <c r="BF843" s="203"/>
    </row>
    <row r="844" spans="1:58" s="15" customFormat="1" ht="14.1" customHeight="1">
      <c r="A844" s="247"/>
      <c r="B844" s="203"/>
      <c r="C844" s="203"/>
      <c r="D844" s="203"/>
      <c r="E844" s="203"/>
      <c r="F844" s="203"/>
      <c r="G844" s="203"/>
      <c r="H844" s="203"/>
      <c r="I844" s="203"/>
      <c r="J844" s="203"/>
      <c r="K844" s="203"/>
      <c r="L844" s="203"/>
      <c r="M844" s="203"/>
      <c r="N844" s="203"/>
      <c r="O844" s="203"/>
      <c r="P844" s="203"/>
      <c r="Q844" s="203"/>
      <c r="R844" s="203"/>
      <c r="S844" s="203"/>
      <c r="T844" s="203"/>
      <c r="U844" s="203"/>
      <c r="V844" s="203"/>
      <c r="W844" s="203"/>
      <c r="X844" s="203"/>
      <c r="Y844" s="203"/>
      <c r="Z844" s="203"/>
      <c r="AA844" s="203"/>
      <c r="AB844" s="203"/>
      <c r="AC844" s="203"/>
      <c r="AD844" s="203"/>
      <c r="AE844" s="203"/>
      <c r="AF844" s="203"/>
      <c r="AG844" s="203"/>
      <c r="AH844" s="203"/>
      <c r="AI844" s="203"/>
      <c r="AJ844" s="203"/>
      <c r="AK844" s="203"/>
      <c r="AL844" s="203"/>
      <c r="AM844" s="203"/>
      <c r="AN844" s="203"/>
      <c r="AO844" s="203"/>
      <c r="AP844" s="203"/>
      <c r="AQ844" s="203"/>
      <c r="AR844" s="203"/>
      <c r="AS844" s="203"/>
      <c r="AT844" s="203"/>
      <c r="AU844" s="203"/>
      <c r="AV844" s="203"/>
      <c r="AW844" s="203"/>
      <c r="AX844" s="203"/>
      <c r="AY844" s="203"/>
      <c r="AZ844" s="203"/>
      <c r="BA844" s="203"/>
      <c r="BB844" s="203"/>
      <c r="BC844" s="203"/>
      <c r="BD844" s="203"/>
      <c r="BE844" s="203"/>
      <c r="BF844" s="203"/>
    </row>
    <row r="845" spans="1:58" s="15" customFormat="1" ht="14.1" customHeight="1">
      <c r="A845" s="247"/>
      <c r="B845" s="203"/>
      <c r="C845" s="203"/>
      <c r="D845" s="203"/>
      <c r="E845" s="203"/>
      <c r="F845" s="203"/>
      <c r="G845" s="203"/>
      <c r="H845" s="203"/>
      <c r="I845" s="203"/>
      <c r="J845" s="203"/>
      <c r="K845" s="203"/>
      <c r="L845" s="203"/>
      <c r="M845" s="203"/>
      <c r="N845" s="203"/>
      <c r="O845" s="203"/>
      <c r="P845" s="203"/>
      <c r="Q845" s="203"/>
      <c r="R845" s="203"/>
      <c r="S845" s="203"/>
      <c r="T845" s="203"/>
      <c r="U845" s="203"/>
      <c r="V845" s="203"/>
      <c r="W845" s="203"/>
      <c r="X845" s="203"/>
      <c r="Y845" s="203"/>
      <c r="Z845" s="203"/>
      <c r="AA845" s="203"/>
      <c r="AB845" s="203"/>
      <c r="AC845" s="203"/>
      <c r="AD845" s="203"/>
      <c r="AE845" s="203"/>
      <c r="AF845" s="203"/>
      <c r="AG845" s="203"/>
      <c r="AH845" s="203"/>
      <c r="AI845" s="203"/>
      <c r="AJ845" s="203"/>
      <c r="AK845" s="203"/>
      <c r="AL845" s="203"/>
      <c r="AM845" s="203"/>
      <c r="AN845" s="203"/>
      <c r="AO845" s="203"/>
      <c r="AP845" s="203"/>
      <c r="AQ845" s="203"/>
      <c r="AR845" s="203"/>
      <c r="AS845" s="203"/>
      <c r="AT845" s="203"/>
      <c r="AU845" s="203"/>
      <c r="AV845" s="203"/>
      <c r="AW845" s="203"/>
      <c r="AX845" s="203"/>
      <c r="AY845" s="203"/>
      <c r="AZ845" s="203"/>
      <c r="BA845" s="203"/>
      <c r="BB845" s="203"/>
      <c r="BC845" s="203"/>
      <c r="BD845" s="203"/>
      <c r="BE845" s="203"/>
      <c r="BF845" s="203"/>
    </row>
    <row r="846" spans="1:58" s="15" customFormat="1" ht="14.1" customHeight="1">
      <c r="A846" s="247"/>
      <c r="B846" s="203"/>
      <c r="C846" s="203"/>
      <c r="D846" s="203"/>
      <c r="E846" s="203"/>
      <c r="F846" s="203"/>
      <c r="G846" s="203"/>
      <c r="H846" s="203"/>
      <c r="I846" s="203"/>
      <c r="J846" s="203"/>
      <c r="K846" s="203"/>
      <c r="L846" s="203"/>
      <c r="M846" s="203"/>
      <c r="N846" s="203"/>
      <c r="O846" s="203"/>
      <c r="P846" s="203"/>
      <c r="Q846" s="203"/>
      <c r="R846" s="203"/>
      <c r="S846" s="203"/>
      <c r="T846" s="203"/>
      <c r="U846" s="203"/>
      <c r="V846" s="203"/>
      <c r="W846" s="203"/>
      <c r="X846" s="203"/>
      <c r="Y846" s="203"/>
      <c r="Z846" s="203"/>
      <c r="AA846" s="203"/>
      <c r="AB846" s="203"/>
      <c r="AC846" s="203"/>
      <c r="AD846" s="203"/>
      <c r="AE846" s="203"/>
      <c r="AF846" s="203"/>
      <c r="AG846" s="203"/>
      <c r="AH846" s="203"/>
      <c r="AI846" s="203"/>
      <c r="AJ846" s="203"/>
      <c r="AK846" s="203"/>
      <c r="AL846" s="203"/>
      <c r="AM846" s="203"/>
      <c r="AN846" s="203"/>
      <c r="AO846" s="203"/>
      <c r="AP846" s="203"/>
      <c r="AQ846" s="203"/>
      <c r="AR846" s="203"/>
      <c r="AS846" s="203"/>
      <c r="AT846" s="203"/>
      <c r="AU846" s="203"/>
      <c r="AV846" s="203"/>
      <c r="AW846" s="203"/>
      <c r="AX846" s="203"/>
      <c r="AY846" s="203"/>
      <c r="AZ846" s="203"/>
      <c r="BA846" s="203"/>
      <c r="BB846" s="203"/>
      <c r="BC846" s="203"/>
      <c r="BD846" s="203"/>
      <c r="BE846" s="203"/>
      <c r="BF846" s="203"/>
    </row>
    <row r="847" spans="1:58" s="15" customFormat="1" ht="14.1" customHeight="1">
      <c r="A847" s="247"/>
      <c r="B847" s="203"/>
      <c r="C847" s="203"/>
      <c r="D847" s="203"/>
      <c r="E847" s="203"/>
      <c r="F847" s="203"/>
      <c r="G847" s="203"/>
      <c r="H847" s="203"/>
      <c r="I847" s="203"/>
      <c r="J847" s="203"/>
      <c r="K847" s="203"/>
      <c r="L847" s="203"/>
      <c r="M847" s="203"/>
      <c r="N847" s="203"/>
      <c r="O847" s="203"/>
      <c r="P847" s="203"/>
      <c r="Q847" s="203"/>
      <c r="R847" s="203"/>
      <c r="S847" s="203"/>
      <c r="T847" s="203"/>
      <c r="U847" s="203"/>
      <c r="V847" s="203"/>
      <c r="W847" s="203"/>
      <c r="X847" s="203"/>
      <c r="Y847" s="203"/>
      <c r="Z847" s="203"/>
      <c r="AA847" s="203"/>
      <c r="AB847" s="203"/>
      <c r="AC847" s="203"/>
      <c r="AD847" s="203"/>
      <c r="AE847" s="203"/>
      <c r="AF847" s="203"/>
      <c r="AG847" s="203"/>
      <c r="AH847" s="203"/>
      <c r="AI847" s="203"/>
      <c r="AJ847" s="203"/>
      <c r="AK847" s="203"/>
      <c r="AL847" s="203"/>
      <c r="AM847" s="203"/>
      <c r="AN847" s="203"/>
      <c r="AO847" s="203"/>
      <c r="AP847" s="203"/>
      <c r="AQ847" s="203"/>
      <c r="AR847" s="203"/>
      <c r="AS847" s="203"/>
      <c r="AT847" s="203"/>
      <c r="AU847" s="203"/>
      <c r="AV847" s="203"/>
      <c r="AW847" s="203"/>
      <c r="AX847" s="203"/>
      <c r="AY847" s="203"/>
      <c r="AZ847" s="203"/>
      <c r="BA847" s="203"/>
      <c r="BB847" s="203"/>
      <c r="BC847" s="203"/>
      <c r="BD847" s="203"/>
      <c r="BE847" s="203"/>
      <c r="BF847" s="203"/>
    </row>
    <row r="848" spans="1:58" s="15" customFormat="1" ht="14.1" customHeight="1">
      <c r="A848" s="247"/>
      <c r="B848" s="203"/>
      <c r="C848" s="203"/>
      <c r="D848" s="203"/>
      <c r="E848" s="203"/>
      <c r="F848" s="203"/>
      <c r="G848" s="203"/>
      <c r="H848" s="203"/>
      <c r="I848" s="203"/>
      <c r="J848" s="203"/>
      <c r="K848" s="203"/>
      <c r="L848" s="203"/>
      <c r="M848" s="203"/>
      <c r="N848" s="203"/>
      <c r="O848" s="203"/>
      <c r="P848" s="203"/>
      <c r="Q848" s="203"/>
      <c r="R848" s="203"/>
      <c r="S848" s="203"/>
      <c r="T848" s="203"/>
      <c r="U848" s="203"/>
      <c r="V848" s="203"/>
      <c r="W848" s="203"/>
      <c r="X848" s="203"/>
      <c r="Y848" s="203"/>
      <c r="Z848" s="203"/>
      <c r="AA848" s="203"/>
      <c r="AB848" s="203"/>
      <c r="AC848" s="203"/>
      <c r="AD848" s="203"/>
      <c r="AE848" s="203"/>
      <c r="AF848" s="203"/>
      <c r="AG848" s="203"/>
      <c r="AH848" s="203"/>
      <c r="AI848" s="203"/>
      <c r="AJ848" s="203"/>
      <c r="AK848" s="203"/>
      <c r="AL848" s="203"/>
      <c r="AM848" s="203"/>
      <c r="AN848" s="203"/>
      <c r="AO848" s="203"/>
      <c r="AP848" s="203"/>
      <c r="AQ848" s="203"/>
      <c r="AR848" s="203"/>
      <c r="AS848" s="203"/>
      <c r="AT848" s="203"/>
      <c r="AU848" s="203"/>
      <c r="AV848" s="203"/>
      <c r="AW848" s="203"/>
      <c r="AX848" s="203"/>
      <c r="AY848" s="203"/>
      <c r="AZ848" s="203"/>
      <c r="BA848" s="203"/>
      <c r="BB848" s="203"/>
      <c r="BC848" s="203"/>
      <c r="BD848" s="203"/>
      <c r="BE848" s="203"/>
      <c r="BF848" s="203"/>
    </row>
    <row r="849" spans="1:58" s="15" customFormat="1" ht="14.1" customHeight="1">
      <c r="A849" s="247"/>
      <c r="B849" s="203"/>
      <c r="C849" s="203"/>
      <c r="D849" s="203"/>
      <c r="E849" s="203"/>
      <c r="F849" s="203"/>
      <c r="G849" s="203"/>
      <c r="H849" s="203"/>
      <c r="I849" s="203"/>
      <c r="J849" s="203"/>
      <c r="K849" s="203"/>
      <c r="L849" s="203"/>
      <c r="M849" s="203"/>
      <c r="N849" s="203"/>
      <c r="O849" s="203"/>
      <c r="P849" s="203"/>
      <c r="Q849" s="203"/>
      <c r="R849" s="203"/>
      <c r="S849" s="203"/>
      <c r="T849" s="203"/>
      <c r="U849" s="203"/>
      <c r="V849" s="203"/>
      <c r="W849" s="203"/>
      <c r="X849" s="203"/>
      <c r="Y849" s="203"/>
      <c r="Z849" s="203"/>
      <c r="AA849" s="203"/>
      <c r="AB849" s="203"/>
      <c r="AC849" s="203"/>
      <c r="AD849" s="203"/>
      <c r="AE849" s="203"/>
      <c r="AF849" s="203"/>
      <c r="AG849" s="203"/>
      <c r="AH849" s="203"/>
      <c r="AI849" s="203"/>
      <c r="AJ849" s="203"/>
      <c r="AK849" s="203"/>
      <c r="AL849" s="203"/>
      <c r="AM849" s="203"/>
      <c r="AN849" s="203"/>
      <c r="AO849" s="203"/>
      <c r="AP849" s="203"/>
      <c r="AQ849" s="203"/>
      <c r="AR849" s="203"/>
      <c r="AS849" s="203"/>
      <c r="AT849" s="203"/>
      <c r="AU849" s="203"/>
      <c r="AV849" s="203"/>
      <c r="AW849" s="203"/>
      <c r="AX849" s="203"/>
      <c r="AY849" s="203"/>
      <c r="AZ849" s="203"/>
      <c r="BA849" s="203"/>
      <c r="BB849" s="203"/>
      <c r="BC849" s="203"/>
      <c r="BD849" s="203"/>
      <c r="BE849" s="203"/>
      <c r="BF849" s="203"/>
    </row>
    <row r="850" spans="1:58" s="15" customFormat="1" ht="14.1" customHeight="1">
      <c r="A850" s="247"/>
      <c r="B850" s="203"/>
      <c r="C850" s="203"/>
      <c r="D850" s="203"/>
      <c r="E850" s="203"/>
      <c r="F850" s="203"/>
      <c r="G850" s="203"/>
      <c r="H850" s="203"/>
      <c r="I850" s="203"/>
      <c r="J850" s="203"/>
      <c r="K850" s="203"/>
      <c r="L850" s="203"/>
      <c r="M850" s="203"/>
      <c r="N850" s="203"/>
      <c r="O850" s="203"/>
      <c r="P850" s="203"/>
      <c r="Q850" s="203"/>
      <c r="R850" s="203"/>
      <c r="S850" s="203"/>
      <c r="T850" s="203"/>
      <c r="U850" s="203"/>
      <c r="V850" s="203"/>
      <c r="W850" s="203"/>
      <c r="X850" s="203"/>
      <c r="Y850" s="203"/>
      <c r="Z850" s="203"/>
      <c r="AA850" s="203"/>
      <c r="AB850" s="203"/>
      <c r="AC850" s="203"/>
      <c r="AD850" s="203"/>
      <c r="AE850" s="203"/>
      <c r="AF850" s="203"/>
      <c r="AG850" s="203"/>
      <c r="AH850" s="203"/>
      <c r="AI850" s="203"/>
      <c r="AJ850" s="203"/>
      <c r="AK850" s="203"/>
      <c r="AL850" s="203"/>
      <c r="AM850" s="203"/>
      <c r="AN850" s="203"/>
      <c r="AO850" s="203"/>
      <c r="AP850" s="203"/>
      <c r="AQ850" s="203"/>
      <c r="AR850" s="203"/>
      <c r="AS850" s="203"/>
      <c r="AT850" s="203"/>
      <c r="AU850" s="203"/>
      <c r="AV850" s="203"/>
      <c r="AW850" s="203"/>
      <c r="AX850" s="203"/>
      <c r="AY850" s="203"/>
      <c r="AZ850" s="203"/>
      <c r="BA850" s="203"/>
      <c r="BB850" s="203"/>
      <c r="BC850" s="203"/>
      <c r="BD850" s="203"/>
      <c r="BE850" s="203"/>
      <c r="BF850" s="203"/>
    </row>
    <row r="851" spans="1:58" s="15" customFormat="1" ht="14.1" customHeight="1">
      <c r="A851" s="247"/>
      <c r="B851" s="203"/>
      <c r="C851" s="203"/>
      <c r="D851" s="203"/>
      <c r="E851" s="203"/>
      <c r="F851" s="203"/>
      <c r="G851" s="203"/>
      <c r="H851" s="203"/>
      <c r="I851" s="203"/>
      <c r="J851" s="203"/>
      <c r="K851" s="203"/>
      <c r="L851" s="203"/>
      <c r="M851" s="203"/>
      <c r="N851" s="203"/>
      <c r="O851" s="203"/>
      <c r="P851" s="203"/>
      <c r="Q851" s="203"/>
      <c r="R851" s="203"/>
      <c r="S851" s="203"/>
      <c r="T851" s="203"/>
      <c r="U851" s="203"/>
      <c r="V851" s="203"/>
      <c r="W851" s="203"/>
      <c r="X851" s="203"/>
      <c r="Y851" s="203"/>
      <c r="Z851" s="203"/>
      <c r="AA851" s="203"/>
      <c r="AB851" s="203"/>
      <c r="AC851" s="203"/>
      <c r="AD851" s="203"/>
      <c r="AE851" s="203"/>
      <c r="AF851" s="203"/>
      <c r="AG851" s="203"/>
      <c r="AH851" s="203"/>
      <c r="AI851" s="203"/>
      <c r="AJ851" s="203"/>
      <c r="AK851" s="203"/>
      <c r="AL851" s="203"/>
      <c r="AM851" s="203"/>
      <c r="AN851" s="203"/>
      <c r="AO851" s="203"/>
      <c r="AP851" s="203"/>
      <c r="AQ851" s="203"/>
      <c r="AR851" s="203"/>
      <c r="AS851" s="203"/>
      <c r="AT851" s="203"/>
      <c r="AU851" s="203"/>
      <c r="AV851" s="203"/>
      <c r="AW851" s="203"/>
      <c r="AX851" s="203"/>
      <c r="AY851" s="203"/>
      <c r="AZ851" s="203"/>
      <c r="BA851" s="203"/>
      <c r="BB851" s="203"/>
      <c r="BC851" s="203"/>
      <c r="BD851" s="203"/>
      <c r="BE851" s="203"/>
      <c r="BF851" s="203"/>
    </row>
    <row r="852" spans="1:58" s="15" customFormat="1" ht="14.1" customHeight="1">
      <c r="A852" s="247"/>
      <c r="B852" s="203"/>
      <c r="C852" s="203"/>
      <c r="D852" s="203"/>
      <c r="E852" s="203"/>
      <c r="F852" s="203"/>
      <c r="G852" s="203"/>
      <c r="H852" s="203"/>
      <c r="I852" s="203"/>
      <c r="J852" s="203"/>
      <c r="K852" s="203"/>
      <c r="L852" s="203"/>
      <c r="M852" s="203"/>
      <c r="N852" s="203"/>
      <c r="O852" s="203"/>
      <c r="P852" s="203"/>
      <c r="Q852" s="203"/>
      <c r="R852" s="203"/>
      <c r="S852" s="203"/>
      <c r="T852" s="203"/>
      <c r="U852" s="203"/>
      <c r="V852" s="203"/>
      <c r="W852" s="203"/>
      <c r="X852" s="203"/>
      <c r="Y852" s="203"/>
      <c r="Z852" s="203"/>
      <c r="AA852" s="203"/>
      <c r="AB852" s="203"/>
      <c r="AC852" s="203"/>
      <c r="AD852" s="203"/>
      <c r="AE852" s="203"/>
      <c r="AF852" s="203"/>
      <c r="AG852" s="203"/>
      <c r="AH852" s="203"/>
      <c r="AI852" s="203"/>
      <c r="AJ852" s="203"/>
      <c r="AK852" s="203"/>
      <c r="AL852" s="203"/>
      <c r="AM852" s="203"/>
      <c r="AN852" s="203"/>
      <c r="AO852" s="203"/>
      <c r="AP852" s="203"/>
      <c r="AQ852" s="203"/>
      <c r="AR852" s="203"/>
      <c r="AS852" s="203"/>
      <c r="AT852" s="203"/>
      <c r="AU852" s="203"/>
      <c r="AV852" s="203"/>
      <c r="AW852" s="203"/>
      <c r="AX852" s="203"/>
      <c r="AY852" s="203"/>
      <c r="AZ852" s="203"/>
      <c r="BA852" s="203"/>
      <c r="BB852" s="203"/>
      <c r="BC852" s="203"/>
      <c r="BD852" s="203"/>
      <c r="BE852" s="203"/>
      <c r="BF852" s="203"/>
    </row>
    <row r="853" spans="1:58" s="15" customFormat="1" ht="14.1" customHeight="1">
      <c r="A853" s="247"/>
      <c r="B853" s="203"/>
      <c r="C853" s="203"/>
      <c r="D853" s="203"/>
      <c r="E853" s="203"/>
      <c r="F853" s="203"/>
      <c r="G853" s="203"/>
      <c r="H853" s="203"/>
      <c r="I853" s="203"/>
      <c r="J853" s="203"/>
      <c r="K853" s="203"/>
      <c r="L853" s="203"/>
      <c r="M853" s="203"/>
      <c r="N853" s="203"/>
      <c r="O853" s="203"/>
      <c r="P853" s="203"/>
      <c r="Q853" s="203"/>
      <c r="R853" s="203"/>
      <c r="S853" s="203"/>
      <c r="T853" s="203"/>
      <c r="U853" s="203"/>
      <c r="V853" s="203"/>
      <c r="W853" s="203"/>
      <c r="X853" s="203"/>
      <c r="Y853" s="203"/>
      <c r="Z853" s="203"/>
      <c r="AA853" s="203"/>
      <c r="AB853" s="203"/>
      <c r="AC853" s="203"/>
      <c r="AD853" s="203"/>
      <c r="AE853" s="203"/>
      <c r="AF853" s="203"/>
      <c r="AG853" s="203"/>
      <c r="AH853" s="203"/>
      <c r="AI853" s="203"/>
      <c r="AJ853" s="203"/>
      <c r="AK853" s="203"/>
      <c r="AL853" s="203"/>
      <c r="AM853" s="203"/>
      <c r="AN853" s="203"/>
      <c r="AO853" s="203"/>
      <c r="AP853" s="203"/>
      <c r="AQ853" s="203"/>
      <c r="AR853" s="203"/>
      <c r="AS853" s="203"/>
      <c r="AT853" s="203"/>
      <c r="AU853" s="203"/>
      <c r="AV853" s="203"/>
      <c r="AW853" s="203"/>
      <c r="AX853" s="203"/>
      <c r="AY853" s="203"/>
      <c r="AZ853" s="203"/>
      <c r="BA853" s="203"/>
      <c r="BB853" s="203"/>
      <c r="BC853" s="203"/>
      <c r="BD853" s="203"/>
      <c r="BE853" s="203"/>
      <c r="BF853" s="203"/>
    </row>
    <row r="854" spans="1:58" s="15" customFormat="1" ht="14.1" customHeight="1">
      <c r="A854" s="247"/>
      <c r="B854" s="203"/>
      <c r="C854" s="203"/>
      <c r="D854" s="203"/>
      <c r="E854" s="203"/>
      <c r="F854" s="203"/>
      <c r="G854" s="203"/>
      <c r="H854" s="203"/>
      <c r="I854" s="203"/>
      <c r="J854" s="203"/>
      <c r="K854" s="203"/>
      <c r="L854" s="203"/>
      <c r="M854" s="203"/>
      <c r="N854" s="203"/>
      <c r="O854" s="203"/>
      <c r="P854" s="203"/>
      <c r="Q854" s="203"/>
      <c r="R854" s="203"/>
      <c r="S854" s="203"/>
      <c r="T854" s="203"/>
      <c r="U854" s="203"/>
      <c r="V854" s="203"/>
      <c r="W854" s="203"/>
      <c r="X854" s="203"/>
      <c r="Y854" s="203"/>
      <c r="Z854" s="203"/>
      <c r="AA854" s="203"/>
      <c r="AB854" s="203"/>
      <c r="AC854" s="203"/>
      <c r="AD854" s="203"/>
      <c r="AE854" s="203"/>
      <c r="AF854" s="203"/>
      <c r="AG854" s="203"/>
      <c r="AH854" s="203"/>
      <c r="AI854" s="203"/>
      <c r="AJ854" s="203"/>
      <c r="AK854" s="203"/>
      <c r="AL854" s="203"/>
      <c r="AM854" s="203"/>
      <c r="AN854" s="203"/>
      <c r="AO854" s="203"/>
      <c r="AP854" s="203"/>
      <c r="AQ854" s="203"/>
      <c r="AR854" s="203"/>
      <c r="AS854" s="203"/>
      <c r="AT854" s="203"/>
      <c r="AU854" s="203"/>
      <c r="AV854" s="203"/>
      <c r="AW854" s="203"/>
      <c r="AX854" s="203"/>
      <c r="AY854" s="203"/>
      <c r="AZ854" s="203"/>
      <c r="BA854" s="203"/>
      <c r="BB854" s="203"/>
      <c r="BC854" s="203"/>
      <c r="BD854" s="203"/>
      <c r="BE854" s="203"/>
      <c r="BF854" s="203"/>
    </row>
    <row r="855" spans="1:58" s="15" customFormat="1" ht="14.1" customHeight="1">
      <c r="A855" s="247"/>
      <c r="B855" s="203"/>
      <c r="C855" s="203"/>
      <c r="D855" s="203"/>
      <c r="E855" s="203"/>
      <c r="F855" s="203"/>
      <c r="G855" s="203"/>
      <c r="H855" s="203"/>
      <c r="I855" s="203"/>
      <c r="J855" s="203"/>
      <c r="K855" s="203"/>
      <c r="L855" s="203"/>
      <c r="M855" s="203"/>
      <c r="N855" s="203"/>
      <c r="O855" s="203"/>
      <c r="P855" s="203"/>
      <c r="Q855" s="203"/>
      <c r="R855" s="203"/>
      <c r="S855" s="203"/>
      <c r="T855" s="203"/>
      <c r="U855" s="203"/>
      <c r="V855" s="203"/>
      <c r="W855" s="203"/>
      <c r="X855" s="203"/>
      <c r="Y855" s="203"/>
      <c r="Z855" s="203"/>
      <c r="AA855" s="203"/>
      <c r="AB855" s="203"/>
      <c r="AC855" s="203"/>
      <c r="AD855" s="203"/>
      <c r="AE855" s="203"/>
      <c r="AF855" s="203"/>
      <c r="AG855" s="203"/>
      <c r="AH855" s="203"/>
      <c r="AI855" s="203"/>
      <c r="AJ855" s="203"/>
      <c r="AK855" s="203"/>
      <c r="AL855" s="203"/>
      <c r="AM855" s="203"/>
      <c r="AN855" s="203"/>
      <c r="AO855" s="203"/>
      <c r="AP855" s="203"/>
      <c r="AQ855" s="203"/>
      <c r="AR855" s="203"/>
      <c r="AS855" s="203"/>
      <c r="AT855" s="203"/>
      <c r="AU855" s="203"/>
      <c r="AV855" s="203"/>
      <c r="AW855" s="203"/>
      <c r="AX855" s="203"/>
      <c r="AY855" s="203"/>
      <c r="AZ855" s="203"/>
      <c r="BA855" s="203"/>
      <c r="BB855" s="203"/>
      <c r="BC855" s="203"/>
      <c r="BD855" s="203"/>
      <c r="BE855" s="203"/>
      <c r="BF855" s="203"/>
    </row>
    <row r="856" spans="1:58" s="15" customFormat="1" ht="14.1" customHeight="1">
      <c r="A856" s="247"/>
      <c r="B856" s="203"/>
      <c r="C856" s="203"/>
      <c r="D856" s="203"/>
      <c r="E856" s="203"/>
      <c r="F856" s="203"/>
      <c r="G856" s="203"/>
      <c r="H856" s="203"/>
      <c r="I856" s="203"/>
      <c r="J856" s="203"/>
      <c r="K856" s="203"/>
      <c r="L856" s="203"/>
      <c r="M856" s="203"/>
      <c r="N856" s="203"/>
      <c r="O856" s="203"/>
      <c r="P856" s="203"/>
      <c r="Q856" s="203"/>
      <c r="R856" s="203"/>
      <c r="S856" s="203"/>
      <c r="T856" s="203"/>
      <c r="U856" s="203"/>
      <c r="V856" s="203"/>
      <c r="W856" s="203"/>
      <c r="X856" s="203"/>
      <c r="Y856" s="203"/>
      <c r="Z856" s="203"/>
      <c r="AA856" s="203"/>
      <c r="AB856" s="203"/>
      <c r="AC856" s="203"/>
      <c r="AD856" s="203"/>
      <c r="AE856" s="203"/>
      <c r="AF856" s="203"/>
      <c r="AG856" s="203"/>
      <c r="AH856" s="203"/>
      <c r="AI856" s="203"/>
      <c r="AJ856" s="203"/>
      <c r="AK856" s="203"/>
      <c r="AL856" s="203"/>
      <c r="AM856" s="203"/>
      <c r="AN856" s="203"/>
      <c r="AO856" s="203"/>
      <c r="AP856" s="203"/>
      <c r="AQ856" s="203"/>
      <c r="AR856" s="203"/>
      <c r="AS856" s="203"/>
      <c r="AT856" s="203"/>
      <c r="AU856" s="203"/>
      <c r="AV856" s="203"/>
      <c r="AW856" s="203"/>
      <c r="AX856" s="203"/>
      <c r="AY856" s="203"/>
      <c r="AZ856" s="203"/>
      <c r="BA856" s="203"/>
      <c r="BB856" s="203"/>
      <c r="BC856" s="203"/>
      <c r="BD856" s="203"/>
      <c r="BE856" s="203"/>
      <c r="BF856" s="203"/>
    </row>
    <row r="857" spans="1:58" s="15" customFormat="1" ht="14.1" customHeight="1">
      <c r="A857" s="247"/>
      <c r="B857" s="203"/>
      <c r="C857" s="203"/>
      <c r="D857" s="203"/>
      <c r="E857" s="203"/>
      <c r="F857" s="203"/>
      <c r="G857" s="203"/>
      <c r="H857" s="203"/>
      <c r="I857" s="203"/>
      <c r="J857" s="203"/>
      <c r="K857" s="203"/>
      <c r="L857" s="203"/>
      <c r="M857" s="203"/>
      <c r="N857" s="203"/>
      <c r="O857" s="203"/>
      <c r="P857" s="203"/>
      <c r="Q857" s="203"/>
      <c r="R857" s="203"/>
      <c r="S857" s="203"/>
      <c r="T857" s="203"/>
      <c r="U857" s="203"/>
      <c r="V857" s="203"/>
      <c r="W857" s="203"/>
      <c r="X857" s="203"/>
      <c r="Y857" s="203"/>
      <c r="Z857" s="203"/>
      <c r="AA857" s="203"/>
      <c r="AB857" s="203"/>
      <c r="AC857" s="203"/>
      <c r="AD857" s="203"/>
      <c r="AE857" s="203"/>
      <c r="AF857" s="203"/>
      <c r="AG857" s="203"/>
      <c r="AH857" s="203"/>
      <c r="AI857" s="203"/>
      <c r="AJ857" s="203"/>
      <c r="AK857" s="203"/>
      <c r="AL857" s="203"/>
      <c r="AM857" s="203"/>
      <c r="AN857" s="203"/>
      <c r="AO857" s="203"/>
      <c r="AP857" s="203"/>
      <c r="AQ857" s="203"/>
      <c r="AR857" s="203"/>
      <c r="AS857" s="203"/>
      <c r="AT857" s="203"/>
      <c r="AU857" s="203"/>
      <c r="AV857" s="203"/>
      <c r="AW857" s="203"/>
      <c r="AX857" s="203"/>
      <c r="AY857" s="203"/>
      <c r="AZ857" s="203"/>
      <c r="BA857" s="203"/>
      <c r="BB857" s="203"/>
      <c r="BC857" s="203"/>
      <c r="BD857" s="203"/>
      <c r="BE857" s="203"/>
      <c r="BF857" s="203"/>
    </row>
    <row r="858" spans="1:58" s="15" customFormat="1" ht="14.1" customHeight="1">
      <c r="A858" s="247"/>
      <c r="B858" s="203"/>
      <c r="C858" s="203"/>
      <c r="D858" s="203"/>
      <c r="E858" s="203"/>
      <c r="F858" s="203"/>
      <c r="G858" s="203"/>
      <c r="H858" s="203"/>
      <c r="I858" s="203"/>
      <c r="J858" s="203"/>
      <c r="K858" s="203"/>
      <c r="L858" s="203"/>
      <c r="M858" s="203"/>
      <c r="N858" s="203"/>
      <c r="O858" s="203"/>
      <c r="P858" s="203"/>
      <c r="Q858" s="203"/>
      <c r="R858" s="203"/>
      <c r="S858" s="203"/>
      <c r="T858" s="203"/>
      <c r="U858" s="203"/>
      <c r="V858" s="203"/>
      <c r="W858" s="203"/>
      <c r="X858" s="203"/>
      <c r="Y858" s="203"/>
      <c r="Z858" s="203"/>
      <c r="AA858" s="203"/>
      <c r="AB858" s="203"/>
      <c r="AC858" s="203"/>
      <c r="AD858" s="203"/>
      <c r="AE858" s="203"/>
      <c r="AF858" s="203"/>
      <c r="AG858" s="203"/>
      <c r="AH858" s="203"/>
      <c r="AI858" s="203"/>
      <c r="AJ858" s="203"/>
      <c r="AK858" s="203"/>
      <c r="AL858" s="203"/>
      <c r="AM858" s="203"/>
      <c r="AN858" s="203"/>
      <c r="AO858" s="203"/>
      <c r="AP858" s="203"/>
      <c r="AQ858" s="203"/>
      <c r="AR858" s="203"/>
      <c r="AS858" s="203"/>
      <c r="AT858" s="203"/>
      <c r="AU858" s="203"/>
      <c r="AV858" s="203"/>
      <c r="AW858" s="203"/>
      <c r="AX858" s="203"/>
      <c r="AY858" s="203"/>
      <c r="AZ858" s="203"/>
      <c r="BA858" s="203"/>
      <c r="BB858" s="203"/>
      <c r="BC858" s="203"/>
      <c r="BD858" s="203"/>
      <c r="BE858" s="203"/>
      <c r="BF858" s="203"/>
    </row>
    <row r="859" spans="1:58" s="15" customFormat="1" ht="14.1" customHeight="1">
      <c r="A859" s="247"/>
      <c r="B859" s="203"/>
      <c r="C859" s="203"/>
      <c r="D859" s="203"/>
      <c r="E859" s="203"/>
      <c r="F859" s="203"/>
      <c r="G859" s="203"/>
      <c r="H859" s="203"/>
      <c r="I859" s="203"/>
      <c r="J859" s="203"/>
      <c r="K859" s="203"/>
      <c r="L859" s="203"/>
      <c r="M859" s="203"/>
      <c r="N859" s="203"/>
      <c r="O859" s="203"/>
      <c r="P859" s="203"/>
      <c r="Q859" s="203"/>
      <c r="R859" s="203"/>
      <c r="S859" s="203"/>
      <c r="T859" s="203"/>
      <c r="U859" s="203"/>
      <c r="V859" s="203"/>
      <c r="W859" s="203"/>
      <c r="X859" s="203"/>
      <c r="Y859" s="203"/>
      <c r="Z859" s="203"/>
      <c r="AA859" s="203"/>
      <c r="AB859" s="203"/>
      <c r="AC859" s="203"/>
      <c r="AD859" s="203"/>
      <c r="AE859" s="203"/>
      <c r="AF859" s="203"/>
      <c r="AG859" s="203"/>
      <c r="AH859" s="203"/>
      <c r="AI859" s="203"/>
      <c r="AJ859" s="203"/>
      <c r="AK859" s="203"/>
      <c r="AL859" s="203"/>
      <c r="AM859" s="203"/>
      <c r="AN859" s="203"/>
      <c r="AO859" s="203"/>
      <c r="AP859" s="203"/>
      <c r="AQ859" s="203"/>
      <c r="AR859" s="203"/>
      <c r="AS859" s="203"/>
      <c r="AT859" s="203"/>
      <c r="AU859" s="203"/>
      <c r="AV859" s="203"/>
      <c r="AW859" s="203"/>
      <c r="AX859" s="203"/>
      <c r="AY859" s="203"/>
      <c r="AZ859" s="203"/>
      <c r="BA859" s="203"/>
      <c r="BB859" s="203"/>
      <c r="BC859" s="203"/>
      <c r="BD859" s="203"/>
      <c r="BE859" s="203"/>
      <c r="BF859" s="203"/>
    </row>
    <row r="860" spans="1:58" s="15" customFormat="1" ht="14.1" customHeight="1">
      <c r="A860" s="247"/>
      <c r="B860" s="203"/>
      <c r="C860" s="203"/>
      <c r="D860" s="203"/>
      <c r="E860" s="203"/>
      <c r="F860" s="203"/>
      <c r="G860" s="203"/>
      <c r="H860" s="203"/>
      <c r="I860" s="203"/>
      <c r="J860" s="203"/>
      <c r="K860" s="203"/>
      <c r="L860" s="203"/>
      <c r="M860" s="203"/>
      <c r="N860" s="203"/>
      <c r="O860" s="203"/>
      <c r="P860" s="203"/>
      <c r="Q860" s="203"/>
      <c r="R860" s="203"/>
      <c r="S860" s="203"/>
      <c r="T860" s="203"/>
      <c r="U860" s="203"/>
      <c r="V860" s="203"/>
      <c r="W860" s="203"/>
      <c r="X860" s="203"/>
      <c r="Y860" s="203"/>
      <c r="Z860" s="203"/>
      <c r="AA860" s="203"/>
      <c r="AB860" s="203"/>
      <c r="AC860" s="203"/>
      <c r="AD860" s="203"/>
      <c r="AE860" s="203"/>
      <c r="AF860" s="203"/>
      <c r="AG860" s="203"/>
      <c r="AH860" s="203"/>
      <c r="AI860" s="203"/>
      <c r="AJ860" s="203"/>
      <c r="AK860" s="203"/>
      <c r="AL860" s="203"/>
      <c r="AM860" s="203"/>
      <c r="AN860" s="203"/>
      <c r="AO860" s="203"/>
      <c r="AP860" s="203"/>
      <c r="AQ860" s="203"/>
      <c r="AR860" s="203"/>
      <c r="AS860" s="203"/>
      <c r="AT860" s="203"/>
      <c r="AU860" s="203"/>
      <c r="AV860" s="203"/>
      <c r="AW860" s="203"/>
      <c r="AX860" s="203"/>
      <c r="AY860" s="203"/>
      <c r="AZ860" s="203"/>
      <c r="BA860" s="203"/>
      <c r="BB860" s="203"/>
      <c r="BC860" s="203"/>
      <c r="BD860" s="203"/>
      <c r="BE860" s="203"/>
      <c r="BF860" s="203"/>
    </row>
    <row r="861" spans="1:58" s="15" customFormat="1" ht="14.1" customHeight="1">
      <c r="A861" s="247"/>
      <c r="B861" s="203"/>
      <c r="C861" s="203"/>
      <c r="D861" s="203"/>
      <c r="E861" s="203"/>
      <c r="F861" s="203"/>
      <c r="G861" s="203"/>
      <c r="H861" s="203"/>
      <c r="I861" s="203"/>
      <c r="J861" s="203"/>
      <c r="K861" s="203"/>
      <c r="L861" s="203"/>
      <c r="M861" s="203"/>
      <c r="N861" s="203"/>
      <c r="O861" s="203"/>
      <c r="P861" s="203"/>
      <c r="Q861" s="203"/>
      <c r="R861" s="203"/>
      <c r="S861" s="203"/>
      <c r="T861" s="203"/>
      <c r="U861" s="203"/>
      <c r="V861" s="203"/>
      <c r="W861" s="203"/>
      <c r="X861" s="203"/>
      <c r="Y861" s="203"/>
      <c r="Z861" s="203"/>
      <c r="AA861" s="203"/>
      <c r="AB861" s="203"/>
      <c r="AC861" s="203"/>
      <c r="AD861" s="203"/>
      <c r="AE861" s="203"/>
      <c r="AF861" s="203"/>
      <c r="AG861" s="203"/>
      <c r="AH861" s="203"/>
      <c r="AI861" s="203"/>
      <c r="AJ861" s="203"/>
      <c r="AK861" s="203"/>
      <c r="AL861" s="203"/>
      <c r="AM861" s="203"/>
      <c r="AN861" s="203"/>
      <c r="AO861" s="203"/>
      <c r="AP861" s="203"/>
      <c r="AQ861" s="203"/>
      <c r="AR861" s="203"/>
      <c r="AS861" s="203"/>
      <c r="AT861" s="203"/>
      <c r="AU861" s="203"/>
      <c r="AV861" s="203"/>
      <c r="AW861" s="203"/>
      <c r="AX861" s="203"/>
      <c r="AY861" s="203"/>
      <c r="AZ861" s="203"/>
      <c r="BA861" s="203"/>
      <c r="BB861" s="203"/>
      <c r="BC861" s="203"/>
      <c r="BD861" s="203"/>
      <c r="BE861" s="203"/>
      <c r="BF861" s="203"/>
    </row>
    <row r="862" spans="1:58" s="15" customFormat="1" ht="14.1" customHeight="1">
      <c r="A862" s="247"/>
      <c r="B862" s="203"/>
      <c r="C862" s="203"/>
      <c r="D862" s="203"/>
      <c r="E862" s="203"/>
      <c r="F862" s="203"/>
      <c r="G862" s="203"/>
      <c r="H862" s="203"/>
      <c r="I862" s="203"/>
      <c r="J862" s="203"/>
      <c r="K862" s="203"/>
      <c r="L862" s="203"/>
      <c r="M862" s="203"/>
      <c r="N862" s="203"/>
      <c r="O862" s="203"/>
      <c r="P862" s="203"/>
      <c r="Q862" s="203"/>
      <c r="R862" s="203"/>
      <c r="S862" s="203"/>
      <c r="T862" s="203"/>
      <c r="U862" s="203"/>
      <c r="V862" s="203"/>
      <c r="W862" s="203"/>
      <c r="X862" s="203"/>
      <c r="Y862" s="203"/>
      <c r="Z862" s="203"/>
      <c r="AA862" s="203"/>
      <c r="AB862" s="203"/>
      <c r="AC862" s="203"/>
      <c r="AD862" s="203"/>
      <c r="AE862" s="203"/>
      <c r="AF862" s="203"/>
      <c r="AG862" s="203"/>
      <c r="AH862" s="203"/>
      <c r="AI862" s="203"/>
      <c r="AJ862" s="203"/>
      <c r="AK862" s="203"/>
      <c r="AL862" s="203"/>
      <c r="AM862" s="203"/>
      <c r="AN862" s="203"/>
      <c r="AO862" s="203"/>
      <c r="AP862" s="203"/>
      <c r="AQ862" s="203"/>
      <c r="AR862" s="203"/>
      <c r="AS862" s="203"/>
      <c r="AT862" s="203"/>
      <c r="AU862" s="203"/>
      <c r="AV862" s="203"/>
      <c r="AW862" s="203"/>
      <c r="AX862" s="203"/>
      <c r="AY862" s="203"/>
      <c r="AZ862" s="203"/>
      <c r="BA862" s="203"/>
      <c r="BB862" s="203"/>
      <c r="BC862" s="203"/>
      <c r="BD862" s="203"/>
      <c r="BE862" s="203"/>
      <c r="BF862" s="203"/>
    </row>
    <row r="863" spans="1:58" s="15" customFormat="1" ht="14.1" customHeight="1">
      <c r="A863" s="247"/>
      <c r="B863" s="203"/>
      <c r="C863" s="203"/>
      <c r="D863" s="203"/>
      <c r="E863" s="203"/>
      <c r="F863" s="203"/>
      <c r="G863" s="203"/>
      <c r="H863" s="203"/>
      <c r="I863" s="203"/>
      <c r="J863" s="203"/>
      <c r="K863" s="203"/>
      <c r="L863" s="203"/>
      <c r="M863" s="203"/>
      <c r="N863" s="203"/>
      <c r="O863" s="203"/>
      <c r="P863" s="203"/>
      <c r="Q863" s="203"/>
      <c r="R863" s="203"/>
      <c r="S863" s="203"/>
      <c r="T863" s="203"/>
      <c r="U863" s="203"/>
      <c r="V863" s="203"/>
      <c r="W863" s="203"/>
      <c r="X863" s="203"/>
      <c r="Y863" s="203"/>
      <c r="Z863" s="203"/>
      <c r="AA863" s="203"/>
      <c r="AB863" s="203"/>
      <c r="AC863" s="203"/>
      <c r="AD863" s="203"/>
      <c r="AE863" s="203"/>
      <c r="AF863" s="203"/>
      <c r="AG863" s="203"/>
      <c r="AH863" s="203"/>
      <c r="AI863" s="203"/>
      <c r="AJ863" s="203"/>
      <c r="AK863" s="203"/>
      <c r="AL863" s="203"/>
      <c r="AM863" s="203"/>
      <c r="AN863" s="203"/>
      <c r="AO863" s="203"/>
      <c r="AP863" s="203"/>
      <c r="AQ863" s="203"/>
      <c r="AR863" s="203"/>
      <c r="AS863" s="203"/>
      <c r="AT863" s="203"/>
      <c r="AU863" s="203"/>
      <c r="AV863" s="203"/>
      <c r="AW863" s="203"/>
      <c r="AX863" s="203"/>
      <c r="AY863" s="203"/>
      <c r="AZ863" s="203"/>
      <c r="BA863" s="203"/>
      <c r="BB863" s="203"/>
      <c r="BC863" s="203"/>
      <c r="BD863" s="203"/>
      <c r="BE863" s="203"/>
      <c r="BF863" s="203"/>
    </row>
    <row r="864" spans="1:58" s="15" customFormat="1" ht="14.1" customHeight="1">
      <c r="A864" s="247"/>
      <c r="B864" s="203"/>
      <c r="C864" s="203"/>
      <c r="D864" s="203"/>
      <c r="E864" s="203"/>
      <c r="F864" s="203"/>
      <c r="G864" s="203"/>
      <c r="H864" s="203"/>
      <c r="I864" s="203"/>
      <c r="J864" s="203"/>
      <c r="K864" s="203"/>
      <c r="L864" s="203"/>
      <c r="M864" s="203"/>
      <c r="N864" s="203"/>
      <c r="O864" s="203"/>
      <c r="P864" s="203"/>
      <c r="Q864" s="203"/>
      <c r="R864" s="203"/>
      <c r="S864" s="203"/>
      <c r="T864" s="203"/>
      <c r="U864" s="203"/>
      <c r="V864" s="203"/>
      <c r="W864" s="203"/>
      <c r="X864" s="203"/>
      <c r="Y864" s="203"/>
      <c r="Z864" s="203"/>
      <c r="AA864" s="203"/>
      <c r="AB864" s="203"/>
      <c r="AC864" s="203"/>
      <c r="AD864" s="203"/>
      <c r="AE864" s="203"/>
      <c r="AF864" s="203"/>
      <c r="AG864" s="203"/>
      <c r="AH864" s="203"/>
      <c r="AI864" s="203"/>
      <c r="AJ864" s="203"/>
      <c r="AK864" s="203"/>
      <c r="AL864" s="203"/>
      <c r="AM864" s="203"/>
      <c r="AN864" s="203"/>
      <c r="AO864" s="203"/>
      <c r="AP864" s="203"/>
      <c r="AQ864" s="203"/>
      <c r="AR864" s="203"/>
      <c r="AS864" s="203"/>
      <c r="AT864" s="203"/>
      <c r="AU864" s="203"/>
      <c r="AV864" s="203"/>
      <c r="AW864" s="203"/>
      <c r="AX864" s="203"/>
      <c r="AY864" s="203"/>
      <c r="AZ864" s="203"/>
      <c r="BA864" s="203"/>
      <c r="BB864" s="203"/>
      <c r="BC864" s="203"/>
      <c r="BD864" s="203"/>
      <c r="BE864" s="203"/>
      <c r="BF864" s="203"/>
    </row>
    <row r="865" spans="1:58" s="15" customFormat="1" ht="14.1" customHeight="1">
      <c r="A865" s="247"/>
      <c r="B865" s="203"/>
      <c r="C865" s="203"/>
      <c r="D865" s="203"/>
      <c r="E865" s="203"/>
      <c r="F865" s="203"/>
      <c r="G865" s="203"/>
      <c r="H865" s="203"/>
      <c r="I865" s="203"/>
      <c r="J865" s="203"/>
      <c r="K865" s="203"/>
      <c r="L865" s="203"/>
      <c r="M865" s="203"/>
      <c r="N865" s="203"/>
      <c r="O865" s="203"/>
      <c r="P865" s="203"/>
      <c r="Q865" s="203"/>
      <c r="R865" s="203"/>
      <c r="S865" s="203"/>
      <c r="T865" s="203"/>
      <c r="U865" s="203"/>
      <c r="V865" s="203"/>
      <c r="W865" s="203"/>
      <c r="X865" s="203"/>
      <c r="Y865" s="203"/>
      <c r="Z865" s="203"/>
      <c r="AA865" s="203"/>
      <c r="AB865" s="203"/>
      <c r="AC865" s="203"/>
      <c r="AD865" s="203"/>
      <c r="AE865" s="203"/>
      <c r="AF865" s="203"/>
      <c r="AG865" s="203"/>
      <c r="AH865" s="203"/>
      <c r="AI865" s="203"/>
      <c r="AJ865" s="203"/>
      <c r="AK865" s="203"/>
      <c r="AL865" s="203"/>
      <c r="AM865" s="203"/>
      <c r="AN865" s="203"/>
      <c r="AO865" s="203"/>
      <c r="AP865" s="203"/>
      <c r="AQ865" s="203"/>
      <c r="AR865" s="203"/>
      <c r="AS865" s="203"/>
      <c r="AT865" s="203"/>
      <c r="AU865" s="203"/>
      <c r="AV865" s="203"/>
      <c r="AW865" s="203"/>
      <c r="AX865" s="203"/>
      <c r="AY865" s="203"/>
      <c r="AZ865" s="203"/>
      <c r="BA865" s="203"/>
      <c r="BB865" s="203"/>
      <c r="BC865" s="203"/>
      <c r="BD865" s="203"/>
      <c r="BE865" s="203"/>
      <c r="BF865" s="203"/>
    </row>
    <row r="866" spans="1:58" s="15" customFormat="1" ht="14.1" customHeight="1">
      <c r="A866" s="247"/>
      <c r="B866" s="203"/>
      <c r="C866" s="203"/>
      <c r="D866" s="203"/>
      <c r="E866" s="203"/>
      <c r="F866" s="203"/>
      <c r="G866" s="203"/>
      <c r="H866" s="203"/>
      <c r="I866" s="203"/>
      <c r="J866" s="203"/>
      <c r="K866" s="203"/>
      <c r="L866" s="203"/>
      <c r="M866" s="203"/>
      <c r="N866" s="203"/>
      <c r="O866" s="203"/>
      <c r="P866" s="203"/>
      <c r="Q866" s="203"/>
      <c r="R866" s="203"/>
      <c r="S866" s="203"/>
      <c r="T866" s="203"/>
      <c r="U866" s="203"/>
      <c r="V866" s="203"/>
      <c r="W866" s="203"/>
      <c r="X866" s="203"/>
      <c r="Y866" s="203"/>
      <c r="Z866" s="203"/>
      <c r="AA866" s="203"/>
      <c r="AB866" s="203"/>
      <c r="AC866" s="203"/>
      <c r="AD866" s="203"/>
      <c r="AE866" s="203"/>
      <c r="AF866" s="203"/>
      <c r="AG866" s="203"/>
      <c r="AH866" s="203"/>
      <c r="AI866" s="203"/>
      <c r="AJ866" s="203"/>
      <c r="AK866" s="203"/>
      <c r="AL866" s="203"/>
      <c r="AM866" s="203"/>
      <c r="AN866" s="203"/>
      <c r="AO866" s="203"/>
      <c r="AP866" s="203"/>
      <c r="AQ866" s="203"/>
      <c r="AR866" s="203"/>
      <c r="AS866" s="203"/>
      <c r="AT866" s="203"/>
      <c r="AU866" s="203"/>
      <c r="AV866" s="203"/>
      <c r="AW866" s="203"/>
      <c r="AX866" s="203"/>
      <c r="AY866" s="203"/>
      <c r="AZ866" s="203"/>
      <c r="BA866" s="203"/>
      <c r="BB866" s="203"/>
      <c r="BC866" s="203"/>
      <c r="BD866" s="203"/>
      <c r="BE866" s="203"/>
      <c r="BF866" s="203"/>
    </row>
    <row r="867" spans="1:58" s="15" customFormat="1" ht="14.1" customHeight="1">
      <c r="A867" s="247"/>
      <c r="B867" s="203"/>
      <c r="C867" s="203"/>
      <c r="D867" s="203"/>
      <c r="E867" s="203"/>
      <c r="F867" s="203"/>
      <c r="G867" s="203"/>
      <c r="H867" s="203"/>
      <c r="I867" s="203"/>
      <c r="J867" s="203"/>
      <c r="K867" s="203"/>
      <c r="L867" s="203"/>
      <c r="M867" s="203"/>
      <c r="N867" s="203"/>
      <c r="O867" s="203"/>
      <c r="P867" s="203"/>
      <c r="Q867" s="203"/>
      <c r="R867" s="203"/>
      <c r="S867" s="203"/>
      <c r="T867" s="203"/>
      <c r="U867" s="203"/>
      <c r="V867" s="203"/>
      <c r="W867" s="203"/>
      <c r="X867" s="203"/>
      <c r="Y867" s="203"/>
      <c r="Z867" s="203"/>
      <c r="AA867" s="203"/>
      <c r="AB867" s="203"/>
      <c r="AC867" s="203"/>
      <c r="AD867" s="203"/>
      <c r="AE867" s="203"/>
      <c r="AF867" s="203"/>
      <c r="AG867" s="203"/>
      <c r="AH867" s="203"/>
      <c r="AI867" s="203"/>
      <c r="AJ867" s="203"/>
      <c r="AK867" s="203"/>
      <c r="AL867" s="203"/>
      <c r="AM867" s="203"/>
      <c r="AN867" s="203"/>
      <c r="AO867" s="203"/>
      <c r="AP867" s="203"/>
      <c r="AQ867" s="203"/>
      <c r="AR867" s="203"/>
      <c r="AS867" s="203"/>
      <c r="AT867" s="203"/>
      <c r="AU867" s="203"/>
      <c r="AV867" s="203"/>
      <c r="AW867" s="203"/>
      <c r="AX867" s="203"/>
      <c r="AY867" s="203"/>
      <c r="AZ867" s="203"/>
      <c r="BA867" s="203"/>
      <c r="BB867" s="203"/>
      <c r="BC867" s="203"/>
      <c r="BD867" s="203"/>
      <c r="BE867" s="203"/>
      <c r="BF867" s="203"/>
    </row>
    <row r="868" spans="1:58" s="15" customFormat="1" ht="14.1" customHeight="1">
      <c r="A868" s="247"/>
      <c r="B868" s="203"/>
      <c r="C868" s="203"/>
      <c r="D868" s="203"/>
      <c r="E868" s="203"/>
      <c r="F868" s="203"/>
      <c r="G868" s="203"/>
      <c r="H868" s="203"/>
      <c r="I868" s="203"/>
      <c r="J868" s="203"/>
      <c r="K868" s="203"/>
      <c r="L868" s="203"/>
      <c r="M868" s="203"/>
      <c r="N868" s="203"/>
      <c r="O868" s="203"/>
      <c r="P868" s="203"/>
      <c r="Q868" s="203"/>
      <c r="R868" s="203"/>
      <c r="S868" s="203"/>
      <c r="T868" s="203"/>
      <c r="U868" s="203"/>
      <c r="V868" s="203"/>
      <c r="W868" s="203"/>
      <c r="X868" s="203"/>
      <c r="Y868" s="203"/>
      <c r="Z868" s="203"/>
      <c r="AA868" s="203"/>
      <c r="AB868" s="203"/>
      <c r="AC868" s="203"/>
      <c r="AD868" s="203"/>
      <c r="AE868" s="203"/>
      <c r="AF868" s="203"/>
      <c r="AG868" s="203"/>
      <c r="AH868" s="203"/>
      <c r="AI868" s="203"/>
      <c r="AJ868" s="203"/>
      <c r="AK868" s="203"/>
      <c r="AL868" s="203"/>
      <c r="AM868" s="203"/>
      <c r="AN868" s="203"/>
      <c r="AO868" s="203"/>
      <c r="AP868" s="203"/>
      <c r="AQ868" s="203"/>
      <c r="AR868" s="203"/>
      <c r="AS868" s="203"/>
      <c r="AT868" s="203"/>
      <c r="AU868" s="203"/>
      <c r="AV868" s="203"/>
      <c r="AW868" s="203"/>
      <c r="AX868" s="203"/>
      <c r="AY868" s="203"/>
      <c r="AZ868" s="203"/>
      <c r="BA868" s="203"/>
      <c r="BB868" s="203"/>
      <c r="BC868" s="203"/>
      <c r="BD868" s="203"/>
      <c r="BE868" s="203"/>
      <c r="BF868" s="203"/>
    </row>
    <row r="869" spans="1:58" s="15" customFormat="1" ht="14.1" customHeight="1">
      <c r="A869" s="247"/>
      <c r="B869" s="203"/>
      <c r="C869" s="203"/>
      <c r="D869" s="203"/>
      <c r="E869" s="203"/>
      <c r="F869" s="203"/>
      <c r="G869" s="203"/>
      <c r="H869" s="203"/>
      <c r="I869" s="203"/>
      <c r="J869" s="203"/>
      <c r="K869" s="203"/>
      <c r="L869" s="203"/>
      <c r="M869" s="203"/>
      <c r="N869" s="203"/>
      <c r="O869" s="203"/>
      <c r="P869" s="203"/>
      <c r="Q869" s="203"/>
      <c r="R869" s="203"/>
      <c r="S869" s="203"/>
      <c r="T869" s="203"/>
      <c r="U869" s="203"/>
      <c r="V869" s="203"/>
      <c r="W869" s="203"/>
      <c r="X869" s="203"/>
      <c r="Y869" s="203"/>
      <c r="Z869" s="203"/>
      <c r="AA869" s="203"/>
      <c r="AB869" s="203"/>
      <c r="AC869" s="203"/>
      <c r="AD869" s="203"/>
      <c r="AE869" s="203"/>
      <c r="AF869" s="203"/>
      <c r="AG869" s="203"/>
      <c r="AH869" s="203"/>
      <c r="AI869" s="203"/>
      <c r="AJ869" s="203"/>
      <c r="AK869" s="203"/>
      <c r="AL869" s="203"/>
      <c r="AM869" s="203"/>
      <c r="AN869" s="203"/>
      <c r="AO869" s="203"/>
      <c r="AP869" s="203"/>
      <c r="AQ869" s="203"/>
      <c r="AR869" s="203"/>
      <c r="AS869" s="203"/>
      <c r="AT869" s="203"/>
      <c r="AU869" s="203"/>
      <c r="AV869" s="203"/>
      <c r="AW869" s="203"/>
      <c r="AX869" s="203"/>
      <c r="AY869" s="203"/>
      <c r="AZ869" s="203"/>
      <c r="BA869" s="203"/>
      <c r="BB869" s="203"/>
      <c r="BC869" s="203"/>
      <c r="BD869" s="203"/>
      <c r="BE869" s="203"/>
      <c r="BF869" s="203"/>
    </row>
    <row r="870" spans="1:58" s="15" customFormat="1" ht="14.1" customHeight="1">
      <c r="A870" s="247"/>
      <c r="B870" s="203"/>
      <c r="C870" s="203"/>
      <c r="D870" s="203"/>
      <c r="E870" s="203"/>
      <c r="F870" s="203"/>
      <c r="G870" s="203"/>
      <c r="H870" s="203"/>
      <c r="I870" s="203"/>
      <c r="J870" s="203"/>
      <c r="K870" s="203"/>
      <c r="L870" s="203"/>
      <c r="M870" s="203"/>
      <c r="N870" s="203"/>
      <c r="O870" s="203"/>
      <c r="P870" s="203"/>
      <c r="Q870" s="203"/>
      <c r="R870" s="203"/>
      <c r="S870" s="203"/>
      <c r="T870" s="203"/>
      <c r="U870" s="203"/>
      <c r="V870" s="203"/>
      <c r="W870" s="203"/>
      <c r="X870" s="203"/>
      <c r="Y870" s="203"/>
      <c r="Z870" s="203"/>
      <c r="AA870" s="203"/>
      <c r="AB870" s="203"/>
      <c r="AC870" s="203"/>
      <c r="AD870" s="203"/>
      <c r="AE870" s="203"/>
      <c r="AF870" s="203"/>
      <c r="AG870" s="203"/>
      <c r="AH870" s="203"/>
      <c r="AI870" s="203"/>
      <c r="AJ870" s="203"/>
      <c r="AK870" s="203"/>
      <c r="AL870" s="203"/>
      <c r="AM870" s="203"/>
      <c r="AN870" s="203"/>
      <c r="AO870" s="203"/>
      <c r="AP870" s="203"/>
      <c r="AQ870" s="203"/>
      <c r="AR870" s="203"/>
      <c r="AS870" s="203"/>
      <c r="AT870" s="203"/>
      <c r="AU870" s="203"/>
      <c r="AV870" s="203"/>
      <c r="AW870" s="203"/>
      <c r="AX870" s="203"/>
      <c r="AY870" s="203"/>
      <c r="AZ870" s="203"/>
      <c r="BA870" s="203"/>
      <c r="BB870" s="203"/>
      <c r="BC870" s="203"/>
      <c r="BD870" s="203"/>
      <c r="BE870" s="203"/>
      <c r="BF870" s="203"/>
    </row>
    <row r="871" spans="1:58" s="15" customFormat="1" ht="14.1" customHeight="1">
      <c r="A871" s="247"/>
      <c r="B871" s="203"/>
      <c r="C871" s="203"/>
      <c r="D871" s="203"/>
      <c r="E871" s="203"/>
      <c r="F871" s="203"/>
      <c r="G871" s="203"/>
      <c r="H871" s="203"/>
      <c r="I871" s="203"/>
      <c r="J871" s="203"/>
      <c r="K871" s="203"/>
      <c r="L871" s="203"/>
      <c r="M871" s="203"/>
      <c r="N871" s="203"/>
      <c r="O871" s="203"/>
      <c r="P871" s="203"/>
      <c r="Q871" s="203"/>
      <c r="R871" s="203"/>
      <c r="S871" s="203"/>
      <c r="T871" s="203"/>
      <c r="U871" s="203"/>
      <c r="V871" s="203"/>
      <c r="W871" s="203"/>
      <c r="X871" s="203"/>
      <c r="Y871" s="203"/>
      <c r="Z871" s="203"/>
      <c r="AA871" s="203"/>
      <c r="AB871" s="203"/>
      <c r="AC871" s="203"/>
      <c r="AD871" s="203"/>
      <c r="AE871" s="203"/>
      <c r="AF871" s="203"/>
      <c r="AG871" s="203"/>
      <c r="AH871" s="203"/>
      <c r="AI871" s="203"/>
      <c r="AJ871" s="203"/>
      <c r="AK871" s="203"/>
      <c r="AL871" s="203"/>
      <c r="AM871" s="203"/>
      <c r="AN871" s="203"/>
      <c r="AO871" s="203"/>
      <c r="AP871" s="203"/>
      <c r="AQ871" s="203"/>
      <c r="AR871" s="203"/>
      <c r="AS871" s="203"/>
      <c r="AT871" s="203"/>
      <c r="AU871" s="203"/>
      <c r="AV871" s="203"/>
      <c r="AW871" s="203"/>
      <c r="AX871" s="203"/>
      <c r="AY871" s="203"/>
      <c r="AZ871" s="203"/>
      <c r="BA871" s="203"/>
      <c r="BB871" s="203"/>
      <c r="BC871" s="203"/>
      <c r="BD871" s="203"/>
      <c r="BE871" s="203"/>
      <c r="BF871" s="203"/>
    </row>
    <row r="872" spans="1:58" s="15" customFormat="1" ht="14.1" customHeight="1">
      <c r="A872" s="247"/>
      <c r="B872" s="203"/>
      <c r="C872" s="203"/>
      <c r="D872" s="203"/>
      <c r="E872" s="203"/>
      <c r="F872" s="203"/>
      <c r="G872" s="203"/>
      <c r="H872" s="203"/>
      <c r="I872" s="203"/>
      <c r="J872" s="203"/>
      <c r="K872" s="203"/>
      <c r="L872" s="203"/>
      <c r="M872" s="203"/>
      <c r="N872" s="203"/>
      <c r="O872" s="203"/>
      <c r="P872" s="203"/>
      <c r="Q872" s="203"/>
      <c r="R872" s="203"/>
      <c r="S872" s="203"/>
      <c r="T872" s="203"/>
      <c r="U872" s="203"/>
      <c r="V872" s="203"/>
      <c r="W872" s="203"/>
      <c r="X872" s="203"/>
      <c r="Y872" s="203"/>
      <c r="Z872" s="203"/>
      <c r="AA872" s="203"/>
      <c r="AB872" s="203"/>
      <c r="AC872" s="203"/>
      <c r="AD872" s="203"/>
      <c r="AE872" s="203"/>
      <c r="AF872" s="203"/>
      <c r="AG872" s="203"/>
      <c r="AH872" s="203"/>
      <c r="AI872" s="203"/>
      <c r="AJ872" s="203"/>
      <c r="AK872" s="203"/>
      <c r="AL872" s="203"/>
      <c r="AM872" s="203"/>
      <c r="AN872" s="203"/>
      <c r="AO872" s="203"/>
      <c r="AP872" s="203"/>
      <c r="AQ872" s="203"/>
      <c r="AR872" s="203"/>
      <c r="AS872" s="203"/>
      <c r="AT872" s="203"/>
      <c r="AU872" s="203"/>
      <c r="AV872" s="203"/>
      <c r="AW872" s="203"/>
      <c r="AX872" s="203"/>
      <c r="AY872" s="203"/>
      <c r="AZ872" s="203"/>
      <c r="BA872" s="203"/>
      <c r="BB872" s="203"/>
      <c r="BC872" s="203"/>
      <c r="BD872" s="203"/>
      <c r="BE872" s="203"/>
      <c r="BF872" s="203"/>
    </row>
    <row r="873" spans="1:58" s="15" customFormat="1" ht="14.1" customHeight="1">
      <c r="A873" s="247"/>
      <c r="B873" s="203"/>
      <c r="C873" s="203"/>
      <c r="D873" s="203"/>
      <c r="E873" s="203"/>
      <c r="F873" s="203"/>
      <c r="G873" s="203"/>
      <c r="H873" s="203"/>
      <c r="I873" s="203"/>
      <c r="J873" s="203"/>
      <c r="K873" s="203"/>
      <c r="L873" s="203"/>
      <c r="M873" s="203"/>
      <c r="N873" s="203"/>
      <c r="O873" s="203"/>
      <c r="P873" s="203"/>
      <c r="Q873" s="203"/>
      <c r="R873" s="203"/>
      <c r="S873" s="203"/>
      <c r="T873" s="203"/>
      <c r="U873" s="203"/>
      <c r="V873" s="203"/>
      <c r="W873" s="203"/>
      <c r="X873" s="203"/>
      <c r="Y873" s="203"/>
      <c r="Z873" s="203"/>
      <c r="AA873" s="203"/>
      <c r="AB873" s="203"/>
      <c r="AC873" s="203"/>
      <c r="AD873" s="203"/>
      <c r="AE873" s="203"/>
      <c r="AF873" s="203"/>
      <c r="AG873" s="203"/>
      <c r="AH873" s="203"/>
      <c r="AI873" s="203"/>
      <c r="AJ873" s="203"/>
      <c r="AK873" s="203"/>
      <c r="AL873" s="203"/>
      <c r="AM873" s="203"/>
      <c r="AN873" s="203"/>
      <c r="AO873" s="203"/>
      <c r="AP873" s="203"/>
      <c r="AQ873" s="203"/>
      <c r="AR873" s="203"/>
      <c r="AS873" s="203"/>
      <c r="AT873" s="203"/>
      <c r="AU873" s="203"/>
      <c r="AV873" s="203"/>
      <c r="AW873" s="203"/>
      <c r="AX873" s="203"/>
      <c r="AY873" s="203"/>
      <c r="AZ873" s="203"/>
      <c r="BA873" s="203"/>
      <c r="BB873" s="203"/>
      <c r="BC873" s="203"/>
      <c r="BD873" s="203"/>
      <c r="BE873" s="203"/>
      <c r="BF873" s="203"/>
    </row>
    <row r="874" spans="1:58" s="15" customFormat="1" ht="14.1" customHeight="1">
      <c r="A874" s="247"/>
      <c r="B874" s="203"/>
      <c r="C874" s="203"/>
      <c r="D874" s="203"/>
      <c r="E874" s="203"/>
      <c r="F874" s="203"/>
      <c r="G874" s="203"/>
      <c r="H874" s="203"/>
      <c r="I874" s="203"/>
      <c r="J874" s="203"/>
      <c r="K874" s="203"/>
      <c r="L874" s="203"/>
      <c r="M874" s="203"/>
      <c r="N874" s="203"/>
      <c r="O874" s="203"/>
      <c r="P874" s="203"/>
      <c r="Q874" s="203"/>
      <c r="R874" s="203"/>
      <c r="S874" s="203"/>
      <c r="T874" s="203"/>
      <c r="U874" s="203"/>
      <c r="V874" s="203"/>
      <c r="W874" s="203"/>
      <c r="X874" s="203"/>
      <c r="Y874" s="203"/>
      <c r="Z874" s="203"/>
      <c r="AA874" s="203"/>
      <c r="AB874" s="203"/>
      <c r="AC874" s="203"/>
      <c r="AD874" s="203"/>
      <c r="AE874" s="203"/>
      <c r="AF874" s="203"/>
      <c r="AG874" s="203"/>
      <c r="AH874" s="203"/>
      <c r="AI874" s="203"/>
      <c r="AJ874" s="203"/>
      <c r="AK874" s="203"/>
      <c r="AL874" s="203"/>
      <c r="AM874" s="203"/>
      <c r="AN874" s="203"/>
      <c r="AO874" s="203"/>
      <c r="AP874" s="203"/>
      <c r="AQ874" s="203"/>
      <c r="AR874" s="203"/>
      <c r="AS874" s="203"/>
      <c r="AT874" s="203"/>
      <c r="AU874" s="203"/>
      <c r="AV874" s="203"/>
      <c r="AW874" s="203"/>
      <c r="AX874" s="203"/>
      <c r="AY874" s="203"/>
      <c r="AZ874" s="203"/>
      <c r="BA874" s="203"/>
      <c r="BB874" s="203"/>
      <c r="BC874" s="203"/>
      <c r="BD874" s="203"/>
      <c r="BE874" s="203"/>
      <c r="BF874" s="203"/>
    </row>
    <row r="875" spans="1:58" s="15" customFormat="1" ht="14.1" customHeight="1">
      <c r="A875" s="247"/>
      <c r="B875" s="203"/>
      <c r="C875" s="203"/>
      <c r="D875" s="203"/>
      <c r="E875" s="203"/>
      <c r="F875" s="203"/>
      <c r="G875" s="203"/>
      <c r="H875" s="203"/>
      <c r="I875" s="203"/>
      <c r="J875" s="203"/>
      <c r="K875" s="203"/>
      <c r="L875" s="203"/>
      <c r="M875" s="203"/>
      <c r="N875" s="203"/>
      <c r="O875" s="203"/>
      <c r="P875" s="203"/>
      <c r="Q875" s="203"/>
      <c r="R875" s="203"/>
      <c r="S875" s="203"/>
      <c r="T875" s="203"/>
      <c r="U875" s="203"/>
      <c r="V875" s="203"/>
      <c r="W875" s="203"/>
      <c r="X875" s="203"/>
      <c r="Y875" s="203"/>
      <c r="Z875" s="203"/>
      <c r="AA875" s="203"/>
      <c r="AB875" s="203"/>
      <c r="AC875" s="203"/>
      <c r="AD875" s="203"/>
      <c r="AE875" s="203"/>
      <c r="AF875" s="203"/>
      <c r="AG875" s="203"/>
      <c r="AH875" s="203"/>
      <c r="AI875" s="203"/>
      <c r="AJ875" s="203"/>
      <c r="AK875" s="203"/>
      <c r="AL875" s="203"/>
      <c r="AM875" s="203"/>
      <c r="AN875" s="203"/>
      <c r="AO875" s="203"/>
      <c r="AP875" s="203"/>
      <c r="AQ875" s="203"/>
      <c r="AR875" s="203"/>
      <c r="AS875" s="203"/>
      <c r="AT875" s="203"/>
      <c r="AU875" s="203"/>
      <c r="AV875" s="203"/>
      <c r="AW875" s="203"/>
      <c r="AX875" s="203"/>
      <c r="AY875" s="203"/>
      <c r="AZ875" s="203"/>
      <c r="BA875" s="203"/>
      <c r="BB875" s="203"/>
      <c r="BC875" s="203"/>
      <c r="BD875" s="203"/>
      <c r="BE875" s="203"/>
      <c r="BF875" s="203"/>
    </row>
    <row r="876" spans="1:58" s="15" customFormat="1" ht="14.1" customHeight="1">
      <c r="A876" s="247"/>
      <c r="B876" s="203"/>
      <c r="C876" s="203"/>
      <c r="D876" s="203"/>
      <c r="E876" s="203"/>
      <c r="F876" s="203"/>
      <c r="G876" s="203"/>
      <c r="H876" s="203"/>
      <c r="I876" s="203"/>
      <c r="J876" s="203"/>
      <c r="K876" s="203"/>
      <c r="L876" s="203"/>
      <c r="M876" s="203"/>
      <c r="N876" s="203"/>
      <c r="O876" s="203"/>
      <c r="P876" s="203"/>
      <c r="Q876" s="203"/>
      <c r="R876" s="203"/>
      <c r="S876" s="203"/>
      <c r="T876" s="203"/>
      <c r="U876" s="203"/>
      <c r="V876" s="203"/>
      <c r="W876" s="203"/>
      <c r="X876" s="203"/>
      <c r="Y876" s="203"/>
      <c r="Z876" s="203"/>
      <c r="AA876" s="203"/>
      <c r="AB876" s="203"/>
      <c r="AC876" s="203"/>
      <c r="AD876" s="203"/>
      <c r="AE876" s="203"/>
      <c r="AF876" s="203"/>
      <c r="AG876" s="203"/>
      <c r="AH876" s="203"/>
      <c r="AI876" s="203"/>
      <c r="AJ876" s="203"/>
      <c r="AK876" s="203"/>
      <c r="AL876" s="203"/>
      <c r="AM876" s="203"/>
      <c r="AN876" s="203"/>
      <c r="AO876" s="203"/>
      <c r="AP876" s="203"/>
      <c r="AQ876" s="203"/>
      <c r="AR876" s="203"/>
      <c r="AS876" s="203"/>
      <c r="AT876" s="203"/>
      <c r="AU876" s="203"/>
      <c r="AV876" s="203"/>
      <c r="AW876" s="203"/>
      <c r="AX876" s="203"/>
      <c r="AY876" s="203"/>
      <c r="AZ876" s="203"/>
      <c r="BA876" s="203"/>
      <c r="BB876" s="203"/>
      <c r="BC876" s="203"/>
      <c r="BD876" s="203"/>
      <c r="BE876" s="203"/>
      <c r="BF876" s="203"/>
    </row>
    <row r="877" spans="1:58" s="15" customFormat="1" ht="14.1" customHeight="1">
      <c r="A877" s="247"/>
      <c r="B877" s="203"/>
      <c r="C877" s="203"/>
      <c r="D877" s="203"/>
      <c r="E877" s="203"/>
      <c r="F877" s="203"/>
      <c r="G877" s="203"/>
      <c r="H877" s="203"/>
      <c r="I877" s="203"/>
      <c r="J877" s="203"/>
      <c r="K877" s="203"/>
      <c r="L877" s="203"/>
      <c r="M877" s="203"/>
      <c r="N877" s="203"/>
      <c r="O877" s="203"/>
      <c r="P877" s="203"/>
      <c r="Q877" s="203"/>
      <c r="R877" s="203"/>
      <c r="S877" s="203"/>
      <c r="T877" s="203"/>
      <c r="U877" s="203"/>
      <c r="V877" s="203"/>
      <c r="W877" s="203"/>
      <c r="X877" s="203"/>
      <c r="Y877" s="203"/>
      <c r="Z877" s="203"/>
      <c r="AA877" s="203"/>
      <c r="AB877" s="203"/>
      <c r="AC877" s="203"/>
      <c r="AD877" s="203"/>
      <c r="AE877" s="203"/>
      <c r="AF877" s="203"/>
      <c r="AG877" s="203"/>
      <c r="AH877" s="203"/>
      <c r="AI877" s="203"/>
      <c r="AJ877" s="203"/>
      <c r="AK877" s="203"/>
      <c r="AL877" s="203"/>
      <c r="AM877" s="203"/>
      <c r="AN877" s="203"/>
      <c r="AO877" s="203"/>
      <c r="AP877" s="203"/>
      <c r="AQ877" s="203"/>
      <c r="AR877" s="203"/>
      <c r="AS877" s="203"/>
      <c r="AT877" s="203"/>
      <c r="AU877" s="203"/>
      <c r="AV877" s="203"/>
      <c r="AW877" s="203"/>
      <c r="AX877" s="203"/>
      <c r="AY877" s="203"/>
      <c r="AZ877" s="203"/>
      <c r="BA877" s="203"/>
      <c r="BB877" s="203"/>
      <c r="BC877" s="203"/>
      <c r="BD877" s="203"/>
      <c r="BE877" s="203"/>
      <c r="BF877" s="203"/>
    </row>
    <row r="878" spans="1:58" s="15" customFormat="1" ht="14.1" customHeight="1">
      <c r="A878" s="247"/>
      <c r="B878" s="203"/>
      <c r="C878" s="203"/>
      <c r="D878" s="203"/>
      <c r="E878" s="203"/>
      <c r="F878" s="203"/>
      <c r="G878" s="203"/>
      <c r="H878" s="203"/>
      <c r="I878" s="203"/>
      <c r="J878" s="203"/>
      <c r="K878" s="203"/>
      <c r="L878" s="203"/>
      <c r="M878" s="203"/>
      <c r="N878" s="203"/>
      <c r="O878" s="203"/>
      <c r="P878" s="203"/>
      <c r="Q878" s="203"/>
      <c r="R878" s="203"/>
      <c r="S878" s="203"/>
      <c r="T878" s="203"/>
      <c r="U878" s="203"/>
      <c r="V878" s="203"/>
      <c r="W878" s="203"/>
      <c r="X878" s="203"/>
      <c r="Y878" s="203"/>
      <c r="Z878" s="203"/>
      <c r="AA878" s="203"/>
      <c r="AB878" s="203"/>
      <c r="AC878" s="203"/>
      <c r="AD878" s="203"/>
      <c r="AE878" s="203"/>
      <c r="AF878" s="203"/>
      <c r="AG878" s="203"/>
      <c r="AH878" s="203"/>
      <c r="AI878" s="203"/>
      <c r="AJ878" s="203"/>
      <c r="AK878" s="203"/>
      <c r="AL878" s="203"/>
      <c r="AM878" s="203"/>
      <c r="AN878" s="203"/>
      <c r="AO878" s="203"/>
      <c r="AP878" s="203"/>
      <c r="AQ878" s="203"/>
      <c r="AR878" s="203"/>
      <c r="AS878" s="203"/>
      <c r="AT878" s="203"/>
      <c r="AU878" s="203"/>
      <c r="AV878" s="203"/>
      <c r="AW878" s="203"/>
      <c r="AX878" s="203"/>
      <c r="AY878" s="203"/>
      <c r="AZ878" s="203"/>
      <c r="BA878" s="203"/>
      <c r="BB878" s="203"/>
      <c r="BC878" s="203"/>
      <c r="BD878" s="203"/>
      <c r="BE878" s="203"/>
      <c r="BF878" s="203"/>
    </row>
    <row r="879" spans="1:58" s="15" customFormat="1" ht="14.1" customHeight="1">
      <c r="A879" s="247"/>
      <c r="B879" s="203"/>
      <c r="C879" s="203"/>
      <c r="D879" s="203"/>
      <c r="E879" s="203"/>
      <c r="F879" s="203"/>
      <c r="G879" s="203"/>
      <c r="H879" s="203"/>
      <c r="I879" s="203"/>
      <c r="J879" s="203"/>
      <c r="K879" s="203"/>
      <c r="L879" s="203"/>
      <c r="M879" s="203"/>
      <c r="N879" s="203"/>
      <c r="O879" s="203"/>
      <c r="P879" s="203"/>
      <c r="Q879" s="203"/>
      <c r="R879" s="203"/>
      <c r="S879" s="203"/>
      <c r="T879" s="203"/>
      <c r="U879" s="203"/>
      <c r="V879" s="203"/>
      <c r="W879" s="203"/>
      <c r="X879" s="203"/>
      <c r="Y879" s="203"/>
      <c r="Z879" s="203"/>
      <c r="AA879" s="203"/>
      <c r="AB879" s="203"/>
      <c r="AC879" s="203"/>
      <c r="AD879" s="203"/>
      <c r="AE879" s="203"/>
      <c r="AF879" s="203"/>
      <c r="AG879" s="203"/>
      <c r="AH879" s="203"/>
      <c r="AI879" s="203"/>
      <c r="AJ879" s="203"/>
      <c r="AK879" s="203"/>
      <c r="AL879" s="203"/>
      <c r="AM879" s="203"/>
      <c r="AN879" s="203"/>
      <c r="AO879" s="203"/>
      <c r="AP879" s="203"/>
      <c r="AQ879" s="203"/>
      <c r="AR879" s="203"/>
      <c r="AS879" s="203"/>
      <c r="AT879" s="203"/>
      <c r="AU879" s="203"/>
      <c r="AV879" s="203"/>
      <c r="AW879" s="203"/>
      <c r="AX879" s="203"/>
      <c r="AY879" s="203"/>
      <c r="AZ879" s="203"/>
      <c r="BA879" s="203"/>
      <c r="BB879" s="203"/>
      <c r="BC879" s="203"/>
      <c r="BD879" s="203"/>
      <c r="BE879" s="203"/>
      <c r="BF879" s="203"/>
    </row>
    <row r="880" spans="1:58" s="15" customFormat="1" ht="14.1" customHeight="1">
      <c r="A880" s="247"/>
      <c r="B880" s="203"/>
      <c r="C880" s="203"/>
      <c r="D880" s="203"/>
      <c r="E880" s="203"/>
      <c r="F880" s="203"/>
      <c r="G880" s="203"/>
      <c r="H880" s="203"/>
      <c r="I880" s="203"/>
      <c r="J880" s="203"/>
      <c r="K880" s="203"/>
      <c r="L880" s="203"/>
      <c r="M880" s="203"/>
      <c r="N880" s="203"/>
      <c r="O880" s="203"/>
      <c r="P880" s="203"/>
      <c r="Q880" s="203"/>
      <c r="R880" s="203"/>
      <c r="S880" s="203"/>
      <c r="T880" s="203"/>
      <c r="U880" s="203"/>
      <c r="V880" s="203"/>
      <c r="W880" s="203"/>
      <c r="X880" s="203"/>
      <c r="Y880" s="203"/>
      <c r="Z880" s="203"/>
      <c r="AA880" s="203"/>
      <c r="AB880" s="203"/>
      <c r="AC880" s="203"/>
      <c r="AD880" s="203"/>
      <c r="AE880" s="203"/>
      <c r="AF880" s="203"/>
      <c r="AG880" s="203"/>
      <c r="AH880" s="203"/>
      <c r="AI880" s="203"/>
      <c r="AJ880" s="203"/>
      <c r="AK880" s="203"/>
      <c r="AL880" s="203"/>
      <c r="AM880" s="203"/>
      <c r="AN880" s="203"/>
      <c r="AO880" s="203"/>
      <c r="AP880" s="203"/>
      <c r="AQ880" s="203"/>
      <c r="AR880" s="203"/>
      <c r="AS880" s="203"/>
      <c r="AT880" s="203"/>
      <c r="AU880" s="203"/>
      <c r="AV880" s="203"/>
      <c r="AW880" s="203"/>
      <c r="AX880" s="203"/>
      <c r="AY880" s="203"/>
      <c r="AZ880" s="203"/>
      <c r="BA880" s="203"/>
      <c r="BB880" s="203"/>
      <c r="BC880" s="203"/>
      <c r="BD880" s="203"/>
      <c r="BE880" s="203"/>
      <c r="BF880" s="203"/>
    </row>
    <row r="881" spans="1:58" s="15" customFormat="1" ht="14.1" customHeight="1">
      <c r="A881" s="247"/>
      <c r="B881" s="203"/>
      <c r="C881" s="203"/>
      <c r="D881" s="203"/>
      <c r="E881" s="203"/>
      <c r="F881" s="203"/>
      <c r="G881" s="203"/>
      <c r="H881" s="203"/>
      <c r="I881" s="203"/>
      <c r="J881" s="203"/>
      <c r="K881" s="203"/>
      <c r="L881" s="203"/>
      <c r="M881" s="203"/>
      <c r="N881" s="203"/>
      <c r="O881" s="203"/>
      <c r="P881" s="203"/>
      <c r="Q881" s="203"/>
      <c r="R881" s="203"/>
      <c r="S881" s="203"/>
      <c r="T881" s="203"/>
      <c r="U881" s="203"/>
      <c r="V881" s="203"/>
      <c r="W881" s="203"/>
      <c r="X881" s="203"/>
      <c r="Y881" s="203"/>
      <c r="Z881" s="203"/>
      <c r="AA881" s="203"/>
      <c r="AB881" s="203"/>
      <c r="AC881" s="203"/>
      <c r="AD881" s="203"/>
      <c r="AE881" s="203"/>
      <c r="AF881" s="203"/>
      <c r="AG881" s="203"/>
      <c r="AH881" s="203"/>
      <c r="AI881" s="203"/>
      <c r="AJ881" s="203"/>
      <c r="AK881" s="203"/>
      <c r="AL881" s="203"/>
      <c r="AM881" s="203"/>
      <c r="AN881" s="203"/>
      <c r="AO881" s="203"/>
      <c r="AP881" s="203"/>
      <c r="AQ881" s="203"/>
      <c r="AR881" s="203"/>
      <c r="AS881" s="203"/>
      <c r="AT881" s="203"/>
      <c r="AU881" s="203"/>
      <c r="AV881" s="203"/>
      <c r="AW881" s="203"/>
      <c r="AX881" s="203"/>
      <c r="AY881" s="203"/>
      <c r="AZ881" s="203"/>
      <c r="BA881" s="203"/>
      <c r="BB881" s="203"/>
      <c r="BC881" s="203"/>
      <c r="BD881" s="203"/>
      <c r="BE881" s="203"/>
      <c r="BF881" s="203"/>
    </row>
    <row r="882" spans="1:58" s="15" customFormat="1" ht="14.1" customHeight="1">
      <c r="A882" s="247"/>
      <c r="B882" s="203"/>
      <c r="C882" s="203"/>
      <c r="D882" s="203"/>
      <c r="E882" s="203"/>
      <c r="F882" s="203"/>
      <c r="G882" s="203"/>
      <c r="H882" s="203"/>
      <c r="I882" s="203"/>
      <c r="J882" s="203"/>
      <c r="K882" s="203"/>
      <c r="L882" s="203"/>
      <c r="M882" s="203"/>
      <c r="N882" s="203"/>
      <c r="O882" s="203"/>
      <c r="P882" s="203"/>
      <c r="Q882" s="203"/>
      <c r="R882" s="203"/>
      <c r="S882" s="203"/>
      <c r="T882" s="203"/>
      <c r="U882" s="203"/>
      <c r="V882" s="203"/>
      <c r="W882" s="203"/>
      <c r="X882" s="203"/>
      <c r="Y882" s="203"/>
      <c r="Z882" s="203"/>
      <c r="AA882" s="203"/>
      <c r="AB882" s="203"/>
      <c r="AC882" s="203"/>
      <c r="AD882" s="203"/>
      <c r="AE882" s="203"/>
      <c r="AF882" s="203"/>
      <c r="AG882" s="203"/>
      <c r="AH882" s="203"/>
      <c r="AI882" s="203"/>
      <c r="AJ882" s="203"/>
      <c r="AK882" s="203"/>
      <c r="AL882" s="203"/>
      <c r="AM882" s="203"/>
      <c r="AN882" s="203"/>
      <c r="AO882" s="203"/>
      <c r="AP882" s="203"/>
      <c r="AQ882" s="203"/>
      <c r="AR882" s="203"/>
      <c r="AS882" s="203"/>
      <c r="AT882" s="203"/>
      <c r="AU882" s="203"/>
      <c r="AV882" s="203"/>
      <c r="AW882" s="203"/>
      <c r="AX882" s="203"/>
      <c r="AY882" s="203"/>
      <c r="AZ882" s="203"/>
      <c r="BA882" s="203"/>
      <c r="BB882" s="203"/>
      <c r="BC882" s="203"/>
      <c r="BD882" s="203"/>
      <c r="BE882" s="203"/>
      <c r="BF882" s="203"/>
    </row>
    <row r="883" spans="1:58" s="15" customFormat="1" ht="14.1" customHeight="1">
      <c r="A883" s="247"/>
      <c r="B883" s="203"/>
      <c r="C883" s="203"/>
      <c r="D883" s="203"/>
      <c r="E883" s="203"/>
      <c r="F883" s="203"/>
      <c r="G883" s="203"/>
      <c r="H883" s="203"/>
      <c r="I883" s="203"/>
      <c r="J883" s="203"/>
      <c r="K883" s="203"/>
      <c r="L883" s="203"/>
      <c r="M883" s="203"/>
      <c r="N883" s="203"/>
      <c r="O883" s="203"/>
      <c r="P883" s="203"/>
      <c r="Q883" s="203"/>
      <c r="R883" s="203"/>
      <c r="S883" s="203"/>
      <c r="T883" s="203"/>
      <c r="U883" s="203"/>
      <c r="V883" s="203"/>
      <c r="W883" s="203"/>
      <c r="X883" s="203"/>
      <c r="Y883" s="203"/>
      <c r="Z883" s="203"/>
      <c r="AA883" s="203"/>
      <c r="AB883" s="203"/>
      <c r="AC883" s="203"/>
      <c r="AD883" s="203"/>
      <c r="AE883" s="203"/>
      <c r="AF883" s="203"/>
      <c r="AG883" s="203"/>
      <c r="AH883" s="203"/>
      <c r="AI883" s="203"/>
      <c r="AJ883" s="203"/>
      <c r="AK883" s="203"/>
      <c r="AL883" s="203"/>
      <c r="AM883" s="203"/>
      <c r="AN883" s="203"/>
      <c r="AO883" s="203"/>
      <c r="AP883" s="203"/>
      <c r="AQ883" s="203"/>
      <c r="AR883" s="203"/>
      <c r="AS883" s="203"/>
      <c r="AT883" s="203"/>
      <c r="AU883" s="203"/>
      <c r="AV883" s="203"/>
      <c r="AW883" s="203"/>
      <c r="AX883" s="203"/>
      <c r="AY883" s="203"/>
      <c r="AZ883" s="203"/>
      <c r="BA883" s="203"/>
      <c r="BB883" s="203"/>
      <c r="BC883" s="203"/>
      <c r="BD883" s="203"/>
      <c r="BE883" s="203"/>
      <c r="BF883" s="203"/>
    </row>
    <row r="884" spans="1:58" s="15" customFormat="1" ht="14.1" customHeight="1">
      <c r="A884" s="247"/>
      <c r="B884" s="203"/>
      <c r="C884" s="203"/>
      <c r="D884" s="203"/>
      <c r="E884" s="203"/>
      <c r="F884" s="203"/>
      <c r="G884" s="203"/>
      <c r="H884" s="203"/>
      <c r="I884" s="203"/>
      <c r="J884" s="203"/>
      <c r="K884" s="203"/>
      <c r="L884" s="203"/>
      <c r="M884" s="203"/>
      <c r="N884" s="203"/>
      <c r="O884" s="203"/>
      <c r="P884" s="203"/>
      <c r="Q884" s="203"/>
      <c r="R884" s="203"/>
      <c r="S884" s="203"/>
      <c r="T884" s="203"/>
      <c r="U884" s="203"/>
      <c r="V884" s="203"/>
      <c r="W884" s="203"/>
      <c r="X884" s="203"/>
      <c r="Y884" s="203"/>
      <c r="Z884" s="203"/>
      <c r="AA884" s="203"/>
      <c r="AB884" s="203"/>
      <c r="AC884" s="203"/>
      <c r="AD884" s="203"/>
      <c r="AE884" s="203"/>
      <c r="AF884" s="203"/>
      <c r="AG884" s="203"/>
      <c r="AH884" s="203"/>
      <c r="AI884" s="203"/>
      <c r="AJ884" s="203"/>
      <c r="AK884" s="203"/>
      <c r="AL884" s="203"/>
      <c r="AM884" s="203"/>
      <c r="AN884" s="203"/>
      <c r="AO884" s="203"/>
      <c r="AP884" s="203"/>
      <c r="AQ884" s="203"/>
      <c r="AR884" s="203"/>
      <c r="AS884" s="203"/>
      <c r="AT884" s="203"/>
      <c r="AU884" s="203"/>
      <c r="AV884" s="203"/>
      <c r="AW884" s="203"/>
      <c r="AX884" s="203"/>
      <c r="AY884" s="203"/>
      <c r="AZ884" s="203"/>
      <c r="BA884" s="203"/>
      <c r="BB884" s="203"/>
      <c r="BC884" s="203"/>
      <c r="BD884" s="203"/>
      <c r="BE884" s="203"/>
      <c r="BF884" s="203"/>
    </row>
    <row r="885" spans="1:58" s="15" customFormat="1" ht="14.1" customHeight="1">
      <c r="A885" s="247"/>
      <c r="B885" s="203"/>
      <c r="C885" s="203"/>
      <c r="D885" s="203"/>
      <c r="E885" s="203"/>
      <c r="F885" s="203"/>
      <c r="G885" s="203"/>
      <c r="H885" s="203"/>
      <c r="I885" s="203"/>
      <c r="J885" s="203"/>
      <c r="K885" s="203"/>
      <c r="L885" s="203"/>
      <c r="M885" s="203"/>
      <c r="N885" s="203"/>
      <c r="O885" s="203"/>
      <c r="P885" s="203"/>
      <c r="Q885" s="203"/>
      <c r="R885" s="203"/>
      <c r="S885" s="203"/>
      <c r="T885" s="203"/>
      <c r="U885" s="203"/>
      <c r="V885" s="203"/>
      <c r="W885" s="203"/>
      <c r="X885" s="203"/>
      <c r="Y885" s="203"/>
      <c r="Z885" s="203"/>
      <c r="AA885" s="203"/>
      <c r="AB885" s="203"/>
      <c r="AC885" s="203"/>
      <c r="AD885" s="203"/>
      <c r="AE885" s="203"/>
      <c r="AF885" s="203"/>
      <c r="AG885" s="203"/>
      <c r="AH885" s="203"/>
      <c r="AI885" s="203"/>
      <c r="AJ885" s="203"/>
      <c r="AK885" s="203"/>
      <c r="AL885" s="203"/>
      <c r="AM885" s="203"/>
      <c r="AN885" s="203"/>
      <c r="AO885" s="203"/>
      <c r="AP885" s="203"/>
      <c r="AQ885" s="203"/>
      <c r="AR885" s="203"/>
      <c r="AS885" s="203"/>
      <c r="AT885" s="203"/>
      <c r="AU885" s="203"/>
      <c r="AV885" s="203"/>
      <c r="AW885" s="203"/>
      <c r="AX885" s="203"/>
      <c r="AY885" s="203"/>
      <c r="AZ885" s="203"/>
      <c r="BA885" s="203"/>
      <c r="BB885" s="203"/>
      <c r="BC885" s="203"/>
      <c r="BD885" s="203"/>
      <c r="BE885" s="203"/>
      <c r="BF885" s="203"/>
    </row>
    <row r="886" spans="1:58" s="15" customFormat="1" ht="14.1" customHeight="1">
      <c r="A886" s="247"/>
      <c r="B886" s="203"/>
      <c r="C886" s="203"/>
      <c r="D886" s="203"/>
      <c r="E886" s="203"/>
      <c r="F886" s="203"/>
      <c r="G886" s="203"/>
      <c r="H886" s="203"/>
      <c r="I886" s="203"/>
      <c r="J886" s="203"/>
      <c r="K886" s="203"/>
      <c r="L886" s="203"/>
      <c r="M886" s="203"/>
      <c r="N886" s="203"/>
      <c r="O886" s="203"/>
      <c r="P886" s="203"/>
      <c r="Q886" s="203"/>
      <c r="R886" s="203"/>
      <c r="S886" s="203"/>
      <c r="T886" s="203"/>
      <c r="U886" s="203"/>
      <c r="V886" s="203"/>
      <c r="W886" s="203"/>
      <c r="X886" s="203"/>
      <c r="Y886" s="203"/>
      <c r="Z886" s="203"/>
      <c r="AA886" s="203"/>
      <c r="AB886" s="203"/>
      <c r="AC886" s="203"/>
      <c r="AD886" s="203"/>
      <c r="AE886" s="203"/>
      <c r="AF886" s="203"/>
      <c r="AG886" s="203"/>
      <c r="AH886" s="203"/>
      <c r="AI886" s="203"/>
      <c r="AJ886" s="203"/>
      <c r="AK886" s="203"/>
      <c r="AL886" s="203"/>
      <c r="AM886" s="203"/>
      <c r="AN886" s="203"/>
      <c r="AO886" s="203"/>
      <c r="AP886" s="203"/>
      <c r="AQ886" s="203"/>
      <c r="AR886" s="203"/>
      <c r="AS886" s="203"/>
      <c r="AT886" s="203"/>
      <c r="AU886" s="203"/>
      <c r="AV886" s="203"/>
      <c r="AW886" s="203"/>
      <c r="AX886" s="203"/>
      <c r="AY886" s="203"/>
      <c r="AZ886" s="203"/>
      <c r="BA886" s="203"/>
      <c r="BB886" s="203"/>
      <c r="BC886" s="203"/>
      <c r="BD886" s="203"/>
      <c r="BE886" s="203"/>
      <c r="BF886" s="203"/>
    </row>
    <row r="887" spans="1:58" s="15" customFormat="1" ht="14.1" customHeight="1">
      <c r="A887" s="247"/>
      <c r="B887" s="203"/>
      <c r="C887" s="203"/>
      <c r="D887" s="203"/>
      <c r="E887" s="203"/>
      <c r="F887" s="203"/>
      <c r="G887" s="203"/>
      <c r="H887" s="203"/>
      <c r="I887" s="203"/>
      <c r="J887" s="203"/>
      <c r="K887" s="203"/>
      <c r="L887" s="203"/>
      <c r="M887" s="203"/>
      <c r="N887" s="203"/>
      <c r="O887" s="203"/>
      <c r="P887" s="203"/>
      <c r="Q887" s="203"/>
      <c r="R887" s="203"/>
      <c r="S887" s="203"/>
      <c r="T887" s="203"/>
      <c r="U887" s="203"/>
      <c r="V887" s="203"/>
      <c r="W887" s="203"/>
      <c r="X887" s="203"/>
      <c r="Y887" s="203"/>
      <c r="Z887" s="203"/>
      <c r="AA887" s="203"/>
      <c r="AB887" s="203"/>
      <c r="AC887" s="203"/>
      <c r="AD887" s="203"/>
      <c r="AE887" s="203"/>
      <c r="AF887" s="203"/>
      <c r="AG887" s="203"/>
      <c r="AH887" s="203"/>
      <c r="AI887" s="203"/>
      <c r="AJ887" s="203"/>
      <c r="AK887" s="203"/>
      <c r="AL887" s="203"/>
      <c r="AM887" s="203"/>
      <c r="AN887" s="203"/>
      <c r="AO887" s="203"/>
      <c r="AP887" s="203"/>
      <c r="AQ887" s="203"/>
      <c r="AR887" s="203"/>
      <c r="AS887" s="203"/>
      <c r="AT887" s="203"/>
      <c r="AU887" s="203"/>
      <c r="AV887" s="203"/>
      <c r="AW887" s="203"/>
      <c r="AX887" s="203"/>
      <c r="AY887" s="203"/>
      <c r="AZ887" s="203"/>
      <c r="BA887" s="203"/>
      <c r="BB887" s="203"/>
      <c r="BC887" s="203"/>
      <c r="BD887" s="203"/>
      <c r="BE887" s="203"/>
      <c r="BF887" s="203"/>
    </row>
    <row r="888" spans="1:58" s="15" customFormat="1" ht="14.1" customHeight="1">
      <c r="A888" s="247"/>
      <c r="B888" s="203"/>
      <c r="C888" s="203"/>
      <c r="D888" s="203"/>
      <c r="E888" s="203"/>
      <c r="F888" s="203"/>
      <c r="G888" s="203"/>
      <c r="H888" s="203"/>
      <c r="I888" s="203"/>
      <c r="J888" s="203"/>
      <c r="K888" s="203"/>
      <c r="L888" s="203"/>
      <c r="M888" s="203"/>
      <c r="N888" s="203"/>
      <c r="O888" s="203"/>
      <c r="P888" s="203"/>
      <c r="Q888" s="203"/>
      <c r="R888" s="203"/>
      <c r="S888" s="203"/>
      <c r="T888" s="203"/>
      <c r="U888" s="203"/>
      <c r="V888" s="203"/>
      <c r="W888" s="203"/>
      <c r="X888" s="203"/>
      <c r="Y888" s="203"/>
      <c r="Z888" s="203"/>
      <c r="AA888" s="203"/>
      <c r="AB888" s="203"/>
      <c r="AC888" s="203"/>
      <c r="AD888" s="203"/>
      <c r="AE888" s="203"/>
      <c r="AF888" s="203"/>
      <c r="AG888" s="203"/>
      <c r="AH888" s="203"/>
      <c r="AI888" s="203"/>
      <c r="AJ888" s="203"/>
      <c r="AK888" s="203"/>
      <c r="AL888" s="203"/>
      <c r="AM888" s="203"/>
      <c r="AN888" s="203"/>
      <c r="AO888" s="203"/>
      <c r="AP888" s="203"/>
      <c r="AQ888" s="203"/>
      <c r="AR888" s="203"/>
      <c r="AS888" s="203"/>
      <c r="AT888" s="203"/>
      <c r="AU888" s="203"/>
      <c r="AV888" s="203"/>
      <c r="AW888" s="203"/>
      <c r="AX888" s="203"/>
      <c r="AY888" s="203"/>
      <c r="AZ888" s="203"/>
      <c r="BA888" s="203"/>
      <c r="BB888" s="203"/>
      <c r="BC888" s="203"/>
      <c r="BD888" s="203"/>
      <c r="BE888" s="203"/>
      <c r="BF888" s="203"/>
    </row>
    <row r="889" spans="1:58" s="15" customFormat="1" ht="14.1" customHeight="1">
      <c r="A889" s="247"/>
      <c r="B889" s="203"/>
      <c r="C889" s="203"/>
      <c r="D889" s="203"/>
      <c r="E889" s="203"/>
      <c r="F889" s="203"/>
      <c r="G889" s="203"/>
      <c r="H889" s="203"/>
      <c r="I889" s="203"/>
      <c r="J889" s="203"/>
      <c r="K889" s="203"/>
      <c r="L889" s="203"/>
      <c r="M889" s="203"/>
      <c r="N889" s="203"/>
      <c r="O889" s="203"/>
      <c r="P889" s="203"/>
      <c r="Q889" s="203"/>
      <c r="R889" s="203"/>
      <c r="S889" s="203"/>
      <c r="T889" s="203"/>
      <c r="U889" s="203"/>
      <c r="V889" s="203"/>
      <c r="W889" s="203"/>
      <c r="X889" s="203"/>
      <c r="Y889" s="203"/>
      <c r="Z889" s="203"/>
      <c r="AA889" s="203"/>
      <c r="AB889" s="203"/>
      <c r="AC889" s="203"/>
      <c r="AD889" s="203"/>
      <c r="AE889" s="203"/>
      <c r="AF889" s="203"/>
      <c r="AG889" s="203"/>
      <c r="AH889" s="203"/>
      <c r="AI889" s="203"/>
      <c r="AJ889" s="203"/>
      <c r="AK889" s="203"/>
      <c r="AL889" s="203"/>
      <c r="AM889" s="203"/>
      <c r="AN889" s="203"/>
      <c r="AO889" s="203"/>
      <c r="AP889" s="203"/>
      <c r="AQ889" s="203"/>
      <c r="AR889" s="203"/>
      <c r="AS889" s="203"/>
      <c r="AT889" s="203"/>
      <c r="AU889" s="203"/>
      <c r="AV889" s="203"/>
      <c r="AW889" s="203"/>
      <c r="AX889" s="203"/>
      <c r="AY889" s="203"/>
      <c r="AZ889" s="203"/>
      <c r="BA889" s="203"/>
      <c r="BB889" s="203"/>
      <c r="BC889" s="203"/>
      <c r="BD889" s="203"/>
      <c r="BE889" s="203"/>
      <c r="BF889" s="203"/>
    </row>
    <row r="890" spans="1:58" s="15" customFormat="1" ht="14.1" customHeight="1">
      <c r="A890" s="247"/>
      <c r="B890" s="203"/>
      <c r="C890" s="203"/>
      <c r="D890" s="203"/>
      <c r="E890" s="203"/>
      <c r="F890" s="203"/>
      <c r="G890" s="203"/>
      <c r="H890" s="203"/>
      <c r="I890" s="203"/>
      <c r="J890" s="203"/>
      <c r="K890" s="203"/>
      <c r="L890" s="203"/>
      <c r="M890" s="203"/>
      <c r="N890" s="203"/>
      <c r="O890" s="203"/>
      <c r="P890" s="203"/>
      <c r="Q890" s="203"/>
      <c r="R890" s="203"/>
      <c r="S890" s="203"/>
      <c r="T890" s="203"/>
      <c r="U890" s="203"/>
      <c r="V890" s="203"/>
      <c r="W890" s="203"/>
      <c r="X890" s="203"/>
      <c r="Y890" s="203"/>
      <c r="Z890" s="203"/>
      <c r="AA890" s="203"/>
      <c r="AB890" s="203"/>
      <c r="AC890" s="203"/>
      <c r="AD890" s="203"/>
      <c r="AE890" s="203"/>
      <c r="AF890" s="203"/>
      <c r="AG890" s="203"/>
      <c r="AH890" s="203"/>
      <c r="AI890" s="203"/>
      <c r="AJ890" s="203"/>
      <c r="AK890" s="203"/>
      <c r="AL890" s="203"/>
      <c r="AM890" s="203"/>
      <c r="AN890" s="203"/>
      <c r="AO890" s="203"/>
      <c r="AP890" s="203"/>
      <c r="AQ890" s="203"/>
      <c r="AR890" s="203"/>
      <c r="AS890" s="203"/>
      <c r="AT890" s="203"/>
      <c r="AU890" s="203"/>
      <c r="AV890" s="203"/>
      <c r="AW890" s="203"/>
      <c r="AX890" s="203"/>
      <c r="AY890" s="203"/>
      <c r="AZ890" s="203"/>
      <c r="BA890" s="203"/>
      <c r="BB890" s="203"/>
      <c r="BC890" s="203"/>
      <c r="BD890" s="203"/>
      <c r="BE890" s="203"/>
      <c r="BF890" s="203"/>
    </row>
    <row r="891" spans="1:58" s="15" customFormat="1" ht="14.1" customHeight="1">
      <c r="A891" s="247"/>
      <c r="B891" s="203"/>
      <c r="C891" s="203"/>
      <c r="D891" s="203"/>
      <c r="E891" s="203"/>
      <c r="F891" s="203"/>
      <c r="G891" s="203"/>
      <c r="H891" s="203"/>
      <c r="I891" s="203"/>
      <c r="J891" s="203"/>
      <c r="K891" s="203"/>
      <c r="L891" s="203"/>
      <c r="M891" s="203"/>
      <c r="N891" s="203"/>
      <c r="O891" s="203"/>
      <c r="P891" s="203"/>
      <c r="Q891" s="203"/>
      <c r="R891" s="203"/>
      <c r="S891" s="203"/>
      <c r="T891" s="203"/>
      <c r="U891" s="203"/>
      <c r="V891" s="203"/>
      <c r="W891" s="203"/>
      <c r="X891" s="203"/>
      <c r="Y891" s="203"/>
      <c r="Z891" s="203"/>
      <c r="AA891" s="203"/>
      <c r="AB891" s="203"/>
      <c r="AC891" s="203"/>
      <c r="AD891" s="203"/>
      <c r="AE891" s="203"/>
      <c r="AF891" s="203"/>
      <c r="AG891" s="203"/>
      <c r="AH891" s="203"/>
      <c r="AI891" s="203"/>
      <c r="AJ891" s="203"/>
      <c r="AK891" s="203"/>
      <c r="AL891" s="203"/>
      <c r="AM891" s="203"/>
      <c r="AN891" s="203"/>
      <c r="AO891" s="203"/>
      <c r="AP891" s="203"/>
      <c r="AQ891" s="203"/>
      <c r="AR891" s="203"/>
      <c r="AS891" s="203"/>
      <c r="AT891" s="203"/>
      <c r="AU891" s="203"/>
      <c r="AV891" s="203"/>
      <c r="AW891" s="203"/>
      <c r="AX891" s="203"/>
      <c r="AY891" s="203"/>
      <c r="AZ891" s="203"/>
      <c r="BA891" s="203"/>
      <c r="BB891" s="203"/>
      <c r="BC891" s="203"/>
      <c r="BD891" s="203"/>
      <c r="BE891" s="203"/>
      <c r="BF891" s="203"/>
    </row>
    <row r="892" spans="1:58" s="15" customFormat="1" ht="14.1" customHeight="1">
      <c r="A892" s="247"/>
      <c r="B892" s="203"/>
      <c r="C892" s="203"/>
      <c r="D892" s="203"/>
      <c r="E892" s="203"/>
      <c r="F892" s="203"/>
      <c r="G892" s="203"/>
      <c r="H892" s="203"/>
      <c r="I892" s="203"/>
      <c r="J892" s="203"/>
      <c r="K892" s="203"/>
      <c r="L892" s="203"/>
      <c r="M892" s="203"/>
      <c r="N892" s="203"/>
      <c r="O892" s="203"/>
      <c r="P892" s="203"/>
      <c r="Q892" s="203"/>
      <c r="R892" s="203"/>
      <c r="S892" s="203"/>
      <c r="T892" s="203"/>
      <c r="U892" s="203"/>
      <c r="V892" s="203"/>
      <c r="W892" s="203"/>
      <c r="X892" s="203"/>
      <c r="Y892" s="203"/>
      <c r="Z892" s="203"/>
      <c r="AA892" s="203"/>
      <c r="AB892" s="203"/>
      <c r="AC892" s="203"/>
      <c r="AD892" s="203"/>
      <c r="AE892" s="203"/>
      <c r="AF892" s="203"/>
      <c r="AG892" s="203"/>
      <c r="AH892" s="203"/>
      <c r="AI892" s="203"/>
      <c r="AJ892" s="203"/>
      <c r="AK892" s="203"/>
      <c r="AL892" s="203"/>
      <c r="AM892" s="203"/>
      <c r="AN892" s="203"/>
      <c r="AO892" s="203"/>
      <c r="AP892" s="203"/>
      <c r="AQ892" s="203"/>
      <c r="AR892" s="203"/>
      <c r="AS892" s="203"/>
      <c r="AT892" s="203"/>
      <c r="AU892" s="203"/>
      <c r="AV892" s="203"/>
      <c r="AW892" s="203"/>
      <c r="AX892" s="203"/>
      <c r="AY892" s="203"/>
      <c r="AZ892" s="203"/>
      <c r="BA892" s="203"/>
      <c r="BB892" s="203"/>
      <c r="BC892" s="203"/>
      <c r="BD892" s="203"/>
      <c r="BE892" s="203"/>
      <c r="BF892" s="203"/>
    </row>
    <row r="893" spans="1:58" s="15" customFormat="1" ht="14.1" customHeight="1">
      <c r="A893" s="247"/>
      <c r="B893" s="203"/>
      <c r="C893" s="203"/>
      <c r="D893" s="203"/>
      <c r="E893" s="203"/>
      <c r="F893" s="203"/>
      <c r="G893" s="203"/>
      <c r="H893" s="203"/>
      <c r="I893" s="203"/>
      <c r="J893" s="203"/>
      <c r="K893" s="203"/>
      <c r="L893" s="203"/>
      <c r="M893" s="203"/>
      <c r="N893" s="203"/>
      <c r="O893" s="203"/>
      <c r="P893" s="203"/>
      <c r="Q893" s="203"/>
      <c r="R893" s="203"/>
      <c r="S893" s="203"/>
      <c r="T893" s="203"/>
      <c r="U893" s="203"/>
      <c r="V893" s="203"/>
      <c r="W893" s="203"/>
      <c r="X893" s="203"/>
      <c r="Y893" s="203"/>
      <c r="Z893" s="203"/>
      <c r="AA893" s="203"/>
      <c r="AB893" s="203"/>
      <c r="AC893" s="203"/>
      <c r="AD893" s="203"/>
      <c r="AE893" s="203"/>
      <c r="AF893" s="203"/>
      <c r="AG893" s="203"/>
      <c r="AH893" s="203"/>
      <c r="AI893" s="203"/>
      <c r="AJ893" s="203"/>
      <c r="AK893" s="203"/>
      <c r="AL893" s="203"/>
      <c r="AM893" s="203"/>
      <c r="AN893" s="203"/>
      <c r="AO893" s="203"/>
      <c r="AP893" s="203"/>
      <c r="AQ893" s="203"/>
      <c r="AR893" s="203"/>
      <c r="AS893" s="203"/>
      <c r="AT893" s="203"/>
      <c r="AU893" s="203"/>
      <c r="AV893" s="203"/>
      <c r="AW893" s="203"/>
      <c r="AX893" s="203"/>
      <c r="AY893" s="203"/>
      <c r="AZ893" s="203"/>
      <c r="BA893" s="203"/>
      <c r="BB893" s="203"/>
      <c r="BC893" s="203"/>
      <c r="BD893" s="203"/>
      <c r="BE893" s="203"/>
      <c r="BF893" s="203"/>
    </row>
    <row r="894" spans="1:58" s="15" customFormat="1" ht="14.1" customHeight="1">
      <c r="A894" s="247"/>
      <c r="B894" s="203"/>
      <c r="C894" s="203"/>
      <c r="D894" s="203"/>
      <c r="E894" s="203"/>
      <c r="F894" s="203"/>
      <c r="G894" s="203"/>
      <c r="H894" s="203"/>
      <c r="I894" s="203"/>
      <c r="J894" s="203"/>
      <c r="K894" s="203"/>
      <c r="L894" s="203"/>
      <c r="M894" s="203"/>
      <c r="N894" s="203"/>
      <c r="O894" s="203"/>
      <c r="P894" s="203"/>
      <c r="Q894" s="203"/>
      <c r="R894" s="203"/>
      <c r="S894" s="203"/>
      <c r="T894" s="203"/>
      <c r="U894" s="203"/>
      <c r="V894" s="203"/>
      <c r="W894" s="203"/>
      <c r="X894" s="203"/>
      <c r="Y894" s="203"/>
      <c r="Z894" s="203"/>
      <c r="AA894" s="203"/>
      <c r="AB894" s="203"/>
      <c r="AC894" s="203"/>
      <c r="AD894" s="203"/>
      <c r="AE894" s="203"/>
      <c r="AF894" s="203"/>
      <c r="AG894" s="203"/>
      <c r="AH894" s="203"/>
      <c r="AI894" s="203"/>
      <c r="AJ894" s="203"/>
      <c r="AK894" s="203"/>
      <c r="AL894" s="203"/>
      <c r="AM894" s="203"/>
      <c r="AN894" s="203"/>
      <c r="AO894" s="203"/>
      <c r="AP894" s="203"/>
      <c r="AQ894" s="203"/>
      <c r="AR894" s="203"/>
      <c r="AS894" s="203"/>
      <c r="AT894" s="203"/>
      <c r="AU894" s="203"/>
      <c r="AV894" s="203"/>
      <c r="AW894" s="203"/>
      <c r="AX894" s="203"/>
      <c r="AY894" s="203"/>
      <c r="AZ894" s="203"/>
      <c r="BA894" s="203"/>
      <c r="BB894" s="203"/>
      <c r="BC894" s="203"/>
      <c r="BD894" s="203"/>
      <c r="BE894" s="203"/>
      <c r="BF894" s="203"/>
    </row>
    <row r="895" spans="1:58" s="15" customFormat="1" ht="14.1" customHeight="1">
      <c r="A895" s="247"/>
      <c r="B895" s="203"/>
      <c r="C895" s="203"/>
      <c r="D895" s="203"/>
      <c r="E895" s="203"/>
      <c r="F895" s="203"/>
      <c r="G895" s="203"/>
      <c r="H895" s="203"/>
      <c r="I895" s="203"/>
      <c r="J895" s="203"/>
      <c r="K895" s="203"/>
      <c r="L895" s="203"/>
      <c r="M895" s="203"/>
      <c r="N895" s="203"/>
      <c r="O895" s="203"/>
      <c r="P895" s="203"/>
      <c r="Q895" s="203"/>
      <c r="R895" s="203"/>
      <c r="S895" s="203"/>
      <c r="T895" s="203"/>
      <c r="U895" s="203"/>
      <c r="V895" s="203"/>
      <c r="W895" s="203"/>
      <c r="X895" s="203"/>
      <c r="Y895" s="203"/>
      <c r="Z895" s="203"/>
      <c r="AA895" s="203"/>
      <c r="AB895" s="203"/>
      <c r="AC895" s="203"/>
      <c r="AD895" s="203"/>
      <c r="AE895" s="203"/>
      <c r="AF895" s="203"/>
      <c r="AG895" s="203"/>
      <c r="AH895" s="203"/>
      <c r="AI895" s="203"/>
      <c r="AJ895" s="203"/>
      <c r="AK895" s="203"/>
      <c r="AL895" s="203"/>
      <c r="AM895" s="203"/>
      <c r="AN895" s="203"/>
      <c r="AO895" s="203"/>
      <c r="AP895" s="203"/>
      <c r="AQ895" s="203"/>
      <c r="AR895" s="203"/>
      <c r="AS895" s="203"/>
      <c r="AT895" s="203"/>
      <c r="AU895" s="203"/>
      <c r="AV895" s="203"/>
      <c r="AW895" s="203"/>
      <c r="AX895" s="203"/>
      <c r="AY895" s="203"/>
      <c r="AZ895" s="203"/>
      <c r="BA895" s="203"/>
      <c r="BB895" s="203"/>
      <c r="BC895" s="203"/>
      <c r="BD895" s="203"/>
      <c r="BE895" s="203"/>
      <c r="BF895" s="203"/>
    </row>
    <row r="896" spans="1:58" s="15" customFormat="1" ht="14.1" customHeight="1">
      <c r="A896" s="247"/>
      <c r="B896" s="203"/>
      <c r="C896" s="203"/>
      <c r="D896" s="203"/>
      <c r="E896" s="203"/>
      <c r="F896" s="203"/>
      <c r="G896" s="203"/>
      <c r="H896" s="203"/>
      <c r="I896" s="203"/>
      <c r="J896" s="203"/>
      <c r="K896" s="203"/>
      <c r="L896" s="203"/>
      <c r="M896" s="203"/>
      <c r="N896" s="203"/>
      <c r="O896" s="203"/>
      <c r="P896" s="203"/>
      <c r="Q896" s="203"/>
      <c r="R896" s="203"/>
      <c r="S896" s="203"/>
      <c r="T896" s="203"/>
      <c r="U896" s="203"/>
      <c r="V896" s="203"/>
      <c r="W896" s="203"/>
      <c r="X896" s="203"/>
      <c r="Y896" s="203"/>
      <c r="Z896" s="203"/>
      <c r="AA896" s="203"/>
      <c r="AB896" s="203"/>
      <c r="AC896" s="203"/>
      <c r="AD896" s="203"/>
      <c r="AE896" s="203"/>
      <c r="AF896" s="203"/>
      <c r="AG896" s="203"/>
      <c r="AH896" s="203"/>
      <c r="AI896" s="203"/>
      <c r="AJ896" s="203"/>
      <c r="AK896" s="203"/>
      <c r="AL896" s="203"/>
      <c r="AM896" s="203"/>
      <c r="AN896" s="203"/>
      <c r="AO896" s="203"/>
      <c r="AP896" s="203"/>
      <c r="AQ896" s="203"/>
      <c r="AR896" s="203"/>
      <c r="AS896" s="203"/>
      <c r="AT896" s="203"/>
      <c r="AU896" s="203"/>
      <c r="AV896" s="203"/>
      <c r="AW896" s="203"/>
      <c r="AX896" s="203"/>
      <c r="AY896" s="203"/>
      <c r="AZ896" s="203"/>
      <c r="BA896" s="203"/>
      <c r="BB896" s="203"/>
      <c r="BC896" s="203"/>
      <c r="BD896" s="203"/>
      <c r="BE896" s="203"/>
      <c r="BF896" s="203"/>
    </row>
    <row r="897" spans="1:58" s="15" customFormat="1" ht="14.1" customHeight="1">
      <c r="A897" s="247"/>
      <c r="B897" s="203"/>
      <c r="C897" s="203"/>
      <c r="D897" s="203"/>
      <c r="E897" s="203"/>
      <c r="F897" s="203"/>
      <c r="G897" s="203"/>
      <c r="H897" s="203"/>
      <c r="I897" s="203"/>
      <c r="J897" s="203"/>
      <c r="K897" s="203"/>
      <c r="L897" s="203"/>
      <c r="M897" s="203"/>
      <c r="N897" s="203"/>
      <c r="O897" s="203"/>
      <c r="P897" s="203"/>
      <c r="Q897" s="203"/>
      <c r="R897" s="203"/>
      <c r="S897" s="203"/>
      <c r="T897" s="203"/>
      <c r="U897" s="203"/>
      <c r="V897" s="203"/>
      <c r="W897" s="203"/>
      <c r="X897" s="203"/>
      <c r="Y897" s="203"/>
      <c r="Z897" s="203"/>
      <c r="AA897" s="203"/>
      <c r="AB897" s="203"/>
      <c r="AC897" s="203"/>
      <c r="AD897" s="203"/>
      <c r="AE897" s="203"/>
      <c r="AF897" s="203"/>
      <c r="AG897" s="203"/>
      <c r="AH897" s="203"/>
      <c r="AI897" s="203"/>
      <c r="AJ897" s="203"/>
      <c r="AK897" s="203"/>
      <c r="AL897" s="203"/>
      <c r="AM897" s="203"/>
      <c r="AN897" s="203"/>
      <c r="AO897" s="203"/>
      <c r="AP897" s="203"/>
      <c r="AQ897" s="203"/>
      <c r="AR897" s="203"/>
      <c r="AS897" s="203"/>
      <c r="AT897" s="203"/>
      <c r="AU897" s="203"/>
      <c r="AV897" s="203"/>
      <c r="AW897" s="203"/>
      <c r="AX897" s="203"/>
      <c r="AY897" s="203"/>
      <c r="AZ897" s="203"/>
      <c r="BA897" s="203"/>
      <c r="BB897" s="203"/>
      <c r="BC897" s="203"/>
      <c r="BD897" s="203"/>
      <c r="BE897" s="203"/>
      <c r="BF897" s="203"/>
    </row>
    <row r="898" spans="1:58" s="15" customFormat="1" ht="14.1" customHeight="1">
      <c r="A898" s="247"/>
      <c r="B898" s="203"/>
      <c r="C898" s="203"/>
      <c r="D898" s="203"/>
      <c r="E898" s="203"/>
      <c r="F898" s="203"/>
      <c r="G898" s="203"/>
      <c r="H898" s="203"/>
      <c r="I898" s="203"/>
      <c r="J898" s="203"/>
      <c r="K898" s="203"/>
      <c r="L898" s="203"/>
      <c r="M898" s="203"/>
      <c r="N898" s="203"/>
      <c r="O898" s="203"/>
      <c r="P898" s="203"/>
      <c r="Q898" s="203"/>
      <c r="R898" s="203"/>
      <c r="S898" s="203"/>
      <c r="T898" s="203"/>
      <c r="U898" s="203"/>
      <c r="V898" s="203"/>
      <c r="W898" s="203"/>
      <c r="X898" s="203"/>
      <c r="Y898" s="203"/>
      <c r="Z898" s="203"/>
      <c r="AA898" s="203"/>
      <c r="AB898" s="203"/>
      <c r="AC898" s="203"/>
      <c r="AD898" s="203"/>
      <c r="AE898" s="203"/>
      <c r="AF898" s="203"/>
      <c r="AG898" s="203"/>
      <c r="AH898" s="203"/>
      <c r="AI898" s="203"/>
      <c r="AJ898" s="203"/>
      <c r="AK898" s="203"/>
      <c r="AL898" s="203"/>
      <c r="AM898" s="203"/>
      <c r="AN898" s="203"/>
      <c r="AO898" s="203"/>
      <c r="AP898" s="203"/>
      <c r="AQ898" s="203"/>
      <c r="AR898" s="203"/>
      <c r="AS898" s="203"/>
      <c r="AT898" s="203"/>
      <c r="AU898" s="203"/>
      <c r="AV898" s="203"/>
      <c r="AW898" s="203"/>
      <c r="AX898" s="203"/>
      <c r="AY898" s="203"/>
      <c r="AZ898" s="203"/>
      <c r="BA898" s="203"/>
      <c r="BB898" s="203"/>
      <c r="BC898" s="203"/>
      <c r="BD898" s="203"/>
      <c r="BE898" s="203"/>
      <c r="BF898" s="203"/>
    </row>
    <row r="899" spans="1:58" s="15" customFormat="1" ht="14.1" customHeight="1">
      <c r="A899" s="247"/>
      <c r="B899" s="203"/>
      <c r="C899" s="203"/>
      <c r="D899" s="203"/>
      <c r="E899" s="203"/>
      <c r="F899" s="203"/>
      <c r="G899" s="203"/>
      <c r="H899" s="203"/>
      <c r="I899" s="203"/>
      <c r="J899" s="203"/>
      <c r="K899" s="203"/>
      <c r="L899" s="203"/>
      <c r="M899" s="203"/>
      <c r="N899" s="203"/>
      <c r="O899" s="203"/>
      <c r="P899" s="203"/>
      <c r="Q899" s="203"/>
      <c r="R899" s="203"/>
      <c r="S899" s="203"/>
      <c r="T899" s="203"/>
      <c r="U899" s="203"/>
      <c r="V899" s="203"/>
      <c r="W899" s="203"/>
      <c r="X899" s="203"/>
      <c r="Y899" s="203"/>
      <c r="Z899" s="203"/>
      <c r="AA899" s="203"/>
      <c r="AB899" s="203"/>
      <c r="AC899" s="203"/>
      <c r="AD899" s="203"/>
      <c r="AE899" s="203"/>
      <c r="AF899" s="203"/>
      <c r="AG899" s="203"/>
      <c r="AH899" s="203"/>
      <c r="AI899" s="203"/>
      <c r="AJ899" s="203"/>
      <c r="AK899" s="203"/>
      <c r="AL899" s="203"/>
      <c r="AM899" s="203"/>
      <c r="AN899" s="203"/>
      <c r="AO899" s="203"/>
      <c r="AP899" s="203"/>
      <c r="AQ899" s="203"/>
      <c r="AR899" s="203"/>
      <c r="AS899" s="203"/>
      <c r="AT899" s="203"/>
      <c r="AU899" s="203"/>
      <c r="AV899" s="203"/>
      <c r="AW899" s="203"/>
      <c r="AX899" s="203"/>
      <c r="AY899" s="203"/>
      <c r="AZ899" s="203"/>
      <c r="BA899" s="203"/>
      <c r="BB899" s="203"/>
      <c r="BC899" s="203"/>
      <c r="BD899" s="203"/>
      <c r="BE899" s="203"/>
      <c r="BF899" s="203"/>
    </row>
    <row r="900" spans="1:58" s="15" customFormat="1" ht="14.1" customHeight="1">
      <c r="A900" s="247"/>
      <c r="B900" s="203"/>
      <c r="C900" s="203"/>
      <c r="D900" s="203"/>
      <c r="E900" s="203"/>
      <c r="F900" s="203"/>
      <c r="G900" s="203"/>
      <c r="H900" s="203"/>
      <c r="I900" s="203"/>
      <c r="J900" s="203"/>
      <c r="K900" s="203"/>
      <c r="L900" s="203"/>
      <c r="M900" s="203"/>
      <c r="N900" s="203"/>
      <c r="O900" s="203"/>
      <c r="P900" s="203"/>
      <c r="Q900" s="203"/>
      <c r="R900" s="203"/>
      <c r="S900" s="203"/>
      <c r="T900" s="203"/>
      <c r="U900" s="203"/>
      <c r="V900" s="203"/>
      <c r="W900" s="203"/>
      <c r="X900" s="203"/>
      <c r="Y900" s="203"/>
      <c r="Z900" s="203"/>
      <c r="AA900" s="203"/>
      <c r="AB900" s="203"/>
      <c r="AC900" s="203"/>
      <c r="AD900" s="203"/>
      <c r="AE900" s="203"/>
      <c r="AF900" s="203"/>
      <c r="AG900" s="203"/>
      <c r="AH900" s="203"/>
      <c r="AI900" s="203"/>
      <c r="AJ900" s="203"/>
      <c r="AK900" s="203"/>
      <c r="AL900" s="203"/>
      <c r="AM900" s="203"/>
      <c r="AN900" s="203"/>
      <c r="AO900" s="203"/>
      <c r="AP900" s="203"/>
      <c r="AQ900" s="203"/>
      <c r="AR900" s="203"/>
      <c r="AS900" s="203"/>
      <c r="AT900" s="203"/>
      <c r="AU900" s="203"/>
      <c r="AV900" s="203"/>
      <c r="AW900" s="203"/>
      <c r="AX900" s="203"/>
      <c r="AY900" s="203"/>
      <c r="AZ900" s="203"/>
      <c r="BA900" s="203"/>
      <c r="BB900" s="203"/>
      <c r="BC900" s="203"/>
      <c r="BD900" s="203"/>
      <c r="BE900" s="203"/>
      <c r="BF900" s="203"/>
    </row>
    <row r="901" spans="1:58" s="15" customFormat="1" ht="14.1" customHeight="1">
      <c r="A901" s="247"/>
      <c r="B901" s="203"/>
      <c r="C901" s="203"/>
      <c r="D901" s="203"/>
      <c r="E901" s="203"/>
      <c r="F901" s="203"/>
      <c r="G901" s="203"/>
      <c r="H901" s="203"/>
      <c r="I901" s="203"/>
      <c r="J901" s="203"/>
      <c r="K901" s="203"/>
      <c r="L901" s="203"/>
      <c r="M901" s="203"/>
      <c r="N901" s="203"/>
      <c r="O901" s="203"/>
      <c r="P901" s="203"/>
      <c r="Q901" s="203"/>
      <c r="R901" s="203"/>
      <c r="S901" s="203"/>
      <c r="T901" s="203"/>
      <c r="U901" s="203"/>
      <c r="V901" s="203"/>
      <c r="W901" s="203"/>
      <c r="X901" s="203"/>
      <c r="Y901" s="203"/>
      <c r="Z901" s="203"/>
      <c r="AA901" s="203"/>
      <c r="AB901" s="203"/>
      <c r="AC901" s="203"/>
      <c r="AD901" s="203"/>
      <c r="AE901" s="203"/>
      <c r="AF901" s="203"/>
      <c r="AG901" s="203"/>
      <c r="AH901" s="203"/>
      <c r="AI901" s="203"/>
      <c r="AJ901" s="203"/>
      <c r="AK901" s="203"/>
      <c r="AL901" s="203"/>
      <c r="AM901" s="203"/>
      <c r="AN901" s="203"/>
      <c r="AO901" s="203"/>
      <c r="AP901" s="203"/>
      <c r="AQ901" s="203"/>
      <c r="AR901" s="203"/>
      <c r="AS901" s="203"/>
      <c r="AT901" s="203"/>
      <c r="AU901" s="203"/>
      <c r="AV901" s="203"/>
      <c r="AW901" s="203"/>
      <c r="AX901" s="203"/>
      <c r="AY901" s="203"/>
      <c r="AZ901" s="203"/>
      <c r="BA901" s="203"/>
      <c r="BB901" s="203"/>
      <c r="BC901" s="203"/>
      <c r="BD901" s="203"/>
      <c r="BE901" s="203"/>
      <c r="BF901" s="203"/>
    </row>
  </sheetData>
  <pageMargins left="0.5" right="0.5" top="0.76" bottom="0.38" header="0.5" footer="0.22"/>
  <pageSetup scale="59" fitToHeight="13" orientation="landscape" r:id="rId1"/>
  <headerFooter alignWithMargins="0">
    <oddHeader>&amp;C&amp;12KENTUCKY POWER COMPANY
JURISDICTIONAL COST OF SERVICE 
12 MONTHS ENDED SEPTEMBER 30, 2014
&amp;14
&amp;R&amp;12SECTION V
SCHEDULE 5
PAGE &amp;P of  &amp;N</oddHeader>
    <oddFooter>&amp;L[Tab]</oddFooter>
  </headerFooter>
  <rowBreaks count="7" manualBreakCount="7">
    <brk id="56" min="2" max="57" man="1"/>
    <brk id="109" min="2" max="57" man="1"/>
    <brk id="164" min="2" max="57" man="1"/>
    <brk id="221" min="2" max="57" man="1"/>
    <brk id="276" min="2" max="57" man="1"/>
    <brk id="389" min="2" max="57" man="1"/>
    <brk id="502" min="2" max="5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B1" zoomScale="90" zoomScaleNormal="90" workbookViewId="0">
      <selection activeCell="B10" sqref="B10"/>
    </sheetView>
  </sheetViews>
  <sheetFormatPr defaultRowHeight="12.75"/>
  <cols>
    <col min="1" max="1" width="9.140625" style="203"/>
    <col min="2" max="2" width="38.140625" style="203" customWidth="1"/>
    <col min="3" max="3" width="16.140625" style="203" bestFit="1" customWidth="1"/>
    <col min="4" max="4" width="1.7109375" style="27" customWidth="1"/>
    <col min="5" max="5" width="14.7109375" style="203" customWidth="1"/>
    <col min="6" max="6" width="1.7109375" style="27" customWidth="1"/>
    <col min="7" max="7" width="13.85546875" style="203" bestFit="1" customWidth="1"/>
    <col min="8" max="8" width="1.85546875" style="27" customWidth="1"/>
    <col min="9" max="9" width="14.7109375" style="203" customWidth="1"/>
    <col min="10" max="10" width="1.85546875" style="203" customWidth="1"/>
    <col min="11" max="11" width="13.85546875" style="27" bestFit="1" customWidth="1"/>
    <col min="12" max="12" width="9.140625" style="27"/>
    <col min="13" max="13" width="23" style="27" bestFit="1" customWidth="1"/>
    <col min="14" max="14" width="12.140625" style="159" bestFit="1" customWidth="1"/>
    <col min="15" max="15" width="13.85546875" style="27" bestFit="1" customWidth="1"/>
    <col min="16" max="16" width="11.140625" style="27" bestFit="1" customWidth="1"/>
    <col min="17" max="17" width="5.85546875" style="203" customWidth="1"/>
    <col min="18" max="18" width="15.42578125" style="203" customWidth="1"/>
    <col min="19" max="16384" width="9.140625" style="203"/>
  </cols>
  <sheetData>
    <row r="1" spans="1:18">
      <c r="A1" s="439" t="s">
        <v>432</v>
      </c>
      <c r="B1" s="439"/>
      <c r="C1" s="439"/>
      <c r="D1" s="439"/>
      <c r="E1" s="439"/>
      <c r="F1" s="439"/>
      <c r="G1" s="439"/>
      <c r="H1" s="439"/>
      <c r="I1" s="439"/>
    </row>
    <row r="2" spans="1:18">
      <c r="A2" s="439" t="s">
        <v>433</v>
      </c>
      <c r="B2" s="439"/>
      <c r="C2" s="439"/>
      <c r="D2" s="439"/>
      <c r="E2" s="439"/>
      <c r="F2" s="439"/>
      <c r="G2" s="439"/>
      <c r="H2" s="439"/>
      <c r="I2" s="439"/>
    </row>
    <row r="3" spans="1:18">
      <c r="A3" s="439" t="s">
        <v>879</v>
      </c>
      <c r="B3" s="439"/>
      <c r="C3" s="439"/>
      <c r="D3" s="439"/>
      <c r="E3" s="439"/>
      <c r="F3" s="439"/>
      <c r="G3" s="439"/>
      <c r="H3" s="439"/>
      <c r="I3" s="439"/>
    </row>
    <row r="5" spans="1:18" ht="39">
      <c r="A5" s="251" t="s">
        <v>434</v>
      </c>
      <c r="B5" s="253" t="s">
        <v>435</v>
      </c>
      <c r="C5" s="201" t="s">
        <v>452</v>
      </c>
      <c r="D5" s="396"/>
      <c r="E5" s="201" t="s">
        <v>453</v>
      </c>
      <c r="F5" s="396"/>
      <c r="G5" s="201" t="s">
        <v>454</v>
      </c>
      <c r="H5" s="396"/>
      <c r="I5" s="201" t="s">
        <v>455</v>
      </c>
      <c r="M5" s="410"/>
    </row>
    <row r="7" spans="1:18">
      <c r="B7" s="49" t="s">
        <v>191</v>
      </c>
    </row>
    <row r="8" spans="1:18">
      <c r="B8" s="49" t="s">
        <v>192</v>
      </c>
      <c r="M8" s="450"/>
      <c r="N8" s="450"/>
    </row>
    <row r="9" spans="1:18">
      <c r="A9" s="203">
        <v>500</v>
      </c>
      <c r="B9" s="203" t="s">
        <v>436</v>
      </c>
      <c r="C9" s="204">
        <f>'Sch 4'!C308</f>
        <v>3348247.62</v>
      </c>
      <c r="D9" s="159"/>
      <c r="E9" s="204">
        <v>803879</v>
      </c>
      <c r="F9" s="159"/>
      <c r="G9" s="204">
        <f>ROUND(E9/($E$53-$E$51)*$C$51,0)</f>
        <v>529300</v>
      </c>
      <c r="H9" s="159"/>
      <c r="I9" s="204">
        <f>C9+G9</f>
        <v>3877547.62</v>
      </c>
    </row>
    <row r="10" spans="1:18">
      <c r="A10" s="203">
        <v>501</v>
      </c>
      <c r="B10" s="203" t="s">
        <v>437</v>
      </c>
      <c r="C10" s="204">
        <f>'Sch 4'!C309+'Sch 4'!C310</f>
        <v>242971792.53999999</v>
      </c>
      <c r="D10" s="159"/>
      <c r="E10" s="204">
        <v>10897</v>
      </c>
      <c r="F10" s="159"/>
      <c r="G10" s="204">
        <f t="shared" ref="G10:G16" si="0">ROUND(E10/($E$53-$E$51)*$C$51,0)</f>
        <v>7175</v>
      </c>
      <c r="H10" s="159"/>
      <c r="I10" s="204">
        <f t="shared" ref="I10:I16" si="1">C10+G10</f>
        <v>242978967.53999999</v>
      </c>
      <c r="R10" s="397">
        <f>N10*'Allocation Factors'!$G$16</f>
        <v>0</v>
      </c>
    </row>
    <row r="11" spans="1:18">
      <c r="A11" s="203">
        <v>5010005</v>
      </c>
      <c r="B11" s="203" t="s">
        <v>438</v>
      </c>
      <c r="C11" s="204">
        <f>'Sch 4'!C311</f>
        <v>-14572129.369999999</v>
      </c>
      <c r="D11" s="159"/>
      <c r="E11" s="204">
        <v>0</v>
      </c>
      <c r="F11" s="159"/>
      <c r="G11" s="204">
        <f t="shared" si="0"/>
        <v>0</v>
      </c>
      <c r="H11" s="159"/>
      <c r="I11" s="204">
        <f t="shared" si="1"/>
        <v>-14572129.369999999</v>
      </c>
      <c r="R11" s="397">
        <f>N11*'Allocation Factors'!$G$16</f>
        <v>0</v>
      </c>
    </row>
    <row r="12" spans="1:18">
      <c r="A12" s="203">
        <v>502</v>
      </c>
      <c r="B12" s="203" t="s">
        <v>439</v>
      </c>
      <c r="C12" s="204">
        <f>'Sch 4'!C312</f>
        <v>9864886.3100000005</v>
      </c>
      <c r="D12" s="159"/>
      <c r="E12" s="204">
        <v>1923440</v>
      </c>
      <c r="F12" s="159"/>
      <c r="G12" s="204">
        <f t="shared" si="0"/>
        <v>1266455</v>
      </c>
      <c r="H12" s="159"/>
      <c r="I12" s="204">
        <f t="shared" si="1"/>
        <v>11131341.310000001</v>
      </c>
      <c r="R12" s="397">
        <f>N12*'Allocation Factors'!$G$16</f>
        <v>0</v>
      </c>
    </row>
    <row r="13" spans="1:18">
      <c r="A13" s="203">
        <v>505</v>
      </c>
      <c r="B13" s="203" t="s">
        <v>440</v>
      </c>
      <c r="C13" s="204">
        <f>'Sch 4'!C315</f>
        <v>465369.39</v>
      </c>
      <c r="D13" s="159"/>
      <c r="E13" s="204">
        <v>575511</v>
      </c>
      <c r="F13" s="159"/>
      <c r="G13" s="204">
        <f t="shared" si="0"/>
        <v>378935</v>
      </c>
      <c r="H13" s="159"/>
      <c r="I13" s="204">
        <f t="shared" si="1"/>
        <v>844304.39</v>
      </c>
      <c r="R13" s="397">
        <f>N13*'Allocation Factors'!$G$16</f>
        <v>0</v>
      </c>
    </row>
    <row r="14" spans="1:18">
      <c r="A14" s="203">
        <v>506</v>
      </c>
      <c r="B14" s="203" t="s">
        <v>441</v>
      </c>
      <c r="C14" s="204">
        <f>'Sch 4'!C316+'Sch 4'!C317</f>
        <v>7073599.2200000016</v>
      </c>
      <c r="D14" s="159"/>
      <c r="E14" s="204">
        <v>4210383</v>
      </c>
      <c r="F14" s="159"/>
      <c r="G14" s="204">
        <f t="shared" si="0"/>
        <v>2772251</v>
      </c>
      <c r="H14" s="159"/>
      <c r="I14" s="204">
        <f t="shared" si="1"/>
        <v>9845850.2200000025</v>
      </c>
      <c r="R14" s="397">
        <f>N14*'Allocation Factors'!$G$16</f>
        <v>0</v>
      </c>
    </row>
    <row r="15" spans="1:18">
      <c r="A15" s="203">
        <v>507</v>
      </c>
      <c r="B15" s="203" t="s">
        <v>442</v>
      </c>
      <c r="C15" s="204">
        <f>'Sch 4'!C318</f>
        <v>0</v>
      </c>
      <c r="D15" s="159"/>
      <c r="E15" s="204">
        <v>0</v>
      </c>
      <c r="F15" s="159"/>
      <c r="G15" s="204">
        <f t="shared" si="0"/>
        <v>0</v>
      </c>
      <c r="H15" s="159"/>
      <c r="I15" s="204">
        <f t="shared" si="1"/>
        <v>0</v>
      </c>
      <c r="R15" s="397">
        <f>N15*'Allocation Factors'!$G$16</f>
        <v>0</v>
      </c>
    </row>
    <row r="16" spans="1:18">
      <c r="A16" s="203">
        <v>509</v>
      </c>
      <c r="B16" s="203" t="s">
        <v>443</v>
      </c>
      <c r="C16" s="398">
        <f>'Sch 4'!C319</f>
        <v>8400338.9900000002</v>
      </c>
      <c r="D16" s="159"/>
      <c r="E16" s="398">
        <v>0</v>
      </c>
      <c r="F16" s="159"/>
      <c r="G16" s="398">
        <f t="shared" si="0"/>
        <v>0</v>
      </c>
      <c r="H16" s="159"/>
      <c r="I16" s="398">
        <f t="shared" si="1"/>
        <v>8400338.9900000002</v>
      </c>
      <c r="R16" s="397">
        <f>N16*'Allocation Factors'!$G$16</f>
        <v>0</v>
      </c>
    </row>
    <row r="17" spans="1:19">
      <c r="C17" s="204"/>
      <c r="D17" s="159"/>
      <c r="E17" s="204"/>
      <c r="F17" s="159"/>
      <c r="G17" s="204"/>
      <c r="H17" s="159"/>
      <c r="I17" s="204"/>
      <c r="R17" s="397">
        <f>N18*'Allocation Factors'!$G$16</f>
        <v>0</v>
      </c>
    </row>
    <row r="18" spans="1:19">
      <c r="B18" s="25" t="s">
        <v>201</v>
      </c>
      <c r="C18" s="204">
        <f>SUM(C9:C17)</f>
        <v>257552104.69999999</v>
      </c>
      <c r="D18" s="159"/>
      <c r="E18" s="204">
        <f>SUM(E9:E17)</f>
        <v>7524110</v>
      </c>
      <c r="F18" s="159"/>
      <c r="G18" s="204">
        <f>SUM(G9:G17)</f>
        <v>4954116</v>
      </c>
      <c r="H18" s="159"/>
      <c r="I18" s="204">
        <f>SUM(I9:I17)</f>
        <v>262506220.69999999</v>
      </c>
      <c r="R18" s="397">
        <f>N19*'Allocation Factors'!$G$16</f>
        <v>0</v>
      </c>
    </row>
    <row r="19" spans="1:19">
      <c r="C19" s="204"/>
      <c r="D19" s="159"/>
      <c r="E19" s="204"/>
      <c r="F19" s="159"/>
      <c r="G19" s="204"/>
      <c r="H19" s="159"/>
      <c r="I19" s="204"/>
      <c r="Q19" s="27"/>
      <c r="R19" s="397">
        <f>N20*'Allocation Factors'!$G$16</f>
        <v>0</v>
      </c>
    </row>
    <row r="20" spans="1:19">
      <c r="C20" s="204"/>
      <c r="D20" s="159"/>
      <c r="E20" s="204"/>
      <c r="F20" s="159"/>
      <c r="G20" s="204"/>
      <c r="H20" s="159"/>
      <c r="I20" s="204"/>
      <c r="Q20" s="27"/>
      <c r="R20" s="397">
        <f>N21*'Allocation Factors'!$G$16</f>
        <v>0</v>
      </c>
    </row>
    <row r="21" spans="1:19">
      <c r="B21" s="399" t="s">
        <v>444</v>
      </c>
      <c r="C21" s="204"/>
      <c r="D21" s="159"/>
      <c r="E21" s="204"/>
      <c r="F21" s="159"/>
      <c r="G21" s="204"/>
      <c r="H21" s="159"/>
      <c r="I21" s="204"/>
      <c r="Q21" s="27"/>
      <c r="R21" s="397">
        <f>N22*'Allocation Factors'!$G$16</f>
        <v>0</v>
      </c>
    </row>
    <row r="22" spans="1:19">
      <c r="A22" s="203">
        <v>510</v>
      </c>
      <c r="B22" s="377" t="s">
        <v>436</v>
      </c>
      <c r="C22" s="204">
        <f>'Sch 4'!C322</f>
        <v>3238998.29</v>
      </c>
      <c r="D22" s="159"/>
      <c r="E22" s="204">
        <v>3392005</v>
      </c>
      <c r="F22" s="159"/>
      <c r="G22" s="204">
        <f>ROUND(E22/($E$53-$E$51)*$C$51,0)</f>
        <v>2233405</v>
      </c>
      <c r="H22" s="159"/>
      <c r="I22" s="204">
        <f>C22+G22</f>
        <v>5472403.29</v>
      </c>
      <c r="Q22" s="27"/>
      <c r="R22" s="397">
        <f>N23*'Allocation Factors'!$G$16</f>
        <v>0</v>
      </c>
    </row>
    <row r="23" spans="1:19">
      <c r="A23" s="203">
        <v>511</v>
      </c>
      <c r="B23" s="400" t="s">
        <v>446</v>
      </c>
      <c r="C23" s="204">
        <f>'Sch 4'!C323</f>
        <v>1738412.82</v>
      </c>
      <c r="D23" s="159"/>
      <c r="E23" s="204">
        <v>275577</v>
      </c>
      <c r="F23" s="159"/>
      <c r="G23" s="204">
        <f>ROUND(E23/($E$53-$E$51)*$C$51,0)</f>
        <v>181449</v>
      </c>
      <c r="H23" s="159"/>
      <c r="I23" s="204">
        <f>C23+G23</f>
        <v>1919861.82</v>
      </c>
      <c r="Q23" s="27"/>
      <c r="R23" s="401">
        <f>N24*'Allocation Factors'!$G$34</f>
        <v>0</v>
      </c>
    </row>
    <row r="24" spans="1:19">
      <c r="A24" s="203">
        <v>512</v>
      </c>
      <c r="B24" s="377" t="s">
        <v>447</v>
      </c>
      <c r="C24" s="204">
        <f>'Sch 4'!C324</f>
        <v>14797981.800000001</v>
      </c>
      <c r="D24" s="159"/>
      <c r="E24" s="204">
        <v>5322160</v>
      </c>
      <c r="F24" s="159"/>
      <c r="G24" s="204">
        <f>ROUND(E24/($E$53-$E$51)*$C$51,0)</f>
        <v>3504281</v>
      </c>
      <c r="H24" s="159"/>
      <c r="I24" s="204">
        <f>C24+G24</f>
        <v>18302262.800000001</v>
      </c>
      <c r="Q24" s="27"/>
      <c r="R24" s="401">
        <f>N25*'Allocation Factors'!$G$34</f>
        <v>0</v>
      </c>
      <c r="S24" s="27"/>
    </row>
    <row r="25" spans="1:19">
      <c r="A25" s="203">
        <v>513</v>
      </c>
      <c r="B25" s="377" t="s">
        <v>448</v>
      </c>
      <c r="C25" s="204">
        <f>'Sch 4'!C325</f>
        <v>1139393.8400000001</v>
      </c>
      <c r="D25" s="159"/>
      <c r="E25" s="204">
        <v>849254</v>
      </c>
      <c r="F25" s="159"/>
      <c r="G25" s="204">
        <f>ROUND(E25/($E$53-$E$51)*$C$51,0)</f>
        <v>559176</v>
      </c>
      <c r="H25" s="159"/>
      <c r="I25" s="204">
        <f>C25+G25</f>
        <v>1698569.84</v>
      </c>
      <c r="Q25" s="27"/>
      <c r="R25" s="401">
        <f>N26*'Allocation Factors'!$G$34</f>
        <v>0</v>
      </c>
      <c r="S25" s="27"/>
    </row>
    <row r="26" spans="1:19">
      <c r="A26" s="203" t="s">
        <v>445</v>
      </c>
      <c r="B26" s="377" t="s">
        <v>449</v>
      </c>
      <c r="C26" s="398">
        <f>'Sch 4'!C326</f>
        <v>1240452.21</v>
      </c>
      <c r="D26" s="159"/>
      <c r="E26" s="398">
        <v>409021</v>
      </c>
      <c r="F26" s="159"/>
      <c r="G26" s="398">
        <f>ROUND(E26/($E$53-$E$51)*$C$51,0)</f>
        <v>269313</v>
      </c>
      <c r="H26" s="159"/>
      <c r="I26" s="398">
        <f>C26+G26</f>
        <v>1509765.21</v>
      </c>
      <c r="Q26" s="27"/>
      <c r="R26" s="401">
        <f>N27*'Allocation Factors'!$G$34</f>
        <v>0</v>
      </c>
      <c r="S26" s="27"/>
    </row>
    <row r="27" spans="1:19">
      <c r="C27" s="204"/>
      <c r="D27" s="159"/>
      <c r="E27" s="204"/>
      <c r="F27" s="159"/>
      <c r="G27" s="204"/>
      <c r="H27" s="159"/>
      <c r="I27" s="204"/>
      <c r="Q27" s="27"/>
      <c r="R27" s="401">
        <f>N28*'Allocation Factors'!$G$34</f>
        <v>0</v>
      </c>
      <c r="S27" s="27"/>
    </row>
    <row r="28" spans="1:19">
      <c r="B28" s="402" t="s">
        <v>451</v>
      </c>
      <c r="C28" s="204">
        <f>SUM(C22:C27)</f>
        <v>22155238.960000001</v>
      </c>
      <c r="D28" s="159"/>
      <c r="E28" s="204">
        <f>SUM(E22:E27)</f>
        <v>10248017</v>
      </c>
      <c r="F28" s="159"/>
      <c r="G28" s="204">
        <f>SUM(G22:G27)</f>
        <v>6747624</v>
      </c>
      <c r="H28" s="159"/>
      <c r="I28" s="204">
        <f>SUM(I22:I27)</f>
        <v>28902862.960000001</v>
      </c>
      <c r="Q28" s="27"/>
      <c r="R28" s="397">
        <f>N29*'Allocation Factors'!$G$16</f>
        <v>0</v>
      </c>
      <c r="S28" s="27"/>
    </row>
    <row r="29" spans="1:19">
      <c r="B29" s="377"/>
      <c r="C29" s="204"/>
      <c r="D29" s="159"/>
      <c r="E29" s="204"/>
      <c r="F29" s="159"/>
      <c r="G29" s="204"/>
      <c r="H29" s="159"/>
      <c r="I29" s="204"/>
      <c r="Q29" s="27"/>
      <c r="R29" s="397">
        <f>N30*'Allocation Factors'!$G$16</f>
        <v>0</v>
      </c>
      <c r="S29" s="27"/>
    </row>
    <row r="30" spans="1:19">
      <c r="B30" s="377"/>
      <c r="C30" s="204"/>
      <c r="D30" s="159"/>
      <c r="E30" s="204"/>
      <c r="F30" s="159"/>
      <c r="G30" s="204"/>
      <c r="H30" s="159"/>
      <c r="I30" s="204"/>
      <c r="Q30" s="27"/>
      <c r="R30" s="397">
        <f>N31*'Allocation Factors'!$G$16</f>
        <v>0</v>
      </c>
      <c r="S30" s="27"/>
    </row>
    <row r="31" spans="1:19">
      <c r="B31" s="402" t="s">
        <v>450</v>
      </c>
      <c r="C31" s="204">
        <f>C18+C28</f>
        <v>279707343.65999997</v>
      </c>
      <c r="D31" s="159"/>
      <c r="E31" s="204">
        <f>E18+E28</f>
        <v>17772127</v>
      </c>
      <c r="F31" s="159"/>
      <c r="G31" s="204">
        <f>G18+G28</f>
        <v>11701740</v>
      </c>
      <c r="H31" s="159"/>
      <c r="I31" s="204">
        <f>I18+I28</f>
        <v>291409083.65999997</v>
      </c>
      <c r="Q31" s="27"/>
      <c r="R31" s="397">
        <f>N32*'Allocation Factors'!$G$16</f>
        <v>0</v>
      </c>
      <c r="S31" s="27"/>
    </row>
    <row r="32" spans="1:19">
      <c r="C32" s="204"/>
      <c r="D32" s="159"/>
      <c r="E32" s="204"/>
      <c r="F32" s="159"/>
      <c r="G32" s="204"/>
      <c r="H32" s="159"/>
      <c r="I32" s="204"/>
      <c r="Q32" s="27"/>
      <c r="R32" s="397">
        <f>N33*'Allocation Factors'!$G$16</f>
        <v>0</v>
      </c>
      <c r="S32" s="27"/>
    </row>
    <row r="33" spans="2:19">
      <c r="C33" s="204"/>
      <c r="D33" s="159"/>
      <c r="E33" s="204"/>
      <c r="F33" s="159"/>
      <c r="G33" s="204"/>
      <c r="H33" s="159"/>
      <c r="I33" s="204"/>
      <c r="K33" s="186"/>
      <c r="Q33" s="27"/>
      <c r="R33" s="397">
        <f>N34*'Allocation Factors'!$G$16</f>
        <v>0</v>
      </c>
      <c r="S33" s="27"/>
    </row>
    <row r="34" spans="2:19">
      <c r="B34" s="377" t="s">
        <v>378</v>
      </c>
      <c r="C34" s="204">
        <f>('Sch 4'!C294+'Sch 4'!C295+'Sch 4'!C296+'Sch 4'!C297)*-1</f>
        <v>-21840721.969999999</v>
      </c>
      <c r="D34" s="159"/>
      <c r="E34" s="204">
        <v>0</v>
      </c>
      <c r="F34" s="159"/>
      <c r="G34" s="204">
        <v>0</v>
      </c>
      <c r="H34" s="159"/>
      <c r="I34" s="204">
        <f>C34+G34</f>
        <v>-21840721.969999999</v>
      </c>
      <c r="K34" s="186"/>
      <c r="Q34" s="27"/>
      <c r="R34" s="397">
        <f>N35*'Allocation Factors'!$G$16</f>
        <v>0</v>
      </c>
      <c r="S34" s="27"/>
    </row>
    <row r="35" spans="2:19">
      <c r="B35" s="377"/>
      <c r="C35" s="204"/>
      <c r="D35" s="159"/>
      <c r="E35" s="204"/>
      <c r="F35" s="159"/>
      <c r="G35" s="204"/>
      <c r="H35" s="159"/>
      <c r="I35" s="204"/>
      <c r="Q35" s="27"/>
      <c r="R35" s="397">
        <f>N36*'Allocation Factors'!$G$16</f>
        <v>0</v>
      </c>
      <c r="S35" s="27"/>
    </row>
    <row r="36" spans="2:19">
      <c r="B36" s="377" t="s">
        <v>456</v>
      </c>
      <c r="C36" s="204">
        <v>181852.2</v>
      </c>
      <c r="D36" s="159"/>
      <c r="E36" s="381"/>
      <c r="F36" s="382"/>
      <c r="G36" s="204"/>
      <c r="H36" s="159"/>
      <c r="I36" s="204">
        <f>C36+G36</f>
        <v>181852.2</v>
      </c>
      <c r="K36" s="159"/>
      <c r="R36" s="397">
        <f>N37*'Allocation Factors'!$G$16</f>
        <v>0</v>
      </c>
      <c r="S36" s="27"/>
    </row>
    <row r="37" spans="2:19">
      <c r="B37" s="377" t="s">
        <v>457</v>
      </c>
      <c r="C37" s="204">
        <v>9472264.8499999996</v>
      </c>
      <c r="D37" s="159"/>
      <c r="E37" s="403"/>
      <c r="F37" s="404"/>
      <c r="G37" s="204"/>
      <c r="H37" s="159"/>
      <c r="I37" s="204">
        <f>C37+G37</f>
        <v>9472264.8499999996</v>
      </c>
      <c r="K37" s="159"/>
      <c r="R37" s="397">
        <f>N38*'Allocation Factors'!$G$16</f>
        <v>0</v>
      </c>
      <c r="S37" s="27"/>
    </row>
    <row r="38" spans="2:19">
      <c r="B38" s="377" t="s">
        <v>458</v>
      </c>
      <c r="C38" s="204">
        <v>41136.65</v>
      </c>
      <c r="D38" s="159"/>
      <c r="E38" s="403"/>
      <c r="F38" s="404"/>
      <c r="G38" s="204"/>
      <c r="H38" s="159"/>
      <c r="I38" s="204">
        <f>C38+G38</f>
        <v>41136.65</v>
      </c>
      <c r="K38" s="159"/>
      <c r="R38" s="397">
        <f>N40*'Allocation Factors'!$G$16</f>
        <v>0</v>
      </c>
      <c r="S38" s="27"/>
    </row>
    <row r="39" spans="2:19">
      <c r="B39" s="377" t="s">
        <v>459</v>
      </c>
      <c r="C39" s="204">
        <v>9683270.0199999996</v>
      </c>
      <c r="D39" s="159"/>
      <c r="E39" s="381">
        <v>1331344</v>
      </c>
      <c r="F39" s="382"/>
      <c r="G39" s="204">
        <f>ROUND(E39/($E$53-$E$51)*$C$51,0)</f>
        <v>876600</v>
      </c>
      <c r="H39" s="159"/>
      <c r="I39" s="204">
        <f>C39+G39</f>
        <v>10559870.02</v>
      </c>
      <c r="K39" s="159"/>
      <c r="S39" s="27"/>
    </row>
    <row r="40" spans="2:19">
      <c r="B40" s="377" t="s">
        <v>460</v>
      </c>
      <c r="C40" s="398">
        <v>828987.7</v>
      </c>
      <c r="D40" s="159"/>
      <c r="E40" s="405"/>
      <c r="F40" s="404"/>
      <c r="G40" s="398"/>
      <c r="H40" s="159"/>
      <c r="I40" s="398">
        <f>C40+G40</f>
        <v>828987.7</v>
      </c>
      <c r="K40" s="159"/>
      <c r="S40" s="27"/>
    </row>
    <row r="41" spans="2:19">
      <c r="B41" s="402" t="s">
        <v>215</v>
      </c>
      <c r="C41" s="204">
        <f>SUM(C36:C40)</f>
        <v>20207511.419999998</v>
      </c>
      <c r="D41" s="159"/>
      <c r="E41" s="204">
        <f>SUM(E36:E40)</f>
        <v>1331344</v>
      </c>
      <c r="F41" s="159"/>
      <c r="G41" s="204">
        <f>SUM(G36:G40)</f>
        <v>876600</v>
      </c>
      <c r="H41" s="159"/>
      <c r="I41" s="204">
        <f>SUM(I36:I40)</f>
        <v>21084111.419999998</v>
      </c>
      <c r="K41" s="159"/>
    </row>
    <row r="42" spans="2:19">
      <c r="B42" s="377"/>
      <c r="C42" s="204"/>
      <c r="D42" s="159"/>
      <c r="E42" s="204"/>
      <c r="F42" s="159"/>
      <c r="G42" s="204"/>
      <c r="H42" s="159"/>
      <c r="I42" s="204"/>
    </row>
    <row r="43" spans="2:19">
      <c r="B43" s="377"/>
      <c r="C43" s="204"/>
      <c r="D43" s="159"/>
      <c r="E43" s="204"/>
      <c r="F43" s="159"/>
      <c r="G43" s="204"/>
      <c r="H43" s="159"/>
      <c r="I43" s="204"/>
      <c r="M43" s="450"/>
      <c r="N43" s="450"/>
    </row>
    <row r="44" spans="2:19">
      <c r="B44" s="377" t="s">
        <v>380</v>
      </c>
      <c r="C44" s="204">
        <f>'Sch 4'!C362</f>
        <v>1198974.07</v>
      </c>
      <c r="D44" s="159"/>
      <c r="E44" s="381">
        <v>0</v>
      </c>
      <c r="F44" s="382"/>
      <c r="G44" s="204">
        <f>ROUND(E44/($E$53-$E$51)*$C$51,0)</f>
        <v>0</v>
      </c>
      <c r="H44" s="159"/>
      <c r="I44" s="204">
        <f>C44+G44</f>
        <v>1198974.07</v>
      </c>
      <c r="K44" s="411"/>
    </row>
    <row r="45" spans="2:19">
      <c r="B45" s="377" t="s">
        <v>468</v>
      </c>
      <c r="C45" s="204">
        <f>'Sch 4'!C378</f>
        <v>8712151.1600000001</v>
      </c>
      <c r="D45" s="159"/>
      <c r="E45" s="381">
        <v>3377371</v>
      </c>
      <c r="F45" s="382"/>
      <c r="G45" s="204">
        <f>ROUND(E45/($E$53-$E$51)*$C$51,0)</f>
        <v>2223769</v>
      </c>
      <c r="H45" s="159"/>
      <c r="I45" s="204">
        <f t="shared" ref="I45:I51" si="2">C45+G45</f>
        <v>10935920.16</v>
      </c>
    </row>
    <row r="46" spans="2:19">
      <c r="B46" s="377" t="s">
        <v>469</v>
      </c>
      <c r="C46" s="204">
        <f>+'Sch 4'!C391</f>
        <v>35078070.829999998</v>
      </c>
      <c r="D46" s="159"/>
      <c r="E46" s="381">
        <v>5349330</v>
      </c>
      <c r="F46" s="382"/>
      <c r="G46" s="204">
        <f>ROUND(E46/($E$53-$E$51)*$C$51,0)</f>
        <v>3522170</v>
      </c>
      <c r="H46" s="159"/>
      <c r="I46" s="204">
        <f t="shared" si="2"/>
        <v>38600240.829999998</v>
      </c>
    </row>
    <row r="47" spans="2:19">
      <c r="B47" s="377" t="s">
        <v>461</v>
      </c>
      <c r="C47" s="204">
        <f>'Sch 4'!C402</f>
        <v>6110070.54</v>
      </c>
      <c r="D47" s="159"/>
      <c r="E47" s="381">
        <v>1410660</v>
      </c>
      <c r="F47" s="382"/>
      <c r="G47" s="204">
        <f>ROUND(E47/($E$53-$E$51)*$C$51,0)</f>
        <v>928824</v>
      </c>
      <c r="H47" s="159"/>
      <c r="I47" s="204">
        <f t="shared" si="2"/>
        <v>7038894.54</v>
      </c>
    </row>
    <row r="48" spans="2:19">
      <c r="B48" s="377" t="s">
        <v>462</v>
      </c>
      <c r="C48" s="204">
        <f>'Sch 4'!C409</f>
        <v>5025212.8500000006</v>
      </c>
      <c r="D48" s="159"/>
      <c r="E48" s="381">
        <v>691392</v>
      </c>
      <c r="F48" s="382"/>
      <c r="G48" s="204">
        <f>ROUND(E48/($E$53-$E$51)*$C$51,0)</f>
        <v>455235</v>
      </c>
      <c r="H48" s="159"/>
      <c r="I48" s="204">
        <f t="shared" si="2"/>
        <v>5480447.8500000006</v>
      </c>
    </row>
    <row r="49" spans="2:9">
      <c r="B49" s="377" t="s">
        <v>27</v>
      </c>
      <c r="C49" s="204">
        <f>'Sch 4'!C416</f>
        <v>34976.75</v>
      </c>
      <c r="D49" s="159"/>
      <c r="E49" s="381"/>
      <c r="F49" s="382"/>
      <c r="G49" s="204"/>
      <c r="H49" s="159"/>
      <c r="I49" s="204">
        <f t="shared" si="2"/>
        <v>34976.75</v>
      </c>
    </row>
    <row r="50" spans="2:9">
      <c r="B50" s="377" t="s">
        <v>463</v>
      </c>
      <c r="C50" s="204">
        <f>'Sch 4'!C428+'Sch 4'!C429</f>
        <v>268458.48</v>
      </c>
      <c r="D50" s="159"/>
      <c r="E50" s="381">
        <v>0</v>
      </c>
      <c r="F50" s="382"/>
      <c r="G50" s="204"/>
      <c r="H50" s="159"/>
      <c r="I50" s="204">
        <f t="shared" si="2"/>
        <v>268458.48</v>
      </c>
    </row>
    <row r="51" spans="2:9">
      <c r="B51" s="377" t="s">
        <v>464</v>
      </c>
      <c r="C51" s="398">
        <f>'Sch 4'!C419+'Sch 4'!C420+'Sch 4'!C421+'Sch 4'!C422+'Sch 4'!C423+'Sch 4'!C424+'Sch 4'!C425+'Sch 4'!C426+'Sch 4'!C427+'Sch 4'!C430+'Sch 4'!C431+'Sch 4'!C432+'Sch 4'!C435+'Sch 4'!C436</f>
        <v>19708335.829999994</v>
      </c>
      <c r="D51" s="159"/>
      <c r="E51" s="409">
        <v>1523527</v>
      </c>
      <c r="F51" s="382"/>
      <c r="G51" s="398">
        <f>C51*-1</f>
        <v>-19708335.829999994</v>
      </c>
      <c r="H51" s="159"/>
      <c r="I51" s="398">
        <f t="shared" si="2"/>
        <v>0</v>
      </c>
    </row>
    <row r="52" spans="2:9">
      <c r="B52" s="377"/>
      <c r="C52" s="204"/>
      <c r="D52" s="159"/>
      <c r="E52" s="204"/>
      <c r="F52" s="159"/>
      <c r="G52" s="204"/>
      <c r="H52" s="159"/>
      <c r="I52" s="204"/>
    </row>
    <row r="53" spans="2:9">
      <c r="B53" s="402" t="s">
        <v>465</v>
      </c>
      <c r="C53" s="204">
        <f>C31+C34+C41+SUM(C44:C51)</f>
        <v>354210383.61999995</v>
      </c>
      <c r="D53" s="159"/>
      <c r="E53" s="204">
        <f>E31+E34+E41+SUM(E44:E51)</f>
        <v>31455751</v>
      </c>
      <c r="F53" s="159"/>
      <c r="G53" s="204">
        <f>G31+G34+G41+SUM(G44:G51)</f>
        <v>2.1700000055134296</v>
      </c>
      <c r="H53" s="159"/>
      <c r="I53" s="204">
        <f>I31+I34+I41+SUM(I44:I51)</f>
        <v>354210385.78999996</v>
      </c>
    </row>
    <row r="54" spans="2:9">
      <c r="C54" s="204"/>
      <c r="D54" s="159"/>
      <c r="E54" s="204"/>
      <c r="F54" s="159"/>
      <c r="G54" s="204"/>
      <c r="H54" s="159"/>
      <c r="I54" s="204"/>
    </row>
    <row r="56" spans="2:9">
      <c r="C56" s="449" t="s">
        <v>233</v>
      </c>
      <c r="D56" s="449"/>
      <c r="E56" s="449"/>
      <c r="F56" s="449"/>
      <c r="G56" s="449"/>
    </row>
    <row r="57" spans="2:9">
      <c r="C57" s="27" t="s">
        <v>466</v>
      </c>
      <c r="E57" s="204">
        <v>321708</v>
      </c>
      <c r="G57" s="204">
        <f>ROUND(E57/($E$53-$E$51)*$C$51,0)</f>
        <v>211823</v>
      </c>
    </row>
    <row r="58" spans="2:9" ht="15">
      <c r="C58" s="27" t="s">
        <v>467</v>
      </c>
      <c r="E58" s="407">
        <v>1009636</v>
      </c>
      <c r="G58" s="408">
        <f>ROUND(E58/($E$53-$E$51)*$C$51,0)</f>
        <v>664777</v>
      </c>
    </row>
    <row r="59" spans="2:9">
      <c r="E59" s="204">
        <f>SUM(E57:E58)</f>
        <v>1331344</v>
      </c>
      <c r="G59" s="406">
        <f>SUM(G57:G58)</f>
        <v>876600</v>
      </c>
    </row>
  </sheetData>
  <mergeCells count="6">
    <mergeCell ref="C56:G56"/>
    <mergeCell ref="M43:N43"/>
    <mergeCell ref="A1:I1"/>
    <mergeCell ref="A2:I2"/>
    <mergeCell ref="A3:I3"/>
    <mergeCell ref="M8:N8"/>
  </mergeCells>
  <pageMargins left="0.7" right="0.7" top="0.75" bottom="0.75" header="0.3" footer="0.3"/>
  <pageSetup scale="80" orientation="portrait" r:id="rId1"/>
  <headerFooter>
    <oddHeader>&amp;CKENTUCKY POWER COMPANY
JURISDICTIONAL COST OF SERVICE
12 MONTHS ENDED SEPTEMBER 30, 2014&amp;RSECTION V
SCHEDULE 6
PAGE &amp;P  OF &amp;N</oddHeader>
  </headerFooter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F5" sqref="F5"/>
    </sheetView>
  </sheetViews>
  <sheetFormatPr defaultRowHeight="12.75"/>
  <cols>
    <col min="1" max="1" width="28.28515625" style="57" bestFit="1" customWidth="1"/>
    <col min="2" max="2" width="15" style="57" bestFit="1" customWidth="1"/>
    <col min="3" max="3" width="1.7109375" style="57" customWidth="1"/>
    <col min="4" max="4" width="12.85546875" style="57" bestFit="1" customWidth="1"/>
    <col min="5" max="5" width="1.7109375" style="57" customWidth="1"/>
    <col min="6" max="6" width="13.42578125" style="57" bestFit="1" customWidth="1"/>
    <col min="7" max="16384" width="9.140625" style="57"/>
  </cols>
  <sheetData>
    <row r="1" spans="1:6" ht="25.5" customHeight="1">
      <c r="A1" s="451"/>
      <c r="B1" s="451"/>
      <c r="C1" s="451"/>
      <c r="D1" s="451"/>
      <c r="E1" s="451"/>
      <c r="F1" s="451"/>
    </row>
    <row r="2" spans="1:6">
      <c r="A2" s="451" t="s">
        <v>470</v>
      </c>
      <c r="B2" s="451"/>
      <c r="C2" s="451"/>
      <c r="D2" s="451"/>
      <c r="E2" s="451"/>
      <c r="F2" s="451"/>
    </row>
    <row r="3" spans="1:6">
      <c r="A3" s="452" t="s">
        <v>879</v>
      </c>
      <c r="B3" s="452"/>
      <c r="C3" s="452"/>
      <c r="D3" s="452"/>
      <c r="E3" s="452"/>
      <c r="F3" s="452"/>
    </row>
    <row r="6" spans="1:6">
      <c r="A6" s="61" t="s">
        <v>481</v>
      </c>
      <c r="B6" s="67" t="s">
        <v>157</v>
      </c>
      <c r="D6" s="61" t="s">
        <v>482</v>
      </c>
      <c r="F6" s="61" t="s">
        <v>483</v>
      </c>
    </row>
    <row r="8" spans="1:6">
      <c r="A8" s="66" t="s">
        <v>471</v>
      </c>
      <c r="B8" s="63">
        <v>122888484</v>
      </c>
      <c r="C8" s="191"/>
      <c r="D8" s="63">
        <v>51784589</v>
      </c>
      <c r="F8" s="56">
        <f>B8+D8</f>
        <v>174673073</v>
      </c>
    </row>
    <row r="9" spans="1:6">
      <c r="A9" s="66"/>
      <c r="B9" s="62"/>
      <c r="C9" s="191"/>
      <c r="D9" s="66"/>
    </row>
    <row r="10" spans="1:6">
      <c r="A10" s="66" t="s">
        <v>472</v>
      </c>
      <c r="B10" s="50">
        <v>22134276</v>
      </c>
      <c r="C10" s="191"/>
      <c r="D10" s="50">
        <v>7925179</v>
      </c>
      <c r="F10" s="58">
        <f>B10+D10</f>
        <v>30059455</v>
      </c>
    </row>
    <row r="11" spans="1:6">
      <c r="A11" s="66"/>
    </row>
    <row r="12" spans="1:6">
      <c r="A12" s="66" t="s">
        <v>473</v>
      </c>
      <c r="B12" s="56">
        <f>B8+B10</f>
        <v>145022760</v>
      </c>
      <c r="D12" s="56">
        <f>D8+D10</f>
        <v>59709768</v>
      </c>
      <c r="F12" s="56">
        <f>F8+F10</f>
        <v>204732528</v>
      </c>
    </row>
    <row r="13" spans="1:6">
      <c r="A13" s="66"/>
    </row>
    <row r="14" spans="1:6">
      <c r="A14" s="66" t="s">
        <v>474</v>
      </c>
    </row>
    <row r="15" spans="1:6">
      <c r="A15" s="66"/>
    </row>
    <row r="16" spans="1:6">
      <c r="A16" s="62" t="s">
        <v>475</v>
      </c>
      <c r="B16" s="69">
        <v>208374435</v>
      </c>
      <c r="C16" s="69"/>
      <c r="D16" s="69">
        <v>4421533</v>
      </c>
      <c r="F16" s="55">
        <f>B16+D16</f>
        <v>212795968</v>
      </c>
    </row>
    <row r="17" spans="1:6">
      <c r="A17" s="62"/>
      <c r="B17" s="69"/>
      <c r="C17" s="69"/>
      <c r="D17" s="69"/>
    </row>
    <row r="18" spans="1:6" s="191" customFormat="1">
      <c r="A18" s="62" t="s">
        <v>889</v>
      </c>
      <c r="B18" s="200">
        <v>-2788250.47</v>
      </c>
      <c r="C18" s="200"/>
      <c r="D18" s="200">
        <v>-3894676.21</v>
      </c>
      <c r="E18" s="5"/>
      <c r="F18" s="43">
        <f>B18+D18</f>
        <v>-6682926.6799999997</v>
      </c>
    </row>
    <row r="19" spans="1:6" s="191" customFormat="1">
      <c r="A19" s="62"/>
      <c r="B19" s="69"/>
      <c r="C19" s="69"/>
      <c r="D19" s="69"/>
    </row>
    <row r="20" spans="1:6" ht="25.5">
      <c r="A20" s="64" t="s">
        <v>476</v>
      </c>
      <c r="B20" s="69">
        <v>14498816</v>
      </c>
      <c r="C20" s="69"/>
      <c r="D20" s="69">
        <v>0</v>
      </c>
      <c r="F20" s="55">
        <f>B20+D20</f>
        <v>14498816</v>
      </c>
    </row>
    <row r="21" spans="1:6">
      <c r="A21" s="62"/>
      <c r="B21" s="69"/>
      <c r="C21" s="69"/>
      <c r="D21" s="69"/>
    </row>
    <row r="22" spans="1:6">
      <c r="A22" s="65" t="s">
        <v>477</v>
      </c>
      <c r="B22" s="69">
        <v>0</v>
      </c>
      <c r="C22" s="69"/>
      <c r="D22" s="69">
        <v>0</v>
      </c>
      <c r="F22" s="55">
        <f>B22+D22</f>
        <v>0</v>
      </c>
    </row>
    <row r="23" spans="1:6">
      <c r="A23" s="66"/>
      <c r="B23" s="69"/>
      <c r="C23" s="68"/>
      <c r="D23" s="68"/>
    </row>
    <row r="24" spans="1:6">
      <c r="A24" s="62" t="s">
        <v>376</v>
      </c>
      <c r="B24" s="70">
        <v>2486805</v>
      </c>
      <c r="C24" s="69"/>
      <c r="D24" s="70">
        <v>0</v>
      </c>
      <c r="F24" s="53">
        <f>B24+D24</f>
        <v>2486805</v>
      </c>
    </row>
    <row r="25" spans="1:6">
      <c r="A25" s="66"/>
    </row>
    <row r="26" spans="1:6">
      <c r="A26" s="66" t="s">
        <v>478</v>
      </c>
      <c r="B26" s="55">
        <f>B16+B18+B20+B22+B24</f>
        <v>222571805.53</v>
      </c>
      <c r="D26" s="55">
        <f>D16+D18+D20+D22+D24</f>
        <v>526856.79</v>
      </c>
      <c r="F26" s="55">
        <f>F16+F18+F20+F22+F24</f>
        <v>223098662.31999999</v>
      </c>
    </row>
    <row r="27" spans="1:6">
      <c r="A27" s="66"/>
    </row>
    <row r="28" spans="1:6">
      <c r="A28" s="66" t="s">
        <v>479</v>
      </c>
      <c r="B28" s="54">
        <v>0</v>
      </c>
      <c r="D28" s="54">
        <v>0</v>
      </c>
      <c r="F28" s="54">
        <v>0</v>
      </c>
    </row>
    <row r="29" spans="1:6">
      <c r="A29" s="66"/>
    </row>
    <row r="30" spans="1:6">
      <c r="A30" s="66" t="s">
        <v>480</v>
      </c>
      <c r="B30" s="56">
        <f>B12-B26-B28</f>
        <v>-77549045.530000001</v>
      </c>
      <c r="D30" s="56">
        <f>D12-D26-D28</f>
        <v>59182911.210000001</v>
      </c>
      <c r="F30" s="56">
        <f>F12-F26-F28</f>
        <v>-18366134.319999993</v>
      </c>
    </row>
    <row r="31" spans="1:6">
      <c r="A31" s="66"/>
      <c r="B31" s="156" t="s">
        <v>349</v>
      </c>
      <c r="C31" s="156"/>
      <c r="D31" s="156" t="s">
        <v>346</v>
      </c>
    </row>
    <row r="32" spans="1:6">
      <c r="A32" s="170" t="s">
        <v>875</v>
      </c>
      <c r="B32" s="60">
        <f>ROUND(B30*'Allocation Factors'!$G$14,0)</f>
        <v>-76463359</v>
      </c>
      <c r="C32" s="60"/>
      <c r="D32" s="60">
        <f>ROUND(D30*'Allocation Factors'!$G$10,0)</f>
        <v>58354350</v>
      </c>
      <c r="F32" s="52">
        <f>B32+D32</f>
        <v>-18109009</v>
      </c>
    </row>
    <row r="33" spans="1:7">
      <c r="A33" s="66"/>
    </row>
    <row r="36" spans="1:7">
      <c r="A36" s="57" t="s">
        <v>577</v>
      </c>
      <c r="B36" s="60">
        <f>ROUND(B26*'Allocation Factors'!$G$14,0)</f>
        <v>219455800</v>
      </c>
      <c r="C36" s="60"/>
      <c r="D36" s="60">
        <f>ROUND(D26*'Allocation Factors'!$G$10,0)</f>
        <v>519481</v>
      </c>
      <c r="G36" s="171"/>
    </row>
    <row r="37" spans="1:7">
      <c r="B37" s="101" t="s">
        <v>349</v>
      </c>
      <c r="C37" s="101"/>
      <c r="D37" s="101" t="s">
        <v>346</v>
      </c>
      <c r="G37" s="171"/>
    </row>
    <row r="38" spans="1:7">
      <c r="G38"/>
    </row>
    <row r="39" spans="1:7">
      <c r="G39" s="157"/>
    </row>
  </sheetData>
  <mergeCells count="3">
    <mergeCell ref="A1:F1"/>
    <mergeCell ref="A2:F2"/>
    <mergeCell ref="A3:F3"/>
  </mergeCells>
  <printOptions horizontalCentered="1"/>
  <pageMargins left="0.7" right="0.7" top="1" bottom="0.75" header="0.55000000000000004" footer="0.3"/>
  <pageSetup orientation="portrait" r:id="rId1"/>
  <headerFooter>
    <oddHeader>&amp;CKENTUCKY POWER COMPANY
JURISDICTIONAL COST OF SERVICE
12 MONTHS ENDED SEPTEMBER 30, 2014&amp;RSECTION V
SCHEDULE 7
PAGE &amp;P OF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C59"/>
  <sheetViews>
    <sheetView zoomScale="90" zoomScaleNormal="90" workbookViewId="0">
      <selection activeCell="M34" sqref="M34"/>
    </sheetView>
  </sheetViews>
  <sheetFormatPr defaultRowHeight="12.75"/>
  <cols>
    <col min="1" max="1" width="5" style="191" bestFit="1" customWidth="1"/>
    <col min="2" max="2" width="10.7109375" style="191" bestFit="1" customWidth="1"/>
    <col min="3" max="3" width="5.5703125" style="191" bestFit="1" customWidth="1"/>
    <col min="4" max="4" width="2.28515625" style="191" customWidth="1"/>
    <col min="5" max="5" width="11.5703125" style="191" bestFit="1" customWidth="1"/>
    <col min="6" max="6" width="2.28515625" style="191" customWidth="1"/>
    <col min="7" max="7" width="11.5703125" style="191" bestFit="1" customWidth="1"/>
    <col min="8" max="8" width="2.28515625" style="191" customWidth="1"/>
    <col min="9" max="9" width="10.5703125" style="191" bestFit="1" customWidth="1"/>
    <col min="10" max="10" width="2.28515625" style="191" customWidth="1"/>
    <col min="11" max="11" width="11.5703125" style="191" bestFit="1" customWidth="1"/>
    <col min="12" max="12" width="2.28515625" style="191" customWidth="1"/>
    <col min="13" max="13" width="10.5703125" style="191" bestFit="1" customWidth="1"/>
    <col min="14" max="14" width="2.28515625" style="191" customWidth="1"/>
    <col min="15" max="15" width="10.5703125" style="191" bestFit="1" customWidth="1"/>
    <col min="16" max="16" width="2.28515625" style="191" customWidth="1"/>
    <col min="17" max="17" width="9" style="191" bestFit="1" customWidth="1"/>
    <col min="18" max="18" width="2.28515625" style="191" customWidth="1"/>
    <col min="19" max="19" width="9" style="191" bestFit="1" customWidth="1"/>
    <col min="20" max="20" width="2.28515625" style="191" customWidth="1"/>
    <col min="21" max="21" width="11.5703125" style="191" bestFit="1" customWidth="1"/>
    <col min="22" max="22" width="2.28515625" style="191" customWidth="1"/>
    <col min="23" max="23" width="11.5703125" style="191" bestFit="1" customWidth="1"/>
    <col min="24" max="24" width="2.28515625" style="191" customWidth="1"/>
    <col min="25" max="25" width="12.140625" style="191" bestFit="1" customWidth="1"/>
    <col min="26" max="26" width="2.28515625" style="191" customWidth="1"/>
    <col min="27" max="27" width="11.28515625" style="191" customWidth="1"/>
    <col min="28" max="28" width="2.28515625" style="191" customWidth="1"/>
    <col min="29" max="29" width="11.28515625" style="191" customWidth="1"/>
    <col min="30" max="16384" width="9.140625" style="191"/>
  </cols>
  <sheetData>
    <row r="5" spans="1:29">
      <c r="N5" s="238"/>
      <c r="AC5" s="107"/>
    </row>
    <row r="7" spans="1:29">
      <c r="A7" s="453" t="s">
        <v>486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</row>
    <row r="8" spans="1:29">
      <c r="A8" s="453" t="s">
        <v>487</v>
      </c>
      <c r="B8" s="453"/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</row>
    <row r="10" spans="1:29">
      <c r="N10" s="74"/>
    </row>
    <row r="12" spans="1:29">
      <c r="F12" s="74" t="s">
        <v>321</v>
      </c>
      <c r="J12" s="74" t="s">
        <v>24</v>
      </c>
      <c r="N12" s="74" t="s">
        <v>25</v>
      </c>
      <c r="R12" s="74" t="s">
        <v>124</v>
      </c>
      <c r="V12" s="74" t="s">
        <v>483</v>
      </c>
    </row>
    <row r="13" spans="1:29" ht="51">
      <c r="A13" s="51" t="s">
        <v>488</v>
      </c>
      <c r="B13" s="74" t="s">
        <v>489</v>
      </c>
      <c r="E13" s="51" t="s">
        <v>490</v>
      </c>
      <c r="F13" s="244"/>
      <c r="G13" s="51" t="s">
        <v>491</v>
      </c>
      <c r="H13" s="244"/>
      <c r="I13" s="51" t="s">
        <v>490</v>
      </c>
      <c r="J13" s="244"/>
      <c r="K13" s="51" t="s">
        <v>491</v>
      </c>
      <c r="L13" s="244"/>
      <c r="M13" s="51" t="s">
        <v>490</v>
      </c>
      <c r="N13" s="244"/>
      <c r="O13" s="51" t="s">
        <v>491</v>
      </c>
      <c r="P13" s="244"/>
      <c r="Q13" s="51" t="s">
        <v>490</v>
      </c>
      <c r="R13" s="244"/>
      <c r="S13" s="51" t="s">
        <v>491</v>
      </c>
      <c r="U13" s="51" t="s">
        <v>490</v>
      </c>
      <c r="V13" s="244"/>
      <c r="W13" s="51" t="s">
        <v>491</v>
      </c>
      <c r="Y13" s="51" t="s">
        <v>492</v>
      </c>
      <c r="AA13" s="51" t="s">
        <v>1045</v>
      </c>
      <c r="AC13" s="51" t="s">
        <v>1046</v>
      </c>
    </row>
    <row r="14" spans="1:29">
      <c r="A14" s="113">
        <v>-1</v>
      </c>
      <c r="B14" s="113">
        <v>-2</v>
      </c>
      <c r="E14" s="113">
        <v>-3</v>
      </c>
      <c r="G14" s="113">
        <v>-4</v>
      </c>
      <c r="I14" s="113">
        <v>-5</v>
      </c>
      <c r="K14" s="113">
        <v>-6</v>
      </c>
      <c r="M14" s="113">
        <v>-7</v>
      </c>
      <c r="O14" s="113">
        <v>-8</v>
      </c>
      <c r="Q14" s="113">
        <v>-9</v>
      </c>
      <c r="S14" s="113">
        <v>-10</v>
      </c>
      <c r="U14" s="113">
        <v>-11</v>
      </c>
      <c r="W14" s="113">
        <v>-12</v>
      </c>
      <c r="Y14" s="113">
        <v>-13</v>
      </c>
      <c r="AA14" s="113">
        <v>-14</v>
      </c>
      <c r="AC14" s="113">
        <v>-15</v>
      </c>
    </row>
    <row r="15" spans="1:29">
      <c r="A15" s="113"/>
      <c r="B15" s="113"/>
      <c r="E15" s="113"/>
      <c r="G15" s="113"/>
      <c r="I15" s="113"/>
      <c r="K15" s="113"/>
      <c r="M15" s="113"/>
      <c r="O15" s="113"/>
      <c r="Q15" s="113"/>
      <c r="S15" s="113"/>
      <c r="U15" s="113"/>
      <c r="W15" s="113"/>
      <c r="Y15" s="113"/>
      <c r="AA15" s="113"/>
    </row>
    <row r="16" spans="1:29">
      <c r="A16" s="113"/>
      <c r="B16" s="113"/>
      <c r="E16" s="113"/>
      <c r="G16" s="113"/>
      <c r="I16" s="113"/>
      <c r="K16" s="113"/>
      <c r="M16" s="113"/>
      <c r="O16" s="113"/>
      <c r="Q16" s="113"/>
      <c r="S16" s="113"/>
      <c r="U16" s="113"/>
      <c r="W16" s="113"/>
      <c r="Y16" s="113"/>
      <c r="AA16" s="113"/>
    </row>
    <row r="17" spans="1:29">
      <c r="A17" s="113">
        <v>1</v>
      </c>
      <c r="B17" s="412" t="s">
        <v>500</v>
      </c>
      <c r="C17" s="265">
        <v>2013</v>
      </c>
      <c r="E17" s="278">
        <v>3489.66</v>
      </c>
      <c r="F17" s="278"/>
      <c r="G17" s="278">
        <v>5111.51</v>
      </c>
      <c r="H17" s="278"/>
      <c r="I17" s="278">
        <v>-17460.03</v>
      </c>
      <c r="J17" s="278"/>
      <c r="K17" s="278">
        <v>-22640.5</v>
      </c>
      <c r="L17" s="278"/>
      <c r="M17" s="278">
        <v>12378.11</v>
      </c>
      <c r="N17" s="278"/>
      <c r="O17" s="278">
        <v>18261.47</v>
      </c>
      <c r="P17" s="278"/>
      <c r="Q17" s="278">
        <v>1509.38</v>
      </c>
      <c r="R17" s="278"/>
      <c r="S17" s="278">
        <v>2210.89</v>
      </c>
      <c r="T17" s="56"/>
      <c r="U17" s="56">
        <f>E17+I17+M17+Q17</f>
        <v>-82.87999999999829</v>
      </c>
      <c r="V17" s="56"/>
      <c r="W17" s="56">
        <f>G17+K17+O17+S17</f>
        <v>2943.3700000000031</v>
      </c>
      <c r="X17" s="56"/>
      <c r="Y17" s="56">
        <f>U17+W17</f>
        <v>2860.4900000000048</v>
      </c>
      <c r="AA17" s="413">
        <v>2.7962099999999999E-3</v>
      </c>
      <c r="AC17" s="413">
        <v>4.0957900000000002E-3</v>
      </c>
    </row>
    <row r="18" spans="1:29">
      <c r="A18" s="113"/>
      <c r="B18" s="412" t="s">
        <v>494</v>
      </c>
      <c r="C18" s="265" t="s">
        <v>494</v>
      </c>
      <c r="E18" s="414"/>
      <c r="F18" s="281"/>
      <c r="G18" s="414"/>
      <c r="H18" s="281"/>
      <c r="I18" s="414"/>
      <c r="J18" s="281"/>
      <c r="K18" s="414"/>
      <c r="L18" s="281"/>
      <c r="M18" s="414"/>
      <c r="N18" s="281"/>
      <c r="O18" s="414"/>
      <c r="P18" s="281"/>
      <c r="Q18" s="414"/>
      <c r="R18" s="281"/>
      <c r="S18" s="414"/>
      <c r="U18" s="113"/>
      <c r="V18" s="56"/>
      <c r="W18" s="56"/>
      <c r="X18" s="56"/>
      <c r="Y18" s="56"/>
      <c r="AA18" s="113"/>
    </row>
    <row r="19" spans="1:29">
      <c r="A19" s="113">
        <v>2</v>
      </c>
      <c r="B19" s="412" t="s">
        <v>501</v>
      </c>
      <c r="C19" s="265">
        <v>2013</v>
      </c>
      <c r="E19" s="278">
        <v>5566.72</v>
      </c>
      <c r="F19" s="278"/>
      <c r="G19" s="278">
        <v>7843.95</v>
      </c>
      <c r="H19" s="278"/>
      <c r="I19" s="278">
        <v>93157.34</v>
      </c>
      <c r="J19" s="278"/>
      <c r="K19" s="278">
        <v>131222.22</v>
      </c>
      <c r="L19" s="278"/>
      <c r="M19" s="278">
        <v>894.43</v>
      </c>
      <c r="N19" s="278"/>
      <c r="O19" s="278">
        <v>-365.67</v>
      </c>
      <c r="P19" s="278"/>
      <c r="Q19" s="278">
        <v>1006.78</v>
      </c>
      <c r="R19" s="278"/>
      <c r="S19" s="278">
        <v>1389.12</v>
      </c>
      <c r="T19" s="56"/>
      <c r="U19" s="56">
        <f>E19+I19+M19+Q19</f>
        <v>100625.26999999999</v>
      </c>
      <c r="V19" s="56"/>
      <c r="W19" s="56">
        <f>G19+K19+O19+S19</f>
        <v>140089.62</v>
      </c>
      <c r="X19" s="56"/>
      <c r="Y19" s="56">
        <f>U19+W19</f>
        <v>240714.88999999998</v>
      </c>
      <c r="AA19" s="413">
        <v>2.8473700000000001E-3</v>
      </c>
      <c r="AC19" s="413">
        <v>4.0121599999999999E-3</v>
      </c>
    </row>
    <row r="20" spans="1:29">
      <c r="A20" s="113"/>
      <c r="B20" s="412" t="s">
        <v>494</v>
      </c>
      <c r="C20" s="265" t="s">
        <v>494</v>
      </c>
      <c r="E20" s="414"/>
      <c r="F20" s="281"/>
      <c r="G20" s="414"/>
      <c r="H20" s="281"/>
      <c r="I20" s="414"/>
      <c r="J20" s="281"/>
      <c r="K20" s="414"/>
      <c r="L20" s="281"/>
      <c r="M20" s="414"/>
      <c r="N20" s="281"/>
      <c r="O20" s="414"/>
      <c r="P20" s="281"/>
      <c r="Q20" s="414"/>
      <c r="R20" s="281"/>
      <c r="S20" s="414"/>
      <c r="U20" s="113"/>
      <c r="V20" s="56"/>
      <c r="W20" s="56"/>
      <c r="X20" s="56"/>
      <c r="Y20" s="56"/>
      <c r="AA20" s="113"/>
    </row>
    <row r="21" spans="1:29">
      <c r="A21" s="113">
        <v>3</v>
      </c>
      <c r="B21" s="412" t="s">
        <v>502</v>
      </c>
      <c r="C21" s="265">
        <v>2013</v>
      </c>
      <c r="E21" s="278">
        <v>6594.33</v>
      </c>
      <c r="F21" s="278"/>
      <c r="G21" s="278">
        <v>9178.59</v>
      </c>
      <c r="H21" s="278"/>
      <c r="I21" s="278">
        <v>30296.7</v>
      </c>
      <c r="J21" s="278"/>
      <c r="K21" s="278">
        <v>38793.81</v>
      </c>
      <c r="L21" s="278"/>
      <c r="M21" s="278">
        <v>-1113.27</v>
      </c>
      <c r="N21" s="278"/>
      <c r="O21" s="278">
        <v>-3053.32</v>
      </c>
      <c r="P21" s="278"/>
      <c r="Q21" s="278">
        <v>1835.76</v>
      </c>
      <c r="R21" s="278"/>
      <c r="S21" s="278">
        <v>2555.16</v>
      </c>
      <c r="T21" s="56"/>
      <c r="U21" s="56">
        <f>E21+I21+M21+Q21</f>
        <v>37613.520000000004</v>
      </c>
      <c r="V21" s="56"/>
      <c r="W21" s="56">
        <f>G21+K21+O21+S21</f>
        <v>47474.239999999991</v>
      </c>
      <c r="X21" s="56"/>
      <c r="Y21" s="56">
        <f>U21+W21</f>
        <v>85087.76</v>
      </c>
      <c r="AA21" s="413">
        <v>2.86345E-3</v>
      </c>
      <c r="AC21" s="413">
        <v>2.98562E-3</v>
      </c>
    </row>
    <row r="22" spans="1:29">
      <c r="A22" s="113"/>
      <c r="B22" s="412" t="s">
        <v>494</v>
      </c>
      <c r="C22" s="265" t="s">
        <v>494</v>
      </c>
      <c r="E22" s="414"/>
      <c r="F22" s="281"/>
      <c r="G22" s="414"/>
      <c r="H22" s="281"/>
      <c r="I22" s="414"/>
      <c r="J22" s="281"/>
      <c r="K22" s="414"/>
      <c r="L22" s="281"/>
      <c r="M22" s="414"/>
      <c r="N22" s="281"/>
      <c r="O22" s="414"/>
      <c r="P22" s="281"/>
      <c r="Q22" s="414"/>
      <c r="R22" s="281"/>
      <c r="S22" s="414"/>
      <c r="U22" s="113"/>
      <c r="V22" s="56"/>
      <c r="W22" s="56"/>
      <c r="X22" s="56"/>
      <c r="Y22" s="56"/>
      <c r="AA22" s="113"/>
    </row>
    <row r="23" spans="1:29">
      <c r="A23" s="113">
        <v>4</v>
      </c>
      <c r="B23" s="412" t="s">
        <v>503</v>
      </c>
      <c r="C23" s="265" t="s">
        <v>881</v>
      </c>
      <c r="E23" s="278">
        <v>200935.34</v>
      </c>
      <c r="F23" s="278"/>
      <c r="G23" s="278">
        <v>281334.74</v>
      </c>
      <c r="H23" s="278"/>
      <c r="I23" s="278">
        <v>81338.91</v>
      </c>
      <c r="J23" s="278"/>
      <c r="K23" s="278">
        <v>113479.7</v>
      </c>
      <c r="L23" s="278"/>
      <c r="M23" s="278">
        <v>26517.62</v>
      </c>
      <c r="N23" s="278"/>
      <c r="O23" s="278">
        <v>37127.74</v>
      </c>
      <c r="P23" s="278"/>
      <c r="Q23" s="278">
        <v>278.04000000000002</v>
      </c>
      <c r="R23" s="278"/>
      <c r="S23" s="278">
        <v>396.81</v>
      </c>
      <c r="T23" s="56"/>
      <c r="U23" s="56">
        <f>E23+I23+M23+Q23</f>
        <v>309069.90999999997</v>
      </c>
      <c r="V23" s="56"/>
      <c r="W23" s="56">
        <f>G23+K23+O23+S23</f>
        <v>432338.99</v>
      </c>
      <c r="X23" s="56"/>
      <c r="Y23" s="56">
        <f>U23+W23</f>
        <v>741408.89999999991</v>
      </c>
      <c r="AA23" s="413">
        <v>2.85556E-3</v>
      </c>
      <c r="AC23" s="413">
        <v>3.99811E-3</v>
      </c>
    </row>
    <row r="24" spans="1:29">
      <c r="A24" s="113"/>
      <c r="B24" s="412" t="s">
        <v>494</v>
      </c>
      <c r="C24" s="265" t="s">
        <v>494</v>
      </c>
      <c r="E24" s="414"/>
      <c r="F24" s="281"/>
      <c r="G24" s="414"/>
      <c r="H24" s="281"/>
      <c r="I24" s="414"/>
      <c r="J24" s="281"/>
      <c r="K24" s="414"/>
      <c r="L24" s="281"/>
      <c r="M24" s="414"/>
      <c r="N24" s="281"/>
      <c r="O24" s="414"/>
      <c r="P24" s="281"/>
      <c r="Q24" s="414"/>
      <c r="R24" s="281"/>
      <c r="S24" s="414"/>
      <c r="U24" s="113"/>
      <c r="V24" s="56"/>
      <c r="W24" s="56"/>
      <c r="X24" s="56"/>
      <c r="Y24" s="56"/>
      <c r="AA24" s="113"/>
    </row>
    <row r="25" spans="1:29">
      <c r="A25" s="113">
        <v>5</v>
      </c>
      <c r="B25" s="412" t="s">
        <v>504</v>
      </c>
      <c r="C25" s="265" t="s">
        <v>881</v>
      </c>
      <c r="E25" s="278">
        <v>129708.41</v>
      </c>
      <c r="F25" s="278"/>
      <c r="G25" s="278">
        <v>299575.84999999998</v>
      </c>
      <c r="H25" s="278"/>
      <c r="I25" s="278">
        <v>59176.87</v>
      </c>
      <c r="J25" s="278"/>
      <c r="K25" s="278">
        <v>138212.29999999999</v>
      </c>
      <c r="L25" s="278"/>
      <c r="M25" s="278">
        <v>19028.48</v>
      </c>
      <c r="N25" s="278"/>
      <c r="O25" s="278">
        <v>44099.31</v>
      </c>
      <c r="P25" s="278"/>
      <c r="Q25" s="278">
        <v>886.78</v>
      </c>
      <c r="R25" s="278"/>
      <c r="S25" s="278">
        <v>2048.1</v>
      </c>
      <c r="T25" s="56"/>
      <c r="U25" s="56">
        <f>E25+I25+M25+Q25</f>
        <v>208800.54</v>
      </c>
      <c r="V25" s="56"/>
      <c r="W25" s="56">
        <f>G25+K25+O25+S25</f>
        <v>483935.55999999994</v>
      </c>
      <c r="X25" s="56"/>
      <c r="Y25" s="56">
        <f>U25+W25</f>
        <v>692736.1</v>
      </c>
      <c r="AA25" s="413">
        <v>1.87042E-3</v>
      </c>
      <c r="AC25" s="413">
        <v>4.3199400000000004E-3</v>
      </c>
    </row>
    <row r="26" spans="1:29">
      <c r="A26" s="113"/>
      <c r="B26" s="412" t="s">
        <v>494</v>
      </c>
      <c r="C26" s="265" t="s">
        <v>494</v>
      </c>
      <c r="E26" s="414"/>
      <c r="F26" s="281"/>
      <c r="G26" s="414"/>
      <c r="H26" s="281"/>
      <c r="I26" s="414"/>
      <c r="J26" s="281"/>
      <c r="K26" s="414"/>
      <c r="L26" s="281"/>
      <c r="M26" s="414"/>
      <c r="N26" s="281"/>
      <c r="O26" s="414"/>
      <c r="P26" s="281"/>
      <c r="Q26" s="414"/>
      <c r="R26" s="281"/>
      <c r="S26" s="414"/>
      <c r="U26" s="113"/>
      <c r="V26" s="56"/>
      <c r="W26" s="56"/>
      <c r="X26" s="56"/>
      <c r="Y26" s="56"/>
      <c r="AA26" s="113"/>
    </row>
    <row r="27" spans="1:29">
      <c r="A27" s="113">
        <v>6</v>
      </c>
      <c r="B27" s="412" t="s">
        <v>505</v>
      </c>
      <c r="C27" s="265" t="s">
        <v>881</v>
      </c>
      <c r="E27" s="278">
        <v>161377.74</v>
      </c>
      <c r="F27" s="278"/>
      <c r="G27" s="278">
        <v>345081.69</v>
      </c>
      <c r="H27" s="278"/>
      <c r="I27" s="278">
        <v>68854.28</v>
      </c>
      <c r="J27" s="278"/>
      <c r="K27" s="278">
        <v>147765.81</v>
      </c>
      <c r="L27" s="278"/>
      <c r="M27" s="278">
        <v>20905.830000000002</v>
      </c>
      <c r="N27" s="278"/>
      <c r="O27" s="278">
        <v>45233.95</v>
      </c>
      <c r="P27" s="278"/>
      <c r="Q27" s="278">
        <v>982.62</v>
      </c>
      <c r="R27" s="278"/>
      <c r="S27" s="278">
        <v>2100.91</v>
      </c>
      <c r="T27" s="56"/>
      <c r="U27" s="56">
        <f>E27+I27+M27+Q27</f>
        <v>252120.46999999997</v>
      </c>
      <c r="V27" s="56"/>
      <c r="W27" s="56">
        <f>G27+K27+O27+S27</f>
        <v>540182.36</v>
      </c>
      <c r="X27" s="56"/>
      <c r="Y27" s="56">
        <f>U27+W27</f>
        <v>792302.83</v>
      </c>
      <c r="AA27" s="413">
        <v>2.0565700000000002E-3</v>
      </c>
      <c r="AC27" s="413">
        <v>4.3971100000000001E-3</v>
      </c>
    </row>
    <row r="28" spans="1:29">
      <c r="A28" s="113"/>
      <c r="B28" s="412" t="s">
        <v>494</v>
      </c>
      <c r="C28" s="265" t="s">
        <v>494</v>
      </c>
      <c r="E28" s="414"/>
      <c r="F28" s="281"/>
      <c r="G28" s="414"/>
      <c r="H28" s="281"/>
      <c r="I28" s="414"/>
      <c r="J28" s="281"/>
      <c r="K28" s="414"/>
      <c r="L28" s="281"/>
      <c r="M28" s="414"/>
      <c r="N28" s="281"/>
      <c r="O28" s="414"/>
      <c r="P28" s="281"/>
      <c r="Q28" s="414"/>
      <c r="R28" s="281"/>
      <c r="S28" s="414"/>
      <c r="U28" s="113"/>
      <c r="V28" s="56"/>
      <c r="W28" s="56"/>
      <c r="X28" s="56"/>
      <c r="Y28" s="56"/>
      <c r="AA28" s="113"/>
    </row>
    <row r="29" spans="1:29">
      <c r="A29" s="113">
        <v>7</v>
      </c>
      <c r="B29" s="412" t="s">
        <v>493</v>
      </c>
      <c r="C29" s="265" t="s">
        <v>881</v>
      </c>
      <c r="E29" s="278">
        <v>141962.32</v>
      </c>
      <c r="F29" s="278"/>
      <c r="G29" s="278">
        <v>286532.3</v>
      </c>
      <c r="H29" s="278"/>
      <c r="I29" s="278">
        <v>61187.57</v>
      </c>
      <c r="J29" s="278"/>
      <c r="K29" s="278">
        <v>123596.79</v>
      </c>
      <c r="L29" s="278"/>
      <c r="M29" s="278">
        <v>19183.14</v>
      </c>
      <c r="N29" s="278"/>
      <c r="O29" s="278">
        <v>38730.449999999997</v>
      </c>
      <c r="P29" s="278"/>
      <c r="Q29" s="278">
        <v>853.66</v>
      </c>
      <c r="R29" s="278"/>
      <c r="S29" s="278">
        <v>1723.3</v>
      </c>
      <c r="T29" s="56"/>
      <c r="U29" s="56">
        <f>E29+I29+M29+Q29</f>
        <v>223186.69000000003</v>
      </c>
      <c r="V29" s="56"/>
      <c r="W29" s="56">
        <f>G29+K29+O29+S29</f>
        <v>450582.83999999997</v>
      </c>
      <c r="X29" s="56"/>
      <c r="Y29" s="56">
        <f>U29+W29</f>
        <v>673769.53</v>
      </c>
      <c r="AA29" s="413">
        <v>1.71853E-3</v>
      </c>
      <c r="AC29" s="413">
        <v>3.46919E-3</v>
      </c>
    </row>
    <row r="30" spans="1:29">
      <c r="A30" s="113"/>
      <c r="B30" s="412" t="s">
        <v>494</v>
      </c>
      <c r="C30" s="265" t="s">
        <v>494</v>
      </c>
      <c r="E30" s="414"/>
      <c r="F30" s="281"/>
      <c r="G30" s="414"/>
      <c r="H30" s="281"/>
      <c r="I30" s="414"/>
      <c r="J30" s="281"/>
      <c r="K30" s="414"/>
      <c r="L30" s="281"/>
      <c r="M30" s="414"/>
      <c r="N30" s="281"/>
      <c r="O30" s="414"/>
      <c r="P30" s="281"/>
      <c r="Q30" s="414"/>
      <c r="R30" s="281"/>
      <c r="S30" s="414"/>
      <c r="U30" s="113"/>
      <c r="V30" s="56"/>
      <c r="W30" s="56"/>
      <c r="X30" s="56"/>
      <c r="Y30" s="56"/>
      <c r="AA30" s="113"/>
    </row>
    <row r="31" spans="1:29">
      <c r="A31" s="113">
        <v>8</v>
      </c>
      <c r="B31" s="412" t="s">
        <v>495</v>
      </c>
      <c r="C31" s="265" t="s">
        <v>881</v>
      </c>
      <c r="E31" s="278">
        <v>137451.13</v>
      </c>
      <c r="F31" s="278"/>
      <c r="G31" s="278">
        <v>277761</v>
      </c>
      <c r="H31" s="278"/>
      <c r="I31" s="278">
        <v>58667.77</v>
      </c>
      <c r="J31" s="278"/>
      <c r="K31" s="278">
        <v>118556.32</v>
      </c>
      <c r="L31" s="278"/>
      <c r="M31" s="278">
        <v>18996.75</v>
      </c>
      <c r="N31" s="278"/>
      <c r="O31" s="278">
        <v>38390.18</v>
      </c>
      <c r="P31" s="278"/>
      <c r="Q31" s="278">
        <v>870.27</v>
      </c>
      <c r="R31" s="278"/>
      <c r="S31" s="278">
        <v>1758.72</v>
      </c>
      <c r="T31" s="56"/>
      <c r="U31" s="56">
        <f>E31+I31+M31+Q31</f>
        <v>215985.91999999998</v>
      </c>
      <c r="V31" s="56"/>
      <c r="W31" s="56">
        <f>G31+K31+O31+S31</f>
        <v>436466.22</v>
      </c>
      <c r="X31" s="56"/>
      <c r="Y31" s="56">
        <f>U31+W31</f>
        <v>652452.1399999999</v>
      </c>
      <c r="AA31" s="413">
        <v>1.5941099999999999E-3</v>
      </c>
      <c r="AC31" s="413">
        <v>3.2214700000000001E-3</v>
      </c>
    </row>
    <row r="32" spans="1:29">
      <c r="A32" s="113"/>
      <c r="B32" s="412" t="s">
        <v>494</v>
      </c>
      <c r="C32" s="265" t="s">
        <v>494</v>
      </c>
      <c r="E32" s="414"/>
      <c r="F32" s="281"/>
      <c r="G32" s="414"/>
      <c r="H32" s="281"/>
      <c r="I32" s="414"/>
      <c r="J32" s="281"/>
      <c r="K32" s="414"/>
      <c r="L32" s="281"/>
      <c r="M32" s="414"/>
      <c r="N32" s="281"/>
      <c r="O32" s="414"/>
      <c r="P32" s="281"/>
      <c r="Q32" s="414"/>
      <c r="R32" s="281"/>
      <c r="S32" s="414"/>
      <c r="U32" s="113"/>
      <c r="V32" s="56"/>
      <c r="W32" s="56"/>
      <c r="X32" s="56"/>
      <c r="Y32" s="56"/>
      <c r="AA32" s="113"/>
    </row>
    <row r="33" spans="1:29">
      <c r="A33" s="113">
        <v>9</v>
      </c>
      <c r="B33" s="412" t="s">
        <v>496</v>
      </c>
      <c r="C33" s="265" t="s">
        <v>881</v>
      </c>
      <c r="E33" s="278">
        <v>108264.78</v>
      </c>
      <c r="F33" s="278"/>
      <c r="G33" s="278">
        <v>219413.86</v>
      </c>
      <c r="H33" s="278"/>
      <c r="I33" s="278">
        <v>66091.13</v>
      </c>
      <c r="J33" s="278"/>
      <c r="K33" s="278">
        <v>133964.97</v>
      </c>
      <c r="L33" s="278"/>
      <c r="M33" s="278">
        <v>4962.2</v>
      </c>
      <c r="N33" s="278"/>
      <c r="O33" s="278">
        <v>17315.23</v>
      </c>
      <c r="P33" s="278"/>
      <c r="Q33" s="278">
        <v>896.2</v>
      </c>
      <c r="R33" s="278"/>
      <c r="S33" s="278">
        <v>1816.29</v>
      </c>
      <c r="T33" s="56"/>
      <c r="U33" s="56">
        <f>E33+I33+M33+Q33</f>
        <v>180214.31000000003</v>
      </c>
      <c r="V33" s="56"/>
      <c r="W33" s="56">
        <f>G33+K33+O33+S33</f>
        <v>372510.34999999992</v>
      </c>
      <c r="X33" s="56"/>
      <c r="Y33" s="56">
        <f>U33+W33</f>
        <v>552724.65999999992</v>
      </c>
      <c r="AA33" s="413">
        <v>1.7877699999999999E-3</v>
      </c>
      <c r="AC33" s="413">
        <v>3.6231800000000002E-3</v>
      </c>
    </row>
    <row r="34" spans="1:29">
      <c r="A34" s="113"/>
      <c r="B34" s="412" t="s">
        <v>494</v>
      </c>
      <c r="C34" s="265" t="s">
        <v>494</v>
      </c>
      <c r="E34" s="414"/>
      <c r="F34" s="281"/>
      <c r="G34" s="414"/>
      <c r="H34" s="281"/>
      <c r="I34" s="414"/>
      <c r="J34" s="281"/>
      <c r="K34" s="414"/>
      <c r="L34" s="281"/>
      <c r="M34" s="414"/>
      <c r="N34" s="281"/>
      <c r="O34" s="414"/>
      <c r="P34" s="281"/>
      <c r="Q34" s="414"/>
      <c r="R34" s="281"/>
      <c r="S34" s="414"/>
      <c r="U34" s="113"/>
      <c r="V34" s="56"/>
      <c r="W34" s="56"/>
      <c r="X34" s="56"/>
      <c r="Y34" s="56"/>
      <c r="AA34" s="113"/>
    </row>
    <row r="35" spans="1:29">
      <c r="A35" s="113">
        <v>10</v>
      </c>
      <c r="B35" s="412" t="s">
        <v>497</v>
      </c>
      <c r="C35" s="265" t="s">
        <v>881</v>
      </c>
      <c r="E35" s="278">
        <v>52450.42</v>
      </c>
      <c r="F35" s="278"/>
      <c r="G35" s="278">
        <v>108616.26</v>
      </c>
      <c r="H35" s="278"/>
      <c r="I35" s="278">
        <v>45107.21</v>
      </c>
      <c r="J35" s="278"/>
      <c r="K35" s="278">
        <v>107341.27</v>
      </c>
      <c r="L35" s="278"/>
      <c r="M35" s="278">
        <v>7622.54</v>
      </c>
      <c r="N35" s="278"/>
      <c r="O35" s="278">
        <v>15731.75</v>
      </c>
      <c r="P35" s="278"/>
      <c r="Q35" s="278">
        <v>615.85</v>
      </c>
      <c r="R35" s="278"/>
      <c r="S35" s="278">
        <v>1275.32</v>
      </c>
      <c r="T35" s="56"/>
      <c r="U35" s="56">
        <f>E35+I35+M35+Q35</f>
        <v>105796.02</v>
      </c>
      <c r="V35" s="56"/>
      <c r="W35" s="56">
        <f>G35+K35+O35+S35</f>
        <v>232964.6</v>
      </c>
      <c r="X35" s="56"/>
      <c r="Y35" s="56">
        <f>U35+W35</f>
        <v>338760.62</v>
      </c>
      <c r="AA35" s="413">
        <v>1.87188E-3</v>
      </c>
      <c r="AC35" s="413">
        <v>3.8762900000000001E-3</v>
      </c>
    </row>
    <row r="36" spans="1:29">
      <c r="A36" s="113"/>
      <c r="B36" s="412" t="s">
        <v>494</v>
      </c>
      <c r="C36" s="265" t="s">
        <v>494</v>
      </c>
      <c r="E36" s="414"/>
      <c r="F36" s="281"/>
      <c r="G36" s="414"/>
      <c r="H36" s="281"/>
      <c r="I36" s="414"/>
      <c r="J36" s="281"/>
      <c r="K36" s="414"/>
      <c r="L36" s="281"/>
      <c r="M36" s="414"/>
      <c r="N36" s="281"/>
      <c r="O36" s="414"/>
      <c r="P36" s="281"/>
      <c r="Q36" s="414"/>
      <c r="R36" s="281"/>
      <c r="S36" s="414"/>
      <c r="U36" s="113"/>
      <c r="V36" s="56"/>
      <c r="W36" s="56"/>
      <c r="X36" s="56"/>
      <c r="Y36" s="56"/>
      <c r="AA36" s="113"/>
    </row>
    <row r="37" spans="1:29">
      <c r="A37" s="113">
        <v>11</v>
      </c>
      <c r="B37" s="412" t="s">
        <v>498</v>
      </c>
      <c r="C37" s="265" t="s">
        <v>881</v>
      </c>
      <c r="E37" s="278">
        <v>50273.31</v>
      </c>
      <c r="F37" s="278"/>
      <c r="G37" s="278">
        <v>105320.47</v>
      </c>
      <c r="H37" s="278"/>
      <c r="I37" s="278">
        <v>63515.07</v>
      </c>
      <c r="J37" s="278"/>
      <c r="K37" s="278">
        <v>133104.76999999999</v>
      </c>
      <c r="L37" s="278"/>
      <c r="M37" s="278">
        <v>12943.8</v>
      </c>
      <c r="N37" s="278"/>
      <c r="O37" s="278">
        <v>27121.41</v>
      </c>
      <c r="P37" s="278"/>
      <c r="Q37" s="278">
        <v>868.71</v>
      </c>
      <c r="R37" s="278"/>
      <c r="S37" s="278">
        <v>1819.47</v>
      </c>
      <c r="T37" s="56"/>
      <c r="U37" s="56">
        <f>E37+I37+M37+Q37</f>
        <v>127600.89000000001</v>
      </c>
      <c r="V37" s="56"/>
      <c r="W37" s="56">
        <f>G37+K37+O37+S37</f>
        <v>267366.11999999994</v>
      </c>
      <c r="X37" s="56"/>
      <c r="Y37" s="56">
        <f>U37+W37</f>
        <v>394967.00999999995</v>
      </c>
      <c r="AA37" s="413">
        <v>2.0035600000000001E-3</v>
      </c>
      <c r="AC37" s="413">
        <v>4.1964999999999997E-3</v>
      </c>
    </row>
    <row r="38" spans="1:29">
      <c r="A38" s="113"/>
      <c r="B38" s="412" t="s">
        <v>494</v>
      </c>
      <c r="C38" s="265" t="s">
        <v>494</v>
      </c>
      <c r="E38" s="414"/>
      <c r="F38" s="281"/>
      <c r="G38" s="414"/>
      <c r="H38" s="281"/>
      <c r="I38" s="414"/>
      <c r="J38" s="281"/>
      <c r="K38" s="414"/>
      <c r="L38" s="281"/>
      <c r="M38" s="414"/>
      <c r="N38" s="281"/>
      <c r="O38" s="414"/>
      <c r="P38" s="281"/>
      <c r="Q38" s="414"/>
      <c r="R38" s="281"/>
      <c r="S38" s="414"/>
      <c r="U38" s="113"/>
      <c r="V38" s="56"/>
      <c r="W38" s="56"/>
      <c r="X38" s="56"/>
      <c r="Y38" s="56"/>
      <c r="AA38" s="113"/>
    </row>
    <row r="39" spans="1:29">
      <c r="A39" s="113">
        <v>12</v>
      </c>
      <c r="B39" s="412" t="s">
        <v>499</v>
      </c>
      <c r="C39" s="265" t="s">
        <v>881</v>
      </c>
      <c r="E39" s="278">
        <v>58854.7</v>
      </c>
      <c r="F39" s="278"/>
      <c r="G39" s="278">
        <v>113160.43</v>
      </c>
      <c r="H39" s="278"/>
      <c r="I39" s="278">
        <v>68596.86</v>
      </c>
      <c r="J39" s="278"/>
      <c r="K39" s="278">
        <v>131783.07999999999</v>
      </c>
      <c r="L39" s="278"/>
      <c r="M39" s="278">
        <v>11727.2</v>
      </c>
      <c r="N39" s="278"/>
      <c r="O39" s="278">
        <v>22270.48</v>
      </c>
      <c r="P39" s="278"/>
      <c r="Q39" s="278">
        <v>1157.33</v>
      </c>
      <c r="R39" s="278"/>
      <c r="S39" s="278">
        <v>2225.34</v>
      </c>
      <c r="T39" s="56"/>
      <c r="U39" s="56">
        <f>E39+I39+M39+Q39</f>
        <v>140336.09</v>
      </c>
      <c r="V39" s="56"/>
      <c r="W39" s="56">
        <f>G39+K39+O39+S39</f>
        <v>269439.33</v>
      </c>
      <c r="X39" s="56"/>
      <c r="Y39" s="56">
        <f>U39+W39</f>
        <v>409775.42000000004</v>
      </c>
      <c r="AA39" s="413">
        <v>2.0867199999999998E-3</v>
      </c>
      <c r="AC39" s="413">
        <v>4.0123800000000003E-3</v>
      </c>
    </row>
    <row r="40" spans="1:29">
      <c r="A40" s="113"/>
      <c r="E40" s="245" t="s">
        <v>506</v>
      </c>
      <c r="G40" s="245" t="s">
        <v>506</v>
      </c>
      <c r="I40" s="245" t="s">
        <v>506</v>
      </c>
      <c r="K40" s="245" t="s">
        <v>506</v>
      </c>
      <c r="M40" s="245" t="s">
        <v>506</v>
      </c>
      <c r="O40" s="245" t="s">
        <v>506</v>
      </c>
      <c r="Q40" s="245" t="s">
        <v>506</v>
      </c>
      <c r="S40" s="245" t="s">
        <v>506</v>
      </c>
      <c r="U40" s="245" t="s">
        <v>506</v>
      </c>
      <c r="W40" s="245" t="s">
        <v>506</v>
      </c>
      <c r="Y40" s="245" t="s">
        <v>506</v>
      </c>
      <c r="AA40" s="112"/>
    </row>
    <row r="41" spans="1:29">
      <c r="A41" s="113"/>
      <c r="AA41" s="265"/>
      <c r="AB41" s="265"/>
    </row>
    <row r="42" spans="1:29">
      <c r="A42" s="113">
        <v>13</v>
      </c>
      <c r="B42" s="238" t="s">
        <v>507</v>
      </c>
      <c r="E42" s="56">
        <f>SUM(E17:E39)</f>
        <v>1056928.8600000001</v>
      </c>
      <c r="G42" s="56">
        <f>SUM(G17:G39)</f>
        <v>2058930.6499999997</v>
      </c>
      <c r="I42" s="56">
        <f>SUM(I17:I39)</f>
        <v>678529.67999999993</v>
      </c>
      <c r="K42" s="56">
        <f>SUM(K17:K39)</f>
        <v>1295180.54</v>
      </c>
      <c r="M42" s="56">
        <f>SUM(M17:M39)</f>
        <v>154046.82999999999</v>
      </c>
      <c r="O42" s="56">
        <f>SUM(O17:O39)</f>
        <v>300862.98</v>
      </c>
      <c r="Q42" s="56">
        <f>SUM(Q17:Q39)</f>
        <v>11761.38</v>
      </c>
      <c r="S42" s="56">
        <f>SUM(S17:S39)</f>
        <v>21319.43</v>
      </c>
      <c r="U42" s="56">
        <f>SUM(U17:U39)</f>
        <v>1901266.7500000002</v>
      </c>
      <c r="W42" s="56">
        <f>SUM(W17:W39)</f>
        <v>3676293.5999999996</v>
      </c>
      <c r="Y42" s="56">
        <f>SUM(Y17:Y39)</f>
        <v>5577560.3499999996</v>
      </c>
      <c r="AA42" s="265"/>
      <c r="AB42" s="265"/>
    </row>
    <row r="43" spans="1:29">
      <c r="A43" s="113"/>
      <c r="E43" s="245" t="s">
        <v>508</v>
      </c>
      <c r="G43" s="245" t="s">
        <v>508</v>
      </c>
      <c r="I43" s="245" t="s">
        <v>508</v>
      </c>
      <c r="K43" s="245" t="s">
        <v>508</v>
      </c>
      <c r="M43" s="245" t="s">
        <v>508</v>
      </c>
      <c r="O43" s="245" t="s">
        <v>508</v>
      </c>
      <c r="Q43" s="245" t="s">
        <v>508</v>
      </c>
      <c r="S43" s="245" t="s">
        <v>508</v>
      </c>
      <c r="U43" s="245" t="s">
        <v>508</v>
      </c>
      <c r="W43" s="245" t="s">
        <v>508</v>
      </c>
      <c r="Y43" s="245" t="s">
        <v>509</v>
      </c>
      <c r="AA43" s="112"/>
    </row>
    <row r="44" spans="1:29">
      <c r="A44" s="113"/>
      <c r="AA44" s="112"/>
    </row>
    <row r="45" spans="1:29">
      <c r="A45" s="113"/>
      <c r="AA45" s="112"/>
    </row>
    <row r="46" spans="1:29">
      <c r="A46" s="113"/>
      <c r="U46" s="265"/>
      <c r="V46" s="265"/>
      <c r="W46" s="265"/>
      <c r="AA46" s="112"/>
    </row>
    <row r="47" spans="1:29">
      <c r="A47" s="113"/>
      <c r="U47" s="265"/>
      <c r="V47" s="265"/>
      <c r="W47" s="265"/>
      <c r="AA47" s="112"/>
    </row>
    <row r="48" spans="1:29">
      <c r="A48" s="113"/>
      <c r="U48" s="265"/>
      <c r="V48" s="265"/>
      <c r="W48" s="265"/>
      <c r="AA48" s="112"/>
    </row>
    <row r="49" spans="1:29">
      <c r="A49" s="113"/>
      <c r="U49" s="265"/>
      <c r="V49" s="265"/>
      <c r="W49" s="265"/>
      <c r="AA49" s="112"/>
    </row>
    <row r="50" spans="1:29">
      <c r="A50" s="113"/>
      <c r="AA50" s="112"/>
    </row>
    <row r="51" spans="1:29" ht="12.75" customHeight="1">
      <c r="A51" s="113"/>
      <c r="AA51" s="112"/>
      <c r="AC51" s="163"/>
    </row>
    <row r="52" spans="1:29">
      <c r="A52" s="113"/>
      <c r="AC52" s="163"/>
    </row>
    <row r="53" spans="1:29">
      <c r="A53" s="113"/>
      <c r="AC53" s="163"/>
    </row>
    <row r="54" spans="1:29">
      <c r="A54" s="113"/>
      <c r="AC54" s="163"/>
    </row>
    <row r="55" spans="1:29">
      <c r="A55" s="113"/>
      <c r="AC55" s="163"/>
    </row>
    <row r="56" spans="1:29">
      <c r="AC56" s="163"/>
    </row>
    <row r="57" spans="1:29">
      <c r="AC57" s="163"/>
    </row>
    <row r="58" spans="1:29">
      <c r="AC58" s="163"/>
    </row>
    <row r="59" spans="1:29">
      <c r="AC59" s="163"/>
    </row>
  </sheetData>
  <mergeCells count="2">
    <mergeCell ref="A7:AC7"/>
    <mergeCell ref="A8:AC8"/>
  </mergeCells>
  <printOptions horizontalCentered="1"/>
  <pageMargins left="0.7" right="0.7" top="0.75" bottom="0.75" header="0.55000000000000004" footer="0.3"/>
  <pageSetup scale="64" orientation="landscape" r:id="rId1"/>
  <headerFooter>
    <oddHeader>&amp;CKENTUCKY POWER COMPANY
JURISDICTIONAL COST OF SERVICE
12 MONTHS ENDED SEPTEMBER 30, 2014&amp;RSECTION V
SCHEDULE 8
PAGE &amp;P OF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52"/>
  <sheetViews>
    <sheetView tabSelected="1" zoomScale="80" zoomScaleNormal="80" workbookViewId="0">
      <pane xSplit="4" ySplit="11" topLeftCell="E12" activePane="bottomRight" state="frozen"/>
      <selection pane="topRight"/>
      <selection pane="bottomLeft"/>
      <selection pane="bottomRight" activeCell="M47" sqref="M47"/>
    </sheetView>
  </sheetViews>
  <sheetFormatPr defaultRowHeight="12.75"/>
  <cols>
    <col min="1" max="1" width="2.28515625" style="281" customWidth="1"/>
    <col min="2" max="2" width="5" style="238" bestFit="1" customWidth="1"/>
    <col min="3" max="3" width="33.85546875" style="191" bestFit="1" customWidth="1"/>
    <col min="4" max="4" width="2.28515625" style="191" customWidth="1"/>
    <col min="5" max="14" width="10.7109375" style="191" customWidth="1"/>
    <col min="15" max="15" width="10.42578125" style="191" customWidth="1"/>
    <col min="16" max="16" width="10.7109375" style="191" customWidth="1"/>
    <col min="17" max="17" width="12.7109375" style="191" customWidth="1"/>
    <col min="18" max="18" width="2.28515625" style="191" customWidth="1"/>
    <col min="19" max="16384" width="9.140625" style="191"/>
  </cols>
  <sheetData>
    <row r="1" spans="2:18">
      <c r="Q1" s="107"/>
    </row>
    <row r="2" spans="2:18">
      <c r="Q2" s="107"/>
    </row>
    <row r="3" spans="2:18">
      <c r="I3" s="238"/>
    </row>
    <row r="4" spans="2:18">
      <c r="I4" s="118" t="s">
        <v>1012</v>
      </c>
    </row>
    <row r="5" spans="2:18">
      <c r="I5" s="243"/>
    </row>
    <row r="8" spans="2:18" ht="25.5">
      <c r="B8" s="51" t="s">
        <v>488</v>
      </c>
      <c r="C8" s="74" t="s">
        <v>341</v>
      </c>
      <c r="E8" s="51" t="s">
        <v>787</v>
      </c>
      <c r="F8" s="51" t="s">
        <v>788</v>
      </c>
      <c r="G8" s="51" t="s">
        <v>789</v>
      </c>
      <c r="H8" s="51" t="s">
        <v>790</v>
      </c>
      <c r="I8" s="51" t="s">
        <v>791</v>
      </c>
      <c r="J8" s="51" t="s">
        <v>792</v>
      </c>
      <c r="K8" s="51" t="s">
        <v>793</v>
      </c>
      <c r="L8" s="51" t="s">
        <v>794</v>
      </c>
      <c r="M8" s="51" t="s">
        <v>795</v>
      </c>
      <c r="N8" s="51" t="s">
        <v>796</v>
      </c>
      <c r="O8" s="51" t="s">
        <v>797</v>
      </c>
      <c r="P8" s="51" t="s">
        <v>798</v>
      </c>
      <c r="Q8" s="51" t="s">
        <v>799</v>
      </c>
    </row>
    <row r="9" spans="2:18">
      <c r="B9" s="113"/>
    </row>
    <row r="10" spans="2:18" ht="26.1" customHeight="1">
      <c r="B10" s="113">
        <v>1</v>
      </c>
      <c r="C10" s="191" t="s">
        <v>800</v>
      </c>
      <c r="E10" s="51" t="s">
        <v>890</v>
      </c>
      <c r="F10" s="51" t="s">
        <v>891</v>
      </c>
      <c r="G10" s="51" t="s">
        <v>892</v>
      </c>
      <c r="H10" s="51" t="s">
        <v>893</v>
      </c>
      <c r="I10" s="51" t="s">
        <v>894</v>
      </c>
      <c r="J10" s="51" t="s">
        <v>895</v>
      </c>
      <c r="K10" s="51" t="s">
        <v>896</v>
      </c>
      <c r="L10" s="51" t="s">
        <v>897</v>
      </c>
      <c r="M10" s="51" t="s">
        <v>898</v>
      </c>
      <c r="N10" s="251" t="s">
        <v>899</v>
      </c>
      <c r="O10" s="251" t="s">
        <v>900</v>
      </c>
      <c r="P10" s="251" t="s">
        <v>901</v>
      </c>
      <c r="Q10" s="51" t="s">
        <v>801</v>
      </c>
      <c r="R10" s="74"/>
    </row>
    <row r="11" spans="2:18" ht="26.1" customHeight="1">
      <c r="B11" s="113">
        <f>+B10+1</f>
        <v>2</v>
      </c>
      <c r="C11" s="191" t="s">
        <v>802</v>
      </c>
      <c r="E11" s="239" t="s">
        <v>806</v>
      </c>
      <c r="F11" s="239" t="s">
        <v>803</v>
      </c>
      <c r="G11" s="239" t="s">
        <v>806</v>
      </c>
      <c r="H11" s="239" t="s">
        <v>807</v>
      </c>
      <c r="I11" s="239" t="s">
        <v>806</v>
      </c>
      <c r="J11" s="239" t="s">
        <v>806</v>
      </c>
      <c r="K11" s="239" t="s">
        <v>803</v>
      </c>
      <c r="L11" s="239" t="s">
        <v>805</v>
      </c>
      <c r="M11" s="239" t="s">
        <v>804</v>
      </c>
      <c r="N11" s="161" t="s">
        <v>805</v>
      </c>
      <c r="O11" s="161" t="s">
        <v>805</v>
      </c>
      <c r="P11" s="161" t="s">
        <v>804</v>
      </c>
      <c r="Q11" s="239" t="s">
        <v>808</v>
      </c>
      <c r="R11" s="271"/>
    </row>
    <row r="12" spans="2:18" ht="12.75" customHeight="1">
      <c r="B12" s="113"/>
      <c r="E12" s="239" t="s">
        <v>809</v>
      </c>
      <c r="F12" s="239" t="s">
        <v>809</v>
      </c>
      <c r="G12" s="239" t="s">
        <v>809</v>
      </c>
      <c r="H12" s="239" t="s">
        <v>809</v>
      </c>
      <c r="I12" s="239" t="s">
        <v>809</v>
      </c>
      <c r="J12" s="239" t="s">
        <v>809</v>
      </c>
      <c r="K12" s="239" t="s">
        <v>809</v>
      </c>
      <c r="L12" s="239" t="s">
        <v>809</v>
      </c>
      <c r="M12" s="239" t="s">
        <v>809</v>
      </c>
      <c r="N12" s="161" t="s">
        <v>809</v>
      </c>
      <c r="O12" s="161" t="s">
        <v>809</v>
      </c>
      <c r="P12" s="161" t="s">
        <v>809</v>
      </c>
      <c r="Q12" s="239" t="s">
        <v>809</v>
      </c>
    </row>
    <row r="13" spans="2:18" ht="12.75" customHeight="1">
      <c r="B13" s="113"/>
      <c r="E13" s="245"/>
      <c r="F13" s="245"/>
      <c r="G13" s="245"/>
      <c r="H13" s="245"/>
      <c r="I13" s="245"/>
      <c r="J13" s="245"/>
      <c r="K13" s="245"/>
      <c r="L13" s="245"/>
      <c r="M13" s="245"/>
      <c r="N13" s="258"/>
      <c r="O13" s="258"/>
      <c r="P13" s="258"/>
      <c r="Q13" s="245"/>
    </row>
    <row r="14" spans="2:18" ht="12.75" customHeight="1">
      <c r="B14" s="113">
        <f>+B11+1</f>
        <v>3</v>
      </c>
      <c r="C14" s="191" t="s">
        <v>810</v>
      </c>
      <c r="E14" s="273">
        <v>978</v>
      </c>
      <c r="F14" s="273">
        <v>1194</v>
      </c>
      <c r="G14" s="273">
        <v>1274</v>
      </c>
      <c r="H14" s="273">
        <v>1645</v>
      </c>
      <c r="I14" s="273">
        <v>1397</v>
      </c>
      <c r="J14" s="273">
        <v>1370</v>
      </c>
      <c r="K14" s="273">
        <v>1051</v>
      </c>
      <c r="L14" s="273">
        <v>959</v>
      </c>
      <c r="M14" s="273">
        <v>1062</v>
      </c>
      <c r="N14" s="415">
        <v>1076</v>
      </c>
      <c r="O14" s="415">
        <v>1057</v>
      </c>
      <c r="P14" s="415">
        <v>1006</v>
      </c>
      <c r="Q14" s="273">
        <f>SUM(E14:P14)</f>
        <v>14069</v>
      </c>
    </row>
    <row r="15" spans="2:18" ht="12.75" customHeight="1">
      <c r="B15" s="113">
        <f>+B14+1</f>
        <v>4</v>
      </c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>
        <f>ROUND(Q14/12,3)</f>
        <v>1172.4169999999999</v>
      </c>
    </row>
    <row r="16" spans="2:18" ht="12.75" customHeight="1">
      <c r="B16" s="113">
        <f>+B15+1</f>
        <v>5</v>
      </c>
      <c r="C16" s="191" t="s">
        <v>811</v>
      </c>
      <c r="E16" s="415">
        <v>153.88999999999999</v>
      </c>
      <c r="F16" s="415">
        <v>108.91</v>
      </c>
      <c r="G16" s="415">
        <v>428.76</v>
      </c>
      <c r="H16" s="415">
        <v>257.45</v>
      </c>
      <c r="I16" s="415">
        <v>493.17</v>
      </c>
      <c r="J16" s="415">
        <v>250.29</v>
      </c>
      <c r="K16" s="415">
        <v>923.2</v>
      </c>
      <c r="L16" s="415">
        <v>752.2</v>
      </c>
      <c r="M16" s="415">
        <v>1211.25</v>
      </c>
      <c r="N16" s="415">
        <v>809.98</v>
      </c>
      <c r="O16" s="415">
        <v>1269.25</v>
      </c>
      <c r="P16" s="415">
        <v>1305</v>
      </c>
      <c r="Q16" s="415">
        <f>SUM(E16:P16)</f>
        <v>7963.35</v>
      </c>
    </row>
    <row r="17" spans="2:17" ht="12.75" customHeight="1">
      <c r="B17" s="113">
        <f>+B16+1</f>
        <v>6</v>
      </c>
      <c r="C17" s="191" t="s">
        <v>812</v>
      </c>
      <c r="E17" s="268">
        <v>1.0341260000000001</v>
      </c>
      <c r="F17" s="268">
        <v>1.0341260000000001</v>
      </c>
      <c r="G17" s="268">
        <v>1.0341260000000001</v>
      </c>
      <c r="H17" s="268">
        <v>1.0341260000000001</v>
      </c>
      <c r="I17" s="268">
        <v>1.0341260000000001</v>
      </c>
      <c r="J17" s="268">
        <v>1.0341260000000001</v>
      </c>
      <c r="K17" s="268">
        <v>1.0341260000000001</v>
      </c>
      <c r="L17" s="268">
        <v>1.0341260000000001</v>
      </c>
      <c r="M17" s="268">
        <v>1.0341260000000001</v>
      </c>
      <c r="N17" s="268">
        <v>1.0341260000000001</v>
      </c>
      <c r="O17" s="268">
        <v>1.0341260000000001</v>
      </c>
      <c r="P17" s="268">
        <v>1.0341260000000001</v>
      </c>
      <c r="Q17" s="273"/>
    </row>
    <row r="18" spans="2:17" ht="12.75" customHeight="1">
      <c r="B18" s="113">
        <f>+B17+1</f>
        <v>7</v>
      </c>
      <c r="C18" s="191" t="s">
        <v>813</v>
      </c>
      <c r="E18" s="273">
        <f>ROUND(E16*E17,3)</f>
        <v>159.142</v>
      </c>
      <c r="F18" s="273">
        <f t="shared" ref="F18:P18" si="0">ROUND(F16*F17,3)</f>
        <v>112.627</v>
      </c>
      <c r="G18" s="273">
        <f t="shared" si="0"/>
        <v>443.392</v>
      </c>
      <c r="H18" s="273">
        <f t="shared" si="0"/>
        <v>266.23599999999999</v>
      </c>
      <c r="I18" s="273">
        <f t="shared" si="0"/>
        <v>510</v>
      </c>
      <c r="J18" s="273">
        <f t="shared" si="0"/>
        <v>258.83100000000002</v>
      </c>
      <c r="K18" s="273">
        <f t="shared" si="0"/>
        <v>954.70500000000004</v>
      </c>
      <c r="L18" s="273">
        <f t="shared" si="0"/>
        <v>777.87</v>
      </c>
      <c r="M18" s="273">
        <f t="shared" si="0"/>
        <v>1252.585</v>
      </c>
      <c r="N18" s="273">
        <f t="shared" si="0"/>
        <v>837.62099999999998</v>
      </c>
      <c r="O18" s="273">
        <f t="shared" si="0"/>
        <v>1312.5640000000001</v>
      </c>
      <c r="P18" s="273">
        <f t="shared" si="0"/>
        <v>1349.5340000000001</v>
      </c>
      <c r="Q18" s="273">
        <f>SUM(E18:P18)</f>
        <v>8235.107</v>
      </c>
    </row>
    <row r="19" spans="2:17" ht="12.75" customHeight="1">
      <c r="B19" s="113">
        <f>+B18+1</f>
        <v>8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273">
        <f>ROUND(Q18/12,3)</f>
        <v>686.25900000000001</v>
      </c>
    </row>
    <row r="20" spans="2:17" ht="12.75" customHeight="1">
      <c r="B20" s="113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2:17" ht="12.75" customHeight="1">
      <c r="B21" s="113">
        <f>+B19+1</f>
        <v>9</v>
      </c>
      <c r="C21" s="191" t="s">
        <v>814</v>
      </c>
      <c r="E21" s="273">
        <f>+E14-(E18-E16)</f>
        <v>972.74800000000005</v>
      </c>
      <c r="F21" s="273">
        <f t="shared" ref="F21:P21" si="1">+F14-(F18-F16)</f>
        <v>1190.2829999999999</v>
      </c>
      <c r="G21" s="273">
        <f t="shared" si="1"/>
        <v>1259.3679999999999</v>
      </c>
      <c r="H21" s="273">
        <f t="shared" si="1"/>
        <v>1636.2139999999999</v>
      </c>
      <c r="I21" s="273">
        <f t="shared" si="1"/>
        <v>1380.17</v>
      </c>
      <c r="J21" s="273">
        <f t="shared" si="1"/>
        <v>1361.4590000000001</v>
      </c>
      <c r="K21" s="273">
        <f t="shared" si="1"/>
        <v>1019.495</v>
      </c>
      <c r="L21" s="273">
        <f t="shared" si="1"/>
        <v>933.33</v>
      </c>
      <c r="M21" s="273">
        <f t="shared" si="1"/>
        <v>1020.665</v>
      </c>
      <c r="N21" s="273">
        <f t="shared" si="1"/>
        <v>1048.3589999999999</v>
      </c>
      <c r="O21" s="273">
        <f t="shared" si="1"/>
        <v>1013.6859999999999</v>
      </c>
      <c r="P21" s="273">
        <f t="shared" si="1"/>
        <v>961.46599999999989</v>
      </c>
      <c r="Q21" s="273">
        <f>SUM(E21:P21)</f>
        <v>13797.243</v>
      </c>
    </row>
    <row r="22" spans="2:17" ht="12.75" customHeight="1">
      <c r="B22" s="113">
        <f>+B21+1</f>
        <v>10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273">
        <f>ROUND(Q21/12,3)</f>
        <v>1149.77</v>
      </c>
    </row>
    <row r="23" spans="2:17" ht="12.75" customHeight="1">
      <c r="B23" s="113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2:17" ht="12.75" customHeight="1">
      <c r="B24" s="113"/>
      <c r="C24" s="74" t="s">
        <v>815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2:17" ht="12.75" customHeight="1">
      <c r="B25" s="113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2:17" ht="30" customHeight="1">
      <c r="B26" s="113">
        <f>+B22+1</f>
        <v>11</v>
      </c>
      <c r="C26" s="191" t="s">
        <v>816</v>
      </c>
      <c r="E26" s="273">
        <f>'Olive Hill - Vanceburg'!E10/1000</f>
        <v>3.56</v>
      </c>
      <c r="F26" s="273">
        <f>'Olive Hill - Vanceburg'!E11/1000</f>
        <v>4.3529999999999998</v>
      </c>
      <c r="G26" s="273">
        <f>'Olive Hill - Vanceburg'!E12/1000</f>
        <v>5.1379999999999999</v>
      </c>
      <c r="H26" s="273">
        <f>'Olive Hill - Vanceburg'!E13/1000</f>
        <v>6.7690000000000001</v>
      </c>
      <c r="I26" s="273">
        <f>'Olive Hill - Vanceburg'!$E14/1000</f>
        <v>6.0389999999999997</v>
      </c>
      <c r="J26" s="273">
        <f>'Olive Hill - Vanceburg'!$E15/1000</f>
        <v>5.335</v>
      </c>
      <c r="K26" s="273">
        <f>'Olive Hill - Vanceburg'!$E16/1000</f>
        <v>3.9049999999999998</v>
      </c>
      <c r="L26" s="273">
        <f>'Olive Hill - Vanceburg'!$E17/1000</f>
        <v>3.427</v>
      </c>
      <c r="M26" s="273">
        <f>'Olive Hill - Vanceburg'!$E18/1000</f>
        <v>4.1520000000000001</v>
      </c>
      <c r="N26" s="273">
        <f>'Olive Hill - Vanceburg'!$E19/1000</f>
        <v>4.3879999999999999</v>
      </c>
      <c r="O26" s="273">
        <f>'Olive Hill - Vanceburg'!$E20/1000</f>
        <v>4.2670000000000003</v>
      </c>
      <c r="P26" s="273">
        <f>'Olive Hill - Vanceburg'!$E21/1000</f>
        <v>3.8620000000000001</v>
      </c>
      <c r="Q26" s="273">
        <f>SUM(E26:P26)</f>
        <v>55.195000000000007</v>
      </c>
    </row>
    <row r="27" spans="2:17" ht="12.75" customHeight="1">
      <c r="B27" s="113">
        <f>+B26+1</f>
        <v>12</v>
      </c>
      <c r="C27" s="117" t="s">
        <v>812</v>
      </c>
      <c r="E27" s="268">
        <v>1.0551999999999999</v>
      </c>
      <c r="F27" s="268">
        <f>+$E$27</f>
        <v>1.0551999999999999</v>
      </c>
      <c r="G27" s="268">
        <f t="shared" ref="G27:P27" si="2">+$E$27</f>
        <v>1.0551999999999999</v>
      </c>
      <c r="H27" s="268">
        <f t="shared" si="2"/>
        <v>1.0551999999999999</v>
      </c>
      <c r="I27" s="268">
        <f t="shared" si="2"/>
        <v>1.0551999999999999</v>
      </c>
      <c r="J27" s="268">
        <f t="shared" si="2"/>
        <v>1.0551999999999999</v>
      </c>
      <c r="K27" s="268">
        <f t="shared" si="2"/>
        <v>1.0551999999999999</v>
      </c>
      <c r="L27" s="268">
        <f t="shared" si="2"/>
        <v>1.0551999999999999</v>
      </c>
      <c r="M27" s="268">
        <f t="shared" si="2"/>
        <v>1.0551999999999999</v>
      </c>
      <c r="N27" s="268">
        <f t="shared" si="2"/>
        <v>1.0551999999999999</v>
      </c>
      <c r="O27" s="268">
        <f t="shared" si="2"/>
        <v>1.0551999999999999</v>
      </c>
      <c r="P27" s="268">
        <f t="shared" si="2"/>
        <v>1.0551999999999999</v>
      </c>
      <c r="Q27" s="273"/>
    </row>
    <row r="28" spans="2:17" ht="12.75" customHeight="1">
      <c r="B28" s="113">
        <f>+B27+1</f>
        <v>13</v>
      </c>
      <c r="C28" s="191" t="s">
        <v>817</v>
      </c>
      <c r="E28" s="273">
        <f t="shared" ref="E28:P28" si="3">ROUND(E26*E27,3)</f>
        <v>3.7570000000000001</v>
      </c>
      <c r="F28" s="273">
        <f t="shared" si="3"/>
        <v>4.593</v>
      </c>
      <c r="G28" s="273">
        <f t="shared" si="3"/>
        <v>5.4219999999999997</v>
      </c>
      <c r="H28" s="273">
        <f t="shared" si="3"/>
        <v>7.1429999999999998</v>
      </c>
      <c r="I28" s="273">
        <f t="shared" si="3"/>
        <v>6.3719999999999999</v>
      </c>
      <c r="J28" s="273">
        <f t="shared" si="3"/>
        <v>5.6289999999999996</v>
      </c>
      <c r="K28" s="273">
        <f t="shared" si="3"/>
        <v>4.1210000000000004</v>
      </c>
      <c r="L28" s="273">
        <f t="shared" si="3"/>
        <v>3.6160000000000001</v>
      </c>
      <c r="M28" s="273">
        <f t="shared" si="3"/>
        <v>4.3810000000000002</v>
      </c>
      <c r="N28" s="273">
        <f t="shared" si="3"/>
        <v>4.63</v>
      </c>
      <c r="O28" s="273">
        <f t="shared" si="3"/>
        <v>4.5030000000000001</v>
      </c>
      <c r="P28" s="273">
        <f t="shared" si="3"/>
        <v>4.0750000000000002</v>
      </c>
      <c r="Q28" s="273">
        <f>SUM(E28:P28)</f>
        <v>58.242000000000004</v>
      </c>
    </row>
    <row r="29" spans="2:17" ht="12.75" customHeight="1">
      <c r="B29" s="113">
        <f>+B28+1</f>
        <v>14</v>
      </c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>
        <f>ROUND(Q28/12,3)</f>
        <v>4.8540000000000001</v>
      </c>
    </row>
    <row r="30" spans="2:17" ht="12.75" customHeight="1">
      <c r="B30" s="11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</row>
    <row r="31" spans="2:17" ht="30" customHeight="1">
      <c r="B31" s="113">
        <f>+B29+1</f>
        <v>15</v>
      </c>
      <c r="C31" s="191" t="s">
        <v>818</v>
      </c>
      <c r="E31" s="273">
        <f>'Olive Hill - Vanceburg'!H10/1000</f>
        <v>8.5990000000000002</v>
      </c>
      <c r="F31" s="273">
        <f>'Olive Hill - Vanceburg'!H11/1000</f>
        <v>10.672000000000001</v>
      </c>
      <c r="G31" s="273">
        <f>'Olive Hill - Vanceburg'!H12/1000</f>
        <v>11.712</v>
      </c>
      <c r="H31" s="273">
        <f>'Olive Hill - Vanceburg'!H13/1000</f>
        <v>15.474</v>
      </c>
      <c r="I31" s="273">
        <f>'Olive Hill - Vanceburg'!H14/1000</f>
        <v>14.241</v>
      </c>
      <c r="J31" s="273">
        <f>'Olive Hill - Vanceburg'!H15/1000</f>
        <v>13</v>
      </c>
      <c r="K31" s="273">
        <f>'Olive Hill - Vanceburg'!H16/1000</f>
        <v>9.9920000000000009</v>
      </c>
      <c r="L31" s="273">
        <f>'Olive Hill - Vanceburg'!H17/1000</f>
        <v>9.51</v>
      </c>
      <c r="M31" s="273">
        <f>'Olive Hill - Vanceburg'!H18/1000</f>
        <v>10.840999999999999</v>
      </c>
      <c r="N31" s="273">
        <f>'Olive Hill - Vanceburg'!H19/1000</f>
        <v>11.173</v>
      </c>
      <c r="O31" s="273">
        <f>'Olive Hill - Vanceburg'!H20/1000</f>
        <v>10.712</v>
      </c>
      <c r="P31" s="273">
        <f>'Olive Hill - Vanceburg'!H21/1000</f>
        <v>9.6359999999999992</v>
      </c>
      <c r="Q31" s="273">
        <f>SUM(E31:P31)</f>
        <v>135.56200000000001</v>
      </c>
    </row>
    <row r="32" spans="2:17" ht="12.75" customHeight="1">
      <c r="B32" s="113">
        <f>+B31+1</f>
        <v>16</v>
      </c>
      <c r="C32" s="117" t="s">
        <v>812</v>
      </c>
      <c r="E32" s="268">
        <v>1.0341260000000001</v>
      </c>
      <c r="F32" s="268">
        <f>+$E$32</f>
        <v>1.0341260000000001</v>
      </c>
      <c r="G32" s="268">
        <f t="shared" ref="G32:P32" si="4">+$E$32</f>
        <v>1.0341260000000001</v>
      </c>
      <c r="H32" s="268">
        <f t="shared" si="4"/>
        <v>1.0341260000000001</v>
      </c>
      <c r="I32" s="268">
        <f t="shared" si="4"/>
        <v>1.0341260000000001</v>
      </c>
      <c r="J32" s="268">
        <f t="shared" si="4"/>
        <v>1.0341260000000001</v>
      </c>
      <c r="K32" s="268">
        <f t="shared" si="4"/>
        <v>1.0341260000000001</v>
      </c>
      <c r="L32" s="268">
        <f t="shared" si="4"/>
        <v>1.0341260000000001</v>
      </c>
      <c r="M32" s="268">
        <f t="shared" si="4"/>
        <v>1.0341260000000001</v>
      </c>
      <c r="N32" s="268">
        <f t="shared" si="4"/>
        <v>1.0341260000000001</v>
      </c>
      <c r="O32" s="268">
        <f t="shared" si="4"/>
        <v>1.0341260000000001</v>
      </c>
      <c r="P32" s="268">
        <f t="shared" si="4"/>
        <v>1.0341260000000001</v>
      </c>
      <c r="Q32" s="273"/>
    </row>
    <row r="33" spans="2:17" ht="12.75" customHeight="1">
      <c r="B33" s="113">
        <f>+B32+1</f>
        <v>17</v>
      </c>
      <c r="C33" s="191" t="s">
        <v>819</v>
      </c>
      <c r="E33" s="273">
        <f>ROUND(E31*E32,3)</f>
        <v>8.8919999999999995</v>
      </c>
      <c r="F33" s="273">
        <f t="shared" ref="F33:P33" si="5">ROUND(F31*F32,3)</f>
        <v>11.036</v>
      </c>
      <c r="G33" s="273">
        <f t="shared" si="5"/>
        <v>12.112</v>
      </c>
      <c r="H33" s="273">
        <f t="shared" si="5"/>
        <v>16.001999999999999</v>
      </c>
      <c r="I33" s="273">
        <f t="shared" si="5"/>
        <v>14.727</v>
      </c>
      <c r="J33" s="273">
        <f t="shared" si="5"/>
        <v>13.444000000000001</v>
      </c>
      <c r="K33" s="273">
        <f t="shared" si="5"/>
        <v>10.333</v>
      </c>
      <c r="L33" s="273">
        <f t="shared" si="5"/>
        <v>9.8350000000000009</v>
      </c>
      <c r="M33" s="273">
        <f t="shared" si="5"/>
        <v>11.211</v>
      </c>
      <c r="N33" s="273">
        <f t="shared" si="5"/>
        <v>11.554</v>
      </c>
      <c r="O33" s="273">
        <f t="shared" si="5"/>
        <v>11.077999999999999</v>
      </c>
      <c r="P33" s="273">
        <f t="shared" si="5"/>
        <v>9.9649999999999999</v>
      </c>
      <c r="Q33" s="273">
        <f>SUM(E33:P33)</f>
        <v>140.18899999999999</v>
      </c>
    </row>
    <row r="34" spans="2:17" ht="12.75" customHeight="1">
      <c r="B34" s="113">
        <f>+B33+1</f>
        <v>18</v>
      </c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>
        <f>ROUND(Q33/12,3)</f>
        <v>11.682</v>
      </c>
    </row>
    <row r="35" spans="2:17">
      <c r="B35" s="11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</row>
    <row r="36" spans="2:17">
      <c r="B36" s="113">
        <f>+B34+1</f>
        <v>19</v>
      </c>
      <c r="C36" s="191" t="s">
        <v>820</v>
      </c>
      <c r="E36" s="416">
        <f>+E28+E33</f>
        <v>12.648999999999999</v>
      </c>
      <c r="F36" s="416">
        <f t="shared" ref="F36:P36" si="6">+F28+F33</f>
        <v>15.629</v>
      </c>
      <c r="G36" s="416">
        <f t="shared" si="6"/>
        <v>17.533999999999999</v>
      </c>
      <c r="H36" s="416">
        <f t="shared" si="6"/>
        <v>23.145</v>
      </c>
      <c r="I36" s="416">
        <f t="shared" si="6"/>
        <v>21.099</v>
      </c>
      <c r="J36" s="416">
        <f t="shared" si="6"/>
        <v>19.073</v>
      </c>
      <c r="K36" s="416">
        <f t="shared" si="6"/>
        <v>14.454000000000001</v>
      </c>
      <c r="L36" s="416">
        <f t="shared" si="6"/>
        <v>13.451000000000001</v>
      </c>
      <c r="M36" s="416">
        <f t="shared" si="6"/>
        <v>15.592000000000001</v>
      </c>
      <c r="N36" s="416">
        <f t="shared" si="6"/>
        <v>16.184000000000001</v>
      </c>
      <c r="O36" s="416">
        <f t="shared" si="6"/>
        <v>15.581</v>
      </c>
      <c r="P36" s="416">
        <f t="shared" si="6"/>
        <v>14.04</v>
      </c>
      <c r="Q36" s="273">
        <f>SUM(E36:P36)</f>
        <v>198.43099999999998</v>
      </c>
    </row>
    <row r="37" spans="2:17">
      <c r="B37" s="113">
        <f>+B36+1</f>
        <v>20</v>
      </c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273">
        <f>ROUND(Q36/12,3)</f>
        <v>16.536000000000001</v>
      </c>
    </row>
    <row r="38" spans="2:17">
      <c r="B38" s="113"/>
    </row>
    <row r="39" spans="2:17">
      <c r="B39" s="113">
        <f>+B37+1</f>
        <v>21</v>
      </c>
      <c r="C39" s="102" t="s">
        <v>821</v>
      </c>
      <c r="F39" s="273">
        <f>+Q37</f>
        <v>16.536000000000001</v>
      </c>
      <c r="G39" s="418" t="s">
        <v>822</v>
      </c>
      <c r="H39" s="273">
        <f>+$Q$22</f>
        <v>1149.77</v>
      </c>
      <c r="I39" s="418" t="s">
        <v>823</v>
      </c>
      <c r="J39" s="117">
        <f>ROUND(F39/H39,3)</f>
        <v>1.4E-2</v>
      </c>
      <c r="L39" s="273"/>
      <c r="M39" s="418"/>
      <c r="N39" s="273"/>
      <c r="O39" s="418"/>
    </row>
    <row r="40" spans="2:17">
      <c r="B40" s="113"/>
    </row>
    <row r="41" spans="2:17">
      <c r="B41" s="113">
        <f>+B39+1</f>
        <v>22</v>
      </c>
      <c r="C41" s="191" t="s">
        <v>824</v>
      </c>
      <c r="E41" s="416">
        <f>+E21-E36</f>
        <v>960.09900000000005</v>
      </c>
      <c r="F41" s="416">
        <f t="shared" ref="F41:P41" si="7">+F21-F36</f>
        <v>1174.654</v>
      </c>
      <c r="G41" s="416">
        <f t="shared" si="7"/>
        <v>1241.8339999999998</v>
      </c>
      <c r="H41" s="416">
        <f t="shared" si="7"/>
        <v>1613.069</v>
      </c>
      <c r="I41" s="416">
        <f t="shared" si="7"/>
        <v>1359.0710000000001</v>
      </c>
      <c r="J41" s="416">
        <f t="shared" si="7"/>
        <v>1342.386</v>
      </c>
      <c r="K41" s="416">
        <f t="shared" si="7"/>
        <v>1005.0410000000001</v>
      </c>
      <c r="L41" s="416">
        <f t="shared" si="7"/>
        <v>919.87900000000002</v>
      </c>
      <c r="M41" s="416">
        <f t="shared" si="7"/>
        <v>1005.073</v>
      </c>
      <c r="N41" s="416">
        <f t="shared" si="7"/>
        <v>1032.175</v>
      </c>
      <c r="O41" s="416">
        <f t="shared" si="7"/>
        <v>998.1049999999999</v>
      </c>
      <c r="P41" s="416">
        <f t="shared" si="7"/>
        <v>947.42599999999993</v>
      </c>
      <c r="Q41" s="273">
        <f>SUM(E41:P41)</f>
        <v>13598.811999999998</v>
      </c>
    </row>
    <row r="42" spans="2:17">
      <c r="B42" s="113">
        <f>+B41+1</f>
        <v>23</v>
      </c>
      <c r="P42" s="112"/>
      <c r="Q42" s="273">
        <f>ROUND(Q41/12,3)</f>
        <v>1133.2339999999999</v>
      </c>
    </row>
    <row r="43" spans="2:17">
      <c r="B43" s="113"/>
      <c r="P43" s="112"/>
    </row>
    <row r="44" spans="2:17" ht="12.75" customHeight="1">
      <c r="B44" s="113">
        <f>+B42+1</f>
        <v>24</v>
      </c>
      <c r="C44" s="102" t="s">
        <v>825</v>
      </c>
      <c r="F44" s="416">
        <f>+Q42</f>
        <v>1133.2339999999999</v>
      </c>
      <c r="G44" s="419" t="s">
        <v>822</v>
      </c>
      <c r="H44" s="416">
        <f>+$Q$22</f>
        <v>1149.77</v>
      </c>
      <c r="I44" s="418" t="s">
        <v>823</v>
      </c>
      <c r="J44" s="117">
        <f>ROUND(F44/H44,3)</f>
        <v>0.98599999999999999</v>
      </c>
      <c r="Q44" s="163"/>
    </row>
    <row r="45" spans="2:17" ht="17.25" customHeight="1">
      <c r="B45" s="113"/>
      <c r="F45" s="416"/>
      <c r="G45" s="416"/>
      <c r="H45" s="416"/>
      <c r="Q45" s="163"/>
    </row>
    <row r="46" spans="2:17" ht="25.5" customHeight="1">
      <c r="B46" s="113" t="s">
        <v>617</v>
      </c>
      <c r="C46" s="191" t="s">
        <v>826</v>
      </c>
      <c r="Q46" s="163"/>
    </row>
    <row r="47" spans="2:17" ht="26.25" customHeight="1">
      <c r="Q47" s="163"/>
    </row>
    <row r="48" spans="2:17">
      <c r="Q48" s="163"/>
    </row>
    <row r="49" spans="17:17">
      <c r="Q49" s="163"/>
    </row>
    <row r="50" spans="17:17">
      <c r="Q50" s="163"/>
    </row>
    <row r="51" spans="17:17">
      <c r="Q51" s="163"/>
    </row>
    <row r="52" spans="17:17">
      <c r="Q52" s="163"/>
    </row>
  </sheetData>
  <printOptions horizontalCentered="1"/>
  <pageMargins left="0" right="0" top="1" bottom="0.5" header="0.5" footer="0"/>
  <pageSetup scale="70" orientation="landscape" r:id="rId1"/>
  <headerFooter alignWithMargins="0">
    <oddHeader>&amp;CKENTUCKY POWER COMPANY
JURISDICTIONAL COST OF SERVICE
12 MONTHS ENDED SEPTEMBER 30, 2014&amp;RSECTION V
SCHEDULE 9
PAGE &amp;P OF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T47"/>
  <sheetViews>
    <sheetView zoomScale="80" zoomScaleNormal="80" workbookViewId="0">
      <pane ySplit="7" topLeftCell="A8" activePane="bottomLeft" state="frozen"/>
      <selection activeCell="G20" sqref="G20"/>
      <selection pane="bottomLeft" sqref="A1:XFD1048576"/>
    </sheetView>
  </sheetViews>
  <sheetFormatPr defaultRowHeight="12.75"/>
  <cols>
    <col min="1" max="1" width="2.28515625" style="203" customWidth="1"/>
    <col min="2" max="2" width="6.140625" style="247" bestFit="1" customWidth="1"/>
    <col min="3" max="3" width="5.7109375" style="247" customWidth="1"/>
    <col min="4" max="4" width="29.42578125" style="203" bestFit="1" customWidth="1"/>
    <col min="5" max="5" width="2.28515625" style="203" customWidth="1"/>
    <col min="6" max="6" width="14.140625" style="203" customWidth="1"/>
    <col min="7" max="8" width="12.7109375" style="203" customWidth="1"/>
    <col min="9" max="9" width="2.28515625" style="203" customWidth="1"/>
    <col min="10" max="14" width="12.7109375" style="203" customWidth="1"/>
    <col min="15" max="17" width="8.7109375" style="203" customWidth="1"/>
    <col min="18" max="16384" width="9.140625" style="203"/>
  </cols>
  <sheetData>
    <row r="1" spans="2:17">
      <c r="I1" s="247"/>
      <c r="N1" s="248"/>
    </row>
    <row r="2" spans="2:17">
      <c r="N2" s="248"/>
    </row>
    <row r="3" spans="2:17">
      <c r="I3" s="249"/>
    </row>
    <row r="4" spans="2:17">
      <c r="I4" s="384" t="s">
        <v>1013</v>
      </c>
    </row>
    <row r="5" spans="2:17">
      <c r="I5" s="420"/>
    </row>
    <row r="6" spans="2:17" ht="25.5">
      <c r="B6" s="251" t="s">
        <v>488</v>
      </c>
      <c r="C6" s="251"/>
      <c r="D6" s="421" t="s">
        <v>1047</v>
      </c>
      <c r="F6" s="253" t="s">
        <v>827</v>
      </c>
      <c r="G6" s="251" t="s">
        <v>828</v>
      </c>
      <c r="H6" s="251" t="s">
        <v>829</v>
      </c>
      <c r="I6" s="251"/>
      <c r="J6" s="251" t="s">
        <v>830</v>
      </c>
      <c r="K6" s="251"/>
      <c r="L6" s="251"/>
      <c r="M6" s="251"/>
      <c r="N6" s="251"/>
      <c r="O6" s="251"/>
      <c r="P6" s="251"/>
    </row>
    <row r="7" spans="2:17">
      <c r="B7" s="251" t="s">
        <v>12</v>
      </c>
      <c r="C7" s="251"/>
      <c r="D7" s="255">
        <f>+B7-1</f>
        <v>-2</v>
      </c>
      <c r="F7" s="255">
        <f>+D7-1</f>
        <v>-3</v>
      </c>
      <c r="G7" s="255">
        <f>+F7-1</f>
        <v>-4</v>
      </c>
      <c r="H7" s="255">
        <f t="shared" ref="H7:N7" si="0">+G7-1</f>
        <v>-5</v>
      </c>
      <c r="I7" s="255"/>
      <c r="J7" s="255">
        <f>+H7-1</f>
        <v>-6</v>
      </c>
      <c r="K7" s="255">
        <f t="shared" si="0"/>
        <v>-7</v>
      </c>
      <c r="L7" s="255">
        <f t="shared" si="0"/>
        <v>-8</v>
      </c>
      <c r="M7" s="255">
        <f t="shared" si="0"/>
        <v>-9</v>
      </c>
      <c r="N7" s="255">
        <f t="shared" si="0"/>
        <v>-10</v>
      </c>
      <c r="O7" s="255"/>
      <c r="P7" s="251"/>
    </row>
    <row r="8" spans="2:17">
      <c r="B8" s="251"/>
      <c r="C8" s="251"/>
      <c r="D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1"/>
    </row>
    <row r="9" spans="2:17">
      <c r="B9" s="255"/>
      <c r="C9" s="422" t="s">
        <v>831</v>
      </c>
    </row>
    <row r="10" spans="2:17" ht="12.75" customHeight="1">
      <c r="B10" s="255">
        <v>1</v>
      </c>
      <c r="C10" s="255"/>
      <c r="D10" s="203" t="s">
        <v>851</v>
      </c>
      <c r="F10" s="423">
        <v>5400440</v>
      </c>
      <c r="G10" s="424">
        <f>'Olive Hill - Vanceburg'!R22</f>
        <v>3.4125999999999997E-2</v>
      </c>
      <c r="H10" s="423">
        <f>ROUND(F10*G10,0)</f>
        <v>184295</v>
      </c>
      <c r="I10" s="423"/>
      <c r="J10" s="423">
        <f>+F10+H10</f>
        <v>5584735</v>
      </c>
      <c r="K10" s="251"/>
      <c r="L10" s="251"/>
      <c r="M10" s="251"/>
      <c r="N10" s="251"/>
      <c r="O10" s="251"/>
      <c r="P10" s="251"/>
      <c r="Q10" s="420"/>
    </row>
    <row r="11" spans="2:17" ht="12.75" customHeight="1">
      <c r="B11" s="255"/>
      <c r="C11" s="255"/>
      <c r="F11" s="423"/>
      <c r="G11" s="424"/>
      <c r="H11" s="423"/>
      <c r="I11" s="423"/>
      <c r="J11" s="423"/>
      <c r="K11" s="251"/>
      <c r="L11" s="251"/>
      <c r="M11" s="251"/>
      <c r="N11" s="251"/>
      <c r="O11" s="251"/>
      <c r="P11" s="251"/>
      <c r="Q11" s="420"/>
    </row>
    <row r="12" spans="2:17" ht="30" customHeight="1">
      <c r="B12" s="255">
        <f>+B10+1</f>
        <v>2</v>
      </c>
      <c r="C12" s="255"/>
      <c r="D12" s="203" t="s">
        <v>832</v>
      </c>
      <c r="F12" s="11">
        <f>'Olive Hill - Vanceburg'!I24/1000</f>
        <v>69910.298999999999</v>
      </c>
      <c r="G12" s="424">
        <f>'Olive Hill - Vanceburg'!R22</f>
        <v>3.4125999999999997E-2</v>
      </c>
      <c r="H12" s="423">
        <f>ROUND(F12*G12,0)</f>
        <v>2386</v>
      </c>
      <c r="I12" s="423"/>
      <c r="J12" s="423">
        <f>+F12+H12</f>
        <v>72296.298999999999</v>
      </c>
      <c r="K12" s="251"/>
      <c r="L12" s="251"/>
      <c r="M12" s="251"/>
      <c r="N12" s="251"/>
      <c r="O12" s="251"/>
      <c r="P12" s="251"/>
      <c r="Q12" s="420"/>
    </row>
    <row r="13" spans="2:17" ht="12.75" customHeight="1">
      <c r="B13" s="255"/>
      <c r="C13" s="255"/>
      <c r="F13" s="423"/>
      <c r="G13" s="425"/>
      <c r="H13" s="423"/>
      <c r="I13" s="423"/>
      <c r="J13" s="423"/>
      <c r="K13" s="251"/>
      <c r="L13" s="251"/>
      <c r="M13" s="251"/>
      <c r="N13" s="251"/>
      <c r="O13" s="251"/>
      <c r="P13" s="251"/>
      <c r="Q13" s="420"/>
    </row>
    <row r="14" spans="2:17" ht="12.75" customHeight="1">
      <c r="B14" s="255"/>
      <c r="C14" s="422" t="s">
        <v>833</v>
      </c>
      <c r="F14" s="11"/>
      <c r="G14" s="258"/>
      <c r="H14" s="11"/>
      <c r="I14" s="11"/>
      <c r="J14" s="11"/>
      <c r="K14" s="415"/>
      <c r="L14" s="415"/>
      <c r="M14" s="415"/>
      <c r="N14" s="415"/>
      <c r="O14" s="415"/>
      <c r="P14" s="415"/>
    </row>
    <row r="15" spans="2:17" ht="30" customHeight="1">
      <c r="B15" s="255">
        <f>+B12+1</f>
        <v>3</v>
      </c>
      <c r="C15" s="255"/>
      <c r="D15" s="203" t="s">
        <v>834</v>
      </c>
      <c r="F15" s="11">
        <f>'Olive Hill - Vanceburg'!F24/1000</f>
        <v>25371.503000000001</v>
      </c>
      <c r="G15" s="424">
        <f>'Olive Hill - Vanceburg'!R24</f>
        <v>5.5199999999999999E-2</v>
      </c>
      <c r="H15" s="423">
        <f>ROUND(F15*G15,0)</f>
        <v>1401</v>
      </c>
      <c r="I15" s="423"/>
      <c r="J15" s="423">
        <f>+F15+H15</f>
        <v>26772.503000000001</v>
      </c>
      <c r="K15" s="415"/>
      <c r="L15" s="415"/>
      <c r="M15" s="415"/>
      <c r="N15" s="415"/>
      <c r="O15" s="415"/>
      <c r="P15" s="415"/>
    </row>
    <row r="16" spans="2:17" ht="12.75" customHeight="1">
      <c r="B16" s="255"/>
      <c r="C16" s="255"/>
      <c r="F16" s="415"/>
      <c r="G16" s="415"/>
      <c r="H16" s="43"/>
      <c r="I16" s="43"/>
      <c r="J16" s="43"/>
      <c r="K16" s="415"/>
      <c r="L16" s="415"/>
      <c r="M16" s="415"/>
      <c r="N16" s="415"/>
      <c r="O16" s="415"/>
      <c r="P16" s="415"/>
    </row>
    <row r="17" spans="2:16" ht="12.75" customHeight="1">
      <c r="B17" s="255"/>
      <c r="C17" s="25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</row>
    <row r="18" spans="2:16" ht="39" customHeight="1">
      <c r="B18" s="255"/>
      <c r="C18" s="255"/>
      <c r="F18" s="251" t="s">
        <v>835</v>
      </c>
      <c r="G18" s="253" t="s">
        <v>836</v>
      </c>
      <c r="H18" s="251" t="s">
        <v>837</v>
      </c>
      <c r="I18" s="251"/>
      <c r="J18" s="251" t="s">
        <v>838</v>
      </c>
      <c r="K18" s="251" t="s">
        <v>839</v>
      </c>
      <c r="L18" s="251" t="s">
        <v>840</v>
      </c>
      <c r="M18" s="251" t="s">
        <v>841</v>
      </c>
      <c r="N18" s="251" t="s">
        <v>842</v>
      </c>
      <c r="O18" s="415"/>
      <c r="P18" s="415"/>
    </row>
    <row r="19" spans="2:16" ht="12.75" customHeight="1">
      <c r="B19" s="255"/>
      <c r="C19" s="255"/>
      <c r="F19" s="255">
        <f>+F7</f>
        <v>-3</v>
      </c>
      <c r="G19" s="255">
        <f t="shared" ref="G19:N19" si="1">+G7</f>
        <v>-4</v>
      </c>
      <c r="H19" s="255">
        <f t="shared" si="1"/>
        <v>-5</v>
      </c>
      <c r="I19" s="255"/>
      <c r="J19" s="255">
        <f t="shared" si="1"/>
        <v>-6</v>
      </c>
      <c r="K19" s="255">
        <f t="shared" si="1"/>
        <v>-7</v>
      </c>
      <c r="L19" s="255">
        <f t="shared" si="1"/>
        <v>-8</v>
      </c>
      <c r="M19" s="255">
        <f t="shared" si="1"/>
        <v>-9</v>
      </c>
      <c r="N19" s="255">
        <f t="shared" si="1"/>
        <v>-10</v>
      </c>
      <c r="O19" s="415"/>
      <c r="P19" s="415"/>
    </row>
    <row r="20" spans="2:16" ht="12.75" customHeight="1">
      <c r="B20" s="255"/>
      <c r="C20" s="255"/>
      <c r="F20" s="426"/>
      <c r="G20" s="251"/>
      <c r="H20" s="251"/>
      <c r="I20" s="251"/>
      <c r="J20" s="251"/>
      <c r="K20" s="251"/>
      <c r="L20" s="251"/>
      <c r="M20" s="251"/>
      <c r="N20" s="251"/>
      <c r="O20" s="415"/>
      <c r="P20" s="415"/>
    </row>
    <row r="21" spans="2:16" ht="12.75" customHeight="1">
      <c r="B21" s="255"/>
      <c r="C21" s="427" t="s">
        <v>843</v>
      </c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</row>
    <row r="22" spans="2:16" ht="12.75" customHeight="1">
      <c r="B22" s="255">
        <f>+B15+1</f>
        <v>4</v>
      </c>
      <c r="C22" s="255"/>
      <c r="D22" s="203" t="s">
        <v>844</v>
      </c>
      <c r="F22" s="43">
        <v>7970522</v>
      </c>
      <c r="G22" s="43">
        <v>0</v>
      </c>
      <c r="H22" s="43">
        <f>+F22-G22</f>
        <v>7970522</v>
      </c>
      <c r="I22" s="43"/>
      <c r="J22" s="415"/>
      <c r="K22" s="415"/>
      <c r="L22" s="415"/>
      <c r="M22" s="415"/>
      <c r="N22" s="415"/>
      <c r="O22" s="415"/>
      <c r="P22" s="415"/>
    </row>
    <row r="23" spans="2:16" ht="12.75" customHeight="1">
      <c r="B23" s="255">
        <f>+B22+1</f>
        <v>5</v>
      </c>
      <c r="C23" s="255"/>
      <c r="D23" s="203" t="s">
        <v>845</v>
      </c>
      <c r="F23" s="43">
        <v>4725795</v>
      </c>
      <c r="G23" s="43">
        <v>0</v>
      </c>
      <c r="H23" s="43">
        <f>+F23-G23</f>
        <v>4725795</v>
      </c>
      <c r="I23" s="43"/>
      <c r="J23" s="415"/>
      <c r="K23" s="415"/>
      <c r="L23" s="415"/>
      <c r="M23" s="415"/>
      <c r="N23" s="415"/>
      <c r="O23" s="415"/>
      <c r="P23" s="415"/>
    </row>
    <row r="24" spans="2:16" ht="12.75" customHeight="1">
      <c r="B24" s="255">
        <f>+B23+1</f>
        <v>6</v>
      </c>
      <c r="C24" s="255"/>
      <c r="D24" s="203" t="s">
        <v>846</v>
      </c>
      <c r="F24" s="43">
        <v>0</v>
      </c>
      <c r="G24" s="43">
        <v>0</v>
      </c>
      <c r="H24" s="43">
        <f>+F24-G24</f>
        <v>0</v>
      </c>
      <c r="I24" s="43"/>
      <c r="J24" s="415"/>
      <c r="K24" s="415"/>
      <c r="L24" s="415"/>
      <c r="M24" s="415"/>
      <c r="N24" s="415"/>
      <c r="O24" s="415"/>
      <c r="P24" s="415"/>
    </row>
    <row r="25" spans="2:16" ht="12.75" customHeight="1">
      <c r="B25" s="255"/>
      <c r="C25" s="255"/>
      <c r="F25" s="258" t="s">
        <v>809</v>
      </c>
      <c r="G25" s="258" t="s">
        <v>809</v>
      </c>
      <c r="H25" s="258" t="s">
        <v>809</v>
      </c>
      <c r="I25" s="258"/>
      <c r="J25" s="258"/>
      <c r="K25" s="258"/>
      <c r="L25" s="258"/>
      <c r="M25" s="258"/>
      <c r="N25" s="258"/>
      <c r="O25" s="258"/>
      <c r="P25" s="415"/>
    </row>
    <row r="26" spans="2:16" ht="12.75" customHeight="1">
      <c r="B26" s="255">
        <f>+B24+1</f>
        <v>7</v>
      </c>
      <c r="C26" s="255"/>
      <c r="D26" s="247" t="s">
        <v>847</v>
      </c>
      <c r="F26" s="43">
        <f>SUM(F22:F25)</f>
        <v>12696317</v>
      </c>
      <c r="G26" s="43">
        <f>SUM(G22:G25)</f>
        <v>0</v>
      </c>
      <c r="H26" s="43">
        <f>SUM(H22:H25)</f>
        <v>12696317</v>
      </c>
      <c r="I26" s="43"/>
      <c r="J26" s="43"/>
      <c r="K26" s="43"/>
      <c r="L26" s="43"/>
      <c r="M26" s="43"/>
      <c r="N26" s="43"/>
      <c r="O26" s="43"/>
      <c r="P26" s="415"/>
    </row>
    <row r="27" spans="2:16" ht="12.75" customHeight="1">
      <c r="B27" s="255"/>
      <c r="C27" s="255"/>
      <c r="F27" s="258" t="s">
        <v>809</v>
      </c>
      <c r="G27" s="258" t="s">
        <v>809</v>
      </c>
      <c r="H27" s="258" t="s">
        <v>809</v>
      </c>
      <c r="I27" s="258"/>
      <c r="J27" s="258"/>
      <c r="K27" s="258"/>
      <c r="L27" s="258"/>
      <c r="M27" s="258"/>
      <c r="N27" s="258"/>
      <c r="O27" s="43"/>
      <c r="P27" s="415"/>
    </row>
    <row r="28" spans="2:16" ht="12.75" customHeight="1">
      <c r="B28" s="255"/>
      <c r="C28" s="255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15"/>
    </row>
    <row r="29" spans="2:16" ht="12.75" customHeight="1">
      <c r="B29" s="255"/>
      <c r="C29" s="427" t="s">
        <v>848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2:16" ht="12.75" customHeight="1">
      <c r="B30" s="255">
        <f>+B26+1</f>
        <v>8</v>
      </c>
      <c r="C30" s="255"/>
      <c r="D30" s="203" t="s">
        <v>849</v>
      </c>
      <c r="F30" s="43">
        <v>6553903</v>
      </c>
      <c r="G30" s="43">
        <v>0</v>
      </c>
      <c r="H30" s="43">
        <f>+F30-G30</f>
        <v>6553903</v>
      </c>
      <c r="I30" s="43"/>
      <c r="J30" s="43">
        <v>0</v>
      </c>
      <c r="K30" s="43">
        <v>0</v>
      </c>
      <c r="L30" s="43">
        <v>0</v>
      </c>
      <c r="M30" s="43">
        <f>+J30+K30+L30</f>
        <v>0</v>
      </c>
      <c r="N30" s="43">
        <f>+H30-M30</f>
        <v>6553903</v>
      </c>
      <c r="O30" s="415"/>
      <c r="P30" s="415"/>
    </row>
    <row r="31" spans="2:16" ht="12.75" customHeight="1">
      <c r="B31" s="255">
        <f>+B30+1</f>
        <v>9</v>
      </c>
      <c r="C31" s="255"/>
      <c r="D31" s="203" t="s">
        <v>850</v>
      </c>
      <c r="F31" s="43">
        <v>0</v>
      </c>
      <c r="G31" s="43">
        <v>0</v>
      </c>
      <c r="H31" s="43">
        <f t="shared" ref="H31:H38" si="2">+F31-G31</f>
        <v>0</v>
      </c>
      <c r="I31" s="43"/>
      <c r="J31" s="43">
        <v>0</v>
      </c>
      <c r="K31" s="43">
        <v>0</v>
      </c>
      <c r="L31" s="43">
        <v>0</v>
      </c>
      <c r="M31" s="43">
        <f t="shared" ref="M31:M38" si="3">+J31+K31+L31</f>
        <v>0</v>
      </c>
      <c r="N31" s="43">
        <f t="shared" ref="N31:N38" si="4">+H31-M31</f>
        <v>0</v>
      </c>
      <c r="O31" s="43"/>
      <c r="P31" s="415"/>
    </row>
    <row r="32" spans="2:16" ht="12.75" customHeight="1">
      <c r="B32" s="255"/>
      <c r="C32" s="255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15"/>
    </row>
    <row r="33" spans="2:20" ht="12.75" customHeight="1">
      <c r="B33" s="255">
        <f>+B31+1</f>
        <v>10</v>
      </c>
      <c r="C33" s="255"/>
      <c r="D33" s="203" t="s">
        <v>851</v>
      </c>
      <c r="F33" s="43">
        <f>+F10</f>
        <v>5400440</v>
      </c>
      <c r="G33" s="43">
        <f>+F10</f>
        <v>5400440</v>
      </c>
      <c r="H33" s="43">
        <f t="shared" si="2"/>
        <v>0</v>
      </c>
      <c r="I33" s="43"/>
      <c r="J33" s="43">
        <v>0</v>
      </c>
      <c r="K33" s="43">
        <v>0</v>
      </c>
      <c r="L33" s="43">
        <v>0</v>
      </c>
      <c r="M33" s="43">
        <f t="shared" si="3"/>
        <v>0</v>
      </c>
      <c r="N33" s="43">
        <f t="shared" si="4"/>
        <v>0</v>
      </c>
      <c r="O33" s="415"/>
      <c r="P33" s="415"/>
    </row>
    <row r="34" spans="2:20" ht="30" customHeight="1">
      <c r="B34" s="255">
        <f>+B33+1</f>
        <v>11</v>
      </c>
      <c r="C34" s="255"/>
      <c r="D34" s="428" t="s">
        <v>852</v>
      </c>
      <c r="F34" s="43">
        <f>+F15</f>
        <v>25371.503000000001</v>
      </c>
      <c r="G34" s="43">
        <v>0</v>
      </c>
      <c r="H34" s="43">
        <f t="shared" si="2"/>
        <v>25371.503000000001</v>
      </c>
      <c r="I34" s="43"/>
      <c r="J34" s="43">
        <f>+H34</f>
        <v>25371.503000000001</v>
      </c>
      <c r="K34" s="43">
        <v>0</v>
      </c>
      <c r="L34" s="43">
        <v>0</v>
      </c>
      <c r="M34" s="43">
        <f t="shared" si="3"/>
        <v>25371.503000000001</v>
      </c>
      <c r="N34" s="43">
        <f t="shared" si="4"/>
        <v>0</v>
      </c>
      <c r="O34" s="415"/>
      <c r="P34" s="415"/>
    </row>
    <row r="35" spans="2:20" ht="30" customHeight="1">
      <c r="B35" s="255">
        <f>+B34+1</f>
        <v>12</v>
      </c>
      <c r="C35" s="255"/>
      <c r="D35" s="428" t="s">
        <v>853</v>
      </c>
      <c r="F35" s="43">
        <f>+F12</f>
        <v>69910.298999999999</v>
      </c>
      <c r="G35" s="43">
        <v>0</v>
      </c>
      <c r="H35" s="43">
        <f t="shared" si="2"/>
        <v>69910.298999999999</v>
      </c>
      <c r="I35" s="43"/>
      <c r="J35" s="43">
        <v>0</v>
      </c>
      <c r="K35" s="43">
        <f>+H35</f>
        <v>69910.298999999999</v>
      </c>
      <c r="L35" s="43">
        <v>0</v>
      </c>
      <c r="M35" s="43">
        <f t="shared" si="3"/>
        <v>69910.298999999999</v>
      </c>
      <c r="N35" s="43">
        <f t="shared" si="4"/>
        <v>0</v>
      </c>
      <c r="O35" s="415"/>
      <c r="P35" s="415"/>
    </row>
    <row r="36" spans="2:20" ht="25.5">
      <c r="B36" s="255">
        <f>+B35+1</f>
        <v>13</v>
      </c>
      <c r="C36" s="255"/>
      <c r="D36" s="251" t="s">
        <v>854</v>
      </c>
      <c r="F36" s="11">
        <f>SUM(F33:F35)</f>
        <v>5495721.8019999992</v>
      </c>
      <c r="G36" s="11">
        <f>SUM(G33:G35)</f>
        <v>5400440</v>
      </c>
      <c r="H36" s="11">
        <f t="shared" ref="H36:N36" si="5">SUM(H33:H35)</f>
        <v>95281.801999999996</v>
      </c>
      <c r="I36" s="11"/>
      <c r="J36" s="11">
        <f t="shared" si="5"/>
        <v>25371.503000000001</v>
      </c>
      <c r="K36" s="11">
        <f t="shared" si="5"/>
        <v>69910.298999999999</v>
      </c>
      <c r="L36" s="11">
        <f t="shared" si="5"/>
        <v>0</v>
      </c>
      <c r="M36" s="11">
        <f>SUM(M33:M35)</f>
        <v>95281.801999999996</v>
      </c>
      <c r="N36" s="11">
        <f t="shared" si="5"/>
        <v>0</v>
      </c>
      <c r="O36" s="258"/>
      <c r="P36" s="415"/>
    </row>
    <row r="37" spans="2:20">
      <c r="B37" s="255"/>
      <c r="C37" s="255"/>
      <c r="D37" s="247"/>
      <c r="F37" s="11"/>
      <c r="G37" s="11"/>
      <c r="H37" s="11"/>
      <c r="I37" s="11"/>
      <c r="J37" s="11"/>
      <c r="K37" s="11"/>
      <c r="L37" s="11"/>
      <c r="M37" s="11"/>
      <c r="N37" s="11"/>
      <c r="O37" s="258"/>
      <c r="P37" s="415"/>
    </row>
    <row r="38" spans="2:20">
      <c r="B38" s="255">
        <f>+B36+1</f>
        <v>14</v>
      </c>
      <c r="C38" s="255"/>
      <c r="D38" s="203" t="s">
        <v>855</v>
      </c>
      <c r="F38" s="43">
        <v>475328</v>
      </c>
      <c r="G38" s="43">
        <f>+H10</f>
        <v>184295</v>
      </c>
      <c r="H38" s="43">
        <f t="shared" si="2"/>
        <v>291033</v>
      </c>
      <c r="I38" s="43"/>
      <c r="J38" s="43">
        <f>+H15</f>
        <v>1401</v>
      </c>
      <c r="K38" s="43">
        <f>+H12</f>
        <v>2386</v>
      </c>
      <c r="L38" s="43">
        <v>0</v>
      </c>
      <c r="M38" s="43">
        <f t="shared" si="3"/>
        <v>3787</v>
      </c>
      <c r="N38" s="43">
        <f t="shared" si="4"/>
        <v>287246</v>
      </c>
    </row>
    <row r="39" spans="2:20">
      <c r="B39" s="255"/>
      <c r="C39" s="255"/>
      <c r="F39" s="258" t="s">
        <v>809</v>
      </c>
      <c r="G39" s="258" t="s">
        <v>809</v>
      </c>
      <c r="H39" s="258" t="s">
        <v>809</v>
      </c>
      <c r="I39" s="258"/>
      <c r="J39" s="258" t="s">
        <v>809</v>
      </c>
      <c r="K39" s="258" t="s">
        <v>809</v>
      </c>
      <c r="L39" s="258" t="s">
        <v>809</v>
      </c>
      <c r="M39" s="258" t="s">
        <v>809</v>
      </c>
      <c r="N39" s="258" t="s">
        <v>809</v>
      </c>
      <c r="P39" s="429"/>
    </row>
    <row r="40" spans="2:20" ht="25.5" customHeight="1">
      <c r="B40" s="255">
        <f>+B38+1</f>
        <v>15</v>
      </c>
      <c r="C40" s="255"/>
      <c r="D40" s="251" t="s">
        <v>856</v>
      </c>
      <c r="F40" s="43">
        <f>+F30+F31+F36+F38</f>
        <v>12524952.801999999</v>
      </c>
      <c r="G40" s="43">
        <f>+G30+G31+G36+G38</f>
        <v>5584735</v>
      </c>
      <c r="H40" s="43">
        <f>+H30+H31+H36+H38</f>
        <v>6940217.8020000001</v>
      </c>
      <c r="I40" s="43"/>
      <c r="J40" s="43">
        <f>+J30+J31+J36+J38</f>
        <v>26772.503000000001</v>
      </c>
      <c r="K40" s="43">
        <f>+K36+K38</f>
        <v>72296.298999999999</v>
      </c>
      <c r="L40" s="43">
        <f>+L30+L31+L35+L36</f>
        <v>0</v>
      </c>
      <c r="M40" s="43">
        <f>+M30+M31+M36+M38</f>
        <v>99068.801999999996</v>
      </c>
      <c r="N40" s="43">
        <f>+N30+N31+N36+N38</f>
        <v>6841149</v>
      </c>
      <c r="O40" s="43"/>
      <c r="P40" s="429"/>
      <c r="Q40" s="43"/>
      <c r="R40" s="43"/>
      <c r="S40" s="43"/>
      <c r="T40" s="43"/>
    </row>
    <row r="41" spans="2:20">
      <c r="B41" s="255"/>
      <c r="C41" s="255"/>
      <c r="F41" s="258" t="s">
        <v>809</v>
      </c>
      <c r="G41" s="258" t="s">
        <v>809</v>
      </c>
      <c r="H41" s="258" t="s">
        <v>809</v>
      </c>
      <c r="I41" s="258"/>
      <c r="J41" s="258" t="s">
        <v>809</v>
      </c>
      <c r="K41" s="258" t="s">
        <v>809</v>
      </c>
      <c r="L41" s="258" t="s">
        <v>809</v>
      </c>
      <c r="M41" s="258" t="s">
        <v>809</v>
      </c>
      <c r="N41" s="258" t="s">
        <v>809</v>
      </c>
      <c r="O41" s="415"/>
      <c r="P41" s="429"/>
    </row>
    <row r="42" spans="2:20">
      <c r="B42" s="255">
        <f>+B40+1</f>
        <v>16</v>
      </c>
      <c r="C42" s="255"/>
      <c r="D42" s="256" t="s">
        <v>857</v>
      </c>
      <c r="F42" s="43"/>
      <c r="G42" s="43"/>
      <c r="H42" s="415">
        <v>1</v>
      </c>
      <c r="I42" s="415"/>
      <c r="J42" s="415"/>
      <c r="K42" s="415"/>
      <c r="L42" s="415"/>
      <c r="M42" s="430">
        <f>ROUND(M40/H40,3)</f>
        <v>1.4E-2</v>
      </c>
      <c r="N42" s="430">
        <f>+H42-M42</f>
        <v>0.98599999999999999</v>
      </c>
      <c r="P42" s="429"/>
    </row>
    <row r="43" spans="2:20">
      <c r="B43" s="255"/>
      <c r="C43" s="255"/>
      <c r="F43" s="258"/>
      <c r="G43" s="258"/>
      <c r="H43" s="258" t="s">
        <v>645</v>
      </c>
      <c r="I43" s="258"/>
      <c r="J43" s="258" t="s">
        <v>645</v>
      </c>
      <c r="K43" s="258" t="s">
        <v>645</v>
      </c>
      <c r="L43" s="258" t="s">
        <v>645</v>
      </c>
      <c r="M43" s="258" t="s">
        <v>645</v>
      </c>
      <c r="N43" s="258" t="s">
        <v>645</v>
      </c>
      <c r="P43" s="429"/>
    </row>
    <row r="44" spans="2:20">
      <c r="B44" s="255"/>
      <c r="C44" s="255"/>
      <c r="D44" s="256"/>
      <c r="F44" s="43"/>
      <c r="G44" s="43"/>
      <c r="H44" s="255"/>
      <c r="I44" s="255"/>
      <c r="J44" s="43"/>
      <c r="K44" s="255"/>
      <c r="L44" s="43"/>
      <c r="M44" s="43"/>
      <c r="N44" s="43"/>
      <c r="P44" s="429"/>
    </row>
    <row r="45" spans="2:20" ht="59.25" customHeight="1">
      <c r="B45" s="255"/>
      <c r="C45" s="255"/>
      <c r="F45" s="43"/>
      <c r="G45" s="43"/>
      <c r="H45" s="43"/>
      <c r="I45" s="43"/>
      <c r="J45" s="43"/>
      <c r="K45" s="43"/>
      <c r="L45" s="43"/>
      <c r="M45" s="43"/>
      <c r="N45" s="43"/>
    </row>
    <row r="46" spans="2:20">
      <c r="B46" s="255"/>
      <c r="C46" s="255"/>
      <c r="F46" s="43"/>
      <c r="G46" s="43"/>
      <c r="H46" s="43"/>
      <c r="I46" s="43"/>
      <c r="J46" s="43"/>
      <c r="K46" s="43"/>
      <c r="L46" s="43"/>
      <c r="M46" s="43"/>
      <c r="N46" s="43"/>
    </row>
    <row r="47" spans="2:20">
      <c r="B47" s="255"/>
      <c r="C47" s="255"/>
      <c r="F47" s="43"/>
    </row>
  </sheetData>
  <printOptions horizontalCentered="1"/>
  <pageMargins left="0" right="0" top="0.75" bottom="0" header="0.5" footer="0"/>
  <pageSetup scale="74" orientation="landscape" r:id="rId1"/>
  <headerFooter alignWithMargins="0">
    <oddHeader>&amp;CKENTUCKY POWER COMPANY
JURISDICTIONAL COST OF SERVICE
12 MONTHS ENDED SEPTEMBER 30, 2014&amp;RSECTION V
SCHEDULE 10
PAGE &amp;P OF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G18" sqref="G18"/>
    </sheetView>
  </sheetViews>
  <sheetFormatPr defaultRowHeight="12.75"/>
  <cols>
    <col min="1" max="1" width="5.140625" bestFit="1" customWidth="1"/>
    <col min="2" max="2" width="2.140625" customWidth="1"/>
    <col min="3" max="3" width="25.140625" customWidth="1"/>
    <col min="4" max="4" width="2.140625" customWidth="1"/>
    <col min="5" max="5" width="10.42578125" bestFit="1" customWidth="1"/>
    <col min="6" max="6" width="2.140625" customWidth="1"/>
    <col min="7" max="7" width="10" customWidth="1"/>
    <col min="8" max="8" width="2.140625" customWidth="1"/>
    <col min="9" max="9" width="14.140625" bestFit="1" customWidth="1"/>
    <col min="10" max="10" width="2.140625" customWidth="1"/>
    <col min="11" max="11" width="14" bestFit="1" customWidth="1"/>
    <col min="13" max="13" width="15" bestFit="1" customWidth="1"/>
    <col min="16" max="16" width="12.5703125" customWidth="1"/>
  </cols>
  <sheetData>
    <row r="1" spans="1:13">
      <c r="A1" s="39"/>
      <c r="B1" s="4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>
      <c r="A2" s="454"/>
      <c r="B2" s="455"/>
      <c r="C2" s="455"/>
      <c r="D2" s="455"/>
      <c r="E2" s="455"/>
      <c r="F2" s="455"/>
      <c r="G2" s="455"/>
      <c r="H2" s="455"/>
      <c r="I2" s="455"/>
      <c r="J2" s="31"/>
      <c r="K2" s="31"/>
      <c r="L2" s="31"/>
      <c r="M2" s="31"/>
    </row>
    <row r="3" spans="1:13">
      <c r="A3" s="456" t="s">
        <v>1014</v>
      </c>
      <c r="B3" s="456"/>
      <c r="C3" s="456"/>
      <c r="D3" s="456"/>
      <c r="E3" s="456"/>
      <c r="F3" s="456"/>
      <c r="G3" s="456"/>
      <c r="H3" s="456"/>
      <c r="I3" s="456"/>
      <c r="J3" s="31"/>
      <c r="K3" s="31"/>
      <c r="L3" s="31"/>
      <c r="M3" s="31"/>
    </row>
    <row r="5" spans="1:13">
      <c r="A5" s="454"/>
      <c r="B5" s="457"/>
      <c r="C5" s="457"/>
      <c r="D5" s="457"/>
      <c r="E5" s="457"/>
      <c r="F5" s="457"/>
      <c r="G5" s="457"/>
      <c r="H5" s="457"/>
      <c r="I5" s="457"/>
      <c r="J5" s="31"/>
      <c r="K5" s="31"/>
      <c r="L5" s="31"/>
      <c r="M5" s="31"/>
    </row>
    <row r="7" spans="1:13" ht="25.5">
      <c r="A7" s="37" t="s">
        <v>340</v>
      </c>
      <c r="B7" s="31"/>
      <c r="C7" s="41" t="s">
        <v>341</v>
      </c>
      <c r="D7" s="31"/>
      <c r="E7" s="41" t="s">
        <v>342</v>
      </c>
      <c r="F7" s="31"/>
      <c r="G7" s="41" t="s">
        <v>343</v>
      </c>
      <c r="H7" s="31"/>
      <c r="I7" s="41" t="s">
        <v>344</v>
      </c>
      <c r="J7" s="31"/>
      <c r="K7" s="31"/>
      <c r="L7" s="31"/>
      <c r="M7" s="31"/>
    </row>
    <row r="8" spans="1:13">
      <c r="A8" s="38">
        <v>-1</v>
      </c>
      <c r="B8" s="38"/>
      <c r="C8" s="42">
        <v>-2</v>
      </c>
      <c r="D8" s="38"/>
      <c r="E8" s="42">
        <v>-3</v>
      </c>
      <c r="F8" s="38"/>
      <c r="G8" s="42">
        <v>-4</v>
      </c>
      <c r="H8" s="38"/>
      <c r="I8" s="42">
        <v>-5</v>
      </c>
      <c r="J8" s="38"/>
      <c r="K8" s="38"/>
      <c r="L8" s="38"/>
      <c r="M8" s="38"/>
    </row>
    <row r="9" spans="1:13">
      <c r="A9" s="31"/>
      <c r="B9" s="31"/>
      <c r="C9" s="33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>
      <c r="A10" s="34">
        <v>1</v>
      </c>
      <c r="B10" s="31"/>
      <c r="C10" s="33" t="s">
        <v>345</v>
      </c>
      <c r="D10" s="31"/>
      <c r="E10" s="31" t="s">
        <v>346</v>
      </c>
      <c r="F10" s="31"/>
      <c r="G10" s="169">
        <f>'Sch 9'!J44</f>
        <v>0.98599999999999999</v>
      </c>
      <c r="H10" s="31"/>
      <c r="I10" s="36" t="s">
        <v>1021</v>
      </c>
      <c r="J10" s="31"/>
      <c r="K10" s="31"/>
      <c r="L10" s="31"/>
      <c r="M10" s="31"/>
    </row>
    <row r="11" spans="1:13">
      <c r="A11" s="34"/>
      <c r="B11" s="31"/>
      <c r="C11" s="33"/>
      <c r="D11" s="31"/>
      <c r="E11" s="31"/>
      <c r="F11" s="31"/>
      <c r="G11" s="169"/>
      <c r="H11" s="31"/>
      <c r="I11" s="36"/>
      <c r="J11" s="31"/>
      <c r="K11" s="31"/>
      <c r="L11" s="31"/>
      <c r="M11" s="31"/>
    </row>
    <row r="12" spans="1:13">
      <c r="A12" s="34">
        <v>2</v>
      </c>
      <c r="B12" s="31"/>
      <c r="C12" s="33" t="s">
        <v>347</v>
      </c>
      <c r="D12" s="31"/>
      <c r="E12" s="31" t="s">
        <v>348</v>
      </c>
      <c r="F12" s="31"/>
      <c r="G12" s="169">
        <f>'Sch 9'!J44</f>
        <v>0.98599999999999999</v>
      </c>
      <c r="H12" s="31"/>
      <c r="I12" s="36" t="s">
        <v>1021</v>
      </c>
      <c r="J12" s="31"/>
      <c r="K12" s="31"/>
      <c r="L12" s="31"/>
      <c r="M12" s="31"/>
    </row>
    <row r="13" spans="1:13">
      <c r="A13" s="34"/>
      <c r="B13" s="31"/>
      <c r="C13" s="33"/>
      <c r="D13" s="31"/>
      <c r="E13" s="31"/>
      <c r="F13" s="31"/>
      <c r="G13" s="169"/>
      <c r="H13" s="31"/>
      <c r="I13" s="36"/>
      <c r="J13" s="31"/>
      <c r="K13" s="31"/>
      <c r="L13" s="31"/>
      <c r="M13" s="31"/>
    </row>
    <row r="14" spans="1:13">
      <c r="A14" s="34">
        <v>3</v>
      </c>
      <c r="B14" s="31"/>
      <c r="C14" s="33" t="s">
        <v>157</v>
      </c>
      <c r="D14" s="31"/>
      <c r="E14" s="31" t="s">
        <v>349</v>
      </c>
      <c r="F14" s="31"/>
      <c r="G14" s="169">
        <f>'Sch 10'!N42</f>
        <v>0.98599999999999999</v>
      </c>
      <c r="H14" s="31"/>
      <c r="I14" s="36" t="s">
        <v>1022</v>
      </c>
      <c r="J14" s="31"/>
      <c r="K14" s="31"/>
      <c r="L14" s="31"/>
      <c r="M14" s="31"/>
    </row>
    <row r="15" spans="1:13">
      <c r="A15" s="34"/>
      <c r="B15" s="31"/>
      <c r="C15" s="33"/>
      <c r="D15" s="31"/>
      <c r="E15" s="31"/>
      <c r="F15" s="31"/>
      <c r="G15" s="35"/>
      <c r="H15" s="31"/>
      <c r="I15" s="36"/>
      <c r="J15" s="31"/>
      <c r="K15" s="31"/>
      <c r="L15" s="31"/>
      <c r="M15" s="31"/>
    </row>
    <row r="16" spans="1:13">
      <c r="A16" s="34">
        <v>4</v>
      </c>
      <c r="B16" s="31"/>
      <c r="C16" s="33" t="s">
        <v>350</v>
      </c>
      <c r="D16" s="31"/>
      <c r="E16" s="31" t="s">
        <v>351</v>
      </c>
      <c r="F16" s="31"/>
      <c r="G16" s="35">
        <f>ROUND(('Sch 4'!G171)/('Sch 4'!E171),3)</f>
        <v>0.98599999999999999</v>
      </c>
      <c r="H16" s="31"/>
      <c r="I16" s="36" t="s">
        <v>1025</v>
      </c>
      <c r="J16" s="31"/>
      <c r="K16" s="31"/>
      <c r="L16" s="31"/>
      <c r="M16" s="31"/>
    </row>
    <row r="17" spans="1:16">
      <c r="A17" s="34"/>
      <c r="B17" s="31"/>
      <c r="C17" s="33"/>
      <c r="D17" s="31"/>
      <c r="E17" s="31"/>
      <c r="F17" s="31"/>
      <c r="G17" s="35"/>
      <c r="H17" s="31"/>
      <c r="I17" s="31"/>
    </row>
    <row r="18" spans="1:16">
      <c r="A18" s="34">
        <v>5</v>
      </c>
      <c r="B18" s="31"/>
      <c r="C18" s="33" t="s">
        <v>352</v>
      </c>
      <c r="D18" s="31"/>
      <c r="E18" s="31" t="s">
        <v>353</v>
      </c>
      <c r="F18" s="31"/>
      <c r="G18" s="35">
        <f>ROUND(('Sch 4'!G173)/('Sch 4'!E173),3)</f>
        <v>0.999</v>
      </c>
      <c r="H18" s="31"/>
      <c r="I18" s="36" t="s">
        <v>1026</v>
      </c>
    </row>
    <row r="19" spans="1:16">
      <c r="A19" s="34"/>
      <c r="B19" s="31"/>
      <c r="C19" s="33"/>
      <c r="D19" s="31"/>
      <c r="E19" s="31"/>
      <c r="F19" s="31"/>
      <c r="G19" s="35"/>
      <c r="H19" s="31"/>
      <c r="I19" s="31"/>
    </row>
    <row r="20" spans="1:16">
      <c r="A20" s="34">
        <v>6</v>
      </c>
      <c r="B20" s="31"/>
      <c r="C20" s="33" t="s">
        <v>354</v>
      </c>
      <c r="D20" s="31"/>
      <c r="E20" s="31" t="s">
        <v>355</v>
      </c>
      <c r="F20" s="31"/>
      <c r="G20" s="35">
        <f>ROUND(('Sch 4'!G175)/('Sch 4'!E175),3)</f>
        <v>0.99299999999999999</v>
      </c>
      <c r="H20" s="31"/>
      <c r="I20" s="36" t="s">
        <v>1027</v>
      </c>
    </row>
    <row r="21" spans="1:16">
      <c r="A21" s="34"/>
      <c r="B21" s="31"/>
      <c r="C21" s="33"/>
      <c r="D21" s="31"/>
      <c r="E21" s="31"/>
      <c r="F21" s="31"/>
      <c r="G21" s="35"/>
      <c r="H21" s="31"/>
      <c r="I21" s="31"/>
    </row>
    <row r="22" spans="1:16">
      <c r="A22" s="34">
        <v>7</v>
      </c>
      <c r="B22" s="31"/>
      <c r="C22" s="33" t="s">
        <v>356</v>
      </c>
      <c r="D22" s="31"/>
      <c r="E22" s="31" t="s">
        <v>357</v>
      </c>
      <c r="F22" s="31"/>
      <c r="G22" s="169">
        <f>ROUND('Sch 4'!G179/'Sch 4'!E179,3)</f>
        <v>0.98899999999999999</v>
      </c>
      <c r="H22" s="31"/>
      <c r="I22" s="36" t="s">
        <v>1029</v>
      </c>
      <c r="K22" s="44"/>
      <c r="L22" s="172"/>
      <c r="M22" s="71"/>
    </row>
    <row r="23" spans="1:16">
      <c r="A23" s="34"/>
      <c r="B23" s="31"/>
      <c r="C23" s="33"/>
      <c r="D23" s="31"/>
      <c r="E23" s="31"/>
      <c r="F23" s="31"/>
      <c r="G23" s="35"/>
      <c r="H23" s="31"/>
      <c r="I23" s="31"/>
      <c r="M23" s="71"/>
    </row>
    <row r="24" spans="1:16">
      <c r="A24" s="34">
        <v>8</v>
      </c>
      <c r="B24" s="31"/>
      <c r="C24" s="33" t="s">
        <v>358</v>
      </c>
      <c r="D24" s="31"/>
      <c r="E24" s="32" t="s">
        <v>359</v>
      </c>
      <c r="F24" s="31"/>
      <c r="G24" s="169">
        <f>ROUND('Sch 4'!G177/'Sch 4'!E177,3)</f>
        <v>0.98899999999999999</v>
      </c>
      <c r="H24" s="31"/>
      <c r="I24" s="36" t="s">
        <v>1028</v>
      </c>
      <c r="K24" s="182"/>
      <c r="M24" s="183"/>
    </row>
    <row r="25" spans="1:16">
      <c r="A25" s="34"/>
      <c r="B25" s="31"/>
      <c r="C25" s="33"/>
      <c r="D25" s="31"/>
      <c r="E25" s="31"/>
      <c r="F25" s="31"/>
      <c r="G25" s="35"/>
      <c r="H25" s="31"/>
      <c r="I25" s="31"/>
      <c r="M25" s="71"/>
    </row>
    <row r="26" spans="1:16">
      <c r="A26" s="34">
        <v>9</v>
      </c>
      <c r="B26" s="31"/>
      <c r="C26" s="33" t="s">
        <v>302</v>
      </c>
      <c r="D26" s="31"/>
      <c r="E26" s="31" t="s">
        <v>360</v>
      </c>
      <c r="F26" s="31"/>
      <c r="G26" s="169">
        <f>ROUND('Sch 4'!G45/'Sch 4'!E45,3)</f>
        <v>0.99</v>
      </c>
      <c r="H26" s="31"/>
      <c r="I26" s="36" t="s">
        <v>1030</v>
      </c>
      <c r="K26" s="1"/>
      <c r="L26" s="176"/>
      <c r="M26" s="184"/>
      <c r="P26" s="44"/>
    </row>
    <row r="27" spans="1:16">
      <c r="A27" s="34"/>
      <c r="B27" s="31"/>
      <c r="C27" s="33"/>
      <c r="D27" s="31"/>
      <c r="E27" s="31"/>
      <c r="F27" s="31"/>
      <c r="G27" s="35"/>
      <c r="H27" s="31"/>
      <c r="I27" s="31"/>
      <c r="K27" s="1"/>
      <c r="L27" s="45"/>
      <c r="M27" s="184"/>
      <c r="P27" s="173"/>
    </row>
    <row r="28" spans="1:16">
      <c r="A28" s="34">
        <v>10</v>
      </c>
      <c r="B28" s="31"/>
      <c r="C28" s="33" t="s">
        <v>361</v>
      </c>
      <c r="D28" s="31"/>
      <c r="E28" s="31" t="s">
        <v>362</v>
      </c>
      <c r="F28" s="31"/>
      <c r="G28" s="169">
        <f>ROUND('Sch 4'!G439/'Sch 4'!E439,3)</f>
        <v>0.99</v>
      </c>
      <c r="H28" s="31"/>
      <c r="I28" s="36" t="s">
        <v>1024</v>
      </c>
      <c r="K28" s="1"/>
      <c r="L28" s="45"/>
      <c r="M28" s="185"/>
    </row>
    <row r="29" spans="1:16">
      <c r="A29" s="34"/>
      <c r="B29" s="31"/>
      <c r="C29" s="33"/>
      <c r="D29" s="31"/>
      <c r="E29" s="31"/>
      <c r="F29" s="31"/>
      <c r="G29" s="169"/>
      <c r="H29" s="31"/>
      <c r="I29" s="31"/>
      <c r="K29" s="175"/>
      <c r="L29" s="175"/>
      <c r="M29" s="185"/>
    </row>
    <row r="30" spans="1:16">
      <c r="A30" s="34">
        <v>11</v>
      </c>
      <c r="B30" s="31"/>
      <c r="C30" s="33" t="s">
        <v>363</v>
      </c>
      <c r="D30" s="31"/>
      <c r="E30" s="31" t="s">
        <v>364</v>
      </c>
      <c r="F30" s="31"/>
      <c r="G30" s="169">
        <f>ROUND((('Sch 4'!G439-('Sch 4'!G309+'Sch 4'!G332+'Sch 4'!G333))-('Sch 4'!G343+'Sch 4'!G347+'Sch 4'!G348+'Sch 4'!G349+'Sch 4'!G362))/(('Sch 4'!E439-('Sch 4'!E309+'Sch 4'!E332+'Sch 4'!E333))-('Sch 4'!E343+'Sch 4'!E347+'Sch 4'!E348+'Sch 4'!E349+'Sch 4'!E362)),3)</f>
        <v>0.99</v>
      </c>
      <c r="H30" s="31"/>
      <c r="I30" s="36" t="s">
        <v>1023</v>
      </c>
      <c r="K30" s="175"/>
      <c r="L30" s="175"/>
      <c r="M30" s="185"/>
    </row>
    <row r="31" spans="1:16">
      <c r="A31" s="34"/>
      <c r="B31" s="31"/>
      <c r="C31" s="33"/>
      <c r="D31" s="31"/>
      <c r="E31" s="31"/>
      <c r="F31" s="31"/>
      <c r="G31" s="35"/>
      <c r="H31" s="31"/>
      <c r="I31" s="31"/>
      <c r="K31" s="177"/>
      <c r="L31" s="175"/>
      <c r="M31" s="185"/>
    </row>
    <row r="32" spans="1:16">
      <c r="A32" s="34">
        <v>12</v>
      </c>
      <c r="B32" s="31"/>
      <c r="C32" s="33" t="s">
        <v>365</v>
      </c>
      <c r="D32" s="31"/>
      <c r="E32" s="31" t="s">
        <v>366</v>
      </c>
      <c r="F32" s="31"/>
      <c r="G32" s="162">
        <f>ROUND('Sch 4'!G304/'Sch 4'!E304,3)</f>
        <v>0.98899999999999999</v>
      </c>
      <c r="H32" s="31"/>
      <c r="I32" s="36" t="s">
        <v>1031</v>
      </c>
      <c r="K32" s="175"/>
      <c r="L32" s="175"/>
      <c r="M32" s="185"/>
    </row>
    <row r="33" spans="1:16">
      <c r="A33" s="34"/>
      <c r="B33" s="31"/>
      <c r="C33" s="33"/>
      <c r="D33" s="31"/>
      <c r="E33" s="31"/>
      <c r="F33" s="31"/>
      <c r="G33" s="71"/>
      <c r="H33" s="31"/>
      <c r="I33" s="31"/>
      <c r="K33" s="175"/>
      <c r="L33" s="175"/>
      <c r="M33" s="185"/>
    </row>
    <row r="34" spans="1:16" ht="12.75" customHeight="1">
      <c r="A34" s="34">
        <v>13</v>
      </c>
      <c r="B34" s="31"/>
      <c r="C34" s="33" t="s">
        <v>367</v>
      </c>
      <c r="D34" s="31"/>
      <c r="E34" s="33" t="s">
        <v>367</v>
      </c>
      <c r="F34" s="31"/>
      <c r="G34" s="71">
        <v>1</v>
      </c>
      <c r="H34" s="31"/>
      <c r="I34" s="36" t="s">
        <v>368</v>
      </c>
      <c r="K34" s="175"/>
      <c r="L34" s="175"/>
      <c r="M34" s="185"/>
    </row>
    <row r="35" spans="1:16">
      <c r="A35" s="34"/>
      <c r="B35" s="31"/>
      <c r="C35" s="33"/>
      <c r="D35" s="31"/>
      <c r="E35" s="31"/>
      <c r="F35" s="31"/>
      <c r="G35" s="35"/>
      <c r="H35" s="31"/>
      <c r="I35" s="36"/>
      <c r="K35" s="175"/>
      <c r="L35" s="175"/>
      <c r="M35" s="185"/>
      <c r="P35" s="173"/>
    </row>
    <row r="36" spans="1:16">
      <c r="A36" s="34">
        <f>A34+1</f>
        <v>14</v>
      </c>
      <c r="B36" s="31"/>
      <c r="C36" s="33" t="s">
        <v>785</v>
      </c>
      <c r="D36" s="31"/>
      <c r="E36" s="31" t="s">
        <v>786</v>
      </c>
      <c r="F36" s="31"/>
      <c r="G36" s="35">
        <f>170427/170429</f>
        <v>0.99998826490796755</v>
      </c>
      <c r="H36" s="31"/>
      <c r="I36" s="36" t="s">
        <v>368</v>
      </c>
      <c r="K36" s="175"/>
      <c r="L36" s="175"/>
      <c r="M36" s="185"/>
    </row>
    <row r="37" spans="1:16">
      <c r="A37" s="34"/>
      <c r="B37" s="31"/>
      <c r="C37" s="33"/>
      <c r="D37" s="31"/>
      <c r="E37" s="31"/>
      <c r="F37" s="31"/>
      <c r="G37" s="35"/>
      <c r="H37" s="31"/>
      <c r="I37" s="36"/>
      <c r="K37" s="175"/>
      <c r="L37" s="175"/>
      <c r="M37" s="175"/>
    </row>
    <row r="38" spans="1:16">
      <c r="A38" s="34"/>
      <c r="B38" s="31"/>
      <c r="C38" s="33"/>
      <c r="D38" s="31"/>
      <c r="E38" s="31"/>
      <c r="F38" s="31"/>
      <c r="G38" s="35"/>
      <c r="H38" s="31"/>
      <c r="I38" s="36"/>
      <c r="K38" s="175"/>
      <c r="L38" s="175"/>
      <c r="M38" s="175"/>
    </row>
    <row r="39" spans="1:16">
      <c r="A39" s="34"/>
      <c r="B39" s="31"/>
      <c r="C39" s="33"/>
      <c r="D39" s="31"/>
      <c r="E39" s="31"/>
      <c r="F39" s="31"/>
      <c r="G39" s="35"/>
      <c r="H39" s="31"/>
      <c r="I39" s="36"/>
      <c r="K39" s="45"/>
      <c r="L39" s="175"/>
      <c r="M39" s="45"/>
    </row>
    <row r="40" spans="1:16">
      <c r="A40" s="34"/>
      <c r="B40" s="31"/>
      <c r="C40" s="33"/>
      <c r="D40" s="31"/>
      <c r="E40" s="31"/>
      <c r="F40" s="31"/>
      <c r="G40" s="35"/>
      <c r="H40" s="31"/>
      <c r="I40" s="36"/>
      <c r="K40" s="45"/>
      <c r="L40" s="175"/>
      <c r="M40" s="45"/>
    </row>
    <row r="41" spans="1:16">
      <c r="A41" s="34"/>
      <c r="B41" s="31"/>
      <c r="C41" s="33"/>
      <c r="D41" s="31"/>
      <c r="E41" s="31"/>
      <c r="F41" s="31"/>
      <c r="G41" s="35"/>
      <c r="H41" s="68"/>
      <c r="I41" s="36"/>
      <c r="J41" s="174"/>
      <c r="K41" s="45"/>
      <c r="L41" s="175"/>
      <c r="M41" s="45"/>
    </row>
    <row r="42" spans="1:16">
      <c r="A42" s="34"/>
      <c r="B42" s="31"/>
      <c r="C42" s="33"/>
      <c r="D42" s="31"/>
      <c r="E42" s="31"/>
      <c r="F42" s="31"/>
      <c r="G42" s="35"/>
      <c r="H42" s="31"/>
      <c r="I42" s="36"/>
      <c r="K42" s="178"/>
      <c r="L42" s="45"/>
      <c r="M42" s="178"/>
    </row>
    <row r="43" spans="1:16">
      <c r="A43" s="34"/>
      <c r="B43" s="31"/>
      <c r="C43" s="33"/>
      <c r="D43" s="31"/>
      <c r="E43" s="180"/>
      <c r="F43" s="180"/>
      <c r="G43" s="179"/>
      <c r="H43" s="180"/>
      <c r="I43" s="181"/>
      <c r="J43" s="45"/>
      <c r="K43" s="45"/>
      <c r="L43" s="45"/>
      <c r="M43" s="45"/>
      <c r="N43" s="45"/>
      <c r="O43" s="45"/>
    </row>
    <row r="44" spans="1:16">
      <c r="A44" s="34"/>
      <c r="B44" s="31"/>
      <c r="C44" s="33"/>
      <c r="D44" s="31"/>
      <c r="E44" s="180"/>
      <c r="F44" s="180"/>
      <c r="G44" s="179"/>
      <c r="H44" s="180"/>
      <c r="I44" s="181"/>
      <c r="J44" s="45"/>
      <c r="K44" s="178"/>
      <c r="L44" s="45"/>
      <c r="M44" s="178"/>
      <c r="N44" s="45"/>
      <c r="O44" s="45"/>
    </row>
    <row r="45" spans="1:16">
      <c r="A45" s="34"/>
      <c r="B45" s="31"/>
      <c r="C45" s="33"/>
      <c r="D45" s="31"/>
      <c r="E45" s="180"/>
      <c r="F45" s="180"/>
      <c r="G45" s="179"/>
      <c r="H45" s="180"/>
      <c r="I45" s="181"/>
      <c r="J45" s="45"/>
      <c r="K45" s="45"/>
      <c r="L45" s="45"/>
      <c r="M45" s="178"/>
      <c r="N45" s="45"/>
      <c r="O45" s="45"/>
    </row>
    <row r="46" spans="1:16" s="174" customFormat="1">
      <c r="A46" s="34"/>
      <c r="B46" s="68"/>
      <c r="C46" s="33"/>
      <c r="D46" s="68"/>
      <c r="E46" s="180"/>
      <c r="F46" s="180"/>
      <c r="G46" s="179"/>
      <c r="H46" s="180"/>
      <c r="I46" s="181"/>
      <c r="J46" s="45"/>
      <c r="K46" s="45"/>
      <c r="L46" s="45"/>
      <c r="M46" s="178"/>
      <c r="N46" s="45"/>
      <c r="O46" s="45"/>
    </row>
    <row r="47" spans="1:16" s="174" customFormat="1">
      <c r="A47" s="34"/>
      <c r="B47" s="68"/>
      <c r="C47" s="33"/>
      <c r="D47" s="68"/>
      <c r="E47" s="180"/>
      <c r="F47" s="180"/>
      <c r="G47" s="179"/>
      <c r="H47" s="180"/>
      <c r="I47" s="181"/>
      <c r="J47" s="45"/>
      <c r="K47" s="1"/>
      <c r="L47" s="45"/>
      <c r="M47" s="178"/>
      <c r="N47" s="45"/>
      <c r="O47" s="45"/>
    </row>
    <row r="48" spans="1:16">
      <c r="A48" s="34"/>
      <c r="B48" s="31"/>
      <c r="C48" s="33"/>
      <c r="D48" s="31"/>
      <c r="E48" s="180"/>
      <c r="F48" s="180"/>
      <c r="G48" s="179"/>
      <c r="H48" s="180"/>
      <c r="I48" s="181"/>
      <c r="J48" s="45"/>
      <c r="K48" s="1"/>
      <c r="L48" s="45"/>
      <c r="M48" s="178"/>
      <c r="N48" s="45"/>
      <c r="O48" s="45"/>
    </row>
    <row r="49" spans="1:15">
      <c r="A49" s="34"/>
      <c r="B49" s="31"/>
      <c r="C49" s="33"/>
      <c r="D49" s="31"/>
      <c r="E49" s="180"/>
      <c r="F49" s="180"/>
      <c r="G49" s="179"/>
      <c r="H49" s="180"/>
      <c r="I49" s="181"/>
      <c r="J49" s="45"/>
      <c r="K49" s="1"/>
      <c r="L49" s="45"/>
      <c r="M49" s="178"/>
      <c r="N49" s="45"/>
      <c r="O49" s="45"/>
    </row>
    <row r="50" spans="1:15">
      <c r="A50" s="34"/>
      <c r="B50" s="31"/>
      <c r="C50" s="33"/>
      <c r="D50" s="31"/>
      <c r="E50" s="180"/>
      <c r="F50" s="180"/>
      <c r="G50" s="179"/>
      <c r="H50" s="180"/>
      <c r="I50" s="181"/>
      <c r="J50" s="45"/>
      <c r="K50" s="1"/>
      <c r="L50" s="45"/>
      <c r="M50" s="178"/>
      <c r="N50" s="45"/>
      <c r="O50" s="45"/>
    </row>
    <row r="51" spans="1:15">
      <c r="E51" s="45"/>
      <c r="F51" s="45"/>
      <c r="G51" s="179"/>
      <c r="H51" s="180"/>
      <c r="I51" s="181"/>
      <c r="J51" s="45"/>
      <c r="K51" s="1"/>
      <c r="L51" s="45"/>
      <c r="M51" s="178"/>
      <c r="N51" s="45"/>
      <c r="O51" s="45"/>
    </row>
    <row r="52" spans="1:15">
      <c r="E52" s="45"/>
      <c r="F52" s="45"/>
      <c r="G52" s="179"/>
      <c r="H52" s="180"/>
      <c r="I52" s="181"/>
      <c r="J52" s="45"/>
      <c r="K52" s="175"/>
      <c r="L52" s="45"/>
      <c r="M52" s="175"/>
      <c r="N52" s="45"/>
      <c r="O52" s="45"/>
    </row>
    <row r="53" spans="1:15">
      <c r="E53" s="45"/>
      <c r="F53" s="45"/>
      <c r="G53" s="179"/>
      <c r="H53" s="180"/>
      <c r="I53" s="181"/>
      <c r="J53" s="45"/>
      <c r="K53" s="175"/>
      <c r="L53" s="45"/>
      <c r="M53" s="175"/>
      <c r="N53" s="45"/>
      <c r="O53" s="45"/>
    </row>
    <row r="54" spans="1:15">
      <c r="E54" s="45"/>
      <c r="F54" s="45"/>
      <c r="G54" s="179"/>
      <c r="H54" s="180"/>
      <c r="I54" s="181"/>
      <c r="J54" s="45"/>
      <c r="K54" s="175"/>
      <c r="L54" s="45"/>
      <c r="M54" s="175"/>
      <c r="N54" s="45"/>
      <c r="O54" s="45"/>
    </row>
    <row r="55" spans="1:15">
      <c r="E55" s="45"/>
      <c r="F55" s="45"/>
      <c r="G55" s="45"/>
      <c r="H55" s="45"/>
      <c r="I55" s="45"/>
      <c r="J55" s="45"/>
      <c r="K55" s="178"/>
      <c r="L55" s="45"/>
      <c r="M55" s="178"/>
      <c r="N55" s="45"/>
      <c r="O55" s="45"/>
    </row>
    <row r="56" spans="1:15"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</row>
    <row r="57" spans="1:15">
      <c r="E57" s="45"/>
      <c r="F57" s="45"/>
      <c r="G57" s="179"/>
      <c r="H57" s="45"/>
      <c r="I57" s="45"/>
      <c r="J57" s="45"/>
      <c r="K57" s="1"/>
      <c r="L57" s="45"/>
      <c r="M57" s="1"/>
      <c r="N57" s="45"/>
      <c r="O57" s="45"/>
    </row>
    <row r="58" spans="1:15"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1:15">
      <c r="E59" s="45"/>
      <c r="F59" s="45"/>
      <c r="G59" s="45"/>
      <c r="H59" s="45"/>
      <c r="I59" s="45"/>
      <c r="J59" s="45"/>
      <c r="K59" s="45"/>
      <c r="L59" s="45"/>
      <c r="M59" s="1"/>
      <c r="N59" s="45"/>
      <c r="O59" s="45"/>
    </row>
    <row r="60" spans="1:15">
      <c r="E60" s="45"/>
      <c r="F60" s="45"/>
      <c r="G60" s="45"/>
      <c r="H60" s="45"/>
      <c r="I60" s="45"/>
      <c r="J60" s="45"/>
      <c r="K60" s="45"/>
      <c r="L60" s="45"/>
      <c r="M60" s="1"/>
      <c r="N60" s="45"/>
      <c r="O60" s="45"/>
    </row>
    <row r="61" spans="1:15"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1:15">
      <c r="E62" s="45"/>
      <c r="F62" s="45"/>
      <c r="G62" s="45"/>
      <c r="H62" s="45"/>
      <c r="I62" s="45"/>
      <c r="J62" s="45"/>
      <c r="K62" s="178"/>
      <c r="L62" s="45"/>
      <c r="M62" s="178"/>
      <c r="N62" s="45"/>
      <c r="O62" s="45"/>
    </row>
    <row r="63" spans="1:15"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1:15"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</row>
  </sheetData>
  <mergeCells count="3">
    <mergeCell ref="A2:I2"/>
    <mergeCell ref="A3:I3"/>
    <mergeCell ref="A5:I5"/>
  </mergeCells>
  <printOptions horizontalCentered="1" verticalCentered="1"/>
  <pageMargins left="1" right="1" top="1" bottom="1" header="0.55000000000000004" footer="0.55000000000000004"/>
  <pageSetup orientation="portrait" r:id="rId1"/>
  <headerFooter>
    <oddHeader>&amp;CKENTUCKY POWER COMPANY
JURISDICTIONAL COST OF SERVICE
12 MONTHS ENDED SEPTEMBER 30, 2014&amp;RSECTION V
PAGE &amp;P OF 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Normal="100" workbookViewId="0">
      <pane xSplit="4" ySplit="8" topLeftCell="E9" activePane="bottomRight" state="frozen"/>
      <selection activeCell="B4" sqref="B4:G4"/>
      <selection pane="topRight" activeCell="B4" sqref="B4:G4"/>
      <selection pane="bottomLeft" activeCell="B4" sqref="B4:G4"/>
      <selection pane="bottomRight" sqref="A1:XFD1048576"/>
    </sheetView>
  </sheetViews>
  <sheetFormatPr defaultRowHeight="12.75"/>
  <cols>
    <col min="1" max="1" width="5.42578125" style="191" customWidth="1"/>
    <col min="2" max="2" width="11.28515625" style="191" bestFit="1" customWidth="1"/>
    <col min="3" max="3" width="5.7109375" style="191" bestFit="1" customWidth="1"/>
    <col min="4" max="4" width="2.28515625" style="191" customWidth="1"/>
    <col min="5" max="5" width="15.140625" style="191" customWidth="1"/>
    <col min="6" max="6" width="15.5703125" style="191" customWidth="1"/>
    <col min="7" max="7" width="2.28515625" style="191" customWidth="1"/>
    <col min="8" max="8" width="15" style="191" customWidth="1"/>
    <col min="9" max="9" width="16.7109375" style="191" customWidth="1"/>
    <col min="10" max="10" width="3.7109375" style="191" customWidth="1"/>
    <col min="11" max="11" width="40.7109375" style="191" customWidth="1"/>
    <col min="12" max="13" width="3.7109375" style="191" customWidth="1"/>
    <col min="14" max="14" width="12.7109375" style="191" customWidth="1"/>
    <col min="15" max="15" width="2.28515625" style="191" customWidth="1"/>
    <col min="16" max="16" width="12.7109375" style="191" customWidth="1"/>
    <col min="17" max="17" width="2.28515625" style="191" customWidth="1"/>
    <col min="18" max="18" width="15.7109375" style="191" customWidth="1"/>
    <col min="19" max="19" width="2.28515625" style="191" customWidth="1"/>
    <col min="20" max="20" width="12.140625" style="191" bestFit="1" customWidth="1"/>
    <col min="21" max="16384" width="9.140625" style="191"/>
  </cols>
  <sheetData>
    <row r="1" spans="1:19">
      <c r="A1" s="444" t="s">
        <v>432</v>
      </c>
      <c r="B1" s="441"/>
      <c r="C1" s="441"/>
      <c r="D1" s="441"/>
      <c r="E1" s="441"/>
      <c r="F1" s="441"/>
      <c r="G1" s="441"/>
      <c r="H1" s="441"/>
      <c r="I1" s="441"/>
      <c r="K1" s="265"/>
    </row>
    <row r="2" spans="1:19">
      <c r="A2" s="444"/>
      <c r="B2" s="441"/>
      <c r="C2" s="441"/>
      <c r="D2" s="441"/>
      <c r="E2" s="441"/>
      <c r="F2" s="441"/>
      <c r="G2" s="441"/>
      <c r="H2" s="441"/>
      <c r="I2" s="441"/>
      <c r="K2" s="265"/>
    </row>
    <row r="3" spans="1:19">
      <c r="A3" s="444" t="s">
        <v>879</v>
      </c>
      <c r="B3" s="441"/>
      <c r="C3" s="441"/>
      <c r="D3" s="441"/>
      <c r="E3" s="441"/>
      <c r="F3" s="441"/>
      <c r="G3" s="441"/>
      <c r="H3" s="441"/>
      <c r="I3" s="441"/>
      <c r="K3" s="265"/>
    </row>
    <row r="4" spans="1:19">
      <c r="K4" s="265"/>
    </row>
    <row r="5" spans="1:19">
      <c r="K5" s="265"/>
    </row>
    <row r="6" spans="1:19">
      <c r="K6" s="168" t="s">
        <v>909</v>
      </c>
    </row>
    <row r="7" spans="1:19">
      <c r="E7" s="444" t="s">
        <v>858</v>
      </c>
      <c r="F7" s="444"/>
      <c r="G7" s="265"/>
      <c r="H7" s="444" t="s">
        <v>859</v>
      </c>
      <c r="I7" s="444"/>
      <c r="K7" s="265"/>
    </row>
    <row r="8" spans="1:19" ht="25.5">
      <c r="A8" s="164" t="s">
        <v>610</v>
      </c>
      <c r="B8" s="164" t="s">
        <v>763</v>
      </c>
      <c r="C8" s="164" t="s">
        <v>860</v>
      </c>
      <c r="D8" s="244"/>
      <c r="E8" s="240" t="s">
        <v>980</v>
      </c>
      <c r="F8" s="240" t="s">
        <v>157</v>
      </c>
      <c r="H8" s="240" t="s">
        <v>981</v>
      </c>
      <c r="I8" s="240" t="s">
        <v>157</v>
      </c>
      <c r="K8" s="164" t="s">
        <v>861</v>
      </c>
      <c r="N8" s="240" t="s">
        <v>862</v>
      </c>
      <c r="O8" s="240"/>
      <c r="R8" s="240" t="s">
        <v>863</v>
      </c>
      <c r="S8" s="240"/>
    </row>
    <row r="9" spans="1:19">
      <c r="K9" s="265"/>
    </row>
    <row r="10" spans="1:19">
      <c r="A10" s="113">
        <v>1</v>
      </c>
      <c r="B10" s="245" t="s">
        <v>500</v>
      </c>
      <c r="C10" s="161" t="s">
        <v>866</v>
      </c>
      <c r="E10" s="55">
        <v>3560</v>
      </c>
      <c r="F10" s="55">
        <v>1728032</v>
      </c>
      <c r="G10" s="166"/>
      <c r="H10" s="55">
        <v>8599</v>
      </c>
      <c r="I10" s="55">
        <v>4951051</v>
      </c>
      <c r="K10" s="240"/>
      <c r="N10" s="240"/>
      <c r="O10" s="240"/>
      <c r="R10" s="240"/>
      <c r="S10" s="240"/>
    </row>
    <row r="11" spans="1:19">
      <c r="A11" s="113">
        <f>+A10+1</f>
        <v>2</v>
      </c>
      <c r="B11" s="245" t="s">
        <v>501</v>
      </c>
      <c r="C11" s="161" t="s">
        <v>866</v>
      </c>
      <c r="E11" s="55">
        <v>4353</v>
      </c>
      <c r="F11" s="55">
        <v>2146837</v>
      </c>
      <c r="G11" s="166"/>
      <c r="H11" s="55">
        <v>10672</v>
      </c>
      <c r="I11" s="55">
        <v>5722892</v>
      </c>
      <c r="K11" s="265"/>
    </row>
    <row r="12" spans="1:19">
      <c r="A12" s="113">
        <f t="shared" ref="A12:A21" si="0">+A11+1</f>
        <v>3</v>
      </c>
      <c r="B12" s="245" t="s">
        <v>502</v>
      </c>
      <c r="C12" s="161" t="s">
        <v>866</v>
      </c>
      <c r="E12" s="55">
        <v>5138</v>
      </c>
      <c r="F12" s="55">
        <v>2567081</v>
      </c>
      <c r="G12" s="166"/>
      <c r="H12" s="55">
        <v>11712</v>
      </c>
      <c r="I12" s="55">
        <v>6450062</v>
      </c>
      <c r="K12" s="265"/>
      <c r="N12" s="112"/>
      <c r="O12" s="112"/>
      <c r="R12" s="112"/>
      <c r="S12" s="112"/>
    </row>
    <row r="13" spans="1:19">
      <c r="A13" s="113">
        <f t="shared" si="0"/>
        <v>4</v>
      </c>
      <c r="B13" s="245" t="s">
        <v>865</v>
      </c>
      <c r="C13" s="239" t="s">
        <v>881</v>
      </c>
      <c r="E13" s="55">
        <v>6769</v>
      </c>
      <c r="F13" s="55">
        <v>3161629</v>
      </c>
      <c r="G13" s="166"/>
      <c r="H13" s="55">
        <v>15474</v>
      </c>
      <c r="I13" s="55">
        <v>7885481</v>
      </c>
      <c r="K13" s="265"/>
      <c r="N13" s="112"/>
      <c r="O13" s="112"/>
      <c r="R13" s="112"/>
      <c r="S13" s="112"/>
    </row>
    <row r="14" spans="1:19">
      <c r="A14" s="113">
        <f t="shared" si="0"/>
        <v>5</v>
      </c>
      <c r="B14" s="245" t="s">
        <v>504</v>
      </c>
      <c r="C14" s="239" t="s">
        <v>881</v>
      </c>
      <c r="E14" s="55">
        <v>6039</v>
      </c>
      <c r="F14" s="55">
        <v>2498792</v>
      </c>
      <c r="G14" s="166"/>
      <c r="H14" s="55">
        <v>14241</v>
      </c>
      <c r="I14" s="55">
        <v>6657678</v>
      </c>
      <c r="K14" s="265"/>
      <c r="N14" s="112"/>
      <c r="O14" s="112"/>
      <c r="R14" s="112"/>
      <c r="S14" s="112"/>
    </row>
    <row r="15" spans="1:19">
      <c r="A15" s="113">
        <f t="shared" si="0"/>
        <v>6</v>
      </c>
      <c r="B15" s="245" t="s">
        <v>505</v>
      </c>
      <c r="C15" s="239" t="s">
        <v>881</v>
      </c>
      <c r="E15" s="55">
        <v>5335</v>
      </c>
      <c r="F15" s="55">
        <v>2279974</v>
      </c>
      <c r="G15" s="166"/>
      <c r="H15" s="55">
        <v>13000</v>
      </c>
      <c r="I15" s="55">
        <v>6324952</v>
      </c>
      <c r="K15" s="265"/>
      <c r="N15" s="112"/>
      <c r="O15" s="112"/>
      <c r="R15" s="112"/>
      <c r="S15" s="112"/>
    </row>
    <row r="16" spans="1:19">
      <c r="A16" s="113">
        <f t="shared" si="0"/>
        <v>7</v>
      </c>
      <c r="B16" s="245" t="s">
        <v>493</v>
      </c>
      <c r="C16" s="239" t="s">
        <v>881</v>
      </c>
      <c r="E16" s="55">
        <v>3905</v>
      </c>
      <c r="F16" s="55">
        <v>1602543</v>
      </c>
      <c r="G16" s="166"/>
      <c r="H16" s="55">
        <v>9992</v>
      </c>
      <c r="I16" s="55">
        <v>4789220</v>
      </c>
      <c r="K16" s="265"/>
    </row>
    <row r="17" spans="1:20">
      <c r="A17" s="113">
        <f t="shared" si="0"/>
        <v>8</v>
      </c>
      <c r="B17" s="245" t="s">
        <v>495</v>
      </c>
      <c r="C17" s="239" t="s">
        <v>881</v>
      </c>
      <c r="E17" s="55">
        <v>3427</v>
      </c>
      <c r="F17" s="55">
        <v>1687647</v>
      </c>
      <c r="G17" s="166"/>
      <c r="H17" s="55">
        <v>9510</v>
      </c>
      <c r="I17" s="55">
        <v>5002467</v>
      </c>
      <c r="K17" s="265"/>
    </row>
    <row r="18" spans="1:20">
      <c r="A18" s="113">
        <f t="shared" si="0"/>
        <v>9</v>
      </c>
      <c r="B18" s="245" t="s">
        <v>496</v>
      </c>
      <c r="C18" s="239" t="s">
        <v>881</v>
      </c>
      <c r="E18" s="55">
        <v>4152</v>
      </c>
      <c r="F18" s="55">
        <v>1944763</v>
      </c>
      <c r="G18" s="166"/>
      <c r="H18" s="55">
        <v>10841</v>
      </c>
      <c r="I18" s="55">
        <v>5489927</v>
      </c>
      <c r="K18" s="431" t="s">
        <v>864</v>
      </c>
    </row>
    <row r="19" spans="1:20">
      <c r="A19" s="255">
        <f t="shared" si="0"/>
        <v>10</v>
      </c>
      <c r="B19" s="258" t="s">
        <v>880</v>
      </c>
      <c r="C19" s="239" t="s">
        <v>881</v>
      </c>
      <c r="D19" s="203"/>
      <c r="E19" s="43">
        <v>4388</v>
      </c>
      <c r="F19" s="43">
        <v>1999241</v>
      </c>
      <c r="G19" s="432"/>
      <c r="H19" s="43">
        <v>11173</v>
      </c>
      <c r="I19" s="43">
        <v>5734182</v>
      </c>
      <c r="K19" s="265"/>
    </row>
    <row r="20" spans="1:20">
      <c r="A20" s="255">
        <f t="shared" si="0"/>
        <v>11</v>
      </c>
      <c r="B20" s="258" t="s">
        <v>498</v>
      </c>
      <c r="C20" s="239" t="s">
        <v>881</v>
      </c>
      <c r="D20" s="203"/>
      <c r="E20" s="43">
        <v>4267</v>
      </c>
      <c r="F20" s="43">
        <v>2055104</v>
      </c>
      <c r="G20" s="432"/>
      <c r="H20" s="43">
        <v>10712</v>
      </c>
      <c r="I20" s="43">
        <v>5839464</v>
      </c>
      <c r="K20" s="240" t="s">
        <v>867</v>
      </c>
      <c r="N20" s="240" t="s">
        <v>868</v>
      </c>
      <c r="O20" s="240"/>
      <c r="R20" s="240" t="s">
        <v>868</v>
      </c>
      <c r="S20" s="240"/>
    </row>
    <row r="21" spans="1:20">
      <c r="A21" s="255">
        <f t="shared" si="0"/>
        <v>12</v>
      </c>
      <c r="B21" s="258" t="s">
        <v>499</v>
      </c>
      <c r="C21" s="239" t="s">
        <v>881</v>
      </c>
      <c r="D21" s="203"/>
      <c r="E21" s="43">
        <v>3862</v>
      </c>
      <c r="F21" s="43">
        <v>1699860</v>
      </c>
      <c r="G21" s="432"/>
      <c r="H21" s="43">
        <v>9636</v>
      </c>
      <c r="I21" s="43">
        <v>5062923</v>
      </c>
      <c r="K21" s="265"/>
      <c r="N21" s="112"/>
      <c r="O21" s="112"/>
      <c r="R21" s="112"/>
      <c r="S21" s="112"/>
    </row>
    <row r="22" spans="1:20" ht="25.5">
      <c r="A22" s="113"/>
      <c r="B22" s="239"/>
      <c r="C22" s="239"/>
      <c r="E22" s="246" t="s">
        <v>766</v>
      </c>
      <c r="F22" s="245" t="s">
        <v>587</v>
      </c>
      <c r="G22" s="166"/>
      <c r="H22" s="246" t="s">
        <v>766</v>
      </c>
      <c r="I22" s="246" t="s">
        <v>587</v>
      </c>
      <c r="K22" s="168" t="s">
        <v>24</v>
      </c>
      <c r="N22" s="433">
        <v>3.4125999999999997E-2</v>
      </c>
      <c r="O22" s="165"/>
      <c r="P22" s="434" t="s">
        <v>1018</v>
      </c>
      <c r="Q22" s="165"/>
      <c r="R22" s="433">
        <v>3.4125999999999997E-2</v>
      </c>
      <c r="S22" s="105"/>
      <c r="T22" s="164" t="s">
        <v>1019</v>
      </c>
    </row>
    <row r="23" spans="1:20">
      <c r="A23" s="113"/>
      <c r="B23" s="239"/>
      <c r="C23" s="239"/>
      <c r="E23" s="246"/>
      <c r="F23" s="245"/>
      <c r="G23" s="166"/>
      <c r="H23" s="246"/>
      <c r="I23" s="246"/>
      <c r="K23" s="265" t="s">
        <v>869</v>
      </c>
      <c r="N23" s="165">
        <v>5.5199999999999999E-2</v>
      </c>
      <c r="O23" s="165"/>
      <c r="P23" s="165"/>
      <c r="Q23" s="165"/>
      <c r="R23" s="165">
        <v>5.5199999999999999E-2</v>
      </c>
      <c r="S23" s="112"/>
      <c r="T23" s="265"/>
    </row>
    <row r="24" spans="1:20" ht="25.5">
      <c r="A24" s="113">
        <f>+A21+1</f>
        <v>13</v>
      </c>
      <c r="B24" s="239" t="s">
        <v>483</v>
      </c>
      <c r="C24" s="239"/>
      <c r="E24" s="55">
        <f>SUM(E10:E23)</f>
        <v>55195</v>
      </c>
      <c r="F24" s="55">
        <f>SUM(F10:F23)</f>
        <v>25371503</v>
      </c>
      <c r="G24" s="166"/>
      <c r="H24" s="55">
        <f>SUM(H10:H23)</f>
        <v>135562</v>
      </c>
      <c r="I24" s="55">
        <f>SUM(I10:I23)</f>
        <v>69910299</v>
      </c>
      <c r="K24" s="265" t="s">
        <v>870</v>
      </c>
      <c r="N24" s="433">
        <v>5.5199999999999999E-2</v>
      </c>
      <c r="O24" s="433"/>
      <c r="P24" s="434" t="s">
        <v>1017</v>
      </c>
      <c r="Q24" s="165"/>
      <c r="R24" s="433">
        <v>5.5199999999999999E-2</v>
      </c>
      <c r="S24" s="105"/>
      <c r="T24" s="164" t="s">
        <v>1020</v>
      </c>
    </row>
    <row r="25" spans="1:20">
      <c r="A25" s="113"/>
      <c r="B25" s="239"/>
      <c r="C25" s="239"/>
      <c r="K25" s="168"/>
      <c r="N25" s="105"/>
      <c r="O25" s="105"/>
      <c r="R25" s="105"/>
      <c r="S25" s="105"/>
    </row>
    <row r="26" spans="1:20">
      <c r="A26" s="113"/>
      <c r="B26" s="239"/>
      <c r="C26" s="239"/>
      <c r="E26" s="238"/>
      <c r="F26" s="238"/>
      <c r="H26" s="238"/>
      <c r="I26" s="238"/>
    </row>
    <row r="27" spans="1:20" ht="25.5">
      <c r="A27" s="113">
        <f>+A24+1</f>
        <v>14</v>
      </c>
      <c r="B27" s="241" t="s">
        <v>871</v>
      </c>
      <c r="C27" s="239"/>
      <c r="E27" s="167">
        <f>N24</f>
        <v>5.5199999999999999E-2</v>
      </c>
      <c r="F27" s="167">
        <f>R24</f>
        <v>5.5199999999999999E-2</v>
      </c>
      <c r="H27" s="167">
        <f>N22</f>
        <v>3.4125999999999997E-2</v>
      </c>
      <c r="I27" s="167">
        <f>R22</f>
        <v>3.4125999999999997E-2</v>
      </c>
      <c r="J27" s="167" t="s">
        <v>494</v>
      </c>
      <c r="K27" s="168" t="s">
        <v>872</v>
      </c>
    </row>
    <row r="28" spans="1:20">
      <c r="A28" s="113"/>
      <c r="B28" s="239"/>
      <c r="C28" s="239"/>
      <c r="E28" s="238"/>
      <c r="F28" s="238"/>
      <c r="H28" s="238"/>
      <c r="I28" s="238"/>
      <c r="K28" s="458" t="s">
        <v>873</v>
      </c>
      <c r="L28" s="458"/>
      <c r="M28" s="458"/>
      <c r="N28" s="458"/>
      <c r="O28" s="458"/>
      <c r="P28" s="458"/>
    </row>
    <row r="29" spans="1:20">
      <c r="A29" s="113"/>
      <c r="B29" s="241"/>
      <c r="C29" s="239"/>
      <c r="E29" s="239" t="s">
        <v>508</v>
      </c>
      <c r="F29" s="239" t="s">
        <v>509</v>
      </c>
      <c r="H29" s="239" t="s">
        <v>508</v>
      </c>
      <c r="I29" s="239" t="s">
        <v>509</v>
      </c>
      <c r="K29" s="458"/>
      <c r="L29" s="458"/>
      <c r="M29" s="458"/>
      <c r="N29" s="458"/>
      <c r="O29" s="458"/>
      <c r="P29" s="458"/>
    </row>
    <row r="30" spans="1:20">
      <c r="A30" s="113"/>
      <c r="B30" s="241"/>
      <c r="C30" s="239"/>
      <c r="E30" s="240" t="s">
        <v>1015</v>
      </c>
      <c r="F30" s="240" t="s">
        <v>1016</v>
      </c>
      <c r="H30" s="240" t="s">
        <v>1015</v>
      </c>
      <c r="I30" s="240" t="s">
        <v>1016</v>
      </c>
      <c r="K30" s="265"/>
    </row>
    <row r="31" spans="1:20">
      <c r="A31" s="113"/>
      <c r="B31" s="241"/>
      <c r="C31" s="239"/>
      <c r="K31" s="265"/>
    </row>
    <row r="32" spans="1:20">
      <c r="B32" s="155"/>
      <c r="C32" s="239"/>
      <c r="K32" s="265"/>
    </row>
    <row r="33" spans="1:11">
      <c r="A33" s="113"/>
      <c r="B33" s="241"/>
      <c r="C33" s="239"/>
      <c r="E33" s="239"/>
      <c r="K33" s="265"/>
    </row>
    <row r="34" spans="1:11">
      <c r="B34" s="239"/>
      <c r="C34" s="239"/>
      <c r="K34" s="265"/>
    </row>
    <row r="35" spans="1:11">
      <c r="B35" s="239"/>
      <c r="C35" s="239"/>
    </row>
    <row r="36" spans="1:11">
      <c r="A36" s="203"/>
      <c r="B36" s="161"/>
      <c r="C36" s="161"/>
      <c r="D36" s="203"/>
      <c r="E36" s="203"/>
      <c r="F36" s="203"/>
      <c r="G36" s="203"/>
      <c r="H36" s="203"/>
      <c r="I36" s="203"/>
      <c r="J36" s="203"/>
    </row>
    <row r="37" spans="1:11">
      <c r="A37" s="439" t="s">
        <v>874</v>
      </c>
      <c r="B37" s="439"/>
      <c r="C37" s="439"/>
      <c r="D37" s="439"/>
      <c r="E37" s="439"/>
      <c r="F37" s="439"/>
      <c r="G37" s="439"/>
      <c r="H37" s="439"/>
      <c r="I37" s="439"/>
      <c r="J37" s="439"/>
    </row>
    <row r="38" spans="1:11">
      <c r="A38" s="203"/>
      <c r="B38" s="161"/>
      <c r="C38" s="161"/>
      <c r="D38" s="203"/>
      <c r="E38" s="203"/>
      <c r="F38" s="203"/>
      <c r="G38" s="203"/>
      <c r="H38" s="203"/>
      <c r="I38" s="203"/>
      <c r="J38" s="203"/>
    </row>
    <row r="39" spans="1:11">
      <c r="A39" s="203"/>
      <c r="B39" s="161"/>
      <c r="C39" s="161"/>
      <c r="D39" s="203"/>
      <c r="E39" s="203"/>
      <c r="F39" s="203"/>
      <c r="G39" s="203"/>
      <c r="H39" s="203"/>
      <c r="I39" s="203"/>
      <c r="J39" s="203"/>
    </row>
  </sheetData>
  <mergeCells count="7">
    <mergeCell ref="K28:P29"/>
    <mergeCell ref="A37:J37"/>
    <mergeCell ref="A1:I1"/>
    <mergeCell ref="A2:I2"/>
    <mergeCell ref="A3:I3"/>
    <mergeCell ref="E7:F7"/>
    <mergeCell ref="H7:I7"/>
  </mergeCells>
  <printOptions horizontalCentered="1" verticalCentered="1"/>
  <pageMargins left="0" right="0" top="0" bottom="0" header="0.5" footer="0.5"/>
  <pageSetup scale="65" orientation="landscape" r:id="rId1"/>
  <headerFooter alignWithMargins="0">
    <oddHeader>&amp;CKENTUCKY POWER COMPANY
JURISDICITONAL COST OF SERVICE
12 MONTHS ENDED SEPTEMBER 30, 2014&amp;RSECTION V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pane ySplit="6" topLeftCell="A7" activePane="bottomLeft" state="frozen"/>
      <selection activeCell="C38" sqref="C38"/>
      <selection pane="bottomLeft" activeCell="E10" sqref="E10"/>
    </sheetView>
  </sheetViews>
  <sheetFormatPr defaultRowHeight="12.75"/>
  <cols>
    <col min="1" max="1" width="4.42578125" style="238" bestFit="1" customWidth="1"/>
    <col min="2" max="2" width="2.28515625" style="191" customWidth="1"/>
    <col min="3" max="3" width="56.140625" style="191" bestFit="1" customWidth="1"/>
    <col min="4" max="4" width="5.7109375" style="265" customWidth="1"/>
    <col min="5" max="5" width="14.42578125" style="191" bestFit="1" customWidth="1"/>
    <col min="6" max="16384" width="9.140625" style="191"/>
  </cols>
  <sheetData>
    <row r="1" spans="1:5">
      <c r="C1" s="239" t="s">
        <v>432</v>
      </c>
      <c r="E1" s="107" t="s">
        <v>607</v>
      </c>
    </row>
    <row r="2" spans="1:5">
      <c r="C2" s="239" t="s">
        <v>608</v>
      </c>
      <c r="E2" s="107" t="s">
        <v>609</v>
      </c>
    </row>
    <row r="3" spans="1:5">
      <c r="C3" s="239" t="s">
        <v>882</v>
      </c>
    </row>
    <row r="4" spans="1:5">
      <c r="D4" s="239"/>
    </row>
    <row r="5" spans="1:5" ht="51">
      <c r="A5" s="51" t="s">
        <v>610</v>
      </c>
      <c r="C5" s="238" t="s">
        <v>7</v>
      </c>
      <c r="D5" s="239"/>
      <c r="E5" s="51" t="s">
        <v>611</v>
      </c>
    </row>
    <row r="6" spans="1:5">
      <c r="A6" s="266">
        <v>-1</v>
      </c>
      <c r="C6" s="113">
        <f>+A6-1</f>
        <v>-2</v>
      </c>
      <c r="D6" s="239"/>
      <c r="E6" s="113">
        <f>+C6-1</f>
        <v>-3</v>
      </c>
    </row>
    <row r="7" spans="1:5">
      <c r="A7" s="113"/>
    </row>
    <row r="8" spans="1:5">
      <c r="A8" s="113">
        <v>1</v>
      </c>
      <c r="C8" s="191" t="s">
        <v>1049</v>
      </c>
      <c r="E8" s="56">
        <f>+'Sch 3'!AE24</f>
        <v>1147480328</v>
      </c>
    </row>
    <row r="9" spans="1:5">
      <c r="A9" s="113"/>
      <c r="E9" s="56"/>
    </row>
    <row r="10" spans="1:5">
      <c r="A10" s="113">
        <f>+A8+1</f>
        <v>2</v>
      </c>
      <c r="C10" s="191" t="s">
        <v>606</v>
      </c>
      <c r="E10" s="105">
        <f>+'2 P1'!K19</f>
        <v>7.7100000000000002E-2</v>
      </c>
    </row>
    <row r="11" spans="1:5">
      <c r="A11" s="113"/>
      <c r="E11" s="267" t="s">
        <v>612</v>
      </c>
    </row>
    <row r="12" spans="1:5">
      <c r="A12" s="113">
        <f>+A10+1</f>
        <v>3</v>
      </c>
      <c r="C12" s="191" t="s">
        <v>613</v>
      </c>
      <c r="E12" s="56">
        <f>ROUND(E8*E10,0)</f>
        <v>88470733</v>
      </c>
    </row>
    <row r="13" spans="1:5">
      <c r="A13" s="113"/>
      <c r="E13" s="197"/>
    </row>
    <row r="14" spans="1:5">
      <c r="A14" s="113">
        <f>+A12+1</f>
        <v>4</v>
      </c>
      <c r="C14" s="191" t="s">
        <v>1035</v>
      </c>
      <c r="E14" s="56">
        <f>'Sch 4'!I41</f>
        <v>91334036.828000069</v>
      </c>
    </row>
    <row r="15" spans="1:5">
      <c r="A15" s="113"/>
      <c r="E15" s="267" t="s">
        <v>612</v>
      </c>
    </row>
    <row r="16" spans="1:5">
      <c r="A16" s="113">
        <f>+A14+1</f>
        <v>5</v>
      </c>
      <c r="C16" s="191" t="s">
        <v>614</v>
      </c>
      <c r="E16" s="56">
        <f>+E12-E14</f>
        <v>-2863303.8280000687</v>
      </c>
    </row>
    <row r="17" spans="1:6">
      <c r="A17" s="113"/>
      <c r="E17" s="197"/>
    </row>
    <row r="18" spans="1:6">
      <c r="A18" s="113">
        <f>+A16+1</f>
        <v>6</v>
      </c>
      <c r="C18" s="191" t="s">
        <v>615</v>
      </c>
      <c r="E18" s="268">
        <f>+'2 P2'!G24</f>
        <v>1.6401790000000001</v>
      </c>
    </row>
    <row r="19" spans="1:6">
      <c r="A19" s="113"/>
      <c r="E19" s="267" t="s">
        <v>612</v>
      </c>
    </row>
    <row r="20" spans="1:6">
      <c r="A20" s="113">
        <f>+A18+1</f>
        <v>7</v>
      </c>
      <c r="C20" s="191" t="s">
        <v>616</v>
      </c>
      <c r="E20" s="56">
        <f>ROUND(E16*E18,0)</f>
        <v>-4696331</v>
      </c>
      <c r="F20" s="191" t="s">
        <v>617</v>
      </c>
    </row>
    <row r="21" spans="1:6">
      <c r="A21" s="113"/>
      <c r="E21" s="267" t="s">
        <v>618</v>
      </c>
    </row>
    <row r="22" spans="1:6">
      <c r="A22" s="113"/>
      <c r="E22" s="269"/>
    </row>
    <row r="23" spans="1:6">
      <c r="A23" s="113"/>
      <c r="E23" s="267"/>
    </row>
    <row r="24" spans="1:6">
      <c r="A24" s="113"/>
      <c r="B24" s="191" t="s">
        <v>617</v>
      </c>
      <c r="C24" s="191" t="s">
        <v>619</v>
      </c>
      <c r="E24" s="56"/>
    </row>
    <row r="25" spans="1:6">
      <c r="A25" s="113"/>
    </row>
    <row r="26" spans="1:6">
      <c r="A26" s="113"/>
    </row>
    <row r="27" spans="1:6">
      <c r="A27" s="113"/>
    </row>
    <row r="28" spans="1:6">
      <c r="A28" s="113"/>
    </row>
    <row r="29" spans="1:6">
      <c r="A29" s="113"/>
    </row>
    <row r="30" spans="1:6">
      <c r="A30" s="113"/>
    </row>
    <row r="31" spans="1:6">
      <c r="A31" s="113"/>
    </row>
    <row r="32" spans="1:6">
      <c r="A32" s="113"/>
    </row>
    <row r="33" spans="1:1">
      <c r="A33" s="113"/>
    </row>
    <row r="34" spans="1:1">
      <c r="A34" s="113"/>
    </row>
    <row r="35" spans="1:1">
      <c r="A35" s="113"/>
    </row>
    <row r="36" spans="1:1">
      <c r="A36" s="113"/>
    </row>
    <row r="37" spans="1:1">
      <c r="A37" s="113"/>
    </row>
    <row r="38" spans="1:1">
      <c r="A38" s="113"/>
    </row>
    <row r="39" spans="1:1">
      <c r="A39" s="113"/>
    </row>
    <row r="40" spans="1:1">
      <c r="A40" s="113"/>
    </row>
    <row r="41" spans="1:1">
      <c r="A41" s="113"/>
    </row>
    <row r="45" spans="1:1">
      <c r="A45" s="118"/>
    </row>
    <row r="46" spans="1:1">
      <c r="A46" s="118"/>
    </row>
    <row r="47" spans="1:1">
      <c r="A47" s="118"/>
    </row>
    <row r="48" spans="1:1">
      <c r="A48" s="118"/>
    </row>
  </sheetData>
  <printOptions horizontalCentered="1"/>
  <pageMargins left="0" right="0" top="1" bottom="0.5" header="0" footer="0"/>
  <pageSetup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K19" sqref="K19"/>
    </sheetView>
  </sheetViews>
  <sheetFormatPr defaultRowHeight="12.75"/>
  <cols>
    <col min="1" max="1" width="4.7109375" style="191" customWidth="1"/>
    <col min="2" max="2" width="3.140625" style="238" customWidth="1"/>
    <col min="3" max="3" width="29.7109375" style="191" bestFit="1" customWidth="1"/>
    <col min="4" max="4" width="2.7109375" style="191" customWidth="1"/>
    <col min="5" max="5" width="14.42578125" style="191" bestFit="1" customWidth="1"/>
    <col min="6" max="6" width="2.7109375" style="191" customWidth="1"/>
    <col min="7" max="7" width="13.7109375" style="191" bestFit="1" customWidth="1"/>
    <col min="8" max="8" width="2.7109375" style="191" customWidth="1"/>
    <col min="9" max="9" width="13.85546875" style="238" bestFit="1" customWidth="1"/>
    <col min="10" max="10" width="4.140625" style="238" customWidth="1"/>
    <col min="11" max="11" width="13.7109375" style="191" bestFit="1" customWidth="1"/>
    <col min="12" max="12" width="2.7109375" style="191" customWidth="1"/>
    <col min="13" max="13" width="11.140625" style="191" bestFit="1" customWidth="1"/>
    <col min="14" max="14" width="2.7109375" style="191" customWidth="1"/>
    <col min="15" max="15" width="12.7109375" style="191" bestFit="1" customWidth="1"/>
    <col min="16" max="16" width="2.7109375" style="191" customWidth="1"/>
    <col min="17" max="17" width="13.7109375" style="191" bestFit="1" customWidth="1"/>
    <col min="18" max="18" width="2.7109375" style="191" customWidth="1"/>
    <col min="19" max="19" width="19" style="191" bestFit="1" customWidth="1"/>
    <col min="20" max="16384" width="9.140625" style="191"/>
  </cols>
  <sheetData>
    <row r="1" spans="1:19">
      <c r="F1" s="238" t="s">
        <v>339</v>
      </c>
      <c r="K1" s="107" t="s">
        <v>607</v>
      </c>
    </row>
    <row r="2" spans="1:19">
      <c r="F2" s="238" t="s">
        <v>620</v>
      </c>
      <c r="K2" s="107" t="s">
        <v>621</v>
      </c>
    </row>
    <row r="3" spans="1:19">
      <c r="F3" s="74" t="s">
        <v>908</v>
      </c>
      <c r="K3" s="107" t="s">
        <v>622</v>
      </c>
    </row>
    <row r="5" spans="1:19">
      <c r="E5" s="238" t="s">
        <v>623</v>
      </c>
      <c r="I5" s="238" t="s">
        <v>624</v>
      </c>
      <c r="K5" s="238" t="s">
        <v>625</v>
      </c>
    </row>
    <row r="6" spans="1:19">
      <c r="A6" s="238"/>
      <c r="C6" s="238"/>
      <c r="D6" s="238"/>
      <c r="E6" s="238" t="s">
        <v>626</v>
      </c>
      <c r="F6" s="238"/>
      <c r="G6" s="238" t="s">
        <v>627</v>
      </c>
      <c r="H6" s="238"/>
      <c r="I6" s="238" t="s">
        <v>628</v>
      </c>
      <c r="K6" s="238" t="s">
        <v>629</v>
      </c>
      <c r="L6" s="238"/>
      <c r="M6" s="238"/>
      <c r="N6" s="238"/>
      <c r="O6" s="238"/>
      <c r="P6" s="238"/>
      <c r="Q6" s="238"/>
      <c r="R6" s="238"/>
      <c r="S6" s="238"/>
    </row>
    <row r="7" spans="1:19">
      <c r="A7" s="238" t="s">
        <v>2</v>
      </c>
      <c r="C7" s="238"/>
      <c r="D7" s="238"/>
      <c r="E7" s="238" t="s">
        <v>630</v>
      </c>
      <c r="F7" s="238"/>
      <c r="G7" s="238" t="s">
        <v>631</v>
      </c>
      <c r="H7" s="238"/>
      <c r="I7" s="238" t="s">
        <v>627</v>
      </c>
      <c r="K7" s="238" t="s">
        <v>628</v>
      </c>
      <c r="L7" s="238"/>
      <c r="M7" s="238"/>
      <c r="N7" s="238"/>
      <c r="O7" s="238"/>
      <c r="P7" s="238"/>
      <c r="Q7" s="238"/>
      <c r="R7" s="238"/>
      <c r="S7" s="238"/>
    </row>
    <row r="8" spans="1:19">
      <c r="A8" s="74" t="s">
        <v>6</v>
      </c>
      <c r="B8" s="74"/>
      <c r="C8" s="74" t="s">
        <v>7</v>
      </c>
      <c r="D8" s="74"/>
      <c r="E8" s="74" t="s">
        <v>632</v>
      </c>
      <c r="F8" s="74"/>
      <c r="G8" s="74" t="s">
        <v>483</v>
      </c>
      <c r="H8" s="74"/>
      <c r="I8" s="74" t="s">
        <v>633</v>
      </c>
      <c r="J8" s="74"/>
      <c r="K8" s="74" t="s">
        <v>634</v>
      </c>
      <c r="L8" s="74"/>
      <c r="M8" s="74"/>
      <c r="N8" s="74"/>
      <c r="O8" s="74"/>
      <c r="P8" s="74"/>
      <c r="Q8" s="74"/>
      <c r="R8" s="74"/>
      <c r="S8" s="74"/>
    </row>
    <row r="9" spans="1:19">
      <c r="A9" s="270">
        <v>-1</v>
      </c>
      <c r="B9" s="270"/>
      <c r="C9" s="270">
        <v>-2</v>
      </c>
      <c r="D9" s="270"/>
      <c r="E9" s="270">
        <v>-3</v>
      </c>
      <c r="F9" s="270"/>
      <c r="G9" s="270">
        <v>-4</v>
      </c>
      <c r="H9" s="270"/>
      <c r="I9" s="270">
        <v>-5</v>
      </c>
      <c r="J9" s="270"/>
      <c r="K9" s="51" t="s">
        <v>635</v>
      </c>
      <c r="L9" s="270"/>
      <c r="M9" s="270"/>
      <c r="N9" s="270"/>
      <c r="O9" s="270"/>
      <c r="P9" s="270"/>
      <c r="Q9" s="270"/>
      <c r="R9" s="270"/>
      <c r="S9" s="270"/>
    </row>
    <row r="10" spans="1:19">
      <c r="A10" s="271"/>
      <c r="B10" s="270"/>
      <c r="C10" s="271"/>
      <c r="D10" s="271"/>
      <c r="E10" s="271"/>
      <c r="F10" s="271"/>
      <c r="G10" s="271"/>
      <c r="H10" s="271"/>
      <c r="I10" s="270"/>
      <c r="J10" s="270"/>
      <c r="K10" s="271"/>
      <c r="L10" s="271"/>
      <c r="M10" s="271"/>
      <c r="N10" s="271"/>
      <c r="O10" s="271"/>
      <c r="P10" s="271"/>
      <c r="Q10" s="271"/>
      <c r="R10" s="271"/>
      <c r="S10" s="271"/>
    </row>
    <row r="11" spans="1:19">
      <c r="A11" s="238">
        <v>1</v>
      </c>
      <c r="C11" s="191" t="s">
        <v>636</v>
      </c>
      <c r="E11" s="56">
        <f>+'Sch 3'!AE12</f>
        <v>607976387</v>
      </c>
      <c r="F11" s="56"/>
      <c r="G11" s="112">
        <f>ROUND(E11/$E$19,5)</f>
        <v>0.52983999999999998</v>
      </c>
      <c r="H11" s="56"/>
      <c r="I11" s="167">
        <f>+'3 P1'!S44</f>
        <v>5.4100000000000002E-2</v>
      </c>
      <c r="J11" s="239" t="s">
        <v>637</v>
      </c>
      <c r="K11" s="112">
        <f>ROUND(G11*I11,4)</f>
        <v>2.87E-2</v>
      </c>
      <c r="L11" s="56"/>
      <c r="M11" s="56"/>
      <c r="N11" s="56"/>
      <c r="O11" s="56"/>
      <c r="P11" s="56"/>
      <c r="Q11" s="56"/>
      <c r="R11" s="56"/>
      <c r="S11" s="56"/>
    </row>
    <row r="12" spans="1:19">
      <c r="A12" s="238"/>
      <c r="E12" s="56"/>
      <c r="F12" s="56"/>
      <c r="G12" s="112"/>
      <c r="H12" s="56"/>
      <c r="I12" s="114"/>
      <c r="J12" s="239"/>
      <c r="K12" s="112"/>
      <c r="L12" s="56"/>
      <c r="M12" s="56"/>
      <c r="N12" s="56"/>
      <c r="O12" s="56"/>
      <c r="P12" s="56"/>
      <c r="Q12" s="56"/>
      <c r="R12" s="56"/>
      <c r="S12" s="56"/>
    </row>
    <row r="13" spans="1:19">
      <c r="A13" s="238">
        <v>2</v>
      </c>
      <c r="C13" s="191" t="s">
        <v>638</v>
      </c>
      <c r="E13" s="55">
        <f>+'Sch 3'!AE14</f>
        <v>-30904414</v>
      </c>
      <c r="F13" s="55"/>
      <c r="G13" s="112">
        <f>ROUND(E13/$E$19,5)</f>
        <v>-2.6929999999999999E-2</v>
      </c>
      <c r="H13" s="55"/>
      <c r="I13" s="167">
        <f>+'3 P2'!F41</f>
        <v>2.5000000000000001E-3</v>
      </c>
      <c r="J13" s="239" t="s">
        <v>639</v>
      </c>
      <c r="K13" s="112">
        <f>ROUND(G13*I13,4)</f>
        <v>-1E-4</v>
      </c>
      <c r="L13" s="55"/>
      <c r="M13" s="55"/>
      <c r="N13" s="55"/>
      <c r="O13" s="55"/>
      <c r="P13" s="55"/>
      <c r="Q13" s="55"/>
      <c r="R13" s="55"/>
      <c r="S13" s="55"/>
    </row>
    <row r="14" spans="1:19">
      <c r="A14" s="238"/>
      <c r="E14" s="55"/>
      <c r="F14" s="55"/>
      <c r="G14" s="112"/>
      <c r="H14" s="55"/>
      <c r="I14" s="113"/>
      <c r="J14" s="239"/>
      <c r="K14" s="112"/>
      <c r="L14" s="55"/>
      <c r="M14" s="55"/>
      <c r="N14" s="55"/>
      <c r="O14" s="55"/>
      <c r="P14" s="55"/>
      <c r="Q14" s="55"/>
      <c r="R14" s="55"/>
      <c r="S14" s="55"/>
    </row>
    <row r="15" spans="1:19">
      <c r="A15" s="238">
        <v>3</v>
      </c>
      <c r="C15" s="191" t="s">
        <v>640</v>
      </c>
      <c r="E15" s="55">
        <f>+'Sch 3'!AE16</f>
        <v>51835783</v>
      </c>
      <c r="F15" s="55"/>
      <c r="G15" s="112">
        <f>ROUND(E15/$E$19,5)</f>
        <v>4.5170000000000002E-2</v>
      </c>
      <c r="H15" s="55"/>
      <c r="I15" s="167">
        <v>1.0699999999999999E-2</v>
      </c>
      <c r="J15" s="239" t="s">
        <v>641</v>
      </c>
      <c r="K15" s="112">
        <f>ROUND(G15*I15,4)</f>
        <v>5.0000000000000001E-4</v>
      </c>
      <c r="L15" s="55"/>
      <c r="M15" s="55"/>
      <c r="N15" s="55"/>
      <c r="O15" s="55"/>
      <c r="P15" s="55"/>
      <c r="Q15" s="55"/>
      <c r="R15" s="55"/>
      <c r="S15" s="55"/>
    </row>
    <row r="16" spans="1:19">
      <c r="A16" s="238"/>
      <c r="E16" s="55"/>
      <c r="F16" s="55"/>
      <c r="G16" s="112"/>
      <c r="H16" s="55"/>
      <c r="I16" s="113"/>
      <c r="J16" s="239"/>
      <c r="K16" s="112"/>
      <c r="L16" s="55"/>
      <c r="M16" s="55"/>
      <c r="N16" s="55"/>
      <c r="O16" s="55"/>
      <c r="P16" s="55"/>
      <c r="Q16" s="55"/>
      <c r="R16" s="55"/>
      <c r="S16" s="55"/>
    </row>
    <row r="17" spans="1:19">
      <c r="A17" s="238">
        <v>4</v>
      </c>
      <c r="C17" s="191" t="s">
        <v>642</v>
      </c>
      <c r="E17" s="55">
        <f>+'Sch 3'!AE18</f>
        <v>518572572</v>
      </c>
      <c r="F17" s="55"/>
      <c r="G17" s="112">
        <f>ROUND(E17/$E$19,5)</f>
        <v>0.45191999999999999</v>
      </c>
      <c r="H17" s="55"/>
      <c r="I17" s="272">
        <v>0.1062</v>
      </c>
      <c r="J17" s="239" t="s">
        <v>643</v>
      </c>
      <c r="K17" s="112">
        <f>ROUND(G17*I17,4)</f>
        <v>4.8000000000000001E-2</v>
      </c>
      <c r="L17" s="55"/>
      <c r="M17" s="55"/>
      <c r="N17" s="55"/>
      <c r="O17" s="55"/>
      <c r="P17" s="55"/>
      <c r="Q17" s="55"/>
      <c r="R17" s="55"/>
      <c r="S17" s="55"/>
    </row>
    <row r="18" spans="1:19">
      <c r="A18" s="238"/>
      <c r="E18" s="239" t="s">
        <v>644</v>
      </c>
      <c r="F18" s="114"/>
      <c r="G18" s="239" t="s">
        <v>644</v>
      </c>
      <c r="H18" s="114"/>
      <c r="I18" s="239"/>
      <c r="J18" s="239"/>
      <c r="K18" s="239" t="s">
        <v>644</v>
      </c>
      <c r="L18" s="114"/>
      <c r="M18" s="239"/>
      <c r="N18" s="114"/>
      <c r="O18" s="239"/>
      <c r="P18" s="114"/>
      <c r="Q18" s="239"/>
      <c r="R18" s="114"/>
      <c r="S18" s="245"/>
    </row>
    <row r="19" spans="1:19">
      <c r="A19" s="238">
        <v>5</v>
      </c>
      <c r="C19" s="191" t="s">
        <v>483</v>
      </c>
      <c r="E19" s="56">
        <f>SUM(E11:E17)</f>
        <v>1147480328</v>
      </c>
      <c r="F19" s="55"/>
      <c r="G19" s="112">
        <f>SUM(G11:G18)</f>
        <v>1</v>
      </c>
      <c r="H19" s="55"/>
      <c r="I19" s="113"/>
      <c r="J19" s="239"/>
      <c r="K19" s="105">
        <f>SUM(K11:K18)</f>
        <v>7.7100000000000002E-2</v>
      </c>
      <c r="L19" s="55"/>
      <c r="M19" s="55"/>
      <c r="N19" s="55"/>
      <c r="O19" s="55"/>
      <c r="P19" s="55"/>
      <c r="Q19" s="55"/>
      <c r="R19" s="55"/>
      <c r="S19" s="55"/>
    </row>
    <row r="20" spans="1:19">
      <c r="A20" s="238"/>
      <c r="E20" s="239" t="s">
        <v>645</v>
      </c>
      <c r="F20" s="55"/>
      <c r="G20" s="239" t="s">
        <v>645</v>
      </c>
      <c r="H20" s="55"/>
      <c r="I20" s="113"/>
      <c r="J20" s="239"/>
      <c r="K20" s="239" t="s">
        <v>645</v>
      </c>
      <c r="L20" s="55"/>
      <c r="M20" s="55"/>
      <c r="N20" s="55"/>
      <c r="O20" s="55"/>
      <c r="P20" s="55"/>
      <c r="Q20" s="55"/>
      <c r="R20" s="55"/>
      <c r="S20" s="55"/>
    </row>
    <row r="21" spans="1:19">
      <c r="A21" s="238"/>
      <c r="E21" s="55"/>
      <c r="F21" s="55"/>
      <c r="G21" s="112"/>
      <c r="H21" s="55"/>
      <c r="I21" s="113"/>
      <c r="J21" s="113"/>
      <c r="K21" s="55"/>
      <c r="L21" s="55"/>
      <c r="M21" s="55"/>
      <c r="N21" s="55"/>
      <c r="O21" s="55"/>
      <c r="P21" s="55"/>
      <c r="Q21" s="55"/>
      <c r="R21" s="55"/>
      <c r="S21" s="55"/>
    </row>
    <row r="22" spans="1:19">
      <c r="A22" s="238"/>
      <c r="E22" s="239"/>
      <c r="F22" s="114"/>
      <c r="G22" s="167"/>
      <c r="H22" s="114"/>
      <c r="I22" s="239"/>
      <c r="J22" s="114"/>
      <c r="K22" s="239"/>
      <c r="L22" s="114"/>
      <c r="M22" s="239"/>
      <c r="N22" s="114"/>
      <c r="O22" s="239"/>
      <c r="P22" s="114"/>
      <c r="Q22" s="239"/>
      <c r="R22" s="114"/>
      <c r="S22" s="245"/>
    </row>
    <row r="23" spans="1:19">
      <c r="A23" s="238"/>
      <c r="B23" s="239" t="s">
        <v>646</v>
      </c>
      <c r="C23" s="191" t="s">
        <v>647</v>
      </c>
      <c r="E23" s="56"/>
      <c r="F23" s="56"/>
      <c r="G23" s="56"/>
      <c r="H23" s="56"/>
      <c r="I23" s="114"/>
      <c r="J23" s="114"/>
      <c r="K23" s="56"/>
      <c r="L23" s="56"/>
      <c r="M23" s="56"/>
      <c r="N23" s="56"/>
      <c r="O23" s="56"/>
      <c r="P23" s="56"/>
      <c r="Q23" s="56"/>
      <c r="R23" s="56"/>
      <c r="S23" s="56"/>
    </row>
    <row r="24" spans="1:19">
      <c r="A24" s="238"/>
      <c r="B24" s="239" t="s">
        <v>637</v>
      </c>
      <c r="C24" s="191" t="s">
        <v>1037</v>
      </c>
      <c r="E24" s="239"/>
      <c r="F24" s="238"/>
      <c r="G24" s="239"/>
      <c r="H24" s="238"/>
      <c r="I24" s="239"/>
      <c r="K24" s="239"/>
      <c r="L24" s="238"/>
      <c r="M24" s="239"/>
      <c r="N24" s="238"/>
      <c r="O24" s="239"/>
      <c r="P24" s="238"/>
      <c r="Q24" s="239"/>
      <c r="R24" s="238"/>
      <c r="S24" s="245"/>
    </row>
    <row r="25" spans="1:19">
      <c r="A25" s="238"/>
      <c r="B25" s="239" t="s">
        <v>639</v>
      </c>
      <c r="C25" s="191" t="s">
        <v>648</v>
      </c>
      <c r="E25" s="239"/>
      <c r="F25" s="238"/>
      <c r="G25" s="239"/>
      <c r="H25" s="238"/>
      <c r="I25" s="239"/>
      <c r="K25" s="239"/>
      <c r="L25" s="238"/>
      <c r="M25" s="239"/>
      <c r="N25" s="238"/>
      <c r="O25" s="239"/>
      <c r="P25" s="238"/>
      <c r="Q25" s="239"/>
      <c r="R25" s="238"/>
      <c r="S25" s="245"/>
    </row>
    <row r="26" spans="1:19">
      <c r="A26" s="238"/>
      <c r="B26" s="239" t="s">
        <v>649</v>
      </c>
      <c r="C26" s="191" t="s">
        <v>650</v>
      </c>
      <c r="E26" s="273"/>
    </row>
    <row r="27" spans="1:19">
      <c r="A27" s="238"/>
      <c r="B27" s="239" t="s">
        <v>641</v>
      </c>
      <c r="C27" s="191" t="s">
        <v>967</v>
      </c>
    </row>
    <row r="28" spans="1:19">
      <c r="A28" s="238"/>
      <c r="B28" s="239" t="s">
        <v>643</v>
      </c>
      <c r="C28" s="191" t="s">
        <v>1036</v>
      </c>
    </row>
    <row r="29" spans="1:19">
      <c r="B29" s="239"/>
    </row>
    <row r="30" spans="1:19">
      <c r="B30" s="239"/>
    </row>
    <row r="31" spans="1:19">
      <c r="B31" s="239"/>
    </row>
    <row r="32" spans="1:19">
      <c r="B32" s="239"/>
    </row>
    <row r="33" spans="2:2">
      <c r="B33" s="239"/>
    </row>
  </sheetData>
  <printOptions horizontalCentered="1"/>
  <pageMargins left="0.75" right="0" top="1" bottom="0.5" header="0" footer="0"/>
  <pageSetup scale="8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pane ySplit="7" topLeftCell="A8" activePane="bottomLeft" state="frozen"/>
      <selection activeCell="L31" sqref="L31"/>
      <selection pane="bottomLeft" activeCell="G24" sqref="G24"/>
    </sheetView>
  </sheetViews>
  <sheetFormatPr defaultRowHeight="12.75"/>
  <cols>
    <col min="1" max="1" width="4.42578125" style="238" bestFit="1" customWidth="1"/>
    <col min="2" max="2" width="2.28515625" style="191" customWidth="1"/>
    <col min="3" max="3" width="42.5703125" style="191" bestFit="1" customWidth="1"/>
    <col min="4" max="4" width="8.7109375" style="265" customWidth="1"/>
    <col min="5" max="5" width="10.140625" style="191" bestFit="1" customWidth="1"/>
    <col min="6" max="6" width="2.28515625" style="191" customWidth="1"/>
    <col min="7" max="7" width="13.7109375" style="191" bestFit="1" customWidth="1"/>
    <col min="8" max="8" width="2.28515625" style="191" customWidth="1"/>
    <col min="9" max="16384" width="9.140625" style="191"/>
  </cols>
  <sheetData>
    <row r="1" spans="1:7">
      <c r="C1" s="440" t="s">
        <v>432</v>
      </c>
      <c r="D1" s="441"/>
      <c r="E1" s="441"/>
      <c r="F1" s="274"/>
      <c r="G1" s="107" t="s">
        <v>607</v>
      </c>
    </row>
    <row r="2" spans="1:7">
      <c r="C2" s="440" t="s">
        <v>651</v>
      </c>
      <c r="D2" s="441"/>
      <c r="E2" s="441"/>
      <c r="F2" s="274"/>
      <c r="G2" s="107" t="s">
        <v>621</v>
      </c>
    </row>
    <row r="3" spans="1:7">
      <c r="C3" s="440" t="s">
        <v>652</v>
      </c>
      <c r="D3" s="441"/>
      <c r="E3" s="441"/>
      <c r="F3" s="274"/>
      <c r="G3" s="107" t="s">
        <v>653</v>
      </c>
    </row>
    <row r="4" spans="1:7">
      <c r="C4" s="440" t="s">
        <v>907</v>
      </c>
      <c r="D4" s="441"/>
      <c r="E4" s="441"/>
      <c r="F4" s="274"/>
    </row>
    <row r="5" spans="1:7">
      <c r="D5" s="239"/>
    </row>
    <row r="6" spans="1:7" ht="51">
      <c r="A6" s="51" t="s">
        <v>610</v>
      </c>
      <c r="C6" s="238" t="s">
        <v>7</v>
      </c>
      <c r="D6" s="239"/>
      <c r="E6" s="51"/>
      <c r="F6" s="51"/>
      <c r="G6" s="51" t="s">
        <v>611</v>
      </c>
    </row>
    <row r="7" spans="1:7">
      <c r="A7" s="266">
        <v>-1</v>
      </c>
      <c r="C7" s="113">
        <f>+A7-1</f>
        <v>-2</v>
      </c>
      <c r="D7" s="239"/>
      <c r="E7" s="113"/>
      <c r="F7" s="113"/>
      <c r="G7" s="113">
        <f>+C7-1</f>
        <v>-3</v>
      </c>
    </row>
    <row r="8" spans="1:7">
      <c r="A8" s="113"/>
    </row>
    <row r="9" spans="1:7">
      <c r="A9" s="113">
        <v>1</v>
      </c>
      <c r="C9" s="191" t="s">
        <v>585</v>
      </c>
      <c r="E9" s="56"/>
      <c r="F9" s="56"/>
      <c r="G9" s="112">
        <v>1</v>
      </c>
    </row>
    <row r="10" spans="1:7">
      <c r="A10" s="113"/>
      <c r="E10" s="56"/>
      <c r="F10" s="56"/>
      <c r="G10" s="112"/>
    </row>
    <row r="11" spans="1:7">
      <c r="A11" s="113">
        <f>+A9+1</f>
        <v>2</v>
      </c>
      <c r="C11" s="191" t="s">
        <v>654</v>
      </c>
      <c r="E11" s="56"/>
      <c r="F11" s="56"/>
      <c r="G11" s="112">
        <f>+'2 P3'!G19</f>
        <v>3.0000000000000001E-3</v>
      </c>
    </row>
    <row r="12" spans="1:7">
      <c r="A12" s="113">
        <f>+A11+1</f>
        <v>3</v>
      </c>
      <c r="C12" s="191" t="s">
        <v>655</v>
      </c>
      <c r="E12" s="56"/>
      <c r="F12" s="56"/>
      <c r="G12" s="112">
        <v>1.952E-3</v>
      </c>
    </row>
    <row r="13" spans="1:7">
      <c r="A13" s="113"/>
      <c r="E13" s="56"/>
      <c r="F13" s="56"/>
      <c r="G13" s="267" t="s">
        <v>612</v>
      </c>
    </row>
    <row r="14" spans="1:7">
      <c r="A14" s="113">
        <f>+A12+1</f>
        <v>4</v>
      </c>
      <c r="C14" s="191" t="s">
        <v>656</v>
      </c>
      <c r="E14" s="56"/>
      <c r="F14" s="56"/>
      <c r="G14" s="112">
        <f>+G9-G11-G12</f>
        <v>0.99504800000000004</v>
      </c>
    </row>
    <row r="15" spans="1:7">
      <c r="A15" s="113"/>
      <c r="E15" s="275"/>
      <c r="F15" s="245"/>
      <c r="G15" s="267"/>
    </row>
    <row r="16" spans="1:7">
      <c r="A16" s="113">
        <f>+A14+1</f>
        <v>5</v>
      </c>
      <c r="C16" s="191" t="s">
        <v>1038</v>
      </c>
      <c r="E16" s="276">
        <f>+G52</f>
        <v>5.7347999999999996E-2</v>
      </c>
      <c r="F16" s="277"/>
      <c r="G16" s="112">
        <f>ROUND(G14*E16,6)</f>
        <v>5.7063999999999997E-2</v>
      </c>
    </row>
    <row r="17" spans="1:7">
      <c r="A17" s="113"/>
      <c r="E17" s="275"/>
      <c r="F17" s="245"/>
      <c r="G17" s="267" t="s">
        <v>612</v>
      </c>
    </row>
    <row r="18" spans="1:7">
      <c r="A18" s="113">
        <f t="shared" ref="A18:A24" si="0">+A16+1</f>
        <v>6</v>
      </c>
      <c r="C18" s="191" t="s">
        <v>657</v>
      </c>
      <c r="E18" s="278"/>
      <c r="F18" s="56"/>
      <c r="G18" s="112">
        <f>+G14-G16</f>
        <v>0.93798400000000004</v>
      </c>
    </row>
    <row r="19" spans="1:7">
      <c r="A19" s="113"/>
      <c r="E19" s="275"/>
      <c r="F19" s="245"/>
      <c r="G19" s="267"/>
    </row>
    <row r="20" spans="1:7">
      <c r="A20" s="113">
        <f t="shared" si="0"/>
        <v>7</v>
      </c>
      <c r="C20" s="191" t="s">
        <v>658</v>
      </c>
      <c r="E20" s="279">
        <v>0.35</v>
      </c>
      <c r="F20" s="112"/>
      <c r="G20" s="112">
        <f>ROUND(G18*E20,8)</f>
        <v>0.32829439999999999</v>
      </c>
    </row>
    <row r="21" spans="1:7">
      <c r="A21" s="113"/>
      <c r="E21" s="278"/>
      <c r="F21" s="56"/>
      <c r="G21" s="112"/>
    </row>
    <row r="22" spans="1:7">
      <c r="A22" s="113">
        <f t="shared" si="0"/>
        <v>8</v>
      </c>
      <c r="C22" s="191" t="s">
        <v>659</v>
      </c>
      <c r="E22" s="278"/>
      <c r="F22" s="56"/>
      <c r="G22" s="112">
        <f>+G18-G20</f>
        <v>0.60968960000000005</v>
      </c>
    </row>
    <row r="23" spans="1:7">
      <c r="A23" s="113"/>
      <c r="E23" s="56"/>
      <c r="F23" s="56"/>
      <c r="G23" s="267" t="s">
        <v>612</v>
      </c>
    </row>
    <row r="24" spans="1:7">
      <c r="A24" s="113">
        <f t="shared" si="0"/>
        <v>9</v>
      </c>
      <c r="C24" s="191" t="s">
        <v>660</v>
      </c>
      <c r="E24" s="56"/>
      <c r="F24" s="56"/>
      <c r="G24" s="280">
        <f>ROUND(100/G22/100,6)</f>
        <v>1.6401790000000001</v>
      </c>
    </row>
    <row r="25" spans="1:7">
      <c r="A25" s="113"/>
      <c r="E25" s="56"/>
      <c r="F25" s="56"/>
      <c r="G25" s="267" t="s">
        <v>618</v>
      </c>
    </row>
    <row r="26" spans="1:7">
      <c r="A26" s="113"/>
      <c r="E26" s="56"/>
      <c r="F26" s="56"/>
    </row>
    <row r="27" spans="1:7">
      <c r="A27" s="113"/>
      <c r="E27" s="56"/>
      <c r="F27" s="56"/>
    </row>
    <row r="28" spans="1:7">
      <c r="A28" s="113"/>
      <c r="C28" s="191" t="s">
        <v>661</v>
      </c>
      <c r="E28" s="56"/>
      <c r="F28" s="56"/>
    </row>
    <row r="29" spans="1:7">
      <c r="A29" s="113"/>
      <c r="E29" s="56"/>
      <c r="F29" s="56"/>
    </row>
    <row r="30" spans="1:7">
      <c r="A30" s="113"/>
      <c r="C30" s="191" t="s">
        <v>662</v>
      </c>
      <c r="E30" s="56"/>
      <c r="F30" s="56"/>
    </row>
    <row r="31" spans="1:7">
      <c r="A31" s="113"/>
      <c r="E31" s="281"/>
    </row>
    <row r="32" spans="1:7">
      <c r="A32" s="113"/>
      <c r="C32" s="191" t="s">
        <v>663</v>
      </c>
      <c r="E32" s="279">
        <v>9.5000000000000001E-2</v>
      </c>
    </row>
    <row r="33" spans="1:7">
      <c r="A33" s="113"/>
      <c r="C33" s="191" t="s">
        <v>664</v>
      </c>
      <c r="E33" s="276">
        <v>1.4511E-2</v>
      </c>
    </row>
    <row r="34" spans="1:7">
      <c r="A34" s="113"/>
      <c r="E34" s="275" t="s">
        <v>665</v>
      </c>
    </row>
    <row r="35" spans="1:7">
      <c r="A35" s="113"/>
      <c r="C35" s="191" t="s">
        <v>666</v>
      </c>
      <c r="E35" s="279"/>
      <c r="G35" s="282">
        <f>ROUND(E32*E33,6)</f>
        <v>1.379E-3</v>
      </c>
    </row>
    <row r="36" spans="1:7">
      <c r="A36" s="113"/>
      <c r="E36" s="279"/>
    </row>
    <row r="37" spans="1:7">
      <c r="A37" s="113"/>
      <c r="C37" s="191" t="s">
        <v>667</v>
      </c>
      <c r="E37" s="279">
        <v>0.06</v>
      </c>
    </row>
    <row r="38" spans="1:7">
      <c r="A38" s="113"/>
      <c r="C38" s="191" t="s">
        <v>664</v>
      </c>
      <c r="E38" s="276">
        <v>0.73902999999999996</v>
      </c>
    </row>
    <row r="39" spans="1:7">
      <c r="A39" s="113"/>
      <c r="E39" s="275" t="s">
        <v>665</v>
      </c>
    </row>
    <row r="40" spans="1:7">
      <c r="A40" s="113"/>
      <c r="C40" s="191" t="s">
        <v>668</v>
      </c>
      <c r="E40" s="281"/>
      <c r="G40" s="282">
        <f>ROUND(E37*E38,6)</f>
        <v>4.4341999999999999E-2</v>
      </c>
    </row>
    <row r="41" spans="1:7">
      <c r="A41" s="113"/>
      <c r="E41" s="281"/>
    </row>
    <row r="42" spans="1:7">
      <c r="A42" s="113"/>
      <c r="C42" s="191" t="s">
        <v>669</v>
      </c>
      <c r="E42" s="279">
        <v>0.06</v>
      </c>
      <c r="F42" s="112"/>
      <c r="G42" s="112"/>
    </row>
    <row r="43" spans="1:7">
      <c r="A43" s="113"/>
      <c r="C43" s="191" t="s">
        <v>664</v>
      </c>
      <c r="E43" s="276">
        <v>1.0690000000000001E-3</v>
      </c>
      <c r="F43" s="112"/>
      <c r="G43" s="112"/>
    </row>
    <row r="44" spans="1:7">
      <c r="A44" s="113"/>
      <c r="E44" s="275" t="s">
        <v>665</v>
      </c>
      <c r="F44" s="245"/>
      <c r="G44" s="112"/>
    </row>
    <row r="45" spans="1:7">
      <c r="A45" s="113"/>
      <c r="C45" s="191" t="s">
        <v>670</v>
      </c>
      <c r="E45" s="279"/>
      <c r="F45" s="112"/>
      <c r="G45" s="277">
        <f>ROUND(E42*E43,6)</f>
        <v>6.3999999999999997E-5</v>
      </c>
    </row>
    <row r="46" spans="1:7">
      <c r="A46" s="113"/>
      <c r="E46" s="279"/>
      <c r="F46" s="112"/>
      <c r="G46" s="277"/>
    </row>
    <row r="47" spans="1:7">
      <c r="A47" s="113"/>
      <c r="C47" s="191" t="s">
        <v>671</v>
      </c>
      <c r="E47" s="279">
        <v>6.5000000000000002E-2</v>
      </c>
      <c r="F47" s="112"/>
      <c r="G47" s="277"/>
    </row>
    <row r="48" spans="1:7">
      <c r="A48" s="113"/>
      <c r="C48" s="191" t="s">
        <v>664</v>
      </c>
      <c r="E48" s="276">
        <v>0.17788999999999999</v>
      </c>
      <c r="F48" s="277"/>
      <c r="G48" s="277"/>
    </row>
    <row r="49" spans="1:7">
      <c r="A49" s="113"/>
      <c r="E49" s="245" t="s">
        <v>665</v>
      </c>
      <c r="F49" s="245"/>
      <c r="G49" s="277"/>
    </row>
    <row r="50" spans="1:7">
      <c r="A50" s="113"/>
      <c r="C50" s="191" t="s">
        <v>672</v>
      </c>
      <c r="E50" s="112"/>
      <c r="F50" s="112"/>
      <c r="G50" s="277">
        <f>ROUND(E47*E48,6)</f>
        <v>1.1563E-2</v>
      </c>
    </row>
    <row r="51" spans="1:7">
      <c r="E51" s="112"/>
      <c r="F51" s="112"/>
      <c r="G51" s="283" t="s">
        <v>665</v>
      </c>
    </row>
    <row r="52" spans="1:7">
      <c r="A52" s="118"/>
      <c r="C52" s="191" t="s">
        <v>673</v>
      </c>
      <c r="E52" s="112"/>
      <c r="F52" s="112"/>
      <c r="G52" s="277">
        <f>SUM(G35:G51)</f>
        <v>5.7347999999999996E-2</v>
      </c>
    </row>
    <row r="53" spans="1:7">
      <c r="A53" s="118"/>
      <c r="E53" s="112"/>
      <c r="F53" s="112"/>
      <c r="G53" s="245" t="s">
        <v>509</v>
      </c>
    </row>
    <row r="54" spans="1:7">
      <c r="A54" s="118"/>
      <c r="E54" s="112"/>
      <c r="F54" s="112"/>
      <c r="G54" s="112"/>
    </row>
    <row r="55" spans="1:7">
      <c r="A55" s="118"/>
      <c r="E55" s="112"/>
      <c r="F55" s="112"/>
      <c r="G55" s="112"/>
    </row>
    <row r="56" spans="1:7">
      <c r="E56" s="112"/>
      <c r="F56" s="112"/>
      <c r="G56" s="112"/>
    </row>
    <row r="57" spans="1:7">
      <c r="E57" s="112"/>
      <c r="F57" s="112"/>
      <c r="G57" s="112"/>
    </row>
    <row r="58" spans="1:7">
      <c r="E58" s="112"/>
      <c r="F58" s="112"/>
      <c r="G58" s="112"/>
    </row>
    <row r="59" spans="1:7">
      <c r="E59" s="112"/>
      <c r="F59" s="112"/>
      <c r="G59" s="112"/>
    </row>
    <row r="60" spans="1:7">
      <c r="E60" s="112"/>
      <c r="F60" s="112"/>
      <c r="G60" s="112"/>
    </row>
    <row r="61" spans="1:7">
      <c r="E61" s="112"/>
      <c r="F61" s="112"/>
      <c r="G61" s="112"/>
    </row>
    <row r="62" spans="1:7">
      <c r="E62" s="112"/>
      <c r="F62" s="112"/>
      <c r="G62" s="112"/>
    </row>
    <row r="63" spans="1:7">
      <c r="E63" s="112"/>
      <c r="F63" s="112"/>
      <c r="G63" s="112"/>
    </row>
    <row r="64" spans="1:7">
      <c r="E64" s="112"/>
      <c r="F64" s="112"/>
      <c r="G64" s="112"/>
    </row>
    <row r="65" spans="5:7">
      <c r="E65" s="112"/>
      <c r="F65" s="112"/>
      <c r="G65" s="112"/>
    </row>
    <row r="66" spans="5:7">
      <c r="E66" s="112"/>
      <c r="F66" s="112"/>
      <c r="G66" s="112"/>
    </row>
  </sheetData>
  <mergeCells count="4">
    <mergeCell ref="C1:E1"/>
    <mergeCell ref="C2:E2"/>
    <mergeCell ref="C3:E3"/>
    <mergeCell ref="C4:E4"/>
  </mergeCells>
  <printOptions horizontalCentered="1"/>
  <pageMargins left="0" right="0" top="1" bottom="0.5" header="0" footer="0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pane ySplit="9" topLeftCell="A10" activePane="bottomLeft" state="frozen"/>
      <selection activeCell="L31" sqref="L31"/>
      <selection pane="bottomLeft" activeCell="D7" sqref="D7"/>
    </sheetView>
  </sheetViews>
  <sheetFormatPr defaultRowHeight="12.75"/>
  <cols>
    <col min="1" max="1" width="4.42578125" style="238" bestFit="1" customWidth="1"/>
    <col min="2" max="2" width="2.28515625" style="191" customWidth="1"/>
    <col min="3" max="3" width="25.85546875" style="191" bestFit="1" customWidth="1"/>
    <col min="4" max="4" width="8.7109375" style="265" customWidth="1"/>
    <col min="5" max="5" width="14.42578125" style="191" bestFit="1" customWidth="1"/>
    <col min="6" max="7" width="13.7109375" style="191" bestFit="1" customWidth="1"/>
    <col min="8" max="8" width="5.7109375" style="191" customWidth="1"/>
    <col min="9" max="9" width="2.28515625" style="191" customWidth="1"/>
    <col min="10" max="16384" width="9.140625" style="191"/>
  </cols>
  <sheetData>
    <row r="1" spans="1:7">
      <c r="D1" s="239" t="s">
        <v>432</v>
      </c>
      <c r="G1" s="107" t="s">
        <v>607</v>
      </c>
    </row>
    <row r="2" spans="1:7">
      <c r="D2" s="239" t="s">
        <v>674</v>
      </c>
      <c r="G2" s="107" t="s">
        <v>621</v>
      </c>
    </row>
    <row r="3" spans="1:7">
      <c r="D3" s="239" t="s">
        <v>675</v>
      </c>
      <c r="G3" s="107" t="s">
        <v>676</v>
      </c>
    </row>
    <row r="4" spans="1:7">
      <c r="D4" s="239" t="s">
        <v>677</v>
      </c>
    </row>
    <row r="5" spans="1:7">
      <c r="D5" s="239" t="s">
        <v>678</v>
      </c>
    </row>
    <row r="6" spans="1:7">
      <c r="D6" s="239" t="s">
        <v>882</v>
      </c>
    </row>
    <row r="7" spans="1:7">
      <c r="D7" s="239"/>
    </row>
    <row r="8" spans="1:7" ht="38.25">
      <c r="A8" s="51" t="s">
        <v>610</v>
      </c>
      <c r="C8" s="238" t="s">
        <v>7</v>
      </c>
      <c r="D8" s="239"/>
      <c r="E8" s="51" t="s">
        <v>679</v>
      </c>
      <c r="F8" s="51" t="s">
        <v>680</v>
      </c>
      <c r="G8" s="51" t="s">
        <v>681</v>
      </c>
    </row>
    <row r="9" spans="1:7">
      <c r="A9" s="266">
        <v>-1</v>
      </c>
      <c r="C9" s="113">
        <f>+A9-1</f>
        <v>-2</v>
      </c>
      <c r="D9" s="239"/>
      <c r="E9" s="113">
        <f>+C9-1</f>
        <v>-3</v>
      </c>
      <c r="F9" s="113">
        <f>+E9-1</f>
        <v>-4</v>
      </c>
      <c r="G9" s="113">
        <f>+F9-1</f>
        <v>-5</v>
      </c>
    </row>
    <row r="10" spans="1:7">
      <c r="A10" s="113"/>
    </row>
    <row r="11" spans="1:7">
      <c r="A11" s="113">
        <v>1</v>
      </c>
      <c r="C11" s="191" t="s">
        <v>883</v>
      </c>
      <c r="E11" s="56">
        <v>512643410</v>
      </c>
      <c r="F11" s="56">
        <v>1273553</v>
      </c>
      <c r="G11" s="112">
        <f>ROUND(F11/E11,4)</f>
        <v>2.5000000000000001E-3</v>
      </c>
    </row>
    <row r="12" spans="1:7">
      <c r="A12" s="113"/>
      <c r="E12" s="56"/>
      <c r="F12" s="56"/>
    </row>
    <row r="13" spans="1:7">
      <c r="A13" s="113">
        <f>+A11+1</f>
        <v>2</v>
      </c>
      <c r="C13" s="191" t="s">
        <v>884</v>
      </c>
      <c r="E13" s="56">
        <v>509911538</v>
      </c>
      <c r="F13" s="56">
        <v>1432499</v>
      </c>
      <c r="G13" s="112">
        <f>ROUND(F13/E13,4)</f>
        <v>2.8E-3</v>
      </c>
    </row>
    <row r="14" spans="1:7">
      <c r="A14" s="113"/>
      <c r="E14" s="56"/>
      <c r="F14" s="56"/>
    </row>
    <row r="15" spans="1:7">
      <c r="A15" s="113">
        <f>+A13+1</f>
        <v>3</v>
      </c>
      <c r="C15" s="191" t="s">
        <v>885</v>
      </c>
      <c r="E15" s="56">
        <v>563834917</v>
      </c>
      <c r="F15" s="56">
        <v>2121231</v>
      </c>
      <c r="G15" s="112">
        <f>ROUND(F15/E15,4)</f>
        <v>3.8E-3</v>
      </c>
    </row>
    <row r="16" spans="1:7">
      <c r="A16" s="113"/>
      <c r="E16" s="245" t="s">
        <v>612</v>
      </c>
      <c r="F16" s="245" t="s">
        <v>612</v>
      </c>
      <c r="G16" s="245" t="s">
        <v>612</v>
      </c>
    </row>
    <row r="17" spans="1:7">
      <c r="A17" s="113">
        <f>+A15+1</f>
        <v>4</v>
      </c>
      <c r="C17" s="191" t="s">
        <v>483</v>
      </c>
      <c r="E17" s="56">
        <f>SUM(E11:E16)</f>
        <v>1586389865</v>
      </c>
      <c r="F17" s="56">
        <f>SUM(F11:F16)</f>
        <v>4827283</v>
      </c>
      <c r="G17" s="112">
        <f>SUM(G11:G15)</f>
        <v>9.1000000000000004E-3</v>
      </c>
    </row>
    <row r="18" spans="1:7">
      <c r="A18" s="113"/>
      <c r="E18" s="245" t="s">
        <v>612</v>
      </c>
      <c r="F18" s="245" t="s">
        <v>612</v>
      </c>
      <c r="G18" s="245" t="s">
        <v>612</v>
      </c>
    </row>
    <row r="19" spans="1:7">
      <c r="A19" s="113">
        <f>+A17+1</f>
        <v>5</v>
      </c>
      <c r="C19" s="191" t="s">
        <v>682</v>
      </c>
      <c r="E19" s="56">
        <f>ROUND(E17/3,0)</f>
        <v>528796622</v>
      </c>
      <c r="F19" s="56">
        <f>ROUND(F17/3,0)</f>
        <v>1609094</v>
      </c>
      <c r="G19" s="105">
        <f>ROUND(F19/E19,4)</f>
        <v>3.0000000000000001E-3</v>
      </c>
    </row>
    <row r="20" spans="1:7">
      <c r="A20" s="113"/>
      <c r="E20" s="245" t="s">
        <v>618</v>
      </c>
      <c r="F20" s="245" t="s">
        <v>618</v>
      </c>
      <c r="G20" s="245" t="s">
        <v>618</v>
      </c>
    </row>
    <row r="21" spans="1:7">
      <c r="A21" s="113"/>
      <c r="E21" s="56"/>
      <c r="F21" s="56"/>
    </row>
    <row r="22" spans="1:7">
      <c r="A22" s="113"/>
      <c r="E22" s="56"/>
      <c r="F22" s="56"/>
    </row>
    <row r="23" spans="1:7">
      <c r="A23" s="113"/>
      <c r="E23" s="56"/>
      <c r="F23" s="56"/>
    </row>
    <row r="24" spans="1:7">
      <c r="A24" s="113"/>
      <c r="E24" s="56"/>
      <c r="F24" s="56"/>
    </row>
    <row r="25" spans="1:7">
      <c r="A25" s="113"/>
      <c r="E25" s="56"/>
      <c r="F25" s="56"/>
    </row>
    <row r="26" spans="1:7">
      <c r="A26" s="113"/>
      <c r="E26" s="56"/>
      <c r="F26" s="56"/>
    </row>
    <row r="27" spans="1:7">
      <c r="A27" s="113"/>
      <c r="E27" s="56"/>
      <c r="F27" s="56"/>
    </row>
    <row r="28" spans="1:7">
      <c r="A28" s="113"/>
      <c r="E28" s="56"/>
      <c r="F28" s="56"/>
    </row>
    <row r="29" spans="1:7">
      <c r="A29" s="113"/>
      <c r="E29" s="56"/>
      <c r="F29" s="56"/>
    </row>
    <row r="30" spans="1:7">
      <c r="A30" s="113"/>
      <c r="E30" s="56"/>
      <c r="F30" s="56"/>
    </row>
    <row r="31" spans="1:7">
      <c r="A31" s="113"/>
      <c r="E31" s="56"/>
      <c r="F31" s="56"/>
    </row>
    <row r="32" spans="1:7">
      <c r="A32" s="113"/>
    </row>
    <row r="33" spans="1:1">
      <c r="A33" s="113"/>
    </row>
    <row r="34" spans="1:1">
      <c r="A34" s="113"/>
    </row>
    <row r="35" spans="1:1">
      <c r="A35" s="113"/>
    </row>
    <row r="36" spans="1:1">
      <c r="A36" s="113"/>
    </row>
    <row r="37" spans="1:1">
      <c r="A37" s="113"/>
    </row>
    <row r="38" spans="1:1">
      <c r="A38" s="113"/>
    </row>
    <row r="39" spans="1:1">
      <c r="A39" s="113"/>
    </row>
    <row r="40" spans="1:1">
      <c r="A40" s="113"/>
    </row>
    <row r="41" spans="1:1">
      <c r="A41" s="113"/>
    </row>
    <row r="42" spans="1:1">
      <c r="A42" s="113"/>
    </row>
    <row r="43" spans="1:1">
      <c r="A43" s="113"/>
    </row>
    <row r="44" spans="1:1">
      <c r="A44" s="113"/>
    </row>
    <row r="48" spans="1:1">
      <c r="A48" s="118"/>
    </row>
    <row r="49" spans="1:1">
      <c r="A49" s="118"/>
    </row>
    <row r="50" spans="1:1">
      <c r="A50" s="118"/>
    </row>
    <row r="51" spans="1:1">
      <c r="A51" s="118"/>
    </row>
  </sheetData>
  <printOptions horizontalCentered="1"/>
  <pageMargins left="0" right="0" top="1.5" bottom="0.5" header="0" footer="0"/>
  <pageSetup scale="9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zoomScale="75" zoomScaleNormal="75" workbookViewId="0">
      <pane xSplit="3" ySplit="10" topLeftCell="G11" activePane="bottomRight" state="frozen"/>
      <selection activeCell="E17" sqref="E17"/>
      <selection pane="topRight" activeCell="E17" sqref="E17"/>
      <selection pane="bottomLeft" activeCell="E17" sqref="E17"/>
      <selection pane="bottomRight" activeCell="C32" sqref="C32"/>
    </sheetView>
  </sheetViews>
  <sheetFormatPr defaultRowHeight="12.75"/>
  <cols>
    <col min="1" max="1" width="4.7109375" style="191" customWidth="1"/>
    <col min="2" max="2" width="2.7109375" style="191" customWidth="1"/>
    <col min="3" max="3" width="26.5703125" style="191" customWidth="1"/>
    <col min="4" max="4" width="2.7109375" style="191" customWidth="1"/>
    <col min="5" max="5" width="16" style="191" bestFit="1" customWidth="1"/>
    <col min="6" max="6" width="2.7109375" style="191" customWidth="1"/>
    <col min="7" max="7" width="14.28515625" style="191" customWidth="1"/>
    <col min="8" max="8" width="2.7109375" style="191" customWidth="1"/>
    <col min="9" max="9" width="15.140625" style="191" bestFit="1" customWidth="1"/>
    <col min="10" max="10" width="2.7109375" style="191" customWidth="1"/>
    <col min="11" max="11" width="15.140625" style="191" bestFit="1" customWidth="1"/>
    <col min="12" max="12" width="2.7109375" style="191" customWidth="1"/>
    <col min="13" max="13" width="12.85546875" style="191" customWidth="1"/>
    <col min="14" max="14" width="2.7109375" style="191" customWidth="1"/>
    <col min="15" max="15" width="12.5703125" style="191" customWidth="1"/>
    <col min="16" max="16" width="2.7109375" style="191" customWidth="1"/>
    <col min="17" max="17" width="15.7109375" style="191" customWidth="1"/>
    <col min="18" max="18" width="2.7109375" style="191" customWidth="1"/>
    <col min="19" max="19" width="13.7109375" style="191" customWidth="1"/>
    <col min="20" max="20" width="2.7109375" style="191" customWidth="1"/>
    <col min="21" max="21" width="13.42578125" style="191" customWidth="1"/>
    <col min="22" max="22" width="2.7109375" style="191" customWidth="1"/>
    <col min="23" max="23" width="13" style="191" customWidth="1"/>
    <col min="24" max="24" width="2.7109375" style="191" customWidth="1"/>
    <col min="25" max="25" width="11.5703125" style="191" customWidth="1"/>
    <col min="26" max="26" width="2.7109375" style="191" customWidth="1"/>
    <col min="27" max="27" width="17.42578125" style="191" customWidth="1"/>
    <col min="28" max="28" width="2.7109375" style="191" customWidth="1"/>
    <col min="29" max="29" width="19.5703125" style="191" bestFit="1" customWidth="1"/>
    <col min="30" max="30" width="2.7109375" style="191" customWidth="1"/>
    <col min="31" max="31" width="17.140625" style="191" customWidth="1"/>
    <col min="32" max="32" width="2.7109375" style="191" customWidth="1"/>
    <col min="33" max="16384" width="9.140625" style="191"/>
  </cols>
  <sheetData>
    <row r="1" spans="1:32">
      <c r="Q1" s="238" t="s">
        <v>339</v>
      </c>
      <c r="AE1" s="107"/>
    </row>
    <row r="2" spans="1:32">
      <c r="Q2" s="238" t="s">
        <v>683</v>
      </c>
      <c r="AE2" s="107"/>
    </row>
    <row r="3" spans="1:32">
      <c r="Q3" s="74" t="s">
        <v>906</v>
      </c>
    </row>
    <row r="7" spans="1:32">
      <c r="A7" s="238"/>
      <c r="B7" s="238"/>
      <c r="C7" s="238"/>
      <c r="D7" s="238"/>
      <c r="E7" s="238"/>
      <c r="F7" s="238"/>
      <c r="G7" s="284" t="s">
        <v>989</v>
      </c>
      <c r="H7" s="238"/>
      <c r="I7" s="238" t="s">
        <v>684</v>
      </c>
      <c r="J7" s="238"/>
      <c r="K7" s="238" t="s">
        <v>684</v>
      </c>
      <c r="L7" s="238"/>
      <c r="M7" s="238" t="s">
        <v>684</v>
      </c>
      <c r="N7" s="238"/>
      <c r="O7" s="238" t="s">
        <v>684</v>
      </c>
      <c r="P7" s="238"/>
      <c r="Q7" s="238" t="s">
        <v>972</v>
      </c>
      <c r="R7" s="238"/>
      <c r="S7" s="238" t="s">
        <v>685</v>
      </c>
      <c r="T7" s="238"/>
      <c r="U7" s="238" t="s">
        <v>686</v>
      </c>
      <c r="V7" s="238"/>
      <c r="W7" s="238"/>
      <c r="X7" s="238"/>
      <c r="Y7" s="238" t="s">
        <v>687</v>
      </c>
      <c r="Z7" s="238"/>
      <c r="AA7" s="238"/>
      <c r="AB7" s="238"/>
      <c r="AC7" s="238" t="s">
        <v>626</v>
      </c>
      <c r="AD7" s="238"/>
      <c r="AE7" s="238" t="s">
        <v>623</v>
      </c>
    </row>
    <row r="8" spans="1:32">
      <c r="A8" s="238" t="s">
        <v>2</v>
      </c>
      <c r="B8" s="238"/>
      <c r="C8" s="238"/>
      <c r="D8" s="238"/>
      <c r="E8" s="238" t="s">
        <v>688</v>
      </c>
      <c r="F8" s="238"/>
      <c r="G8" s="238" t="s">
        <v>711</v>
      </c>
      <c r="H8" s="238"/>
      <c r="I8" s="238" t="s">
        <v>689</v>
      </c>
      <c r="J8" s="238"/>
      <c r="K8" s="238" t="s">
        <v>975</v>
      </c>
      <c r="L8" s="238"/>
      <c r="M8" s="238" t="s">
        <v>985</v>
      </c>
      <c r="N8" s="238"/>
      <c r="O8" s="238" t="s">
        <v>987</v>
      </c>
      <c r="P8" s="238"/>
      <c r="Q8" s="238" t="s">
        <v>973</v>
      </c>
      <c r="R8" s="238"/>
      <c r="S8" s="238" t="s">
        <v>689</v>
      </c>
      <c r="T8" s="238"/>
      <c r="U8" s="238" t="s">
        <v>690</v>
      </c>
      <c r="V8" s="238"/>
      <c r="W8" s="238" t="s">
        <v>691</v>
      </c>
      <c r="X8" s="238"/>
      <c r="Y8" s="238" t="s">
        <v>692</v>
      </c>
      <c r="Z8" s="238"/>
      <c r="AA8" s="238" t="s">
        <v>693</v>
      </c>
      <c r="AB8" s="238"/>
      <c r="AC8" s="238" t="s">
        <v>694</v>
      </c>
      <c r="AD8" s="238"/>
      <c r="AE8" s="238" t="s">
        <v>626</v>
      </c>
    </row>
    <row r="9" spans="1:32">
      <c r="A9" s="74" t="s">
        <v>6</v>
      </c>
      <c r="B9" s="74"/>
      <c r="C9" s="74" t="s">
        <v>7</v>
      </c>
      <c r="D9" s="74"/>
      <c r="E9" s="74" t="s">
        <v>695</v>
      </c>
      <c r="F9" s="74"/>
      <c r="G9" s="74" t="s">
        <v>1005</v>
      </c>
      <c r="H9" s="74"/>
      <c r="I9" s="74" t="s">
        <v>696</v>
      </c>
      <c r="J9" s="74"/>
      <c r="K9" s="74" t="s">
        <v>976</v>
      </c>
      <c r="L9" s="74"/>
      <c r="M9" s="74" t="s">
        <v>986</v>
      </c>
      <c r="N9" s="74"/>
      <c r="O9" s="74" t="s">
        <v>986</v>
      </c>
      <c r="P9" s="74"/>
      <c r="Q9" s="74" t="s">
        <v>974</v>
      </c>
      <c r="R9" s="74"/>
      <c r="S9" s="74" t="s">
        <v>696</v>
      </c>
      <c r="T9" s="74"/>
      <c r="U9" s="74" t="s">
        <v>697</v>
      </c>
      <c r="V9" s="74"/>
      <c r="W9" s="74" t="s">
        <v>698</v>
      </c>
      <c r="X9" s="74"/>
      <c r="Y9" s="74" t="s">
        <v>697</v>
      </c>
      <c r="Z9" s="74"/>
      <c r="AA9" s="74" t="s">
        <v>483</v>
      </c>
      <c r="AB9" s="74"/>
      <c r="AC9" s="74" t="s">
        <v>699</v>
      </c>
      <c r="AD9" s="74"/>
      <c r="AE9" s="74" t="s">
        <v>630</v>
      </c>
    </row>
    <row r="10" spans="1:32">
      <c r="A10" s="270">
        <v>-1</v>
      </c>
      <c r="B10" s="270"/>
      <c r="C10" s="270">
        <f>+A10-1</f>
        <v>-2</v>
      </c>
      <c r="D10" s="270"/>
      <c r="E10" s="270">
        <f>+C10-1</f>
        <v>-3</v>
      </c>
      <c r="F10" s="270"/>
      <c r="G10" s="270">
        <f>E10-1</f>
        <v>-4</v>
      </c>
      <c r="H10" s="270"/>
      <c r="I10" s="270">
        <f>+G10-1</f>
        <v>-5</v>
      </c>
      <c r="J10" s="270"/>
      <c r="K10" s="270">
        <f>I10-1</f>
        <v>-6</v>
      </c>
      <c r="L10" s="270"/>
      <c r="M10" s="270">
        <f>K10-1</f>
        <v>-7</v>
      </c>
      <c r="N10" s="270"/>
      <c r="O10" s="270">
        <f>M10-1</f>
        <v>-8</v>
      </c>
      <c r="P10" s="270"/>
      <c r="Q10" s="270">
        <f>O10-1</f>
        <v>-9</v>
      </c>
      <c r="R10" s="270"/>
      <c r="S10" s="270">
        <f>+M10-1</f>
        <v>-8</v>
      </c>
      <c r="T10" s="270"/>
      <c r="U10" s="270">
        <f>+S10-1</f>
        <v>-9</v>
      </c>
      <c r="V10" s="270"/>
      <c r="W10" s="270">
        <f>+U10-1</f>
        <v>-10</v>
      </c>
      <c r="X10" s="270"/>
      <c r="Y10" s="270">
        <f>+W10-1</f>
        <v>-11</v>
      </c>
      <c r="Z10" s="270"/>
      <c r="AA10" s="270">
        <f>+Y10-1</f>
        <v>-12</v>
      </c>
      <c r="AB10" s="270"/>
      <c r="AC10" s="270">
        <f>+AA10-1</f>
        <v>-13</v>
      </c>
      <c r="AD10" s="270"/>
      <c r="AE10" s="270">
        <f>+AC10-1</f>
        <v>-14</v>
      </c>
      <c r="AF10" s="270"/>
    </row>
    <row r="11" spans="1:32">
      <c r="A11" s="2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</row>
    <row r="12" spans="1:32">
      <c r="A12" s="238">
        <v>1</v>
      </c>
      <c r="C12" s="191" t="s">
        <v>636</v>
      </c>
      <c r="E12" s="56">
        <v>815000000</v>
      </c>
      <c r="F12" s="56"/>
      <c r="G12" s="56">
        <f>25000000-20000000</f>
        <v>5000000</v>
      </c>
      <c r="H12" s="56"/>
      <c r="I12" s="56">
        <v>0</v>
      </c>
      <c r="J12" s="56"/>
      <c r="K12" s="278">
        <f>ROUND($E$12/$E$20*K$20,0)</f>
        <v>-76904288</v>
      </c>
      <c r="L12" s="56"/>
      <c r="M12" s="278">
        <f>ROUND($E$12/$E$20*M$20,0)</f>
        <v>-3257553</v>
      </c>
      <c r="N12" s="56"/>
      <c r="O12" s="278">
        <f>ROUND($E$12/$E$20*O$20,0)</f>
        <v>-2757206</v>
      </c>
      <c r="P12" s="56"/>
      <c r="Q12" s="278">
        <f>ROUND($E$12/$E$20*Q$20,0)</f>
        <v>-115974755</v>
      </c>
      <c r="R12" s="56"/>
      <c r="S12" s="56">
        <v>0</v>
      </c>
      <c r="T12" s="56"/>
      <c r="U12" s="278">
        <f>ROUND($E$12/$E$20*$U$20,0)</f>
        <v>-2356407</v>
      </c>
      <c r="V12" s="56"/>
      <c r="W12" s="56">
        <f>ROUND($E$12/$E$20*$W$20,0)+1</f>
        <v>-3522595</v>
      </c>
      <c r="X12" s="56"/>
      <c r="Y12" s="56">
        <f>ROUND($E$12/$E$20*$Y$20,0)</f>
        <v>-517147</v>
      </c>
      <c r="Z12" s="56"/>
      <c r="AA12" s="56">
        <f>SUM(E12:Y12)</f>
        <v>614710049</v>
      </c>
      <c r="AB12" s="56"/>
      <c r="AC12" s="56">
        <f>ROUND(AA12*$E$27,0)</f>
        <v>607948238</v>
      </c>
      <c r="AD12" s="56"/>
      <c r="AE12" s="56">
        <f>ROUND(AC12/$AC$20*$AC$22,0)+AC12</f>
        <v>607976387</v>
      </c>
    </row>
    <row r="13" spans="1:32">
      <c r="A13" s="238"/>
      <c r="E13" s="56"/>
      <c r="F13" s="56"/>
      <c r="G13" s="56"/>
      <c r="H13" s="56"/>
      <c r="I13" s="56"/>
      <c r="J13" s="56"/>
      <c r="K13" s="278"/>
      <c r="L13" s="56"/>
      <c r="M13" s="278"/>
      <c r="N13" s="56"/>
      <c r="O13" s="278"/>
      <c r="P13" s="56"/>
      <c r="Q13" s="278"/>
      <c r="R13" s="56"/>
      <c r="S13" s="56"/>
      <c r="T13" s="56"/>
      <c r="U13" s="278"/>
      <c r="V13" s="56"/>
      <c r="W13" s="56"/>
      <c r="X13" s="56"/>
      <c r="Y13" s="56"/>
      <c r="Z13" s="56"/>
      <c r="AA13" s="56"/>
      <c r="AB13" s="56"/>
      <c r="AC13" s="56"/>
      <c r="AD13" s="56"/>
      <c r="AE13" s="56"/>
    </row>
    <row r="14" spans="1:32">
      <c r="A14" s="238">
        <v>2</v>
      </c>
      <c r="C14" s="191" t="s">
        <v>638</v>
      </c>
      <c r="E14" s="55">
        <f>'3 P2'!F32</f>
        <v>0</v>
      </c>
      <c r="F14" s="55"/>
      <c r="G14" s="55"/>
      <c r="H14" s="55"/>
      <c r="I14" s="55">
        <f>'3 P3'!I16</f>
        <v>-18709274</v>
      </c>
      <c r="J14" s="55"/>
      <c r="K14" s="285">
        <f>ROUND(($E$14+$E$16)/$E$20*K$20,0)</f>
        <v>-4945455</v>
      </c>
      <c r="L14" s="55"/>
      <c r="M14" s="285">
        <f>ROUND(($E$14+$E$16)/$E$20*M$20,0)</f>
        <v>-209482</v>
      </c>
      <c r="N14" s="55"/>
      <c r="O14" s="285">
        <f>ROUND(($E$14+$E$16)/$E$20*O$20,0)</f>
        <v>-177307</v>
      </c>
      <c r="P14" s="55"/>
      <c r="Q14" s="285">
        <f>ROUND(($E$14+$E$16)/$E$20*Q$20,0)</f>
        <v>-7457944</v>
      </c>
      <c r="R14" s="55"/>
      <c r="S14" s="55">
        <f>'3 P4'!I38</f>
        <v>664080</v>
      </c>
      <c r="T14" s="55"/>
      <c r="U14" s="285">
        <f>ROUND(($E$14+$E$16)/$E$20*$U$20,0)</f>
        <v>-151533</v>
      </c>
      <c r="V14" s="55"/>
      <c r="W14" s="55">
        <f>ROUND(($E$14+$E$16)/$E$20*$W$20,0)</f>
        <v>-226526</v>
      </c>
      <c r="X14" s="55"/>
      <c r="Y14" s="55">
        <f>ROUND(($E$14+$E$16)/$E$20*$Y$20,0)</f>
        <v>-33256</v>
      </c>
      <c r="Z14" s="55"/>
      <c r="AA14" s="55">
        <f>SUM(E14:Y14)</f>
        <v>-31246697</v>
      </c>
      <c r="AB14" s="55"/>
      <c r="AC14" s="55">
        <f>ROUND(AA14*$E$27,0)</f>
        <v>-30902983</v>
      </c>
      <c r="AD14" s="55"/>
      <c r="AE14" s="55">
        <f>ROUND(AC14/$AC$20*$AC$22,0)+AC14</f>
        <v>-30904414</v>
      </c>
    </row>
    <row r="15" spans="1:32">
      <c r="A15" s="238"/>
      <c r="E15" s="55"/>
      <c r="F15" s="55"/>
      <c r="G15" s="55"/>
      <c r="H15" s="55"/>
      <c r="I15" s="55"/>
      <c r="J15" s="55"/>
      <c r="K15" s="285"/>
      <c r="L15" s="55"/>
      <c r="M15" s="285"/>
      <c r="N15" s="55"/>
      <c r="O15" s="285"/>
      <c r="P15" s="55"/>
      <c r="Q15" s="285"/>
      <c r="R15" s="55"/>
      <c r="S15" s="55"/>
      <c r="T15" s="55"/>
      <c r="U15" s="285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1:32">
      <c r="A16" s="238">
        <v>3</v>
      </c>
      <c r="C16" s="191" t="s">
        <v>700</v>
      </c>
      <c r="E16" s="55">
        <v>52409892</v>
      </c>
      <c r="F16" s="55"/>
      <c r="G16" s="55"/>
      <c r="H16" s="55"/>
      <c r="I16" s="55">
        <v>0</v>
      </c>
      <c r="J16" s="55"/>
      <c r="K16" s="285">
        <v>0</v>
      </c>
      <c r="L16" s="55"/>
      <c r="M16" s="285">
        <v>0</v>
      </c>
      <c r="N16" s="55"/>
      <c r="O16" s="285">
        <v>0</v>
      </c>
      <c r="P16" s="55"/>
      <c r="Q16" s="285">
        <v>0</v>
      </c>
      <c r="R16" s="55"/>
      <c r="S16" s="55">
        <v>0</v>
      </c>
      <c r="T16" s="55"/>
      <c r="U16" s="285">
        <v>0</v>
      </c>
      <c r="W16" s="55">
        <v>0</v>
      </c>
      <c r="Y16" s="55">
        <v>0</v>
      </c>
      <c r="Z16" s="55"/>
      <c r="AA16" s="55">
        <f>SUM(E16:Y16)</f>
        <v>52409892</v>
      </c>
      <c r="AB16" s="55"/>
      <c r="AC16" s="55">
        <f>ROUND(AA16*$E$27,0)</f>
        <v>51833383</v>
      </c>
      <c r="AD16" s="55"/>
      <c r="AE16" s="55">
        <f>ROUND(AC16/$AC$20*$AC$22,0)+AC16</f>
        <v>51835783</v>
      </c>
    </row>
    <row r="17" spans="1:31">
      <c r="A17" s="238"/>
      <c r="E17" s="55"/>
      <c r="F17" s="55"/>
      <c r="G17" s="55"/>
      <c r="H17" s="55"/>
      <c r="I17" s="55"/>
      <c r="J17" s="55"/>
      <c r="K17" s="285"/>
      <c r="L17" s="55"/>
      <c r="M17" s="285"/>
      <c r="N17" s="55"/>
      <c r="O17" s="285"/>
      <c r="P17" s="55"/>
      <c r="Q17" s="285"/>
      <c r="R17" s="55"/>
      <c r="S17" s="55"/>
      <c r="T17" s="55"/>
      <c r="U17" s="285"/>
      <c r="V17" s="55"/>
      <c r="W17" s="55"/>
      <c r="X17" s="55"/>
      <c r="Y17" s="55"/>
      <c r="Z17" s="55"/>
      <c r="AA17" s="55"/>
      <c r="AB17" s="55"/>
      <c r="AC17" s="55"/>
      <c r="AD17" s="55"/>
      <c r="AE17" s="55"/>
    </row>
    <row r="18" spans="1:31">
      <c r="A18" s="238">
        <v>4</v>
      </c>
      <c r="C18" s="191" t="s">
        <v>642</v>
      </c>
      <c r="E18" s="55">
        <v>700853745</v>
      </c>
      <c r="F18" s="55"/>
      <c r="G18" s="55"/>
      <c r="H18" s="55"/>
      <c r="I18" s="55">
        <v>0</v>
      </c>
      <c r="J18" s="55"/>
      <c r="K18" s="285">
        <f>ROUND($E$18/$E$20*K$20,0)</f>
        <v>-66133323</v>
      </c>
      <c r="L18" s="55"/>
      <c r="M18" s="285">
        <f>ROUND($E$18/$E$20*M$20,0)</f>
        <v>-2801310</v>
      </c>
      <c r="N18" s="55"/>
      <c r="O18" s="285">
        <f>ROUND($E$18/$E$20*O$20,0)</f>
        <v>-2371041</v>
      </c>
      <c r="P18" s="55"/>
      <c r="Q18" s="285">
        <f>ROUND($E$18/$E$20*Q$20,0)</f>
        <v>-99731707</v>
      </c>
      <c r="R18" s="55"/>
      <c r="S18" s="55">
        <v>0</v>
      </c>
      <c r="T18" s="55"/>
      <c r="U18" s="285">
        <f>ROUND($E$18/$E$20*$U$20,0)</f>
        <v>-2026376</v>
      </c>
      <c r="V18" s="55"/>
      <c r="W18" s="55">
        <f>ROUND($E$18/$E$20*$W$20,0)</f>
        <v>-3029233</v>
      </c>
      <c r="X18" s="55"/>
      <c r="Y18" s="55">
        <f>ROUND($E$18/$E$20*$Y$20,0)</f>
        <v>-444717</v>
      </c>
      <c r="Z18" s="55"/>
      <c r="AA18" s="55">
        <f>SUM(E18:Y18)</f>
        <v>524316038</v>
      </c>
      <c r="AB18" s="55"/>
      <c r="AC18" s="55">
        <f>ROUND(AA18*$E$27,0)</f>
        <v>518548562</v>
      </c>
      <c r="AD18" s="55"/>
      <c r="AE18" s="55">
        <f>ROUND(AC18/$AC$20*$AC$22,0)+AC18</f>
        <v>518572572</v>
      </c>
    </row>
    <row r="19" spans="1:31">
      <c r="A19" s="238"/>
      <c r="E19" s="245" t="s">
        <v>644</v>
      </c>
      <c r="F19" s="245"/>
      <c r="G19" s="245" t="s">
        <v>644</v>
      </c>
      <c r="H19" s="239"/>
      <c r="I19" s="239" t="s">
        <v>644</v>
      </c>
      <c r="J19" s="239"/>
      <c r="K19" s="239" t="s">
        <v>644</v>
      </c>
      <c r="L19" s="239"/>
      <c r="M19" s="239" t="s">
        <v>644</v>
      </c>
      <c r="N19" s="239"/>
      <c r="O19" s="239" t="s">
        <v>644</v>
      </c>
      <c r="P19" s="239"/>
      <c r="Q19" s="239" t="s">
        <v>644</v>
      </c>
      <c r="R19" s="239"/>
      <c r="S19" s="239" t="s">
        <v>644</v>
      </c>
      <c r="T19" s="114"/>
      <c r="U19" s="239" t="s">
        <v>644</v>
      </c>
      <c r="V19" s="114"/>
      <c r="W19" s="245" t="s">
        <v>920</v>
      </c>
      <c r="X19" s="114"/>
      <c r="Y19" s="245" t="s">
        <v>766</v>
      </c>
      <c r="Z19" s="114"/>
      <c r="AA19" s="245" t="s">
        <v>644</v>
      </c>
      <c r="AB19" s="114"/>
      <c r="AC19" s="245" t="s">
        <v>644</v>
      </c>
      <c r="AD19" s="114"/>
      <c r="AE19" s="245" t="s">
        <v>644</v>
      </c>
    </row>
    <row r="20" spans="1:31">
      <c r="A20" s="238">
        <v>5</v>
      </c>
      <c r="C20" s="191" t="s">
        <v>701</v>
      </c>
      <c r="E20" s="55">
        <f>SUM(E12:E18)</f>
        <v>1568263637</v>
      </c>
      <c r="F20" s="55"/>
      <c r="G20" s="55">
        <f>SUM(G12:G18)</f>
        <v>5000000</v>
      </c>
      <c r="H20" s="55"/>
      <c r="I20" s="55">
        <f>SUM(I14:I17)</f>
        <v>-18709274</v>
      </c>
      <c r="J20" s="55"/>
      <c r="K20" s="55">
        <f>'Sch 5'!BC53</f>
        <v>-147983065.35852003</v>
      </c>
      <c r="L20" s="55"/>
      <c r="M20" s="55">
        <f>'Sch 5'!BD53</f>
        <v>-6268345</v>
      </c>
      <c r="N20" s="55"/>
      <c r="O20" s="55">
        <f>'Sch 5'!BE53</f>
        <v>-5305554</v>
      </c>
      <c r="P20" s="55"/>
      <c r="Q20" s="55">
        <f>'Sch 5'!AZ53</f>
        <v>-223164406</v>
      </c>
      <c r="R20" s="55"/>
      <c r="S20" s="55">
        <f>SUM(S14:S17)</f>
        <v>664080</v>
      </c>
      <c r="T20" s="55"/>
      <c r="U20" s="43">
        <v>-4534316</v>
      </c>
      <c r="V20" s="55"/>
      <c r="W20" s="55">
        <f>'Sch 4'!L230*-1</f>
        <v>-6778355</v>
      </c>
      <c r="X20" s="55"/>
      <c r="Y20" s="43">
        <v>-995120</v>
      </c>
      <c r="Z20" s="55"/>
      <c r="AA20" s="55">
        <f>SUM(AA12:AA18)</f>
        <v>1160189282</v>
      </c>
      <c r="AB20" s="55"/>
      <c r="AC20" s="55">
        <f>SUM(AC12:AC18)</f>
        <v>1147427200</v>
      </c>
      <c r="AD20" s="55"/>
      <c r="AE20" s="55">
        <f>SUM(AE12:AE18)</f>
        <v>1147480328</v>
      </c>
    </row>
    <row r="21" spans="1:31">
      <c r="A21" s="238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</row>
    <row r="22" spans="1:31">
      <c r="A22" s="238">
        <v>6</v>
      </c>
      <c r="C22" s="191" t="s">
        <v>702</v>
      </c>
      <c r="E22" s="55">
        <v>53719</v>
      </c>
      <c r="F22" s="55"/>
      <c r="G22" s="55">
        <v>0</v>
      </c>
      <c r="H22" s="55"/>
      <c r="I22" s="55">
        <v>0</v>
      </c>
      <c r="J22" s="55"/>
      <c r="K22" s="55">
        <v>0</v>
      </c>
      <c r="L22" s="55"/>
      <c r="M22" s="55">
        <v>0</v>
      </c>
      <c r="N22" s="55"/>
      <c r="O22" s="55">
        <v>0</v>
      </c>
      <c r="P22" s="55"/>
      <c r="Q22" s="55">
        <v>0</v>
      </c>
      <c r="R22" s="55"/>
      <c r="S22" s="55">
        <v>0</v>
      </c>
      <c r="T22" s="55"/>
      <c r="U22" s="55">
        <v>0</v>
      </c>
      <c r="V22" s="55"/>
      <c r="W22" s="55">
        <v>0</v>
      </c>
      <c r="X22" s="55"/>
      <c r="Y22" s="55">
        <v>0</v>
      </c>
      <c r="Z22" s="55"/>
      <c r="AA22" s="55">
        <f>SUM(E22:Z22)</f>
        <v>53719</v>
      </c>
      <c r="AB22" s="55"/>
      <c r="AC22" s="55">
        <f>ROUND(AA22*$E$27,0)</f>
        <v>53128</v>
      </c>
      <c r="AD22" s="55"/>
      <c r="AE22" s="43">
        <v>0</v>
      </c>
    </row>
    <row r="23" spans="1:31">
      <c r="A23" s="238"/>
      <c r="E23" s="245" t="s">
        <v>644</v>
      </c>
      <c r="F23" s="245"/>
      <c r="G23" s="245" t="s">
        <v>644</v>
      </c>
      <c r="H23" s="239"/>
      <c r="I23" s="239" t="s">
        <v>644</v>
      </c>
      <c r="J23" s="239"/>
      <c r="K23" s="239" t="s">
        <v>644</v>
      </c>
      <c r="L23" s="239"/>
      <c r="M23" s="239" t="s">
        <v>644</v>
      </c>
      <c r="N23" s="239"/>
      <c r="O23" s="239" t="s">
        <v>644</v>
      </c>
      <c r="P23" s="239"/>
      <c r="Q23" s="239" t="s">
        <v>644</v>
      </c>
      <c r="R23" s="239"/>
      <c r="S23" s="239" t="s">
        <v>644</v>
      </c>
      <c r="T23" s="114"/>
      <c r="U23" s="239" t="s">
        <v>644</v>
      </c>
      <c r="V23" s="114"/>
      <c r="W23" s="239" t="s">
        <v>644</v>
      </c>
      <c r="X23" s="114"/>
      <c r="Y23" s="239" t="s">
        <v>809</v>
      </c>
      <c r="Z23" s="114"/>
      <c r="AA23" s="245" t="s">
        <v>644</v>
      </c>
      <c r="AB23" s="114"/>
      <c r="AC23" s="245" t="s">
        <v>644</v>
      </c>
      <c r="AD23" s="114"/>
      <c r="AE23" s="245" t="s">
        <v>644</v>
      </c>
    </row>
    <row r="24" spans="1:31">
      <c r="A24" s="238">
        <v>7</v>
      </c>
      <c r="C24" s="191" t="s">
        <v>483</v>
      </c>
      <c r="E24" s="56">
        <f>SUM(E20:E22)</f>
        <v>1568317356</v>
      </c>
      <c r="F24" s="56"/>
      <c r="G24" s="56">
        <f>SUM(G20:G22)</f>
        <v>5000000</v>
      </c>
      <c r="H24" s="56"/>
      <c r="I24" s="197">
        <f>SUM(I20)</f>
        <v>-18709274</v>
      </c>
      <c r="J24" s="197"/>
      <c r="K24" s="197">
        <f>SUM(K20)</f>
        <v>-147983065.35852003</v>
      </c>
      <c r="L24" s="197"/>
      <c r="M24" s="197">
        <f>SUM(M20)</f>
        <v>-6268345</v>
      </c>
      <c r="N24" s="197"/>
      <c r="O24" s="197">
        <f>SUM(O20)</f>
        <v>-5305554</v>
      </c>
      <c r="P24" s="197"/>
      <c r="Q24" s="197">
        <f>SUM(Q20)</f>
        <v>-223164406</v>
      </c>
      <c r="R24" s="197"/>
      <c r="S24" s="197">
        <f>SUM(S20)</f>
        <v>664080</v>
      </c>
      <c r="T24" s="197"/>
      <c r="U24" s="197">
        <f>SUM(U20)</f>
        <v>-4534316</v>
      </c>
      <c r="V24" s="197"/>
      <c r="W24" s="197">
        <f>SUM(W20)</f>
        <v>-6778355</v>
      </c>
      <c r="X24" s="197"/>
      <c r="Y24" s="197">
        <f>SUM(Y20)</f>
        <v>-995120</v>
      </c>
      <c r="Z24" s="197"/>
      <c r="AA24" s="197">
        <f>SUM(AA20:AA22)</f>
        <v>1160243001</v>
      </c>
      <c r="AB24" s="197"/>
      <c r="AC24" s="197">
        <f>SUM(AC20:AC22)</f>
        <v>1147480328</v>
      </c>
      <c r="AD24" s="197"/>
      <c r="AE24" s="197">
        <f>SUM(AE20)</f>
        <v>1147480328</v>
      </c>
    </row>
    <row r="25" spans="1:31">
      <c r="A25" s="238"/>
      <c r="E25" s="245" t="s">
        <v>921</v>
      </c>
      <c r="F25" s="245"/>
      <c r="G25" s="245" t="s">
        <v>921</v>
      </c>
      <c r="H25" s="239"/>
      <c r="I25" s="245" t="s">
        <v>600</v>
      </c>
      <c r="J25" s="245"/>
      <c r="K25" s="245" t="s">
        <v>600</v>
      </c>
      <c r="L25" s="245"/>
      <c r="M25" s="245" t="s">
        <v>600</v>
      </c>
      <c r="N25" s="245"/>
      <c r="O25" s="245" t="s">
        <v>600</v>
      </c>
      <c r="P25" s="245"/>
      <c r="Q25" s="245" t="s">
        <v>600</v>
      </c>
      <c r="R25" s="245"/>
      <c r="S25" s="245" t="s">
        <v>600</v>
      </c>
      <c r="T25" s="107"/>
      <c r="U25" s="245" t="s">
        <v>600</v>
      </c>
      <c r="V25" s="107"/>
      <c r="W25" s="245" t="s">
        <v>600</v>
      </c>
      <c r="X25" s="107"/>
      <c r="Y25" s="245" t="s">
        <v>618</v>
      </c>
      <c r="Z25" s="107"/>
      <c r="AA25" s="245" t="s">
        <v>600</v>
      </c>
      <c r="AB25" s="107"/>
      <c r="AC25" s="245" t="s">
        <v>600</v>
      </c>
      <c r="AD25" s="107"/>
      <c r="AE25" s="245" t="s">
        <v>600</v>
      </c>
    </row>
    <row r="26" spans="1:31">
      <c r="A26" s="238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8"/>
      <c r="U26" s="239"/>
      <c r="V26" s="238"/>
      <c r="W26" s="239"/>
      <c r="X26" s="238"/>
      <c r="Y26" s="239"/>
      <c r="Z26" s="238"/>
      <c r="AA26" s="239"/>
      <c r="AB26" s="238"/>
      <c r="AC26" s="239"/>
      <c r="AD26" s="238"/>
      <c r="AE26" s="245"/>
    </row>
    <row r="27" spans="1:31">
      <c r="A27" s="238">
        <v>8</v>
      </c>
      <c r="C27" s="191" t="s">
        <v>703</v>
      </c>
      <c r="E27" s="286">
        <f>'Allocation Factors'!$G$24</f>
        <v>0.98899999999999999</v>
      </c>
      <c r="F27" s="286"/>
      <c r="G27" s="286"/>
      <c r="H27" s="286"/>
    </row>
    <row r="28" spans="1:31">
      <c r="A28" s="238"/>
    </row>
    <row r="29" spans="1:31">
      <c r="A29" s="238"/>
    </row>
    <row r="32" spans="1:31">
      <c r="A32" s="191" t="s">
        <v>646</v>
      </c>
      <c r="C32" s="214" t="s">
        <v>1006</v>
      </c>
    </row>
    <row r="52" spans="31:31" ht="24" customHeight="1">
      <c r="AE52" s="442" t="s">
        <v>704</v>
      </c>
    </row>
    <row r="53" spans="31:31" ht="24" customHeight="1">
      <c r="AE53" s="442"/>
    </row>
    <row r="54" spans="31:31">
      <c r="AE54" s="442"/>
    </row>
    <row r="55" spans="31:31">
      <c r="AE55" s="442"/>
    </row>
    <row r="56" spans="31:31">
      <c r="AE56" s="442"/>
    </row>
    <row r="57" spans="31:31">
      <c r="AE57" s="442"/>
    </row>
  </sheetData>
  <mergeCells count="1">
    <mergeCell ref="AE52:AE57"/>
  </mergeCells>
  <printOptions horizontalCentered="1"/>
  <pageMargins left="0" right="0" top="1" bottom="0.5" header="0" footer="0"/>
  <pageSetup scale="4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Normal="100" workbookViewId="0">
      <pane xSplit="2" ySplit="13" topLeftCell="C14" activePane="bottomRight" state="frozen"/>
      <selection activeCell="L31" sqref="L31"/>
      <selection pane="topRight" activeCell="L31" sqref="L31"/>
      <selection pane="bottomLeft" activeCell="L31" sqref="L31"/>
      <selection pane="bottomRight" activeCell="F12" sqref="F12"/>
    </sheetView>
  </sheetViews>
  <sheetFormatPr defaultRowHeight="12.75"/>
  <cols>
    <col min="1" max="1" width="3.28515625" style="73" bestFit="1" customWidth="1"/>
    <col min="2" max="2" width="23.7109375" style="72" customWidth="1"/>
    <col min="3" max="3" width="2.28515625" style="72" customWidth="1"/>
    <col min="4" max="4" width="8.28515625" style="72" bestFit="1" customWidth="1"/>
    <col min="5" max="5" width="10.140625" style="72" bestFit="1" customWidth="1"/>
    <col min="6" max="6" width="10.7109375" style="72" customWidth="1"/>
    <col min="7" max="7" width="8.140625" style="72" bestFit="1" customWidth="1"/>
    <col min="8" max="8" width="11.7109375" style="72" bestFit="1" customWidth="1"/>
    <col min="9" max="9" width="2.28515625" style="131" customWidth="1"/>
    <col min="10" max="10" width="10.7109375" style="72" customWidth="1"/>
    <col min="11" max="11" width="2.28515625" style="131" customWidth="1"/>
    <col min="12" max="12" width="13.5703125" style="72" bestFit="1" customWidth="1"/>
    <col min="13" max="14" width="9.28515625" style="72" bestFit="1" customWidth="1"/>
    <col min="15" max="15" width="11.7109375" style="72" bestFit="1" customWidth="1"/>
    <col min="16" max="16" width="2.28515625" style="131" customWidth="1"/>
    <col min="17" max="17" width="11.7109375" style="72" bestFit="1" customWidth="1"/>
    <col min="18" max="18" width="2.28515625" style="72" customWidth="1"/>
    <col min="19" max="19" width="8.28515625" style="72" bestFit="1" customWidth="1"/>
    <col min="20" max="20" width="8.7109375" style="73" customWidth="1"/>
    <col min="21" max="21" width="2.28515625" style="72" customWidth="1"/>
    <col min="22" max="16384" width="9.140625" style="72"/>
  </cols>
  <sheetData>
    <row r="1" spans="1:20">
      <c r="B1" s="444" t="s">
        <v>432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5"/>
      <c r="Q1" s="445"/>
      <c r="S1" s="115"/>
      <c r="T1" s="115"/>
    </row>
    <row r="2" spans="1:20">
      <c r="B2" s="444" t="s">
        <v>705</v>
      </c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5"/>
      <c r="Q2" s="445"/>
      <c r="S2" s="116"/>
      <c r="T2" s="116"/>
    </row>
    <row r="3" spans="1:20">
      <c r="B3" s="444" t="s">
        <v>882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5"/>
      <c r="Q3" s="445"/>
      <c r="S3" s="116"/>
      <c r="T3" s="116"/>
    </row>
    <row r="4" spans="1:20">
      <c r="B4" s="444" t="s">
        <v>706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5"/>
      <c r="Q4" s="445"/>
      <c r="R4" s="117"/>
      <c r="S4" s="117"/>
      <c r="T4" s="118"/>
    </row>
    <row r="7" spans="1:20">
      <c r="B7" s="73"/>
      <c r="C7" s="73"/>
      <c r="D7" s="73"/>
      <c r="E7" s="73"/>
      <c r="F7" s="73"/>
      <c r="G7" s="73"/>
      <c r="H7" s="73"/>
      <c r="I7" s="119"/>
      <c r="J7" s="73"/>
      <c r="K7" s="119"/>
      <c r="L7" s="73"/>
      <c r="M7" s="73"/>
      <c r="N7" s="73"/>
      <c r="O7" s="73"/>
      <c r="P7" s="119"/>
      <c r="Q7" s="73" t="s">
        <v>629</v>
      </c>
      <c r="R7" s="73"/>
      <c r="S7" s="73"/>
    </row>
    <row r="8" spans="1:20">
      <c r="B8" s="73"/>
      <c r="C8" s="73"/>
      <c r="D8" s="73"/>
      <c r="E8" s="73"/>
      <c r="F8" s="73"/>
      <c r="G8" s="73"/>
      <c r="H8" s="73"/>
      <c r="I8" s="119"/>
      <c r="J8" s="73" t="s">
        <v>483</v>
      </c>
      <c r="K8" s="119"/>
      <c r="L8" s="73" t="s">
        <v>707</v>
      </c>
      <c r="M8" s="73"/>
      <c r="N8" s="73"/>
      <c r="O8" s="73"/>
      <c r="P8" s="119"/>
      <c r="Q8" s="73" t="s">
        <v>708</v>
      </c>
      <c r="R8" s="73"/>
      <c r="S8" s="73"/>
    </row>
    <row r="9" spans="1:20">
      <c r="B9" s="73"/>
      <c r="C9" s="73"/>
      <c r="D9" s="73"/>
      <c r="E9" s="73"/>
      <c r="F9" s="73"/>
      <c r="G9" s="73"/>
      <c r="H9" s="73"/>
      <c r="I9" s="119"/>
      <c r="J9" s="73" t="s">
        <v>709</v>
      </c>
      <c r="K9" s="119"/>
      <c r="L9" s="73" t="s">
        <v>710</v>
      </c>
      <c r="M9" s="73"/>
      <c r="N9" s="73"/>
      <c r="O9" s="73"/>
      <c r="P9" s="119"/>
      <c r="Q9" s="101" t="s">
        <v>711</v>
      </c>
      <c r="R9" s="101"/>
      <c r="S9" s="101"/>
    </row>
    <row r="10" spans="1:20">
      <c r="B10" s="73"/>
      <c r="C10" s="73"/>
      <c r="D10" s="73"/>
      <c r="E10" s="73"/>
      <c r="F10" s="73"/>
      <c r="G10" s="73" t="s">
        <v>712</v>
      </c>
      <c r="H10" s="73" t="s">
        <v>713</v>
      </c>
      <c r="I10" s="119"/>
      <c r="J10" s="73" t="s">
        <v>714</v>
      </c>
      <c r="K10" s="119"/>
      <c r="L10" s="73" t="s">
        <v>715</v>
      </c>
      <c r="M10" s="73" t="s">
        <v>716</v>
      </c>
      <c r="N10" s="73" t="s">
        <v>717</v>
      </c>
      <c r="O10" s="73" t="s">
        <v>718</v>
      </c>
      <c r="P10" s="119"/>
      <c r="Q10" s="73" t="s">
        <v>719</v>
      </c>
      <c r="R10" s="73"/>
      <c r="S10" s="73" t="s">
        <v>629</v>
      </c>
      <c r="T10" s="73" t="s">
        <v>720</v>
      </c>
    </row>
    <row r="11" spans="1:20">
      <c r="A11" s="73" t="s">
        <v>721</v>
      </c>
      <c r="B11" s="73"/>
      <c r="C11" s="73"/>
      <c r="D11" s="73" t="s">
        <v>722</v>
      </c>
      <c r="E11" s="73" t="s">
        <v>723</v>
      </c>
      <c r="F11" s="73" t="s">
        <v>723</v>
      </c>
      <c r="G11" s="73" t="s">
        <v>724</v>
      </c>
      <c r="H11" s="73" t="s">
        <v>725</v>
      </c>
      <c r="I11" s="119"/>
      <c r="J11" s="73" t="s">
        <v>726</v>
      </c>
      <c r="K11" s="119"/>
      <c r="L11" s="73" t="s">
        <v>727</v>
      </c>
      <c r="M11" s="73" t="s">
        <v>728</v>
      </c>
      <c r="N11" s="73" t="s">
        <v>628</v>
      </c>
      <c r="O11" s="73" t="s">
        <v>725</v>
      </c>
      <c r="P11" s="119"/>
      <c r="Q11" s="73" t="s">
        <v>729</v>
      </c>
      <c r="R11" s="73"/>
      <c r="S11" s="73" t="s">
        <v>730</v>
      </c>
      <c r="T11" s="73" t="s">
        <v>631</v>
      </c>
    </row>
    <row r="12" spans="1:20">
      <c r="A12" s="74" t="s">
        <v>731</v>
      </c>
      <c r="B12" s="74" t="s">
        <v>1003</v>
      </c>
      <c r="C12" s="74"/>
      <c r="D12" s="74" t="s">
        <v>732</v>
      </c>
      <c r="E12" s="74" t="s">
        <v>733</v>
      </c>
      <c r="F12" s="74" t="s">
        <v>734</v>
      </c>
      <c r="G12" s="74" t="s">
        <v>735</v>
      </c>
      <c r="H12" s="74" t="s">
        <v>736</v>
      </c>
      <c r="I12" s="120"/>
      <c r="J12" s="74" t="s">
        <v>1002</v>
      </c>
      <c r="K12" s="120"/>
      <c r="L12" s="74" t="s">
        <v>737</v>
      </c>
      <c r="M12" s="74" t="s">
        <v>738</v>
      </c>
      <c r="N12" s="74" t="s">
        <v>633</v>
      </c>
      <c r="O12" s="74" t="s">
        <v>739</v>
      </c>
      <c r="P12" s="120"/>
      <c r="Q12" s="74" t="s">
        <v>740</v>
      </c>
      <c r="R12" s="74"/>
      <c r="S12" s="74" t="s">
        <v>711</v>
      </c>
      <c r="T12" s="74" t="s">
        <v>741</v>
      </c>
    </row>
    <row r="13" spans="1:20">
      <c r="A13" s="111">
        <v>-1</v>
      </c>
      <c r="B13" s="111">
        <f>+A13-1</f>
        <v>-2</v>
      </c>
      <c r="C13" s="111"/>
      <c r="D13" s="111">
        <f>+B13-1</f>
        <v>-3</v>
      </c>
      <c r="E13" s="111">
        <f>+D13-1</f>
        <v>-4</v>
      </c>
      <c r="F13" s="111">
        <f t="shared" ref="F13:T13" si="0">+E13-1</f>
        <v>-5</v>
      </c>
      <c r="G13" s="111">
        <f t="shared" si="0"/>
        <v>-6</v>
      </c>
      <c r="H13" s="111">
        <f t="shared" si="0"/>
        <v>-7</v>
      </c>
      <c r="I13" s="121"/>
      <c r="J13" s="111">
        <f>+H13-1</f>
        <v>-8</v>
      </c>
      <c r="K13" s="121"/>
      <c r="L13" s="111">
        <f>+J13-1</f>
        <v>-9</v>
      </c>
      <c r="M13" s="111">
        <f t="shared" si="0"/>
        <v>-10</v>
      </c>
      <c r="N13" s="111">
        <f t="shared" si="0"/>
        <v>-11</v>
      </c>
      <c r="O13" s="111">
        <f t="shared" si="0"/>
        <v>-12</v>
      </c>
      <c r="P13" s="121"/>
      <c r="Q13" s="111">
        <f>+O13-1</f>
        <v>-13</v>
      </c>
      <c r="R13" s="111"/>
      <c r="S13" s="111">
        <f>+Q13-1</f>
        <v>-14</v>
      </c>
      <c r="T13" s="111">
        <f t="shared" si="0"/>
        <v>-15</v>
      </c>
    </row>
    <row r="15" spans="1:20">
      <c r="B15" s="128" t="s">
        <v>744</v>
      </c>
      <c r="D15" s="123"/>
      <c r="E15" s="127"/>
      <c r="F15" s="127"/>
      <c r="G15" s="125"/>
      <c r="H15" s="75"/>
      <c r="I15" s="122"/>
      <c r="J15" s="75"/>
      <c r="K15" s="122"/>
      <c r="L15" s="75"/>
      <c r="M15" s="81"/>
      <c r="N15" s="123"/>
      <c r="O15" s="75"/>
      <c r="P15" s="122"/>
    </row>
    <row r="16" spans="1:20">
      <c r="A16" s="73">
        <v>1</v>
      </c>
      <c r="B16" s="72" t="s">
        <v>745</v>
      </c>
      <c r="D16" s="123">
        <v>5.6250000000000001E-2</v>
      </c>
      <c r="E16" s="124" t="s">
        <v>746</v>
      </c>
      <c r="F16" s="124" t="s">
        <v>747</v>
      </c>
      <c r="G16" s="125">
        <v>29.45</v>
      </c>
      <c r="H16" s="75">
        <v>75000</v>
      </c>
      <c r="I16" s="122"/>
      <c r="J16" s="75">
        <v>736</v>
      </c>
      <c r="K16" s="122"/>
      <c r="L16" s="75">
        <f t="shared" ref="L16:L21" si="1">+H16-J16</f>
        <v>74264</v>
      </c>
      <c r="M16" s="195">
        <f t="shared" ref="M16:M21" si="2">L16/H16*100</f>
        <v>99.018666666666661</v>
      </c>
      <c r="N16" s="123">
        <v>5.6938999999999997E-2</v>
      </c>
      <c r="O16" s="75">
        <v>75000</v>
      </c>
      <c r="P16" s="122"/>
      <c r="Q16" s="129">
        <f t="shared" ref="Q16:Q21" si="3">ROUND(O16*N16,0)</f>
        <v>4270</v>
      </c>
      <c r="R16" s="129"/>
      <c r="T16" s="73" t="s">
        <v>742</v>
      </c>
    </row>
    <row r="17" spans="1:20">
      <c r="A17" s="73">
        <f>+A16+1</f>
        <v>2</v>
      </c>
      <c r="B17" s="72" t="s">
        <v>745</v>
      </c>
      <c r="D17" s="123">
        <v>0.06</v>
      </c>
      <c r="E17" s="124" t="s">
        <v>748</v>
      </c>
      <c r="F17" s="124" t="s">
        <v>749</v>
      </c>
      <c r="G17" s="125">
        <v>10.01</v>
      </c>
      <c r="H17" s="75">
        <v>325000</v>
      </c>
      <c r="I17" s="122"/>
      <c r="J17" s="75">
        <f>2278+1667</f>
        <v>3945</v>
      </c>
      <c r="K17" s="122"/>
      <c r="L17" s="75">
        <f t="shared" si="1"/>
        <v>321055</v>
      </c>
      <c r="M17" s="195">
        <f t="shared" si="2"/>
        <v>98.786153846153852</v>
      </c>
      <c r="N17" s="123">
        <v>6.1641582E-2</v>
      </c>
      <c r="O17" s="75">
        <v>325000</v>
      </c>
      <c r="P17" s="122"/>
      <c r="Q17" s="129">
        <f t="shared" si="3"/>
        <v>20034</v>
      </c>
      <c r="R17" s="129"/>
      <c r="T17" s="73" t="s">
        <v>742</v>
      </c>
    </row>
    <row r="18" spans="1:20">
      <c r="A18" s="73">
        <f>A17+1</f>
        <v>3</v>
      </c>
      <c r="B18" s="72" t="s">
        <v>745</v>
      </c>
      <c r="D18" s="123">
        <v>7.2499999999999995E-2</v>
      </c>
      <c r="E18" s="124" t="s">
        <v>750</v>
      </c>
      <c r="F18" s="124" t="s">
        <v>751</v>
      </c>
      <c r="G18" s="125">
        <v>11.99</v>
      </c>
      <c r="H18" s="75">
        <v>40000</v>
      </c>
      <c r="I18" s="122"/>
      <c r="J18" s="75">
        <v>218</v>
      </c>
      <c r="K18" s="122"/>
      <c r="L18" s="75">
        <f t="shared" si="1"/>
        <v>39782</v>
      </c>
      <c r="M18" s="195">
        <f t="shared" si="2"/>
        <v>99.454999999999998</v>
      </c>
      <c r="N18" s="123">
        <v>7.318993E-2</v>
      </c>
      <c r="O18" s="75">
        <v>40000</v>
      </c>
      <c r="P18" s="122"/>
      <c r="Q18" s="129">
        <f t="shared" si="3"/>
        <v>2928</v>
      </c>
      <c r="R18" s="129"/>
      <c r="T18" s="73" t="s">
        <v>742</v>
      </c>
    </row>
    <row r="19" spans="1:20">
      <c r="A19" s="73">
        <f>A18+1</f>
        <v>4</v>
      </c>
      <c r="B19" s="72" t="s">
        <v>745</v>
      </c>
      <c r="D19" s="123">
        <v>8.0299999999999996E-2</v>
      </c>
      <c r="E19" s="124" t="s">
        <v>750</v>
      </c>
      <c r="F19" s="124" t="s">
        <v>752</v>
      </c>
      <c r="G19" s="125">
        <v>19.989999999999998</v>
      </c>
      <c r="H19" s="75">
        <v>30000</v>
      </c>
      <c r="I19" s="122"/>
      <c r="J19" s="75">
        <v>163</v>
      </c>
      <c r="K19" s="122"/>
      <c r="L19" s="75">
        <f t="shared" si="1"/>
        <v>29837</v>
      </c>
      <c r="M19" s="195">
        <f t="shared" si="2"/>
        <v>99.456666666666678</v>
      </c>
      <c r="N19" s="123">
        <v>8.0853999999999995E-2</v>
      </c>
      <c r="O19" s="75">
        <v>30000</v>
      </c>
      <c r="P19" s="122"/>
      <c r="Q19" s="129">
        <f t="shared" si="3"/>
        <v>2426</v>
      </c>
      <c r="R19" s="129"/>
      <c r="T19" s="73" t="s">
        <v>742</v>
      </c>
    </row>
    <row r="20" spans="1:20">
      <c r="A20" s="73">
        <f>A19+1</f>
        <v>5</v>
      </c>
      <c r="B20" s="72" t="s">
        <v>745</v>
      </c>
      <c r="D20" s="123">
        <v>8.1299999999999997E-2</v>
      </c>
      <c r="E20" s="124" t="s">
        <v>750</v>
      </c>
      <c r="F20" s="124" t="s">
        <v>753</v>
      </c>
      <c r="G20" s="125">
        <v>29.98</v>
      </c>
      <c r="H20" s="75">
        <v>60000</v>
      </c>
      <c r="I20" s="122"/>
      <c r="J20" s="75">
        <v>327</v>
      </c>
      <c r="K20" s="122"/>
      <c r="L20" s="75">
        <f t="shared" si="1"/>
        <v>59673</v>
      </c>
      <c r="M20" s="195">
        <f t="shared" si="2"/>
        <v>99.454999999999998</v>
      </c>
      <c r="N20" s="123">
        <v>8.1789799999999996E-2</v>
      </c>
      <c r="O20" s="75">
        <v>60000</v>
      </c>
      <c r="P20" s="122"/>
      <c r="Q20" s="129">
        <f t="shared" si="3"/>
        <v>4907</v>
      </c>
      <c r="R20" s="129"/>
      <c r="T20" s="73" t="s">
        <v>742</v>
      </c>
    </row>
    <row r="21" spans="1:20" s="193" customFormat="1">
      <c r="A21" s="73">
        <f>A20+1</f>
        <v>6</v>
      </c>
      <c r="B21" s="193" t="s">
        <v>745</v>
      </c>
      <c r="D21" s="123">
        <v>4.1799999999999997E-2</v>
      </c>
      <c r="E21" s="124" t="s">
        <v>903</v>
      </c>
      <c r="F21" s="124" t="s">
        <v>904</v>
      </c>
      <c r="G21" s="125">
        <v>11.99</v>
      </c>
      <c r="H21" s="190">
        <v>120000</v>
      </c>
      <c r="I21" s="122"/>
      <c r="J21" s="190">
        <v>593</v>
      </c>
      <c r="K21" s="122"/>
      <c r="L21" s="190">
        <f t="shared" si="1"/>
        <v>119407</v>
      </c>
      <c r="M21" s="195">
        <f t="shared" si="2"/>
        <v>99.505833333333342</v>
      </c>
      <c r="N21" s="123">
        <v>4.2328999999999999E-2</v>
      </c>
      <c r="O21" s="190">
        <v>120000</v>
      </c>
      <c r="P21" s="122"/>
      <c r="Q21" s="129">
        <f t="shared" si="3"/>
        <v>5079</v>
      </c>
      <c r="R21" s="129"/>
      <c r="T21" s="73" t="s">
        <v>742</v>
      </c>
    </row>
    <row r="22" spans="1:20">
      <c r="D22" s="123"/>
      <c r="E22" s="80"/>
      <c r="F22" s="80"/>
      <c r="G22" s="130"/>
      <c r="H22" s="75"/>
      <c r="I22" s="122"/>
      <c r="L22" s="75"/>
      <c r="M22" s="81"/>
      <c r="N22" s="123"/>
      <c r="O22" s="75"/>
      <c r="P22" s="122"/>
      <c r="Q22" s="132"/>
      <c r="R22" s="131"/>
    </row>
    <row r="23" spans="1:20">
      <c r="A23" s="73">
        <f>+A21+1</f>
        <v>7</v>
      </c>
      <c r="B23" s="72" t="s">
        <v>743</v>
      </c>
      <c r="D23" s="108"/>
      <c r="E23" s="108"/>
      <c r="F23" s="108"/>
      <c r="G23" s="130"/>
      <c r="H23" s="133">
        <f>SUM(H16:H22)</f>
        <v>650000</v>
      </c>
      <c r="I23" s="122"/>
      <c r="J23" s="133">
        <f>SUM(J16:J22)</f>
        <v>5982</v>
      </c>
      <c r="K23" s="122"/>
      <c r="L23" s="133">
        <f>SUM(L16:L22)</f>
        <v>644018</v>
      </c>
      <c r="M23" s="134"/>
      <c r="N23" s="122"/>
      <c r="O23" s="133">
        <f>SUM(O16:O22)</f>
        <v>650000</v>
      </c>
      <c r="P23" s="122"/>
      <c r="Q23" s="133">
        <f>SUM(Q16:Q22)</f>
        <v>39644</v>
      </c>
      <c r="R23" s="122"/>
    </row>
    <row r="25" spans="1:20" s="193" customFormat="1">
      <c r="A25" s="73"/>
      <c r="B25" s="194" t="s">
        <v>905</v>
      </c>
      <c r="I25" s="131"/>
      <c r="K25" s="131"/>
      <c r="P25" s="131"/>
      <c r="T25" s="73"/>
    </row>
    <row r="26" spans="1:20" s="193" customFormat="1">
      <c r="A26" s="73">
        <f>A23+1</f>
        <v>8</v>
      </c>
      <c r="B26" s="191" t="s">
        <v>905</v>
      </c>
      <c r="D26" s="135">
        <v>8.9999999999999993E-3</v>
      </c>
      <c r="E26" s="136">
        <v>41816</v>
      </c>
      <c r="F26" s="136">
        <v>42912</v>
      </c>
      <c r="G26" s="235">
        <v>3</v>
      </c>
      <c r="H26" s="59">
        <v>65000</v>
      </c>
      <c r="I26" s="131"/>
      <c r="J26" s="59">
        <v>518</v>
      </c>
      <c r="K26" s="131"/>
      <c r="L26" s="173">
        <f>H26-J26</f>
        <v>64482</v>
      </c>
      <c r="M26" s="195">
        <f>L26/H26*100</f>
        <v>99.203076923076921</v>
      </c>
      <c r="N26" s="135">
        <v>1.171E-2</v>
      </c>
      <c r="O26" s="59">
        <v>65000</v>
      </c>
      <c r="P26" s="131"/>
      <c r="Q26" s="129">
        <f>ROUND(O26*N26,0)</f>
        <v>761</v>
      </c>
      <c r="T26" s="73" t="s">
        <v>999</v>
      </c>
    </row>
    <row r="27" spans="1:20" s="193" customFormat="1">
      <c r="A27" s="73"/>
      <c r="G27" s="233"/>
      <c r="H27" s="196">
        <f>SUM(H26)</f>
        <v>65000</v>
      </c>
      <c r="I27" s="131"/>
      <c r="J27" s="196">
        <f>SUM(J26)</f>
        <v>518</v>
      </c>
      <c r="K27" s="131"/>
      <c r="L27" s="196">
        <f>SUM(L26)</f>
        <v>64482</v>
      </c>
      <c r="O27" s="196">
        <f>SUM(O26)</f>
        <v>65000</v>
      </c>
      <c r="P27" s="131"/>
      <c r="Q27" s="133">
        <f>SUM(Q26)</f>
        <v>761</v>
      </c>
      <c r="T27" s="73"/>
    </row>
    <row r="28" spans="1:20" s="193" customFormat="1">
      <c r="A28" s="73"/>
      <c r="G28" s="233"/>
      <c r="I28" s="131"/>
      <c r="K28" s="131"/>
      <c r="P28" s="131"/>
      <c r="T28" s="73"/>
    </row>
    <row r="29" spans="1:20" s="211" customFormat="1">
      <c r="A29" s="212"/>
      <c r="B29" s="218" t="s">
        <v>997</v>
      </c>
      <c r="C29" s="212"/>
      <c r="D29" s="212"/>
      <c r="E29" s="212"/>
      <c r="F29" s="212"/>
      <c r="G29" s="213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</row>
    <row r="30" spans="1:20" s="211" customFormat="1">
      <c r="A30" s="213">
        <v>9</v>
      </c>
      <c r="B30" s="214" t="s">
        <v>998</v>
      </c>
      <c r="C30" s="212"/>
      <c r="D30" s="219">
        <v>1.44E-2</v>
      </c>
      <c r="E30" s="220">
        <v>42004</v>
      </c>
      <c r="F30" s="220">
        <v>42137</v>
      </c>
      <c r="G30" s="213">
        <v>1.4</v>
      </c>
      <c r="H30" s="221">
        <v>80000</v>
      </c>
      <c r="I30" s="212"/>
      <c r="J30" s="221">
        <v>300</v>
      </c>
      <c r="K30" s="212"/>
      <c r="L30" s="222">
        <v>79700</v>
      </c>
      <c r="M30" s="215">
        <v>99.625</v>
      </c>
      <c r="N30" s="219">
        <v>1.7149999999999999E-2</v>
      </c>
      <c r="O30" s="216">
        <v>0</v>
      </c>
      <c r="P30" s="212"/>
      <c r="Q30" s="216">
        <v>0</v>
      </c>
      <c r="R30" s="212"/>
      <c r="S30" s="212"/>
      <c r="T30" s="213" t="s">
        <v>742</v>
      </c>
    </row>
    <row r="31" spans="1:20" s="211" customFormat="1">
      <c r="A31" s="212"/>
      <c r="B31" s="212"/>
      <c r="C31" s="212"/>
      <c r="D31" s="212"/>
      <c r="E31" s="212"/>
      <c r="F31" s="212"/>
      <c r="G31" s="213"/>
      <c r="H31" s="223">
        <v>80000</v>
      </c>
      <c r="I31" s="212"/>
      <c r="J31" s="223">
        <v>300</v>
      </c>
      <c r="K31" s="212"/>
      <c r="L31" s="223">
        <v>79700</v>
      </c>
      <c r="M31" s="212"/>
      <c r="N31" s="212"/>
      <c r="O31" s="217">
        <v>0</v>
      </c>
      <c r="P31" s="212"/>
      <c r="Q31" s="217">
        <v>0</v>
      </c>
      <c r="R31" s="212"/>
      <c r="S31" s="212"/>
      <c r="T31" s="212"/>
    </row>
    <row r="32" spans="1:20">
      <c r="B32" s="194" t="s">
        <v>754</v>
      </c>
      <c r="G32" s="233"/>
    </row>
    <row r="33" spans="1:20" s="234" customFormat="1">
      <c r="A33" s="233">
        <f>A30+1</f>
        <v>10</v>
      </c>
      <c r="B33" s="214" t="s">
        <v>996</v>
      </c>
      <c r="C33" s="225"/>
      <c r="D33" s="219">
        <v>5.2499999999999998E-2</v>
      </c>
      <c r="E33" s="220">
        <v>38022</v>
      </c>
      <c r="F33" s="220">
        <v>42156</v>
      </c>
      <c r="G33" s="213">
        <v>11.3</v>
      </c>
      <c r="H33" s="221">
        <v>20000</v>
      </c>
      <c r="I33" s="225"/>
      <c r="J33" s="236">
        <v>0</v>
      </c>
      <c r="K33" s="225"/>
      <c r="L33" s="222">
        <v>20000</v>
      </c>
      <c r="M33" s="215">
        <v>100</v>
      </c>
      <c r="N33" s="219">
        <v>5.2490000000000002E-2</v>
      </c>
      <c r="O33" s="216">
        <v>0</v>
      </c>
      <c r="P33" s="225"/>
      <c r="Q33" s="216">
        <v>0</v>
      </c>
      <c r="R33" s="225"/>
      <c r="S33" s="225"/>
      <c r="T33" s="213" t="s">
        <v>742</v>
      </c>
    </row>
    <row r="34" spans="1:20">
      <c r="A34" s="73">
        <f>A33+1</f>
        <v>11</v>
      </c>
      <c r="B34" s="191" t="s">
        <v>1000</v>
      </c>
      <c r="D34" s="135">
        <v>1.7350000000000001E-2</v>
      </c>
      <c r="E34" s="136">
        <v>41948</v>
      </c>
      <c r="F34" s="136">
        <v>43409</v>
      </c>
      <c r="G34" s="235">
        <v>4</v>
      </c>
      <c r="H34" s="137">
        <v>75000</v>
      </c>
      <c r="J34" s="75">
        <v>597</v>
      </c>
      <c r="L34" s="75">
        <f>H34-J34</f>
        <v>74403</v>
      </c>
      <c r="M34" s="195">
        <f>L34/H34*100</f>
        <v>99.204000000000008</v>
      </c>
      <c r="N34" s="135">
        <v>1.9394700000000001E-2</v>
      </c>
      <c r="O34" s="75">
        <v>25000</v>
      </c>
      <c r="Q34" s="129">
        <f>ROUND(O34*N34,0)</f>
        <v>485</v>
      </c>
      <c r="T34" s="73" t="s">
        <v>742</v>
      </c>
    </row>
    <row r="35" spans="1:20">
      <c r="A35" s="233">
        <v>12</v>
      </c>
      <c r="B35" s="191" t="s">
        <v>1001</v>
      </c>
      <c r="D35" s="135">
        <v>4.3299999999999998E-2</v>
      </c>
      <c r="E35" s="136">
        <v>42003</v>
      </c>
      <c r="F35" s="136">
        <v>46386</v>
      </c>
      <c r="G35" s="235">
        <v>12</v>
      </c>
      <c r="H35" s="138">
        <v>80000</v>
      </c>
      <c r="J35" s="126">
        <v>395</v>
      </c>
      <c r="L35" s="190">
        <f>H35-J35</f>
        <v>79605</v>
      </c>
      <c r="M35" s="195">
        <f>L35/H35*100</f>
        <v>99.506249999999994</v>
      </c>
      <c r="N35" s="135">
        <v>4.3833700000000003E-2</v>
      </c>
      <c r="O35" s="126">
        <v>80000</v>
      </c>
      <c r="Q35" s="58">
        <f>ROUND(O35*N35,0)</f>
        <v>3507</v>
      </c>
      <c r="T35" s="73" t="s">
        <v>742</v>
      </c>
    </row>
    <row r="36" spans="1:20">
      <c r="D36" s="135"/>
      <c r="E36" s="136"/>
      <c r="F36" s="136"/>
      <c r="H36" s="237">
        <f>SUM(H33:H35)</f>
        <v>175000</v>
      </c>
      <c r="J36" s="126">
        <f>SUM(J33:J35)</f>
        <v>992</v>
      </c>
      <c r="L36" s="196">
        <f>SUM(L33:L35)</f>
        <v>174008</v>
      </c>
      <c r="O36" s="126">
        <f>SUM(O33:O35)</f>
        <v>105000</v>
      </c>
      <c r="Q36" s="126">
        <f>SUM(Q33:Q35)</f>
        <v>3992</v>
      </c>
    </row>
    <row r="37" spans="1:20">
      <c r="D37" s="135"/>
      <c r="E37" s="136"/>
      <c r="F37" s="136"/>
      <c r="H37" s="137"/>
      <c r="J37" s="75"/>
      <c r="L37" s="75"/>
      <c r="O37" s="75"/>
      <c r="Q37" s="75"/>
    </row>
    <row r="39" spans="1:20" ht="14.25">
      <c r="A39" s="73">
        <v>13</v>
      </c>
      <c r="B39" s="72" t="s">
        <v>755</v>
      </c>
      <c r="D39" s="139"/>
      <c r="E39" s="139"/>
      <c r="F39" s="139"/>
      <c r="G39" s="139"/>
      <c r="H39" s="126">
        <f>+H23+H31+H27+H36</f>
        <v>970000</v>
      </c>
      <c r="I39" s="122"/>
      <c r="J39" s="126">
        <f>+J23+J31+J27+J36</f>
        <v>7792</v>
      </c>
      <c r="K39" s="122"/>
      <c r="L39" s="126">
        <f>+L23+L31+L27+L36</f>
        <v>962208</v>
      </c>
      <c r="O39" s="126">
        <f>+O23+O31+O27+O36</f>
        <v>820000</v>
      </c>
      <c r="P39" s="122"/>
      <c r="Q39" s="126">
        <f>+Q23+Q31+Q27+Q36</f>
        <v>44397</v>
      </c>
      <c r="R39" s="122"/>
    </row>
    <row r="41" spans="1:20">
      <c r="A41" s="73">
        <v>14</v>
      </c>
      <c r="B41" s="72" t="s">
        <v>756</v>
      </c>
      <c r="H41" s="126">
        <v>0</v>
      </c>
      <c r="I41" s="122"/>
      <c r="J41" s="126">
        <v>0</v>
      </c>
      <c r="K41" s="122"/>
      <c r="L41" s="126">
        <v>0</v>
      </c>
      <c r="O41" s="126">
        <v>0</v>
      </c>
      <c r="P41" s="122"/>
      <c r="Q41" s="132">
        <v>0</v>
      </c>
      <c r="R41" s="131"/>
    </row>
    <row r="43" spans="1:20">
      <c r="O43" s="75"/>
      <c r="P43" s="122"/>
      <c r="T43" s="443" t="s">
        <v>758</v>
      </c>
    </row>
    <row r="44" spans="1:20" ht="13.5" customHeight="1" thickBot="1">
      <c r="A44" s="73">
        <v>15</v>
      </c>
      <c r="B44" s="72" t="s">
        <v>757</v>
      </c>
      <c r="H44" s="140">
        <f>+H39+H41</f>
        <v>970000</v>
      </c>
      <c r="I44" s="122"/>
      <c r="J44" s="140">
        <f>+J39+J41</f>
        <v>7792</v>
      </c>
      <c r="K44" s="122"/>
      <c r="L44" s="140">
        <f>+L39+L41</f>
        <v>962208</v>
      </c>
      <c r="O44" s="140">
        <f>+O39+O41</f>
        <v>820000</v>
      </c>
      <c r="P44" s="122"/>
      <c r="Q44" s="140">
        <f>+Q39+Q41</f>
        <v>44397</v>
      </c>
      <c r="R44" s="122"/>
      <c r="S44" s="198">
        <f>ROUND(Q44/O44,4)</f>
        <v>5.4100000000000002E-2</v>
      </c>
      <c r="T44" s="443"/>
    </row>
    <row r="45" spans="1:20" ht="13.5" customHeight="1" thickTop="1">
      <c r="T45" s="443"/>
    </row>
    <row r="46" spans="1:20" ht="14.25" customHeight="1">
      <c r="A46" s="141"/>
      <c r="T46" s="443"/>
    </row>
    <row r="47" spans="1:20">
      <c r="A47" s="73" t="s">
        <v>646</v>
      </c>
      <c r="B47" s="224" t="s">
        <v>1004</v>
      </c>
      <c r="T47" s="443"/>
    </row>
    <row r="48" spans="1:20">
      <c r="T48" s="443"/>
    </row>
    <row r="49" spans="1:20" ht="18" customHeight="1">
      <c r="A49" s="73" t="s">
        <v>637</v>
      </c>
      <c r="B49" s="211" t="s">
        <v>759</v>
      </c>
      <c r="T49" s="443"/>
    </row>
    <row r="50" spans="1:20" ht="16.5" customHeight="1">
      <c r="T50" s="163"/>
    </row>
  </sheetData>
  <mergeCells count="5">
    <mergeCell ref="T43:T49"/>
    <mergeCell ref="B1:Q1"/>
    <mergeCell ref="B2:Q2"/>
    <mergeCell ref="B3:Q3"/>
    <mergeCell ref="B4:Q4"/>
  </mergeCells>
  <printOptions horizontalCentered="1"/>
  <pageMargins left="0" right="0" top="1" bottom="0.5" header="0" footer="0"/>
  <pageSetup scale="8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Normal="100" workbookViewId="0">
      <pane ySplit="8" topLeftCell="A9" activePane="bottomLeft" state="frozen"/>
      <selection activeCell="L31" sqref="L31"/>
      <selection pane="bottomLeft" activeCell="E47" sqref="E47"/>
    </sheetView>
  </sheetViews>
  <sheetFormatPr defaultRowHeight="12.75"/>
  <cols>
    <col min="1" max="1" width="7.7109375" style="73" customWidth="1"/>
    <col min="2" max="2" width="2.28515625" style="72" customWidth="1"/>
    <col min="3" max="3" width="12.28515625" style="106" customWidth="1"/>
    <col min="4" max="4" width="7" style="72" customWidth="1"/>
    <col min="5" max="5" width="39.5703125" style="72" bestFit="1" customWidth="1"/>
    <col min="6" max="6" width="17" style="72" customWidth="1"/>
    <col min="7" max="7" width="3.7109375" style="72" customWidth="1"/>
    <col min="8" max="16384" width="9.140625" style="72"/>
  </cols>
  <sheetData>
    <row r="1" spans="1:6">
      <c r="B1" s="446" t="s">
        <v>432</v>
      </c>
      <c r="C1" s="446"/>
      <c r="D1" s="446"/>
      <c r="E1" s="446"/>
      <c r="F1" s="107" t="s">
        <v>607</v>
      </c>
    </row>
    <row r="2" spans="1:6">
      <c r="B2" s="446" t="s">
        <v>760</v>
      </c>
      <c r="C2" s="446"/>
      <c r="D2" s="446"/>
      <c r="E2" s="446"/>
      <c r="F2" s="107" t="s">
        <v>761</v>
      </c>
    </row>
    <row r="3" spans="1:6">
      <c r="B3" s="446" t="s">
        <v>882</v>
      </c>
      <c r="C3" s="446"/>
      <c r="D3" s="446"/>
      <c r="E3" s="446"/>
      <c r="F3" s="107" t="s">
        <v>762</v>
      </c>
    </row>
    <row r="4" spans="1:6">
      <c r="E4" s="108"/>
    </row>
    <row r="5" spans="1:6">
      <c r="E5" s="108"/>
    </row>
    <row r="6" spans="1:6">
      <c r="E6" s="80"/>
    </row>
    <row r="7" spans="1:6" ht="38.25">
      <c r="A7" s="77" t="s">
        <v>610</v>
      </c>
      <c r="C7" s="73" t="s">
        <v>763</v>
      </c>
      <c r="D7" s="73" t="s">
        <v>764</v>
      </c>
      <c r="E7" s="78"/>
      <c r="F7" s="77" t="s">
        <v>765</v>
      </c>
    </row>
    <row r="8" spans="1:6">
      <c r="A8" s="109">
        <v>-1</v>
      </c>
      <c r="C8" s="79">
        <f>+A8-1</f>
        <v>-2</v>
      </c>
      <c r="D8" s="79">
        <f>+C8-1</f>
        <v>-3</v>
      </c>
      <c r="E8" s="78"/>
      <c r="F8" s="79">
        <f>+D8-1</f>
        <v>-4</v>
      </c>
    </row>
    <row r="9" spans="1:6">
      <c r="A9" s="79"/>
      <c r="C9" s="142"/>
      <c r="D9" s="80"/>
      <c r="E9" s="80"/>
    </row>
    <row r="10" spans="1:6">
      <c r="A10" s="79">
        <v>1</v>
      </c>
      <c r="C10" s="143" t="s">
        <v>500</v>
      </c>
      <c r="D10" s="192">
        <v>2013</v>
      </c>
      <c r="E10" s="80"/>
      <c r="F10" s="75">
        <v>0</v>
      </c>
    </row>
    <row r="11" spans="1:6">
      <c r="A11" s="79"/>
      <c r="C11" s="143" t="s">
        <v>494</v>
      </c>
      <c r="D11" s="192"/>
      <c r="E11" s="80"/>
      <c r="F11" s="44"/>
    </row>
    <row r="12" spans="1:6">
      <c r="A12" s="79">
        <f>+A10+1</f>
        <v>2</v>
      </c>
      <c r="C12" s="143" t="s">
        <v>501</v>
      </c>
      <c r="D12" s="192">
        <v>2013</v>
      </c>
      <c r="E12" s="80"/>
      <c r="F12" s="44">
        <v>0</v>
      </c>
    </row>
    <row r="13" spans="1:6">
      <c r="A13" s="79"/>
      <c r="C13" s="143" t="s">
        <v>494</v>
      </c>
      <c r="D13" s="73"/>
      <c r="E13" s="80"/>
      <c r="F13" s="44"/>
    </row>
    <row r="14" spans="1:6">
      <c r="A14" s="79">
        <f>+A12+1</f>
        <v>3</v>
      </c>
      <c r="C14" s="143" t="s">
        <v>502</v>
      </c>
      <c r="D14" s="73">
        <v>2013</v>
      </c>
      <c r="E14" s="80"/>
      <c r="F14" s="44">
        <v>8564457.3200000003</v>
      </c>
    </row>
    <row r="15" spans="1:6">
      <c r="A15" s="79"/>
      <c r="C15" s="143"/>
      <c r="D15" s="101"/>
      <c r="E15" s="80"/>
      <c r="F15" s="44"/>
    </row>
    <row r="16" spans="1:6">
      <c r="A16" s="79">
        <f>+A14+1</f>
        <v>4</v>
      </c>
      <c r="C16" s="143" t="s">
        <v>503</v>
      </c>
      <c r="D16" s="101">
        <v>2014</v>
      </c>
      <c r="E16" s="80"/>
      <c r="F16" s="44">
        <v>0</v>
      </c>
    </row>
    <row r="17" spans="1:6">
      <c r="A17" s="79"/>
      <c r="C17" s="143"/>
      <c r="D17" s="101"/>
      <c r="E17" s="80"/>
      <c r="F17" s="44"/>
    </row>
    <row r="18" spans="1:6">
      <c r="A18" s="79">
        <f>+A16+1</f>
        <v>5</v>
      </c>
      <c r="C18" s="143" t="s">
        <v>504</v>
      </c>
      <c r="D18" s="101">
        <v>2014</v>
      </c>
      <c r="E18" s="80"/>
      <c r="F18" s="44">
        <v>33750576.729999997</v>
      </c>
    </row>
    <row r="19" spans="1:6">
      <c r="A19" s="79"/>
      <c r="C19" s="143"/>
      <c r="D19" s="101"/>
      <c r="E19" s="80"/>
      <c r="F19" s="44"/>
    </row>
    <row r="20" spans="1:6">
      <c r="A20" s="79">
        <f>+A18+1</f>
        <v>6</v>
      </c>
      <c r="C20" s="143" t="s">
        <v>505</v>
      </c>
      <c r="D20" s="101">
        <v>2014</v>
      </c>
      <c r="E20" s="80"/>
      <c r="F20" s="44">
        <v>49404057.609999999</v>
      </c>
    </row>
    <row r="21" spans="1:6">
      <c r="A21" s="79"/>
      <c r="C21" s="143"/>
      <c r="D21" s="101"/>
      <c r="E21" s="80"/>
      <c r="F21" s="44"/>
    </row>
    <row r="22" spans="1:6">
      <c r="A22" s="79">
        <f>+A20+1</f>
        <v>7</v>
      </c>
      <c r="C22" s="143" t="s">
        <v>493</v>
      </c>
      <c r="D22" s="101">
        <v>2014</v>
      </c>
      <c r="E22" s="80"/>
      <c r="F22" s="44">
        <v>24309196.780000001</v>
      </c>
    </row>
    <row r="23" spans="1:6">
      <c r="A23" s="79"/>
      <c r="C23" s="143"/>
      <c r="D23" s="101"/>
      <c r="E23" s="80"/>
      <c r="F23" s="44"/>
    </row>
    <row r="24" spans="1:6">
      <c r="A24" s="79">
        <f>+A22+1</f>
        <v>8</v>
      </c>
      <c r="C24" s="143" t="s">
        <v>495</v>
      </c>
      <c r="D24" s="101">
        <v>2014</v>
      </c>
      <c r="E24" s="80"/>
      <c r="F24" s="44">
        <v>23101667</v>
      </c>
    </row>
    <row r="25" spans="1:6">
      <c r="A25" s="79"/>
      <c r="C25" s="143"/>
      <c r="D25" s="101"/>
      <c r="E25" s="80"/>
      <c r="F25" s="44"/>
    </row>
    <row r="26" spans="1:6">
      <c r="A26" s="79">
        <f>+A24+1</f>
        <v>9</v>
      </c>
      <c r="C26" s="143" t="s">
        <v>496</v>
      </c>
      <c r="D26" s="101">
        <v>2014</v>
      </c>
      <c r="E26" s="80"/>
      <c r="F26" s="44">
        <v>0</v>
      </c>
    </row>
    <row r="27" spans="1:6">
      <c r="A27" s="79"/>
      <c r="C27" s="143"/>
      <c r="D27" s="101" t="s">
        <v>494</v>
      </c>
      <c r="E27" s="80"/>
      <c r="F27" s="44"/>
    </row>
    <row r="28" spans="1:6">
      <c r="A28" s="79">
        <f>+A26+1</f>
        <v>10</v>
      </c>
      <c r="C28" s="143" t="s">
        <v>497</v>
      </c>
      <c r="D28" s="101">
        <v>2014</v>
      </c>
      <c r="E28" s="80"/>
      <c r="F28" s="44">
        <v>0</v>
      </c>
    </row>
    <row r="29" spans="1:6">
      <c r="A29" s="79"/>
      <c r="C29" s="143"/>
      <c r="D29" s="101" t="s">
        <v>494</v>
      </c>
      <c r="E29" s="80"/>
      <c r="F29" s="44"/>
    </row>
    <row r="30" spans="1:6">
      <c r="A30" s="79">
        <f>+A28+1</f>
        <v>11</v>
      </c>
      <c r="C30" s="143" t="s">
        <v>498</v>
      </c>
      <c r="D30" s="101">
        <v>2014</v>
      </c>
      <c r="E30" s="80"/>
      <c r="F30" s="44">
        <v>0</v>
      </c>
    </row>
    <row r="31" spans="1:6">
      <c r="A31" s="79"/>
      <c r="D31" s="73"/>
      <c r="E31" s="80"/>
      <c r="F31" s="44"/>
    </row>
    <row r="32" spans="1:6">
      <c r="A32" s="79">
        <f>+A30+1</f>
        <v>12</v>
      </c>
      <c r="C32" s="106" t="s">
        <v>499</v>
      </c>
      <c r="D32" s="73">
        <v>2014</v>
      </c>
      <c r="F32" s="44">
        <v>0</v>
      </c>
    </row>
    <row r="33" spans="1:7">
      <c r="A33" s="79"/>
      <c r="D33" s="80"/>
      <c r="F33" s="76" t="s">
        <v>766</v>
      </c>
    </row>
    <row r="34" spans="1:7">
      <c r="A34" s="79">
        <f>+A32+1</f>
        <v>13</v>
      </c>
      <c r="C34" s="106" t="s">
        <v>483</v>
      </c>
      <c r="F34" s="75">
        <f>SUM(F10:F33)</f>
        <v>139129955.44</v>
      </c>
    </row>
    <row r="35" spans="1:7">
      <c r="A35" s="79"/>
      <c r="F35" s="76" t="s">
        <v>766</v>
      </c>
    </row>
    <row r="36" spans="1:7">
      <c r="A36" s="79">
        <f>+A34+1</f>
        <v>14</v>
      </c>
      <c r="C36" s="106" t="s">
        <v>767</v>
      </c>
      <c r="F36" s="75">
        <f>ROUND(F34/12,0)</f>
        <v>11594163</v>
      </c>
    </row>
    <row r="37" spans="1:7">
      <c r="A37" s="79"/>
      <c r="F37" s="76" t="s">
        <v>766</v>
      </c>
    </row>
    <row r="38" spans="1:7">
      <c r="A38" s="79">
        <f>+A36+1</f>
        <v>15</v>
      </c>
      <c r="C38" s="106" t="s">
        <v>902</v>
      </c>
      <c r="F38" s="75">
        <v>28510.09</v>
      </c>
      <c r="G38" s="110"/>
    </row>
    <row r="39" spans="1:7">
      <c r="A39" s="79"/>
      <c r="F39" s="76" t="s">
        <v>766</v>
      </c>
    </row>
    <row r="40" spans="1:7">
      <c r="A40" s="79">
        <f>+A38+1</f>
        <v>16</v>
      </c>
      <c r="C40" s="106" t="s">
        <v>768</v>
      </c>
      <c r="F40" s="44"/>
    </row>
    <row r="41" spans="1:7">
      <c r="A41" s="79"/>
      <c r="C41" s="106" t="s">
        <v>769</v>
      </c>
      <c r="F41" s="81">
        <f>ROUND(F38/F36,4)</f>
        <v>2.5000000000000001E-3</v>
      </c>
    </row>
    <row r="42" spans="1:7">
      <c r="F42" s="76" t="s">
        <v>770</v>
      </c>
    </row>
    <row r="43" spans="1:7">
      <c r="F43" s="76"/>
    </row>
    <row r="44" spans="1:7" s="227" customFormat="1">
      <c r="A44" s="242"/>
      <c r="C44" s="46"/>
      <c r="F44" s="202"/>
    </row>
    <row r="45" spans="1:7" s="227" customFormat="1">
      <c r="A45" s="242"/>
      <c r="C45" s="46"/>
      <c r="F45" s="202"/>
    </row>
    <row r="46" spans="1:7" s="227" customFormat="1">
      <c r="A46" s="287"/>
      <c r="C46" s="288"/>
      <c r="F46" s="202"/>
    </row>
    <row r="47" spans="1:7" s="227" customFormat="1">
      <c r="A47" s="287"/>
      <c r="C47" s="288"/>
      <c r="F47" s="202"/>
    </row>
    <row r="48" spans="1:7" s="227" customFormat="1">
      <c r="A48" s="287"/>
      <c r="C48" s="289"/>
      <c r="F48" s="202"/>
    </row>
    <row r="49" spans="1:6" s="227" customFormat="1">
      <c r="A49" s="287"/>
      <c r="C49" s="289"/>
      <c r="F49" s="202"/>
    </row>
    <row r="50" spans="1:6" s="227" customFormat="1">
      <c r="A50" s="242"/>
      <c r="C50" s="46"/>
      <c r="F50" s="290"/>
    </row>
    <row r="51" spans="1:6" s="227" customFormat="1">
      <c r="A51" s="242"/>
      <c r="C51" s="46"/>
      <c r="F51" s="160"/>
    </row>
    <row r="52" spans="1:6" s="227" customFormat="1">
      <c r="A52" s="242"/>
      <c r="C52" s="46"/>
      <c r="F52" s="290"/>
    </row>
    <row r="53" spans="1:6" s="227" customFormat="1">
      <c r="A53" s="242"/>
      <c r="C53" s="46"/>
      <c r="F53" s="160"/>
    </row>
    <row r="54" spans="1:6" s="227" customFormat="1">
      <c r="A54" s="242"/>
      <c r="C54" s="46"/>
      <c r="F54" s="290"/>
    </row>
    <row r="55" spans="1:6" s="227" customFormat="1">
      <c r="A55" s="242"/>
      <c r="C55" s="46"/>
    </row>
    <row r="56" spans="1:6">
      <c r="F56" s="144"/>
    </row>
    <row r="57" spans="1:6">
      <c r="F57" s="144"/>
    </row>
    <row r="58" spans="1:6">
      <c r="F58" s="144"/>
    </row>
    <row r="59" spans="1:6">
      <c r="F59" s="108"/>
    </row>
    <row r="60" spans="1:6">
      <c r="F60" s="144"/>
    </row>
    <row r="61" spans="1:6">
      <c r="F61" s="108"/>
    </row>
  </sheetData>
  <mergeCells count="3">
    <mergeCell ref="B1:E1"/>
    <mergeCell ref="B2:E2"/>
    <mergeCell ref="B3:E3"/>
  </mergeCells>
  <printOptions horizontalCentered="1"/>
  <pageMargins left="0" right="0" top="0.75" bottom="0" header="0" footer="0"/>
  <pageSetup scale="90" orientation="portrait" horizontalDpi="300" verticalDpi="300" r:id="rId1"/>
  <headerFooter alignWithMargins="0"/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zoomScaleNormal="100" workbookViewId="0">
      <pane ySplit="8" topLeftCell="A9" activePane="bottomLeft" state="frozen"/>
      <selection activeCell="L31" sqref="L31"/>
      <selection pane="bottomLeft" activeCell="D44" sqref="D44"/>
    </sheetView>
  </sheetViews>
  <sheetFormatPr defaultRowHeight="12.75"/>
  <cols>
    <col min="1" max="1" width="5" style="72" bestFit="1" customWidth="1"/>
    <col min="2" max="2" width="3.7109375" style="72" customWidth="1"/>
    <col min="3" max="3" width="38.28515625" style="106" bestFit="1" customWidth="1"/>
    <col min="4" max="4" width="3.7109375" style="106" customWidth="1"/>
    <col min="5" max="5" width="13.7109375" style="106" bestFit="1" customWidth="1"/>
    <col min="6" max="6" width="3.7109375" style="106" customWidth="1"/>
    <col min="7" max="7" width="13.140625" style="106" bestFit="1" customWidth="1"/>
    <col min="8" max="8" width="3.7109375" style="72" customWidth="1"/>
    <col min="9" max="9" width="13.7109375" style="78" bestFit="1" customWidth="1"/>
    <col min="10" max="10" width="3.7109375" style="72" customWidth="1"/>
    <col min="11" max="16384" width="9.140625" style="72"/>
  </cols>
  <sheetData>
    <row r="1" spans="1:9">
      <c r="C1" s="446" t="s">
        <v>432</v>
      </c>
      <c r="D1" s="446"/>
      <c r="E1" s="446"/>
      <c r="F1" s="446"/>
      <c r="G1" s="446"/>
      <c r="I1" s="107" t="s">
        <v>607</v>
      </c>
    </row>
    <row r="2" spans="1:9">
      <c r="C2" s="446" t="s">
        <v>771</v>
      </c>
      <c r="D2" s="446"/>
      <c r="E2" s="446"/>
      <c r="F2" s="446"/>
      <c r="G2" s="446"/>
      <c r="I2" s="107" t="s">
        <v>761</v>
      </c>
    </row>
    <row r="3" spans="1:9">
      <c r="C3" s="446" t="s">
        <v>772</v>
      </c>
      <c r="D3" s="446"/>
      <c r="E3" s="446"/>
      <c r="F3" s="446"/>
      <c r="G3" s="446"/>
      <c r="I3" s="107" t="s">
        <v>773</v>
      </c>
    </row>
    <row r="4" spans="1:9">
      <c r="C4" s="446" t="s">
        <v>882</v>
      </c>
      <c r="D4" s="446"/>
      <c r="E4" s="446"/>
      <c r="F4" s="446"/>
      <c r="G4" s="446"/>
      <c r="I4" s="106"/>
    </row>
    <row r="7" spans="1:9" ht="25.5">
      <c r="A7" s="77" t="s">
        <v>774</v>
      </c>
      <c r="B7" s="77"/>
      <c r="C7" s="77" t="s">
        <v>7</v>
      </c>
      <c r="D7" s="77"/>
      <c r="E7" s="77" t="s">
        <v>775</v>
      </c>
      <c r="F7" s="77"/>
      <c r="G7" s="77" t="s">
        <v>776</v>
      </c>
      <c r="I7" s="77" t="s">
        <v>725</v>
      </c>
    </row>
    <row r="8" spans="1:9">
      <c r="A8" s="79">
        <v>-1</v>
      </c>
      <c r="B8" s="79"/>
      <c r="C8" s="79">
        <f>+A8-1</f>
        <v>-2</v>
      </c>
      <c r="D8" s="79"/>
      <c r="E8" s="79">
        <f>+C8-1</f>
        <v>-3</v>
      </c>
      <c r="F8" s="79"/>
      <c r="G8" s="79">
        <f>+E8-1</f>
        <v>-4</v>
      </c>
      <c r="I8" s="79">
        <f>+G8-1</f>
        <v>-5</v>
      </c>
    </row>
    <row r="9" spans="1:9">
      <c r="A9" s="73"/>
      <c r="B9" s="73"/>
    </row>
    <row r="10" spans="1:9">
      <c r="A10" s="73">
        <v>1</v>
      </c>
      <c r="B10" s="73"/>
      <c r="C10" s="145" t="s">
        <v>777</v>
      </c>
      <c r="D10" s="145"/>
      <c r="E10" s="146">
        <v>272115</v>
      </c>
      <c r="F10" s="145"/>
      <c r="G10" s="147">
        <f>I10/E10</f>
        <v>69.731264355143963</v>
      </c>
      <c r="I10" s="148">
        <v>18974923</v>
      </c>
    </row>
    <row r="11" spans="1:9">
      <c r="A11" s="73"/>
      <c r="B11" s="73"/>
      <c r="C11" s="142"/>
      <c r="D11" s="142"/>
      <c r="E11" s="82" t="s">
        <v>612</v>
      </c>
      <c r="F11" s="142"/>
      <c r="G11" s="82" t="s">
        <v>612</v>
      </c>
      <c r="I11" s="82" t="s">
        <v>612</v>
      </c>
    </row>
    <row r="12" spans="1:9">
      <c r="A12" s="73">
        <f>+A10+1</f>
        <v>2</v>
      </c>
      <c r="B12" s="73"/>
      <c r="C12" s="142" t="s">
        <v>910</v>
      </c>
      <c r="D12" s="142"/>
      <c r="E12" s="146">
        <f>E10*-1</f>
        <v>-272115</v>
      </c>
      <c r="F12" s="142"/>
      <c r="G12" s="142"/>
      <c r="I12" s="104">
        <f>I10*-1</f>
        <v>-18974923</v>
      </c>
    </row>
    <row r="13" spans="1:9">
      <c r="A13" s="73"/>
      <c r="B13" s="73"/>
      <c r="C13" s="72"/>
      <c r="D13" s="72"/>
      <c r="E13" s="82" t="s">
        <v>618</v>
      </c>
      <c r="F13" s="72"/>
      <c r="G13" s="72"/>
      <c r="I13" s="151"/>
    </row>
    <row r="14" spans="1:9">
      <c r="A14" s="73">
        <f>+A12+1</f>
        <v>3</v>
      </c>
      <c r="B14" s="73"/>
      <c r="C14" s="142" t="s">
        <v>778</v>
      </c>
      <c r="D14" s="142"/>
      <c r="E14" s="142"/>
      <c r="F14" s="142"/>
      <c r="G14" s="142"/>
      <c r="I14" s="152">
        <f>'Allocation Factors'!$G$10</f>
        <v>0.98599999999999999</v>
      </c>
    </row>
    <row r="15" spans="1:9">
      <c r="A15" s="73"/>
      <c r="B15" s="73"/>
      <c r="C15" s="142"/>
      <c r="D15" s="142"/>
      <c r="E15" s="142"/>
      <c r="F15" s="142"/>
      <c r="G15" s="142"/>
      <c r="I15" s="82" t="s">
        <v>612</v>
      </c>
    </row>
    <row r="16" spans="1:9">
      <c r="A16" s="73">
        <f>+A14+1</f>
        <v>4</v>
      </c>
      <c r="B16" s="73"/>
      <c r="C16" s="142" t="s">
        <v>911</v>
      </c>
      <c r="D16" s="142"/>
      <c r="E16" s="142"/>
      <c r="F16" s="142"/>
      <c r="G16" s="142"/>
      <c r="I16" s="104">
        <f>ROUND(I12*I14,0)</f>
        <v>-18709274</v>
      </c>
    </row>
    <row r="17" spans="1:9">
      <c r="A17" s="73"/>
      <c r="B17" s="73"/>
      <c r="C17" s="142"/>
      <c r="D17" s="142"/>
      <c r="E17" s="142"/>
      <c r="F17" s="142"/>
      <c r="G17" s="142"/>
      <c r="I17" s="82" t="s">
        <v>618</v>
      </c>
    </row>
    <row r="18" spans="1:9">
      <c r="A18" s="73"/>
      <c r="B18" s="73"/>
      <c r="C18" s="142"/>
      <c r="D18" s="142"/>
      <c r="E18" s="142"/>
      <c r="F18" s="142"/>
      <c r="G18" s="142"/>
      <c r="I18" s="82"/>
    </row>
    <row r="19" spans="1:9">
      <c r="A19" s="73"/>
      <c r="B19" s="73"/>
      <c r="C19" s="142"/>
      <c r="D19" s="142"/>
      <c r="E19" s="142"/>
      <c r="F19" s="142"/>
      <c r="G19" s="142"/>
      <c r="I19" s="153"/>
    </row>
    <row r="20" spans="1:9">
      <c r="A20" s="73"/>
      <c r="B20" s="73"/>
      <c r="C20" s="142"/>
      <c r="D20" s="142"/>
      <c r="E20" s="142"/>
      <c r="F20" s="142"/>
      <c r="G20" s="142"/>
      <c r="I20" s="153"/>
    </row>
    <row r="21" spans="1:9">
      <c r="A21" s="73"/>
      <c r="B21" s="73"/>
      <c r="I21" s="82"/>
    </row>
    <row r="22" spans="1:9">
      <c r="A22" s="73"/>
      <c r="B22" s="73"/>
      <c r="C22" s="73"/>
      <c r="D22" s="73"/>
      <c r="E22" s="73"/>
      <c r="F22" s="73"/>
      <c r="G22" s="73"/>
    </row>
    <row r="23" spans="1:9">
      <c r="A23" s="73"/>
      <c r="B23" s="73"/>
      <c r="I23" s="82"/>
    </row>
    <row r="24" spans="1:9">
      <c r="C24" s="142"/>
      <c r="D24" s="142"/>
      <c r="E24" s="142"/>
      <c r="F24" s="142"/>
      <c r="G24" s="142"/>
    </row>
    <row r="25" spans="1:9">
      <c r="A25" s="73"/>
      <c r="B25" s="73"/>
      <c r="C25" s="142"/>
      <c r="D25" s="142"/>
      <c r="E25" s="142"/>
      <c r="F25" s="142"/>
      <c r="G25" s="142"/>
      <c r="I25" s="148"/>
    </row>
    <row r="26" spans="1:9">
      <c r="A26" s="73"/>
      <c r="B26" s="73"/>
      <c r="C26" s="142"/>
      <c r="D26" s="142"/>
      <c r="E26" s="142"/>
      <c r="F26" s="142"/>
      <c r="G26" s="142"/>
      <c r="I26" s="148"/>
    </row>
    <row r="27" spans="1:9">
      <c r="A27" s="73"/>
      <c r="B27" s="73"/>
      <c r="C27" s="142"/>
      <c r="D27" s="142"/>
      <c r="E27" s="142"/>
      <c r="F27" s="142"/>
      <c r="G27" s="142"/>
      <c r="I27" s="154"/>
    </row>
    <row r="28" spans="1:9">
      <c r="C28" s="142"/>
      <c r="D28" s="142"/>
      <c r="E28" s="142"/>
      <c r="F28" s="142"/>
      <c r="G28" s="142"/>
      <c r="I28" s="82"/>
    </row>
    <row r="29" spans="1:9">
      <c r="A29" s="73"/>
      <c r="B29" s="73"/>
      <c r="C29" s="142"/>
      <c r="D29" s="142"/>
      <c r="E29" s="142"/>
      <c r="F29" s="142"/>
      <c r="G29" s="142"/>
      <c r="I29" s="148"/>
    </row>
    <row r="30" spans="1:9">
      <c r="C30" s="142"/>
      <c r="D30" s="142"/>
      <c r="E30" s="142"/>
      <c r="F30" s="142"/>
      <c r="G30" s="142"/>
      <c r="I30" s="148"/>
    </row>
    <row r="31" spans="1:9">
      <c r="A31" s="73"/>
      <c r="B31" s="73"/>
      <c r="C31" s="142"/>
      <c r="D31" s="142"/>
      <c r="E31" s="142"/>
      <c r="F31" s="142"/>
      <c r="G31" s="142"/>
      <c r="I31" s="151"/>
    </row>
    <row r="32" spans="1:9">
      <c r="C32" s="142"/>
      <c r="D32" s="142"/>
      <c r="E32" s="142"/>
      <c r="F32" s="142"/>
      <c r="G32" s="142"/>
      <c r="I32" s="82"/>
    </row>
    <row r="33" spans="1:9">
      <c r="A33" s="73"/>
      <c r="B33" s="73"/>
      <c r="C33" s="142"/>
      <c r="D33" s="142"/>
      <c r="E33" s="142"/>
      <c r="F33" s="142"/>
      <c r="G33" s="142"/>
      <c r="I33" s="148"/>
    </row>
    <row r="34" spans="1:9">
      <c r="C34" s="142"/>
      <c r="D34" s="142"/>
      <c r="E34" s="142"/>
      <c r="F34" s="142"/>
      <c r="G34" s="142"/>
      <c r="I34" s="82"/>
    </row>
    <row r="35" spans="1:9">
      <c r="A35" s="73"/>
      <c r="B35" s="73"/>
      <c r="C35" s="142"/>
      <c r="D35" s="142"/>
      <c r="E35" s="142"/>
      <c r="F35" s="142"/>
      <c r="G35" s="142"/>
      <c r="I35" s="148"/>
    </row>
    <row r="36" spans="1:9">
      <c r="C36" s="142"/>
      <c r="D36" s="142"/>
      <c r="E36" s="142"/>
      <c r="F36" s="142"/>
      <c r="G36" s="142"/>
      <c r="I36" s="82"/>
    </row>
    <row r="37" spans="1:9">
      <c r="A37" s="73"/>
      <c r="B37" s="73"/>
      <c r="C37" s="142"/>
      <c r="D37" s="142"/>
      <c r="E37" s="142"/>
      <c r="F37" s="142"/>
      <c r="G37" s="142"/>
      <c r="I37" s="148"/>
    </row>
    <row r="38" spans="1:9">
      <c r="C38" s="142"/>
      <c r="D38" s="142"/>
      <c r="E38" s="142"/>
      <c r="F38" s="142"/>
      <c r="G38" s="142"/>
      <c r="I38" s="148"/>
    </row>
    <row r="39" spans="1:9">
      <c r="A39" s="73"/>
      <c r="B39" s="73"/>
      <c r="C39" s="142"/>
      <c r="D39" s="142"/>
      <c r="E39" s="142"/>
      <c r="F39" s="142"/>
      <c r="G39" s="142"/>
      <c r="I39" s="151"/>
    </row>
    <row r="40" spans="1:9">
      <c r="C40" s="142"/>
      <c r="D40" s="142"/>
      <c r="E40" s="142"/>
      <c r="F40" s="142"/>
      <c r="G40" s="142"/>
      <c r="I40" s="82"/>
    </row>
    <row r="41" spans="1:9">
      <c r="A41" s="73"/>
      <c r="B41" s="73"/>
      <c r="C41" s="142"/>
      <c r="D41" s="142"/>
      <c r="E41" s="142"/>
      <c r="F41" s="142"/>
      <c r="G41" s="142"/>
      <c r="I41" s="148"/>
    </row>
    <row r="42" spans="1:9">
      <c r="C42" s="142"/>
      <c r="D42" s="142"/>
      <c r="E42" s="142"/>
      <c r="F42" s="142"/>
      <c r="G42" s="142"/>
      <c r="I42" s="82"/>
    </row>
    <row r="43" spans="1:9">
      <c r="C43" s="142"/>
      <c r="D43" s="142"/>
      <c r="E43" s="142"/>
      <c r="F43" s="142"/>
      <c r="G43" s="142"/>
      <c r="I43" s="148"/>
    </row>
    <row r="44" spans="1:9">
      <c r="C44" s="142"/>
      <c r="D44" s="142"/>
      <c r="E44" s="142"/>
      <c r="F44" s="142"/>
      <c r="G44" s="142"/>
      <c r="I44" s="148"/>
    </row>
    <row r="45" spans="1:9">
      <c r="C45" s="142"/>
      <c r="D45" s="142"/>
      <c r="E45" s="142"/>
      <c r="F45" s="142"/>
      <c r="G45" s="142"/>
      <c r="I45" s="148"/>
    </row>
    <row r="46" spans="1:9">
      <c r="C46" s="142"/>
      <c r="D46" s="142"/>
      <c r="E46" s="142"/>
      <c r="F46" s="142"/>
      <c r="G46" s="142"/>
      <c r="I46" s="148"/>
    </row>
    <row r="47" spans="1:9">
      <c r="C47" s="142"/>
      <c r="D47" s="142"/>
      <c r="E47" s="142"/>
      <c r="F47" s="142"/>
      <c r="G47" s="142"/>
      <c r="I47" s="148"/>
    </row>
    <row r="48" spans="1:9">
      <c r="C48" s="142"/>
      <c r="D48" s="142"/>
      <c r="E48" s="142"/>
      <c r="F48" s="142"/>
      <c r="G48" s="142"/>
      <c r="I48" s="148"/>
    </row>
    <row r="49" spans="3:9">
      <c r="C49" s="142"/>
      <c r="D49" s="142"/>
      <c r="E49" s="142"/>
      <c r="F49" s="142"/>
      <c r="G49" s="142"/>
      <c r="I49" s="148"/>
    </row>
    <row r="50" spans="3:9">
      <c r="C50" s="142"/>
      <c r="D50" s="142"/>
      <c r="E50" s="142"/>
      <c r="F50" s="142"/>
      <c r="G50" s="142"/>
      <c r="I50" s="148"/>
    </row>
    <row r="51" spans="3:9">
      <c r="C51" s="142"/>
      <c r="D51" s="142"/>
      <c r="E51" s="142"/>
      <c r="F51" s="142"/>
      <c r="G51" s="142"/>
      <c r="I51" s="148"/>
    </row>
    <row r="52" spans="3:9">
      <c r="C52" s="142"/>
      <c r="D52" s="142"/>
      <c r="E52" s="142"/>
      <c r="F52" s="142"/>
      <c r="G52" s="142"/>
      <c r="I52" s="148"/>
    </row>
    <row r="53" spans="3:9">
      <c r="C53" s="142"/>
      <c r="D53" s="142"/>
      <c r="E53" s="142"/>
      <c r="F53" s="142"/>
      <c r="G53" s="142"/>
      <c r="I53" s="148"/>
    </row>
    <row r="54" spans="3:9">
      <c r="C54" s="142"/>
      <c r="D54" s="142"/>
      <c r="E54" s="142"/>
      <c r="F54" s="142"/>
      <c r="G54" s="142"/>
      <c r="I54" s="148"/>
    </row>
    <row r="55" spans="3:9">
      <c r="C55" s="142"/>
      <c r="D55" s="142"/>
      <c r="E55" s="142"/>
      <c r="F55" s="142"/>
      <c r="G55" s="142"/>
      <c r="I55" s="148"/>
    </row>
    <row r="56" spans="3:9">
      <c r="C56" s="142"/>
      <c r="D56" s="142"/>
      <c r="E56" s="142"/>
      <c r="F56" s="142"/>
      <c r="G56" s="142"/>
      <c r="I56" s="148"/>
    </row>
    <row r="57" spans="3:9">
      <c r="C57" s="142"/>
      <c r="D57" s="142"/>
      <c r="E57" s="142"/>
      <c r="F57" s="142"/>
      <c r="G57" s="142"/>
      <c r="I57" s="148"/>
    </row>
    <row r="58" spans="3:9">
      <c r="C58" s="142"/>
      <c r="D58" s="142"/>
      <c r="E58" s="142"/>
      <c r="F58" s="142"/>
      <c r="G58" s="142"/>
      <c r="I58" s="148"/>
    </row>
    <row r="59" spans="3:9">
      <c r="C59" s="142"/>
      <c r="D59" s="142"/>
      <c r="E59" s="142"/>
      <c r="F59" s="142"/>
      <c r="G59" s="142"/>
      <c r="I59" s="148"/>
    </row>
    <row r="60" spans="3:9">
      <c r="C60" s="142"/>
      <c r="D60" s="142"/>
      <c r="E60" s="142"/>
      <c r="F60" s="142"/>
      <c r="G60" s="142"/>
      <c r="I60" s="148"/>
    </row>
    <row r="61" spans="3:9">
      <c r="C61" s="142"/>
      <c r="D61" s="142"/>
      <c r="E61" s="142"/>
      <c r="F61" s="142"/>
      <c r="G61" s="142"/>
      <c r="I61" s="148"/>
    </row>
    <row r="62" spans="3:9">
      <c r="C62" s="142"/>
      <c r="D62" s="142"/>
      <c r="E62" s="142"/>
      <c r="F62" s="142"/>
      <c r="G62" s="142"/>
      <c r="I62" s="148"/>
    </row>
    <row r="63" spans="3:9">
      <c r="C63" s="142"/>
      <c r="D63" s="142"/>
      <c r="E63" s="142"/>
      <c r="F63" s="142"/>
      <c r="G63" s="142"/>
      <c r="I63" s="148"/>
    </row>
    <row r="64" spans="3:9">
      <c r="C64" s="142"/>
      <c r="D64" s="142"/>
      <c r="E64" s="142"/>
      <c r="F64" s="142"/>
      <c r="G64" s="142"/>
      <c r="I64" s="148"/>
    </row>
    <row r="65" spans="3:9">
      <c r="C65" s="142"/>
      <c r="D65" s="142"/>
      <c r="E65" s="142"/>
      <c r="F65" s="142"/>
      <c r="G65" s="142"/>
      <c r="I65" s="148"/>
    </row>
    <row r="66" spans="3:9">
      <c r="C66" s="142"/>
      <c r="D66" s="142"/>
      <c r="E66" s="142"/>
      <c r="F66" s="142"/>
      <c r="G66" s="142"/>
      <c r="I66" s="148"/>
    </row>
    <row r="67" spans="3:9">
      <c r="C67" s="142"/>
      <c r="D67" s="142"/>
      <c r="E67" s="142"/>
      <c r="F67" s="142"/>
      <c r="G67" s="142"/>
      <c r="I67" s="148"/>
    </row>
    <row r="68" spans="3:9">
      <c r="C68" s="142"/>
      <c r="D68" s="142"/>
      <c r="E68" s="142"/>
      <c r="F68" s="142"/>
      <c r="G68" s="142"/>
      <c r="I68" s="148"/>
    </row>
    <row r="69" spans="3:9">
      <c r="C69" s="142"/>
      <c r="D69" s="142"/>
      <c r="E69" s="142"/>
      <c r="F69" s="142"/>
      <c r="G69" s="142"/>
      <c r="I69" s="148"/>
    </row>
    <row r="70" spans="3:9">
      <c r="C70" s="142"/>
      <c r="D70" s="142"/>
      <c r="E70" s="142"/>
      <c r="F70" s="142"/>
      <c r="G70" s="142"/>
      <c r="I70" s="148"/>
    </row>
    <row r="71" spans="3:9">
      <c r="C71" s="142"/>
      <c r="D71" s="142"/>
      <c r="E71" s="142"/>
      <c r="F71" s="142"/>
      <c r="G71" s="142"/>
      <c r="I71" s="148"/>
    </row>
    <row r="72" spans="3:9">
      <c r="C72" s="142"/>
      <c r="D72" s="142"/>
      <c r="E72" s="142"/>
      <c r="F72" s="142"/>
      <c r="G72" s="142"/>
      <c r="I72" s="148"/>
    </row>
    <row r="73" spans="3:9">
      <c r="C73" s="142"/>
      <c r="D73" s="142"/>
      <c r="E73" s="142"/>
      <c r="F73" s="142"/>
      <c r="G73" s="142"/>
      <c r="I73" s="148"/>
    </row>
    <row r="74" spans="3:9">
      <c r="C74" s="142"/>
      <c r="D74" s="142"/>
      <c r="E74" s="142"/>
      <c r="F74" s="142"/>
      <c r="G74" s="142"/>
      <c r="I74" s="148"/>
    </row>
    <row r="75" spans="3:9">
      <c r="C75" s="142"/>
      <c r="D75" s="142"/>
      <c r="E75" s="142"/>
      <c r="F75" s="142"/>
      <c r="G75" s="142"/>
      <c r="I75" s="148"/>
    </row>
    <row r="76" spans="3:9">
      <c r="C76" s="142"/>
      <c r="D76" s="142"/>
      <c r="E76" s="142"/>
      <c r="F76" s="142"/>
      <c r="G76" s="142"/>
      <c r="I76" s="148"/>
    </row>
    <row r="77" spans="3:9">
      <c r="C77" s="142"/>
      <c r="D77" s="142"/>
      <c r="E77" s="142"/>
      <c r="F77" s="142"/>
      <c r="G77" s="142"/>
      <c r="I77" s="148"/>
    </row>
    <row r="78" spans="3:9">
      <c r="C78" s="142"/>
      <c r="D78" s="142"/>
      <c r="E78" s="142"/>
      <c r="F78" s="142"/>
      <c r="G78" s="142"/>
      <c r="I78" s="148"/>
    </row>
    <row r="79" spans="3:9">
      <c r="C79" s="142"/>
      <c r="D79" s="142"/>
      <c r="E79" s="142"/>
      <c r="F79" s="142"/>
      <c r="G79" s="142"/>
      <c r="I79" s="148"/>
    </row>
    <row r="80" spans="3:9">
      <c r="C80" s="142"/>
      <c r="D80" s="142"/>
      <c r="E80" s="142"/>
      <c r="F80" s="142"/>
      <c r="G80" s="142"/>
      <c r="I80" s="148"/>
    </row>
    <row r="81" spans="3:9">
      <c r="C81" s="142"/>
      <c r="D81" s="142"/>
      <c r="E81" s="142"/>
      <c r="F81" s="142"/>
      <c r="G81" s="142"/>
      <c r="I81" s="148"/>
    </row>
    <row r="82" spans="3:9">
      <c r="C82" s="142"/>
      <c r="D82" s="142"/>
      <c r="E82" s="142"/>
      <c r="F82" s="142"/>
      <c r="G82" s="142"/>
      <c r="I82" s="148"/>
    </row>
    <row r="83" spans="3:9">
      <c r="C83" s="142"/>
      <c r="D83" s="142"/>
      <c r="E83" s="142"/>
      <c r="F83" s="142"/>
      <c r="G83" s="142"/>
      <c r="I83" s="148"/>
    </row>
    <row r="84" spans="3:9">
      <c r="C84" s="142"/>
      <c r="D84" s="142"/>
      <c r="E84" s="142"/>
      <c r="F84" s="142"/>
      <c r="G84" s="142"/>
      <c r="I84" s="148"/>
    </row>
    <row r="85" spans="3:9">
      <c r="C85" s="142"/>
      <c r="D85" s="142"/>
      <c r="E85" s="142"/>
      <c r="F85" s="142"/>
      <c r="G85" s="142"/>
      <c r="I85" s="148"/>
    </row>
    <row r="86" spans="3:9">
      <c r="C86" s="142"/>
      <c r="D86" s="142"/>
      <c r="E86" s="142"/>
      <c r="F86" s="142"/>
      <c r="G86" s="142"/>
      <c r="I86" s="148"/>
    </row>
    <row r="87" spans="3:9">
      <c r="C87" s="142"/>
      <c r="D87" s="142"/>
      <c r="E87" s="142"/>
      <c r="F87" s="142"/>
      <c r="G87" s="142"/>
      <c r="I87" s="148"/>
    </row>
    <row r="88" spans="3:9">
      <c r="C88" s="142"/>
      <c r="D88" s="142"/>
      <c r="E88" s="142"/>
      <c r="F88" s="142"/>
      <c r="G88" s="142"/>
      <c r="I88" s="148"/>
    </row>
    <row r="89" spans="3:9">
      <c r="I89" s="148"/>
    </row>
  </sheetData>
  <mergeCells count="4">
    <mergeCell ref="C1:G1"/>
    <mergeCell ref="C2:G2"/>
    <mergeCell ref="C3:G3"/>
    <mergeCell ref="C4:G4"/>
  </mergeCells>
  <printOptions horizontalCentered="1"/>
  <pageMargins left="0" right="0" top="1" bottom="0.5" header="0" footer="0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14</vt:i4>
      </vt:variant>
    </vt:vector>
  </HeadingPairs>
  <TitlesOfParts>
    <vt:vector size="33" baseType="lpstr">
      <vt:lpstr>Sch 1</vt:lpstr>
      <vt:lpstr>Sch 2</vt:lpstr>
      <vt:lpstr>2 P1</vt:lpstr>
      <vt:lpstr>2 P2</vt:lpstr>
      <vt:lpstr>2 P3</vt:lpstr>
      <vt:lpstr>Sch 3</vt:lpstr>
      <vt:lpstr>3 P1</vt:lpstr>
      <vt:lpstr>3 P2</vt:lpstr>
      <vt:lpstr>3 P3</vt:lpstr>
      <vt:lpstr>3 P4</vt:lpstr>
      <vt:lpstr>Sch 4</vt:lpstr>
      <vt:lpstr>Sch 5</vt:lpstr>
      <vt:lpstr>Sch 6</vt:lpstr>
      <vt:lpstr>Sch 7</vt:lpstr>
      <vt:lpstr>Sch 8</vt:lpstr>
      <vt:lpstr>Sch 9</vt:lpstr>
      <vt:lpstr>Sch 10</vt:lpstr>
      <vt:lpstr>Allocation Factors</vt:lpstr>
      <vt:lpstr>Olive Hill - Vanceburg</vt:lpstr>
      <vt:lpstr>'3 P2'!Print_Area</vt:lpstr>
      <vt:lpstr>'3 P4'!Print_Area</vt:lpstr>
      <vt:lpstr>'Sch 1'!Print_Area</vt:lpstr>
      <vt:lpstr>'Sch 10'!Print_Area</vt:lpstr>
      <vt:lpstr>'Sch 3'!Print_Area</vt:lpstr>
      <vt:lpstr>'Sch 4'!Print_Area</vt:lpstr>
      <vt:lpstr>'Sch 5'!Print_Area</vt:lpstr>
      <vt:lpstr>'Sch 6'!Print_Area</vt:lpstr>
      <vt:lpstr>'Sch 8'!Print_Area</vt:lpstr>
      <vt:lpstr>'Sch 9'!Print_Area</vt:lpstr>
      <vt:lpstr>'3 P2'!Print_Titles</vt:lpstr>
      <vt:lpstr>'Sch 1'!Print_Titles</vt:lpstr>
      <vt:lpstr>'Sch 4'!Print_Titles</vt:lpstr>
      <vt:lpstr>'Sch 5'!Print_Titles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AEP</cp:lastModifiedBy>
  <cp:lastPrinted>2014-12-19T19:14:18Z</cp:lastPrinted>
  <dcterms:created xsi:type="dcterms:W3CDTF">2014-01-30T18:45:48Z</dcterms:created>
  <dcterms:modified xsi:type="dcterms:W3CDTF">2017-08-17T20:53:18Z</dcterms:modified>
</cp:coreProperties>
</file>