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Regulatory Services\01_Recurring Filings\01_Annual\PPA\2019\02_Documents filed Electronically October 1, 2019\"/>
    </mc:Choice>
  </mc:AlternateContent>
  <bookViews>
    <workbookView xWindow="0" yWindow="0" windowWidth="19200" windowHeight="7230" tabRatio="813" activeTab="1"/>
  </bookViews>
  <sheets>
    <sheet name="PPA Form 1.0" sheetId="1" r:id="rId1"/>
    <sheet name="PPA Form 2.0" sheetId="2" r:id="rId2"/>
    <sheet name="PPA Form 3.0" sheetId="3" r:id="rId3"/>
    <sheet name="PPA Form 3.0a" sheetId="4" r:id="rId4"/>
    <sheet name="PPA Form 4.0" sheetId="5" r:id="rId5"/>
    <sheet name="PPA Form 5.0" sheetId="6" r:id="rId6"/>
    <sheet name="Retail vs TO" sheetId="7" r:id="rId7"/>
    <sheet name="Rockport Deferral" sheetId="8" r:id="rId8"/>
    <sheet name="Rockport Savings-Offset" sheetId="9" r:id="rId9"/>
    <sheet name="Input Sheet" sheetId="10" r:id="rId10"/>
    <sheet name="GRCF" sheetId="11" r:id="rId11"/>
  </sheets>
  <externalReferences>
    <externalReference r:id="rId12"/>
  </externalReferences>
  <definedNames>
    <definedName name="Katy">#REF!</definedName>
    <definedName name="Marshall_Rate">'[1]Property Tax'!$B$2</definedName>
    <definedName name="PC_Percent">'[1]Property Tax'!$B$6</definedName>
    <definedName name="_xlnm.Print_Area" localSheetId="10">GRCF!$A$1:$S$38</definedName>
    <definedName name="_xlnm.Print_Area" localSheetId="9">'Input Sheet'!$A$1:$D$18</definedName>
    <definedName name="_xlnm.Print_Area" localSheetId="0">'PPA Form 1.0'!$A$1:$I$45</definedName>
    <definedName name="_xlnm.Print_Area" localSheetId="1">'PPA Form 2.0'!$B$1:$N$31</definedName>
    <definedName name="_xlnm.Print_Area" localSheetId="2">'PPA Form 3.0'!$A$1:$G$42</definedName>
    <definedName name="_xlnm.Print_Area" localSheetId="3">'PPA Form 3.0a'!$A$1:$P$54</definedName>
    <definedName name="_xlnm.Print_Area" localSheetId="4">'PPA Form 4.0'!$A$1:$G$25</definedName>
    <definedName name="_xlnm.Print_Area" localSheetId="5">'PPA Form 5.0'!$A$1:$F$29</definedName>
    <definedName name="_xlnm.Print_Area" localSheetId="6">'Retail vs TO'!$A$1:$G$37</definedName>
    <definedName name="_xlnm.Print_Area" localSheetId="7">'Rockport Deferral'!$A$2:$L$133</definedName>
    <definedName name="_xlnm.Print_Area" localSheetId="8">'Rockport Savings-Offset'!$A$1:$H$31</definedName>
    <definedName name="_xlnm.Print_Titles" localSheetId="7">'Rockport Deferral'!$2:$9</definedName>
    <definedName name="tim" localSheetId="10">#REF!</definedName>
    <definedName name="tim" localSheetId="7">#REF!</definedName>
    <definedName name="tim">#REF!</definedName>
    <definedName name="WV_List">'[1]Property Tax'!$B$4</definedName>
    <definedName name="Z_0BD4BC22_E7A2_4140_8384_5A5B3339DEED_.wvu.PrintArea" localSheetId="10" hidden="1">GRCF!$A$1:$S$38</definedName>
    <definedName name="Z_0BD4BC22_E7A2_4140_8384_5A5B3339DEED_.wvu.PrintArea" localSheetId="9" hidden="1">'Input Sheet'!$A$1:$D$18</definedName>
    <definedName name="Z_0BD4BC22_E7A2_4140_8384_5A5B3339DEED_.wvu.PrintArea" localSheetId="0" hidden="1">'PPA Form 1.0'!$A$1:$I$44</definedName>
    <definedName name="Z_0BD4BC22_E7A2_4140_8384_5A5B3339DEED_.wvu.PrintArea" localSheetId="1" hidden="1">'PPA Form 2.0'!$B$1:$N$29</definedName>
    <definedName name="Z_0BD4BC22_E7A2_4140_8384_5A5B3339DEED_.wvu.PrintArea" localSheetId="2" hidden="1">'PPA Form 3.0'!$A$1:$G$39</definedName>
    <definedName name="Z_0BD4BC22_E7A2_4140_8384_5A5B3339DEED_.wvu.PrintArea" localSheetId="3" hidden="1">'PPA Form 3.0a'!$A$1:$P$54</definedName>
    <definedName name="Z_0BD4BC22_E7A2_4140_8384_5A5B3339DEED_.wvu.PrintArea" localSheetId="4" hidden="1">'PPA Form 4.0'!$A$1:$G$25</definedName>
    <definedName name="Z_0BD4BC22_E7A2_4140_8384_5A5B3339DEED_.wvu.PrintArea" localSheetId="5" hidden="1">'PPA Form 5.0'!$A$1:$F$29</definedName>
    <definedName name="Z_0BD4BC22_E7A2_4140_8384_5A5B3339DEED_.wvu.PrintArea" localSheetId="6" hidden="1">'Retail vs TO'!$A$1:$E$20</definedName>
    <definedName name="Z_0BD4BC22_E7A2_4140_8384_5A5B3339DEED_.wvu.PrintArea" localSheetId="7" hidden="1">'Rockport Deferral'!$A$2:$L$133</definedName>
    <definedName name="Z_0BD4BC22_E7A2_4140_8384_5A5B3339DEED_.wvu.PrintArea" localSheetId="8" hidden="1">'Rockport Savings-Offset'!$A$1:$H$31</definedName>
    <definedName name="Z_0BD4BC22_E7A2_4140_8384_5A5B3339DEED_.wvu.PrintTitles" localSheetId="7" hidden="1">'Rockport Deferral'!$2:$9</definedName>
    <definedName name="Z_0BD4BC22_E7A2_4140_8384_5A5B3339DEED_.wvu.Rows" localSheetId="10" hidden="1">GRCF!$17:$18</definedName>
    <definedName name="Z_4EF176FC_448F_4BD8_8859_C810312E84E7_.wvu.PrintArea" localSheetId="10" hidden="1">GRCF!$A$1:$S$38</definedName>
    <definedName name="Z_4EF176FC_448F_4BD8_8859_C810312E84E7_.wvu.PrintArea" localSheetId="9" hidden="1">'Input Sheet'!$A$1:$D$18</definedName>
    <definedName name="Z_4EF176FC_448F_4BD8_8859_C810312E84E7_.wvu.PrintArea" localSheetId="0" hidden="1">'PPA Form 1.0'!$A$1:$I$44</definedName>
    <definedName name="Z_4EF176FC_448F_4BD8_8859_C810312E84E7_.wvu.PrintArea" localSheetId="1" hidden="1">'PPA Form 2.0'!$B$1:$N$29</definedName>
    <definedName name="Z_4EF176FC_448F_4BD8_8859_C810312E84E7_.wvu.PrintArea" localSheetId="2" hidden="1">'PPA Form 3.0'!$A$1:$G$39</definedName>
    <definedName name="Z_4EF176FC_448F_4BD8_8859_C810312E84E7_.wvu.PrintArea" localSheetId="3" hidden="1">'PPA Form 3.0a'!$A$1:$P$54</definedName>
    <definedName name="Z_4EF176FC_448F_4BD8_8859_C810312E84E7_.wvu.PrintArea" localSheetId="4" hidden="1">'PPA Form 4.0'!$A$1:$G$25</definedName>
    <definedName name="Z_4EF176FC_448F_4BD8_8859_C810312E84E7_.wvu.PrintArea" localSheetId="5" hidden="1">'PPA Form 5.0'!$A$1:$F$29</definedName>
    <definedName name="Z_4EF176FC_448F_4BD8_8859_C810312E84E7_.wvu.PrintArea" localSheetId="6" hidden="1">'Retail vs TO'!$A$1:$E$20</definedName>
    <definedName name="Z_4EF176FC_448F_4BD8_8859_C810312E84E7_.wvu.PrintArea" localSheetId="7" hidden="1">'Rockport Deferral'!$A$2:$L$133</definedName>
    <definedName name="Z_4EF176FC_448F_4BD8_8859_C810312E84E7_.wvu.PrintArea" localSheetId="8" hidden="1">'Rockport Savings-Offset'!$A$1:$H$31</definedName>
    <definedName name="Z_4EF176FC_448F_4BD8_8859_C810312E84E7_.wvu.PrintTitles" localSheetId="7" hidden="1">'Rockport Deferral'!$2:$9</definedName>
    <definedName name="Z_4EF176FC_448F_4BD8_8859_C810312E84E7_.wvu.Rows" localSheetId="10" hidden="1">GRCF!$17:$18</definedName>
    <definedName name="Z_4EF176FC_448F_4BD8_8859_C810312E84E7_.wvu.Rows" localSheetId="7" hidden="1">'Rockport Deferral'!$80:$131</definedName>
    <definedName name="Z_567BA860_460A_4CE0_A629_0EA7372574F1_.wvu.PrintArea" localSheetId="10" hidden="1">GRCF!$A$1:$S$38</definedName>
    <definedName name="Z_567BA860_460A_4CE0_A629_0EA7372574F1_.wvu.PrintArea" localSheetId="9" hidden="1">'Input Sheet'!$A$1:$D$18</definedName>
    <definedName name="Z_567BA860_460A_4CE0_A629_0EA7372574F1_.wvu.PrintArea" localSheetId="0" hidden="1">'PPA Form 1.0'!$A$1:$I$44</definedName>
    <definedName name="Z_567BA860_460A_4CE0_A629_0EA7372574F1_.wvu.PrintArea" localSheetId="1" hidden="1">'PPA Form 2.0'!$B$1:$N$29</definedName>
    <definedName name="Z_567BA860_460A_4CE0_A629_0EA7372574F1_.wvu.PrintArea" localSheetId="2" hidden="1">'PPA Form 3.0'!$A$1:$G$39</definedName>
    <definedName name="Z_567BA860_460A_4CE0_A629_0EA7372574F1_.wvu.PrintArea" localSheetId="3" hidden="1">'PPA Form 3.0a'!$A$1:$P$54</definedName>
    <definedName name="Z_567BA860_460A_4CE0_A629_0EA7372574F1_.wvu.PrintArea" localSheetId="4" hidden="1">'PPA Form 4.0'!$A$1:$G$25</definedName>
    <definedName name="Z_567BA860_460A_4CE0_A629_0EA7372574F1_.wvu.PrintArea" localSheetId="5" hidden="1">'PPA Form 5.0'!$A$1:$F$29</definedName>
    <definedName name="Z_567BA860_460A_4CE0_A629_0EA7372574F1_.wvu.PrintArea" localSheetId="6" hidden="1">'Retail vs TO'!$A$1:$E$20</definedName>
    <definedName name="Z_567BA860_460A_4CE0_A629_0EA7372574F1_.wvu.PrintArea" localSheetId="7" hidden="1">'Rockport Deferral'!$A$2:$L$133</definedName>
    <definedName name="Z_567BA860_460A_4CE0_A629_0EA7372574F1_.wvu.PrintArea" localSheetId="8" hidden="1">'Rockport Savings-Offset'!$A$1:$H$31</definedName>
    <definedName name="Z_567BA860_460A_4CE0_A629_0EA7372574F1_.wvu.PrintTitles" localSheetId="7" hidden="1">'Rockport Deferral'!$2:$9</definedName>
    <definedName name="Z_567BA860_460A_4CE0_A629_0EA7372574F1_.wvu.Rows" localSheetId="10" hidden="1">GRCF!$17:$18</definedName>
    <definedName name="Z_567BA860_460A_4CE0_A629_0EA7372574F1_.wvu.Rows" localSheetId="7" hidden="1">'Rockport Deferral'!$80:$131</definedName>
  </definedNames>
  <calcPr calcId="162913"/>
  <customWorkbookViews>
    <customWorkbookView name="s290792 - Personal View" guid="{4EF176FC-448F-4BD8-8859-C810312E84E7}" mergeInterval="0" personalView="1" maximized="1" xWindow="-8" yWindow="-8" windowWidth="1936" windowHeight="1056" tabRatio="813" activeSheetId="6"/>
    <customWorkbookView name="s207409 - Personal View" guid="{567BA860-460A-4CE0-A629-0EA7372574F1}" mergeInterval="0" personalView="1" maximized="1" windowWidth="1600" windowHeight="675" tabRatio="813" activeSheetId="1"/>
    <customWorkbookView name="s203707 - Personal View" guid="{0BD4BC22-E7A2-4140-8384-5A5B3339DEED}" mergeInterval="0" personalView="1" maximized="1" xWindow="2869" yWindow="-11" windowWidth="2902" windowHeight="1582" tabRatio="813" activeSheetId="8"/>
  </customWorkbookViews>
</workbook>
</file>

<file path=xl/calcChain.xml><?xml version="1.0" encoding="utf-8"?>
<calcChain xmlns="http://schemas.openxmlformats.org/spreadsheetml/2006/main">
  <c r="K20" i="2" l="1"/>
  <c r="D24" i="2"/>
  <c r="D22" i="2"/>
  <c r="C27" i="2"/>
  <c r="C26" i="2"/>
  <c r="C25" i="2"/>
  <c r="C24" i="2"/>
  <c r="C23" i="2"/>
  <c r="C22" i="2"/>
  <c r="C21" i="2"/>
  <c r="C20" i="2"/>
  <c r="B32" i="2" l="1"/>
  <c r="D39" i="1" l="1"/>
  <c r="D38" i="1"/>
  <c r="E39" i="3" l="1"/>
  <c r="E38" i="3"/>
  <c r="B39" i="3"/>
  <c r="B38" i="3"/>
  <c r="G22" i="3" l="1"/>
  <c r="C29" i="3"/>
  <c r="G29" i="3" s="1"/>
  <c r="P52" i="4" l="1"/>
  <c r="O49" i="4"/>
  <c r="O47" i="4"/>
  <c r="D22" i="6"/>
  <c r="O32" i="4"/>
  <c r="O31" i="4"/>
  <c r="D38" i="4" l="1"/>
  <c r="O38" i="4" s="1"/>
  <c r="F15" i="4"/>
  <c r="G15" i="4"/>
  <c r="H15" i="4"/>
  <c r="I15" i="4"/>
  <c r="J15" i="4"/>
  <c r="K15" i="4"/>
  <c r="L15" i="4"/>
  <c r="M15" i="4"/>
  <c r="N15" i="4"/>
  <c r="O15" i="4"/>
  <c r="E15" i="4"/>
  <c r="D15" i="4"/>
  <c r="D15" i="6"/>
  <c r="L38" i="4" l="1"/>
  <c r="H38" i="4"/>
  <c r="I38" i="4"/>
  <c r="E38" i="4"/>
  <c r="K38" i="4"/>
  <c r="G38" i="4"/>
  <c r="M38" i="4"/>
  <c r="N38" i="4"/>
  <c r="J38" i="4"/>
  <c r="F38" i="4"/>
  <c r="D17" i="6"/>
  <c r="G20" i="5" l="1"/>
  <c r="G22" i="5"/>
  <c r="G31" i="4" l="1"/>
  <c r="G32" i="4" s="1"/>
  <c r="P15" i="4"/>
  <c r="P12" i="4" l="1"/>
  <c r="P7" i="4"/>
  <c r="P13" i="4"/>
  <c r="D43" i="4" l="1"/>
  <c r="D45" i="4" s="1"/>
  <c r="D25" i="6" l="1"/>
  <c r="D27" i="6"/>
  <c r="G23" i="3" l="1"/>
  <c r="G20" i="3"/>
  <c r="C20" i="3"/>
  <c r="P29" i="4"/>
  <c r="O29" i="4" l="1"/>
  <c r="P43" i="4"/>
  <c r="G45" i="4"/>
  <c r="G47" i="4" s="1"/>
  <c r="D16" i="9" l="1"/>
  <c r="C35" i="7" l="1"/>
  <c r="C33" i="7"/>
  <c r="C31" i="7"/>
  <c r="C27" i="7"/>
  <c r="C24" i="7"/>
  <c r="C37" i="7" l="1"/>
  <c r="J43" i="4" l="1"/>
  <c r="G41" i="4"/>
  <c r="H41" i="4"/>
  <c r="I41" i="4"/>
  <c r="J41" i="4"/>
  <c r="K41" i="4"/>
  <c r="L41" i="4"/>
  <c r="M41" i="4"/>
  <c r="N41" i="4"/>
  <c r="O41" i="4"/>
  <c r="F41" i="4"/>
  <c r="E41" i="4"/>
  <c r="P38" i="4"/>
  <c r="F31" i="4"/>
  <c r="E31" i="4"/>
  <c r="D31" i="4"/>
  <c r="D32" i="4" s="1"/>
  <c r="D47" i="4" s="1"/>
  <c r="D49" i="4" s="1"/>
  <c r="D52" i="4" s="1"/>
  <c r="P28" i="4"/>
  <c r="P27" i="4"/>
  <c r="P19" i="4"/>
  <c r="P20" i="4"/>
  <c r="P21" i="4"/>
  <c r="P22" i="4"/>
  <c r="P23" i="4"/>
  <c r="P24" i="4"/>
  <c r="P25" i="4"/>
  <c r="P26" i="4"/>
  <c r="P18" i="4"/>
  <c r="D29" i="4"/>
  <c r="H12" i="4" l="1"/>
  <c r="I12" i="4"/>
  <c r="J12" i="4"/>
  <c r="K12" i="4"/>
  <c r="L12" i="4"/>
  <c r="M12" i="4"/>
  <c r="N12" i="4"/>
  <c r="O12" i="4"/>
  <c r="G12" i="4"/>
  <c r="G13" i="4" s="1"/>
  <c r="G49" i="4" l="1"/>
  <c r="H43" i="4"/>
  <c r="H45" i="4" s="1"/>
  <c r="H29" i="4"/>
  <c r="H31" i="4" s="1"/>
  <c r="H32" i="4" s="1"/>
  <c r="H13" i="4"/>
  <c r="G43" i="4"/>
  <c r="G29" i="4"/>
  <c r="F43" i="4"/>
  <c r="F45" i="4" s="1"/>
  <c r="F29" i="4"/>
  <c r="F32" i="4" s="1"/>
  <c r="F47" i="4" s="1"/>
  <c r="F13" i="4"/>
  <c r="D13" i="4"/>
  <c r="E13" i="4"/>
  <c r="E29" i="4"/>
  <c r="E32" i="4" s="1"/>
  <c r="E47" i="4" s="1"/>
  <c r="E49" i="4" s="1"/>
  <c r="E43" i="4"/>
  <c r="E45" i="4" s="1"/>
  <c r="J13" i="4"/>
  <c r="H47" i="4" l="1"/>
  <c r="F49" i="4"/>
  <c r="E52" i="4"/>
  <c r="H49" i="4"/>
  <c r="F52" i="4" l="1"/>
  <c r="G52" i="4" s="1"/>
  <c r="H52" i="4" s="1"/>
  <c r="C17" i="10"/>
  <c r="A3" i="4" l="1"/>
  <c r="G21" i="3" l="1"/>
  <c r="C11" i="3"/>
  <c r="G11" i="3" s="1"/>
  <c r="C19" i="3"/>
  <c r="G19" i="3" s="1"/>
  <c r="O43" i="4"/>
  <c r="N43" i="4"/>
  <c r="M43" i="4"/>
  <c r="L43" i="4"/>
  <c r="M29" i="4"/>
  <c r="L29" i="4"/>
  <c r="K29" i="4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9" i="4"/>
  <c r="I31" i="4" s="1"/>
  <c r="I32" i="4" s="1"/>
  <c r="O13" i="4"/>
  <c r="N13" i="4"/>
  <c r="M13" i="4"/>
  <c r="L13" i="4"/>
  <c r="K13" i="4"/>
  <c r="I13" i="4"/>
  <c r="G31" i="1" l="1"/>
  <c r="P34" i="4"/>
  <c r="M31" i="4"/>
  <c r="M32" i="4" s="1"/>
  <c r="C30" i="3"/>
  <c r="G30" i="3" s="1"/>
  <c r="G33" i="3" s="1"/>
  <c r="K31" i="4"/>
  <c r="K32" i="4" s="1"/>
  <c r="L31" i="4"/>
  <c r="L32" i="4" s="1"/>
  <c r="L47" i="4" s="1"/>
  <c r="K43" i="4"/>
  <c r="K45" i="4" s="1"/>
  <c r="N29" i="4"/>
  <c r="N31" i="4" s="1"/>
  <c r="N32" i="4" s="1"/>
  <c r="N47" i="4" s="1"/>
  <c r="N49" i="4" s="1"/>
  <c r="O45" i="4"/>
  <c r="N45" i="4"/>
  <c r="C12" i="3"/>
  <c r="G12" i="3" s="1"/>
  <c r="I43" i="4"/>
  <c r="L45" i="4"/>
  <c r="M45" i="4"/>
  <c r="K47" i="4" l="1"/>
  <c r="M47" i="4"/>
  <c r="C31" i="3"/>
  <c r="G31" i="3" s="1"/>
  <c r="G11" i="1"/>
  <c r="L49" i="4"/>
  <c r="I45" i="4"/>
  <c r="M49" i="4"/>
  <c r="J29" i="4"/>
  <c r="I47" i="4" l="1"/>
  <c r="I49" i="4" s="1"/>
  <c r="I52" i="4" s="1"/>
  <c r="J31" i="4"/>
  <c r="P31" i="4" s="1"/>
  <c r="G24" i="3" s="1"/>
  <c r="G25" i="3" s="1"/>
  <c r="J45" i="4"/>
  <c r="P45" i="4" s="1"/>
  <c r="K49" i="4"/>
  <c r="E40" i="3" l="1"/>
  <c r="G9" i="1"/>
  <c r="G26" i="3"/>
  <c r="J32" i="4"/>
  <c r="J47" i="4" l="1"/>
  <c r="J49" i="4" s="1"/>
  <c r="J52" i="4" s="1"/>
  <c r="K52" i="4" s="1"/>
  <c r="L52" i="4" s="1"/>
  <c r="M52" i="4" s="1"/>
  <c r="N52" i="4" s="1"/>
  <c r="O52" i="4" s="1"/>
  <c r="P32" i="4"/>
  <c r="C39" i="3"/>
  <c r="C38" i="3"/>
  <c r="D40" i="1" s="1"/>
  <c r="G13" i="1"/>
  <c r="C60" i="8" l="1"/>
  <c r="E59" i="8"/>
  <c r="G59" i="8" s="1"/>
  <c r="C47" i="8"/>
  <c r="C48" i="8" s="1"/>
  <c r="C49" i="8" s="1"/>
  <c r="C50" i="8" s="1"/>
  <c r="C51" i="8" s="1"/>
  <c r="C52" i="8" s="1"/>
  <c r="C53" i="8" s="1"/>
  <c r="C54" i="8" s="1"/>
  <c r="C55" i="8" s="1"/>
  <c r="C35" i="8"/>
  <c r="C36" i="8" s="1"/>
  <c r="C37" i="8" s="1"/>
  <c r="C23" i="8"/>
  <c r="C24" i="8" s="1"/>
  <c r="C25" i="8" s="1"/>
  <c r="C11" i="8"/>
  <c r="I10" i="8"/>
  <c r="D4" i="8"/>
  <c r="D118" i="8" s="1"/>
  <c r="E118" i="8" s="1"/>
  <c r="D3" i="8"/>
  <c r="J11" i="8" l="1"/>
  <c r="D75" i="8"/>
  <c r="E75" i="8" s="1"/>
  <c r="E35" i="8"/>
  <c r="G35" i="8" s="1"/>
  <c r="D99" i="8"/>
  <c r="E99" i="8" s="1"/>
  <c r="E47" i="8"/>
  <c r="G47" i="8" s="1"/>
  <c r="E52" i="8"/>
  <c r="G52" i="8" s="1"/>
  <c r="E36" i="8"/>
  <c r="G36" i="8" s="1"/>
  <c r="D113" i="8"/>
  <c r="E113" i="8" s="1"/>
  <c r="E50" i="8"/>
  <c r="G50" i="8" s="1"/>
  <c r="E53" i="8"/>
  <c r="D79" i="8"/>
  <c r="E79" i="8" s="1"/>
  <c r="D107" i="8"/>
  <c r="E107" i="8" s="1"/>
  <c r="E48" i="8"/>
  <c r="G48" i="8" s="1"/>
  <c r="E51" i="8"/>
  <c r="G51" i="8" s="1"/>
  <c r="E54" i="8"/>
  <c r="G54" i="8" s="1"/>
  <c r="D73" i="8"/>
  <c r="E73" i="8" s="1"/>
  <c r="D83" i="8"/>
  <c r="E83" i="8" s="1"/>
  <c r="D109" i="8"/>
  <c r="E109" i="8" s="1"/>
  <c r="E49" i="8"/>
  <c r="D77" i="8"/>
  <c r="E77" i="8" s="1"/>
  <c r="D105" i="8"/>
  <c r="E105" i="8" s="1"/>
  <c r="C12" i="8"/>
  <c r="E11" i="8"/>
  <c r="E24" i="8"/>
  <c r="C26" i="8"/>
  <c r="E25" i="8"/>
  <c r="E23" i="8"/>
  <c r="D128" i="8"/>
  <c r="E128" i="8" s="1"/>
  <c r="D124" i="8"/>
  <c r="E124" i="8" s="1"/>
  <c r="D120" i="8"/>
  <c r="E120" i="8" s="1"/>
  <c r="D116" i="8"/>
  <c r="E116" i="8" s="1"/>
  <c r="D112" i="8"/>
  <c r="E112" i="8" s="1"/>
  <c r="D108" i="8"/>
  <c r="E108" i="8" s="1"/>
  <c r="D104" i="8"/>
  <c r="E104" i="8" s="1"/>
  <c r="D100" i="8"/>
  <c r="E100" i="8" s="1"/>
  <c r="D96" i="8"/>
  <c r="E96" i="8" s="1"/>
  <c r="D92" i="8"/>
  <c r="E92" i="8" s="1"/>
  <c r="D88" i="8"/>
  <c r="E88" i="8" s="1"/>
  <c r="D131" i="8"/>
  <c r="E131" i="8" s="1"/>
  <c r="D130" i="8"/>
  <c r="E130" i="8" s="1"/>
  <c r="D127" i="8"/>
  <c r="E127" i="8" s="1"/>
  <c r="D117" i="8"/>
  <c r="E117" i="8" s="1"/>
  <c r="D114" i="8"/>
  <c r="E114" i="8" s="1"/>
  <c r="D111" i="8"/>
  <c r="E111" i="8" s="1"/>
  <c r="D101" i="8"/>
  <c r="E101" i="8" s="1"/>
  <c r="D98" i="8"/>
  <c r="E98" i="8" s="1"/>
  <c r="D95" i="8"/>
  <c r="E95" i="8" s="1"/>
  <c r="D85" i="8"/>
  <c r="E85" i="8" s="1"/>
  <c r="D82" i="8"/>
  <c r="E82" i="8" s="1"/>
  <c r="D78" i="8"/>
  <c r="E78" i="8" s="1"/>
  <c r="D74" i="8"/>
  <c r="E74" i="8" s="1"/>
  <c r="D97" i="8"/>
  <c r="E97" i="8" s="1"/>
  <c r="D94" i="8"/>
  <c r="E94" i="8" s="1"/>
  <c r="D93" i="8"/>
  <c r="E93" i="8" s="1"/>
  <c r="D91" i="8"/>
  <c r="E91" i="8" s="1"/>
  <c r="D90" i="8"/>
  <c r="E90" i="8" s="1"/>
  <c r="D89" i="8"/>
  <c r="E89" i="8" s="1"/>
  <c r="D87" i="8"/>
  <c r="E87" i="8" s="1"/>
  <c r="D86" i="8"/>
  <c r="E86" i="8" s="1"/>
  <c r="D84" i="8"/>
  <c r="E84" i="8" s="1"/>
  <c r="D81" i="8"/>
  <c r="E81" i="8" s="1"/>
  <c r="D71" i="8"/>
  <c r="D126" i="8"/>
  <c r="E126" i="8" s="1"/>
  <c r="D121" i="8"/>
  <c r="E121" i="8" s="1"/>
  <c r="D110" i="8"/>
  <c r="E110" i="8" s="1"/>
  <c r="D106" i="8"/>
  <c r="E106" i="8" s="1"/>
  <c r="D102" i="8"/>
  <c r="E102" i="8" s="1"/>
  <c r="D129" i="8"/>
  <c r="E129" i="8" s="1"/>
  <c r="D125" i="8"/>
  <c r="E125" i="8" s="1"/>
  <c r="D123" i="8"/>
  <c r="E123" i="8" s="1"/>
  <c r="D119" i="8"/>
  <c r="E119" i="8" s="1"/>
  <c r="D115" i="8"/>
  <c r="E115" i="8" s="1"/>
  <c r="C38" i="8"/>
  <c r="E37" i="8"/>
  <c r="G49" i="8"/>
  <c r="G53" i="8"/>
  <c r="D72" i="8"/>
  <c r="E72" i="8" s="1"/>
  <c r="D76" i="8"/>
  <c r="E76" i="8" s="1"/>
  <c r="D80" i="8"/>
  <c r="E80" i="8" s="1"/>
  <c r="D103" i="8"/>
  <c r="E103" i="8" s="1"/>
  <c r="D122" i="8"/>
  <c r="E122" i="8" s="1"/>
  <c r="C56" i="8"/>
  <c r="E55" i="8"/>
  <c r="E60" i="8"/>
  <c r="C61" i="8"/>
  <c r="C57" i="8" l="1"/>
  <c r="E56" i="8"/>
  <c r="E61" i="8"/>
  <c r="C62" i="8"/>
  <c r="G37" i="8"/>
  <c r="E71" i="8"/>
  <c r="D132" i="8"/>
  <c r="G23" i="8"/>
  <c r="G25" i="8"/>
  <c r="G60" i="8"/>
  <c r="C39" i="8"/>
  <c r="E38" i="8"/>
  <c r="C27" i="8"/>
  <c r="E26" i="8"/>
  <c r="L11" i="8"/>
  <c r="G11" i="8"/>
  <c r="F11" i="8"/>
  <c r="G55" i="8"/>
  <c r="G24" i="8"/>
  <c r="C13" i="8"/>
  <c r="E12" i="8"/>
  <c r="G17" i="1"/>
  <c r="C14" i="8" l="1"/>
  <c r="E13" i="8"/>
  <c r="H11" i="8"/>
  <c r="I11" i="8" s="1"/>
  <c r="J12" i="8" s="1"/>
  <c r="C28" i="8"/>
  <c r="E27" i="8"/>
  <c r="G56" i="8"/>
  <c r="G38" i="8"/>
  <c r="C58" i="8"/>
  <c r="E58" i="8" s="1"/>
  <c r="E57" i="8"/>
  <c r="C40" i="8"/>
  <c r="E39" i="8"/>
  <c r="E62" i="8"/>
  <c r="C63" i="8"/>
  <c r="G12" i="8"/>
  <c r="F12" i="8"/>
  <c r="G26" i="8"/>
  <c r="G61" i="8"/>
  <c r="E23" i="9"/>
  <c r="E27" i="9" s="1"/>
  <c r="E16" i="9"/>
  <c r="H12" i="8" l="1"/>
  <c r="I12" i="8" s="1"/>
  <c r="J13" i="8" s="1"/>
  <c r="L12" i="8"/>
  <c r="G39" i="8"/>
  <c r="G57" i="8"/>
  <c r="G13" i="8"/>
  <c r="H13" i="8" s="1"/>
  <c r="F13" i="8"/>
  <c r="E63" i="8"/>
  <c r="C64" i="8"/>
  <c r="C41" i="8"/>
  <c r="E40" i="8"/>
  <c r="G58" i="8"/>
  <c r="C15" i="8"/>
  <c r="E14" i="8"/>
  <c r="G62" i="8"/>
  <c r="G27" i="8"/>
  <c r="C29" i="8"/>
  <c r="E28" i="8"/>
  <c r="A11" i="9"/>
  <c r="L13" i="8" l="1"/>
  <c r="C30" i="8"/>
  <c r="E29" i="8"/>
  <c r="G63" i="8"/>
  <c r="G14" i="8"/>
  <c r="F14" i="8"/>
  <c r="G40" i="8"/>
  <c r="C16" i="8"/>
  <c r="E15" i="8"/>
  <c r="C42" i="8"/>
  <c r="E41" i="8"/>
  <c r="G28" i="8"/>
  <c r="E64" i="8"/>
  <c r="C65" i="8"/>
  <c r="I13" i="8"/>
  <c r="J14" i="8" s="1"/>
  <c r="E65" i="8" l="1"/>
  <c r="C66" i="8"/>
  <c r="G15" i="8"/>
  <c r="F15" i="8"/>
  <c r="G29" i="8"/>
  <c r="G64" i="8"/>
  <c r="C17" i="8"/>
  <c r="E16" i="8"/>
  <c r="H14" i="8"/>
  <c r="I14" i="8" s="1"/>
  <c r="J15" i="8" s="1"/>
  <c r="C31" i="8"/>
  <c r="E30" i="8"/>
  <c r="G41" i="8"/>
  <c r="C43" i="8"/>
  <c r="E42" i="8"/>
  <c r="L14" i="8"/>
  <c r="D23" i="9"/>
  <c r="D27" i="9" s="1"/>
  <c r="D29" i="9" s="1"/>
  <c r="E31" i="9" s="1"/>
  <c r="C44" i="8" l="1"/>
  <c r="E43" i="8"/>
  <c r="C32" i="8"/>
  <c r="E31" i="8"/>
  <c r="E66" i="8"/>
  <c r="C67" i="8"/>
  <c r="G16" i="8"/>
  <c r="F16" i="8"/>
  <c r="G65" i="8"/>
  <c r="L15" i="8"/>
  <c r="C18" i="8"/>
  <c r="E17" i="8"/>
  <c r="G42" i="8"/>
  <c r="G30" i="8"/>
  <c r="H15" i="8"/>
  <c r="I15" i="8" s="1"/>
  <c r="J16" i="8" s="1"/>
  <c r="A8" i="6"/>
  <c r="A9" i="6" s="1"/>
  <c r="A10" i="6" s="1"/>
  <c r="A11" i="6" s="1"/>
  <c r="A12" i="6" s="1"/>
  <c r="A13" i="6" s="1"/>
  <c r="A14" i="6" s="1"/>
  <c r="A15" i="6" s="1"/>
  <c r="A19" i="6" s="1"/>
  <c r="C19" i="8" l="1"/>
  <c r="E18" i="8"/>
  <c r="E67" i="8"/>
  <c r="C68" i="8"/>
  <c r="G43" i="8"/>
  <c r="L16" i="8"/>
  <c r="G66" i="8"/>
  <c r="C45" i="8"/>
  <c r="E44" i="8"/>
  <c r="H16" i="8"/>
  <c r="I16" i="8" s="1"/>
  <c r="J17" i="8" s="1"/>
  <c r="G31" i="8"/>
  <c r="G17" i="8"/>
  <c r="F17" i="8"/>
  <c r="C33" i="8"/>
  <c r="E32" i="8"/>
  <c r="C13" i="7"/>
  <c r="C6" i="7"/>
  <c r="C9" i="7" s="1"/>
  <c r="C15" i="7" s="1"/>
  <c r="C17" i="7" s="1"/>
  <c r="C19" i="7" s="1"/>
  <c r="C34" i="8" l="1"/>
  <c r="E34" i="8" s="1"/>
  <c r="E33" i="8"/>
  <c r="G44" i="8"/>
  <c r="C20" i="8"/>
  <c r="E19" i="8"/>
  <c r="C46" i="8"/>
  <c r="E46" i="8" s="1"/>
  <c r="E45" i="8"/>
  <c r="L17" i="8"/>
  <c r="E68" i="8"/>
  <c r="C69" i="8"/>
  <c r="G67" i="8"/>
  <c r="G32" i="8"/>
  <c r="H17" i="8"/>
  <c r="I17" i="8" s="1"/>
  <c r="J18" i="8" s="1"/>
  <c r="G18" i="8"/>
  <c r="F18" i="8"/>
  <c r="G45" i="8" l="1"/>
  <c r="C21" i="8"/>
  <c r="E20" i="8"/>
  <c r="G33" i="8"/>
  <c r="H18" i="8"/>
  <c r="I18" i="8" s="1"/>
  <c r="J19" i="8" s="1"/>
  <c r="E69" i="8"/>
  <c r="C70" i="8"/>
  <c r="G46" i="8"/>
  <c r="G34" i="8"/>
  <c r="G68" i="8"/>
  <c r="L18" i="8"/>
  <c r="G19" i="8"/>
  <c r="F19" i="8"/>
  <c r="A11" i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H19" i="8" l="1"/>
  <c r="I19" i="8" s="1"/>
  <c r="J20" i="8" s="1"/>
  <c r="G20" i="8"/>
  <c r="H20" i="8" s="1"/>
  <c r="F20" i="8"/>
  <c r="I20" i="8" s="1"/>
  <c r="J21" i="8" s="1"/>
  <c r="L19" i="8"/>
  <c r="E70" i="8"/>
  <c r="C22" i="8"/>
  <c r="E22" i="8" s="1"/>
  <c r="E21" i="8"/>
  <c r="G69" i="8"/>
  <c r="A33" i="1"/>
  <c r="A35" i="1" s="1"/>
  <c r="L20" i="8" l="1"/>
  <c r="L21" i="8" s="1"/>
  <c r="G22" i="8"/>
  <c r="C132" i="8"/>
  <c r="G70" i="8"/>
  <c r="E132" i="8"/>
  <c r="G21" i="8"/>
  <c r="H21" i="8" s="1"/>
  <c r="F21" i="8"/>
  <c r="A10" i="5"/>
  <c r="A11" i="5" s="1"/>
  <c r="A12" i="5" s="1"/>
  <c r="A13" i="5" s="1"/>
  <c r="A14" i="5" s="1"/>
  <c r="A15" i="5" s="1"/>
  <c r="A16" i="5" s="1"/>
  <c r="A18" i="5" l="1"/>
  <c r="I21" i="8"/>
  <c r="J22" i="8" s="1"/>
  <c r="L22" i="8" s="1"/>
  <c r="G97" i="8"/>
  <c r="G88" i="8"/>
  <c r="G83" i="8"/>
  <c r="G75" i="8"/>
  <c r="G84" i="8"/>
  <c r="G74" i="8"/>
  <c r="G127" i="8"/>
  <c r="G76" i="8"/>
  <c r="G119" i="8"/>
  <c r="G107" i="8"/>
  <c r="G85" i="8"/>
  <c r="G92" i="8"/>
  <c r="G124" i="8"/>
  <c r="G112" i="8"/>
  <c r="G104" i="8"/>
  <c r="G115" i="8"/>
  <c r="G89" i="8"/>
  <c r="G80" i="8"/>
  <c r="G114" i="8"/>
  <c r="G102" i="8"/>
  <c r="G94" i="8"/>
  <c r="G82" i="8"/>
  <c r="G72" i="8"/>
  <c r="G90" i="8"/>
  <c r="G123" i="8"/>
  <c r="G79" i="8"/>
  <c r="G108" i="8"/>
  <c r="G129" i="8"/>
  <c r="G121" i="8"/>
  <c r="G91" i="8"/>
  <c r="G125" i="8"/>
  <c r="G98" i="8"/>
  <c r="G96" i="8"/>
  <c r="G93" i="8"/>
  <c r="G95" i="8"/>
  <c r="G128" i="8"/>
  <c r="G109" i="8"/>
  <c r="G99" i="8"/>
  <c r="G117" i="8"/>
  <c r="G131" i="8"/>
  <c r="G86" i="8"/>
  <c r="G78" i="8"/>
  <c r="G81" i="8"/>
  <c r="G113" i="8"/>
  <c r="G103" i="8"/>
  <c r="G111" i="8"/>
  <c r="G110" i="8"/>
  <c r="G126" i="8"/>
  <c r="G122" i="8"/>
  <c r="G106" i="8"/>
  <c r="G73" i="8"/>
  <c r="G87" i="8"/>
  <c r="G116" i="8"/>
  <c r="G118" i="8"/>
  <c r="G130" i="8"/>
  <c r="G71" i="8"/>
  <c r="G120" i="8"/>
  <c r="G77" i="8"/>
  <c r="G101" i="8"/>
  <c r="G105" i="8"/>
  <c r="G100" i="8"/>
  <c r="F22" i="8"/>
  <c r="H22" i="8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A21" i="6"/>
  <c r="B34" i="11"/>
  <c r="B36" i="11" s="1"/>
  <c r="B38" i="11" s="1"/>
  <c r="O28" i="11"/>
  <c r="O38" i="11" s="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H71" i="8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G132" i="8"/>
  <c r="I22" i="8"/>
  <c r="J23" i="8" s="1"/>
  <c r="L23" i="8" s="1"/>
  <c r="F23" i="8"/>
  <c r="S28" i="11"/>
  <c r="S30" i="11" s="1"/>
  <c r="S32" i="11" s="1"/>
  <c r="S34" i="11" s="1"/>
  <c r="O11" i="11"/>
  <c r="S11" i="11" s="1"/>
  <c r="O9" i="11"/>
  <c r="O10" i="11"/>
  <c r="S10" i="11" s="1"/>
  <c r="H14" i="11"/>
  <c r="S9" i="11" l="1"/>
  <c r="I23" i="8"/>
  <c r="J24" i="8" s="1"/>
  <c r="L24" i="8" s="1"/>
  <c r="F24" i="8"/>
  <c r="S36" i="11"/>
  <c r="S38" i="11" s="1"/>
  <c r="O12" i="11" s="1"/>
  <c r="S12" i="11" s="1"/>
  <c r="S14" i="11" s="1"/>
  <c r="I24" i="8" l="1"/>
  <c r="J25" i="8" s="1"/>
  <c r="L25" i="8" s="1"/>
  <c r="F25" i="8"/>
  <c r="I27" i="2"/>
  <c r="F27" i="2"/>
  <c r="I26" i="2"/>
  <c r="F26" i="2"/>
  <c r="I25" i="2"/>
  <c r="F24" i="2"/>
  <c r="I23" i="2"/>
  <c r="F23" i="2"/>
  <c r="F22" i="2"/>
  <c r="D29" i="2"/>
  <c r="I21" i="2"/>
  <c r="F21" i="2"/>
  <c r="I20" i="2"/>
  <c r="F20" i="2"/>
  <c r="G18" i="5"/>
  <c r="I25" i="8" l="1"/>
  <c r="J26" i="8" s="1"/>
  <c r="L26" i="8" s="1"/>
  <c r="F26" i="8"/>
  <c r="F25" i="2"/>
  <c r="F29" i="2" s="1"/>
  <c r="C29" i="2"/>
  <c r="I26" i="8" l="1"/>
  <c r="J27" i="8" s="1"/>
  <c r="L27" i="8" s="1"/>
  <c r="F27" i="8"/>
  <c r="G19" i="1"/>
  <c r="G21" i="1" s="1"/>
  <c r="G29" i="1" l="1"/>
  <c r="G35" i="1" s="1"/>
  <c r="I27" i="8"/>
  <c r="J28" i="8" s="1"/>
  <c r="L28" i="8" s="1"/>
  <c r="F28" i="8"/>
  <c r="A5" i="1"/>
  <c r="I28" i="8" l="1"/>
  <c r="J29" i="8" s="1"/>
  <c r="L29" i="8" s="1"/>
  <c r="F29" i="8"/>
  <c r="I29" i="8" l="1"/>
  <c r="J30" i="8" s="1"/>
  <c r="L30" i="8" s="1"/>
  <c r="F30" i="8"/>
  <c r="H9" i="2" l="1"/>
  <c r="H25" i="2" s="1"/>
  <c r="G9" i="2"/>
  <c r="I30" i="8"/>
  <c r="J31" i="8" s="1"/>
  <c r="L31" i="8" s="1"/>
  <c r="F31" i="8"/>
  <c r="G21" i="2" l="1"/>
  <c r="G27" i="2"/>
  <c r="G26" i="2"/>
  <c r="G24" i="2"/>
  <c r="I24" i="2" s="1"/>
  <c r="G23" i="2"/>
  <c r="G20" i="2"/>
  <c r="G22" i="2"/>
  <c r="I22" i="2" s="1"/>
  <c r="G25" i="2"/>
  <c r="K25" i="2" s="1"/>
  <c r="M25" i="2" s="1"/>
  <c r="N25" i="2" s="1"/>
  <c r="H27" i="2"/>
  <c r="I9" i="2"/>
  <c r="H24" i="2"/>
  <c r="K24" i="2" s="1"/>
  <c r="H22" i="2"/>
  <c r="K22" i="2" s="1"/>
  <c r="H21" i="2"/>
  <c r="K21" i="2" s="1"/>
  <c r="M21" i="2" s="1"/>
  <c r="N21" i="2" s="1"/>
  <c r="H26" i="2"/>
  <c r="H23" i="2"/>
  <c r="I31" i="8"/>
  <c r="J32" i="8" s="1"/>
  <c r="L32" i="8" s="1"/>
  <c r="F32" i="8"/>
  <c r="H20" i="2"/>
  <c r="K23" i="2" l="1"/>
  <c r="M23" i="2" s="1"/>
  <c r="N23" i="2" s="1"/>
  <c r="K27" i="2"/>
  <c r="M27" i="2" s="1"/>
  <c r="N27" i="2" s="1"/>
  <c r="M24" i="2"/>
  <c r="N24" i="2" s="1"/>
  <c r="K26" i="2"/>
  <c r="M26" i="2" s="1"/>
  <c r="N26" i="2" s="1"/>
  <c r="G29" i="2"/>
  <c r="M22" i="2"/>
  <c r="N22" i="2" s="1"/>
  <c r="H29" i="2"/>
  <c r="M20" i="2"/>
  <c r="N20" i="2" s="1"/>
  <c r="I32" i="8"/>
  <c r="J33" i="8" s="1"/>
  <c r="L33" i="8" s="1"/>
  <c r="F33" i="8"/>
  <c r="M29" i="2" l="1"/>
  <c r="N29" i="2"/>
  <c r="I33" i="8"/>
  <c r="J34" i="8" s="1"/>
  <c r="L34" i="8" s="1"/>
  <c r="F34" i="8"/>
  <c r="I34" i="8" l="1"/>
  <c r="J35" i="8" s="1"/>
  <c r="L35" i="8" s="1"/>
  <c r="F35" i="8"/>
  <c r="I35" i="8" l="1"/>
  <c r="J36" i="8" s="1"/>
  <c r="L36" i="8" s="1"/>
  <c r="F36" i="8"/>
  <c r="I36" i="8" l="1"/>
  <c r="J37" i="8" s="1"/>
  <c r="L37" i="8" s="1"/>
  <c r="F37" i="8"/>
  <c r="I37" i="8" l="1"/>
  <c r="J38" i="8" s="1"/>
  <c r="L38" i="8" s="1"/>
  <c r="F38" i="8"/>
  <c r="I38" i="8" l="1"/>
  <c r="J39" i="8" s="1"/>
  <c r="L39" i="8" s="1"/>
  <c r="F39" i="8"/>
  <c r="I39" i="8" l="1"/>
  <c r="J40" i="8" s="1"/>
  <c r="L40" i="8" s="1"/>
  <c r="F40" i="8"/>
  <c r="I40" i="8" l="1"/>
  <c r="J41" i="8" s="1"/>
  <c r="L41" i="8" s="1"/>
  <c r="F41" i="8"/>
  <c r="I41" i="8" l="1"/>
  <c r="J42" i="8" s="1"/>
  <c r="L42" i="8" s="1"/>
  <c r="F42" i="8"/>
  <c r="I42" i="8" l="1"/>
  <c r="J43" i="8" s="1"/>
  <c r="L43" i="8" s="1"/>
  <c r="F43" i="8"/>
  <c r="I43" i="8" l="1"/>
  <c r="J44" i="8" s="1"/>
  <c r="L44" i="8" s="1"/>
  <c r="F44" i="8"/>
  <c r="I44" i="8" l="1"/>
  <c r="J45" i="8" s="1"/>
  <c r="L45" i="8" s="1"/>
  <c r="F45" i="8"/>
  <c r="I45" i="8" l="1"/>
  <c r="J46" i="8" s="1"/>
  <c r="L46" i="8" s="1"/>
  <c r="F46" i="8"/>
  <c r="I46" i="8" l="1"/>
  <c r="J47" i="8" s="1"/>
  <c r="L47" i="8" s="1"/>
  <c r="F47" i="8"/>
  <c r="I47" i="8" l="1"/>
  <c r="J48" i="8" s="1"/>
  <c r="L48" i="8" s="1"/>
  <c r="F48" i="8"/>
  <c r="I48" i="8" l="1"/>
  <c r="J49" i="8" s="1"/>
  <c r="L49" i="8" s="1"/>
  <c r="F49" i="8"/>
  <c r="I49" i="8" l="1"/>
  <c r="J50" i="8" s="1"/>
  <c r="L50" i="8" s="1"/>
  <c r="F50" i="8"/>
  <c r="I50" i="8" l="1"/>
  <c r="J51" i="8" s="1"/>
  <c r="L51" i="8" s="1"/>
  <c r="F51" i="8"/>
  <c r="I51" i="8" l="1"/>
  <c r="J52" i="8" s="1"/>
  <c r="L52" i="8" s="1"/>
  <c r="F52" i="8"/>
  <c r="I52" i="8" l="1"/>
  <c r="J53" i="8" s="1"/>
  <c r="L53" i="8" s="1"/>
  <c r="F53" i="8"/>
  <c r="I53" i="8" l="1"/>
  <c r="J54" i="8" s="1"/>
  <c r="L54" i="8" s="1"/>
  <c r="F54" i="8"/>
  <c r="I54" i="8" l="1"/>
  <c r="J55" i="8" s="1"/>
  <c r="L55" i="8" s="1"/>
  <c r="F55" i="8"/>
  <c r="I55" i="8" l="1"/>
  <c r="J56" i="8" s="1"/>
  <c r="L56" i="8" s="1"/>
  <c r="F56" i="8"/>
  <c r="I56" i="8" l="1"/>
  <c r="J57" i="8" s="1"/>
  <c r="L57" i="8" s="1"/>
  <c r="F57" i="8"/>
  <c r="I57" i="8" l="1"/>
  <c r="J58" i="8" s="1"/>
  <c r="L58" i="8" s="1"/>
  <c r="F58" i="8"/>
  <c r="F59" i="8" l="1"/>
  <c r="I58" i="8"/>
  <c r="J59" i="8" s="1"/>
  <c r="L59" i="8" s="1"/>
  <c r="I59" i="8" l="1"/>
  <c r="J60" i="8" s="1"/>
  <c r="L60" i="8" s="1"/>
  <c r="F60" i="8"/>
  <c r="I60" i="8" l="1"/>
  <c r="J61" i="8" s="1"/>
  <c r="L61" i="8" s="1"/>
  <c r="F61" i="8"/>
  <c r="I61" i="8" l="1"/>
  <c r="J62" i="8" s="1"/>
  <c r="L62" i="8" s="1"/>
  <c r="F62" i="8"/>
  <c r="I62" i="8" l="1"/>
  <c r="J63" i="8" s="1"/>
  <c r="L63" i="8" s="1"/>
  <c r="F63" i="8"/>
  <c r="I63" i="8" l="1"/>
  <c r="J64" i="8" s="1"/>
  <c r="L64" i="8" s="1"/>
  <c r="F64" i="8"/>
  <c r="I64" i="8" l="1"/>
  <c r="J65" i="8" s="1"/>
  <c r="L65" i="8" s="1"/>
  <c r="F65" i="8"/>
  <c r="I65" i="8" l="1"/>
  <c r="J66" i="8" s="1"/>
  <c r="L66" i="8" s="1"/>
  <c r="F66" i="8"/>
  <c r="I66" i="8" l="1"/>
  <c r="J67" i="8" s="1"/>
  <c r="L67" i="8" s="1"/>
  <c r="F67" i="8"/>
  <c r="I67" i="8" l="1"/>
  <c r="J68" i="8" s="1"/>
  <c r="L68" i="8" s="1"/>
  <c r="F68" i="8"/>
  <c r="I68" i="8" l="1"/>
  <c r="J69" i="8" s="1"/>
  <c r="L69" i="8" s="1"/>
  <c r="F69" i="8"/>
  <c r="I69" i="8" l="1"/>
  <c r="J70" i="8" s="1"/>
  <c r="J132" i="8" s="1"/>
  <c r="F70" i="8"/>
  <c r="I70" i="8" s="1"/>
  <c r="L70" i="8" l="1"/>
  <c r="K71" i="8" l="1"/>
  <c r="L71" i="8" s="1"/>
  <c r="K72" i="8" l="1"/>
  <c r="L72" i="8" s="1"/>
  <c r="I71" i="8"/>
  <c r="I72" i="8" l="1"/>
  <c r="K73" i="8"/>
  <c r="L73" i="8" s="1"/>
  <c r="K74" i="8" l="1"/>
  <c r="L74" i="8" s="1"/>
  <c r="I73" i="8"/>
  <c r="K75" i="8" l="1"/>
  <c r="L75" i="8" s="1"/>
  <c r="I74" i="8"/>
  <c r="I75" i="8" l="1"/>
  <c r="K76" i="8"/>
  <c r="L76" i="8" s="1"/>
  <c r="K77" i="8" l="1"/>
  <c r="L77" i="8" s="1"/>
  <c r="I76" i="8"/>
  <c r="K78" i="8" l="1"/>
  <c r="L78" i="8" s="1"/>
  <c r="I77" i="8"/>
  <c r="K79" i="8" l="1"/>
  <c r="L79" i="8" s="1"/>
  <c r="I78" i="8"/>
  <c r="K80" i="8" l="1"/>
  <c r="L80" i="8" s="1"/>
  <c r="I79" i="8"/>
  <c r="K81" i="8" l="1"/>
  <c r="L81" i="8" s="1"/>
  <c r="I80" i="8"/>
  <c r="I81" i="8" l="1"/>
  <c r="K82" i="8"/>
  <c r="L82" i="8" s="1"/>
  <c r="K83" i="8" l="1"/>
  <c r="I82" i="8"/>
  <c r="L83" i="8"/>
  <c r="I83" i="8" l="1"/>
  <c r="K84" i="8"/>
  <c r="L84" i="8" s="1"/>
  <c r="K85" i="8" l="1"/>
  <c r="L85" i="8" s="1"/>
  <c r="I84" i="8"/>
  <c r="I85" i="8" l="1"/>
  <c r="K86" i="8"/>
  <c r="L86" i="8" s="1"/>
  <c r="I86" i="8" l="1"/>
  <c r="K87" i="8"/>
  <c r="L87" i="8" s="1"/>
  <c r="K88" i="8" l="1"/>
  <c r="L88" i="8" s="1"/>
  <c r="I87" i="8"/>
  <c r="K89" i="8" l="1"/>
  <c r="L89" i="8" s="1"/>
  <c r="I88" i="8"/>
  <c r="I89" i="8" l="1"/>
  <c r="K90" i="8"/>
  <c r="L90" i="8" s="1"/>
  <c r="K91" i="8" l="1"/>
  <c r="L91" i="8" s="1"/>
  <c r="I90" i="8"/>
  <c r="K92" i="8" l="1"/>
  <c r="L92" i="8" s="1"/>
  <c r="I91" i="8"/>
  <c r="K93" i="8" l="1"/>
  <c r="L93" i="8" s="1"/>
  <c r="I92" i="8"/>
  <c r="I93" i="8" l="1"/>
  <c r="K94" i="8"/>
  <c r="L94" i="8" s="1"/>
  <c r="K95" i="8" l="1"/>
  <c r="L95" i="8" s="1"/>
  <c r="I94" i="8"/>
  <c r="K96" i="8" l="1"/>
  <c r="L96" i="8" s="1"/>
  <c r="I95" i="8"/>
  <c r="K97" i="8" l="1"/>
  <c r="L97" i="8" s="1"/>
  <c r="I96" i="8"/>
  <c r="K98" i="8" l="1"/>
  <c r="L98" i="8" s="1"/>
  <c r="I97" i="8"/>
  <c r="I98" i="8" l="1"/>
  <c r="K99" i="8"/>
  <c r="L99" i="8" s="1"/>
  <c r="I99" i="8" l="1"/>
  <c r="K100" i="8"/>
  <c r="L100" i="8" s="1"/>
  <c r="K101" i="8" l="1"/>
  <c r="L101" i="8" s="1"/>
  <c r="I100" i="8"/>
  <c r="K102" i="8" l="1"/>
  <c r="L102" i="8" s="1"/>
  <c r="I101" i="8"/>
  <c r="I102" i="8" l="1"/>
  <c r="K103" i="8"/>
  <c r="L103" i="8" s="1"/>
  <c r="K104" i="8" l="1"/>
  <c r="L104" i="8" s="1"/>
  <c r="I103" i="8"/>
  <c r="K105" i="8" l="1"/>
  <c r="L105" i="8" s="1"/>
  <c r="I104" i="8"/>
  <c r="I105" i="8" l="1"/>
  <c r="K106" i="8"/>
  <c r="L106" i="8" s="1"/>
  <c r="K107" i="8" l="1"/>
  <c r="L107" i="8" s="1"/>
  <c r="I106" i="8"/>
  <c r="K108" i="8" l="1"/>
  <c r="L108" i="8" s="1"/>
  <c r="I107" i="8"/>
  <c r="K109" i="8" l="1"/>
  <c r="L109" i="8" s="1"/>
  <c r="I108" i="8"/>
  <c r="K110" i="8" l="1"/>
  <c r="L110" i="8" s="1"/>
  <c r="I109" i="8"/>
  <c r="K111" i="8" l="1"/>
  <c r="L111" i="8" s="1"/>
  <c r="I110" i="8"/>
  <c r="I111" i="8" l="1"/>
  <c r="K112" i="8"/>
  <c r="L112" i="8" s="1"/>
  <c r="K113" i="8" l="1"/>
  <c r="L113" i="8" s="1"/>
  <c r="I112" i="8"/>
  <c r="K114" i="8" l="1"/>
  <c r="L114" i="8" s="1"/>
  <c r="I113" i="8"/>
  <c r="K115" i="8" l="1"/>
  <c r="L115" i="8" s="1"/>
  <c r="I114" i="8"/>
  <c r="I115" i="8" l="1"/>
  <c r="K116" i="8"/>
  <c r="L116" i="8" s="1"/>
  <c r="K117" i="8" l="1"/>
  <c r="L117" i="8" s="1"/>
  <c r="I116" i="8"/>
  <c r="I117" i="8" l="1"/>
  <c r="K118" i="8"/>
  <c r="L118" i="8" s="1"/>
  <c r="I118" i="8" l="1"/>
  <c r="K119" i="8"/>
  <c r="L119" i="8"/>
  <c r="I119" i="8" l="1"/>
  <c r="K120" i="8"/>
  <c r="L120" i="8" s="1"/>
  <c r="K121" i="8" l="1"/>
  <c r="L121" i="8" s="1"/>
  <c r="I120" i="8"/>
  <c r="I121" i="8" l="1"/>
  <c r="K122" i="8"/>
  <c r="L122" i="8" s="1"/>
  <c r="K123" i="8" l="1"/>
  <c r="L123" i="8" s="1"/>
  <c r="I122" i="8"/>
  <c r="K124" i="8" l="1"/>
  <c r="L124" i="8" s="1"/>
  <c r="I123" i="8"/>
  <c r="K125" i="8" l="1"/>
  <c r="L125" i="8" s="1"/>
  <c r="I124" i="8"/>
  <c r="I125" i="8" l="1"/>
  <c r="K126" i="8"/>
  <c r="L126" i="8" s="1"/>
  <c r="K127" i="8" l="1"/>
  <c r="L127" i="8" s="1"/>
  <c r="I126" i="8"/>
  <c r="K128" i="8" l="1"/>
  <c r="L128" i="8" s="1"/>
  <c r="I127" i="8"/>
  <c r="K129" i="8" l="1"/>
  <c r="L129" i="8" s="1"/>
  <c r="I128" i="8"/>
  <c r="K130" i="8" l="1"/>
  <c r="L130" i="8" s="1"/>
  <c r="I129" i="8"/>
  <c r="K131" i="8" l="1"/>
  <c r="K132" i="8" s="1"/>
  <c r="I130" i="8"/>
  <c r="L131" i="8" l="1"/>
  <c r="I131" i="8" s="1"/>
</calcChain>
</file>

<file path=xl/sharedStrings.xml><?xml version="1.0" encoding="utf-8"?>
<sst xmlns="http://schemas.openxmlformats.org/spreadsheetml/2006/main" count="451" uniqueCount="287">
  <si>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</si>
  <si>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</si>
  <si>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</si>
  <si>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</si>
  <si>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</si>
  <si>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</si>
  <si>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</si>
  <si>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</si>
  <si>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</si>
  <si>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</si>
  <si>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</si>
  <si>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</si>
  <si>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</si>
  <si>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</si>
  <si>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</si>
  <si>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</si>
  <si>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</si>
  <si>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</si>
  <si>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</si>
  <si>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</si>
  <si>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</si>
  <si>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</si>
  <si>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</si>
  <si>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</si>
  <si>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</si>
  <si>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</si>
  <si>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</si>
  <si>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</si>
  <si>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</si>
  <si>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</si>
  <si>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</si>
  <si>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</si>
  <si>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</si>
  <si>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</si>
  <si>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</si>
  <si>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</si>
  <si>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</si>
  <si>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</si>
  <si>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</si>
  <si>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</si>
  <si>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</si>
  <si>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</si>
  <si>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</si>
  <si>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</si>
  <si>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</si>
  <si>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</si>
  <si>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</si>
  <si>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</si>
  <si>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</si>
  <si>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</si>
  <si>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</si>
  <si>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</si>
  <si>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</si>
  <si>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</si>
  <si>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</si>
  <si>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</si>
  <si>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</si>
  <si>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</si>
  <si>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</si>
  <si>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</si>
  <si>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</si>
  <si>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</si>
  <si>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</si>
  <si>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</si>
  <si>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</si>
  <si>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</si>
  <si>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</si>
  <si>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</si>
  <si>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</si>
  <si>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</si>
  <si>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</si>
  <si>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</si>
  <si>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</si>
  <si>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</si>
  <si>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</si>
  <si>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</si>
  <si>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</si>
  <si>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</si>
  <si>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</si>
  <si>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</si>
  <si>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</si>
  <si>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</si>
  <si>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</si>
  <si>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</si>
  <si>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</si>
  <si>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</si>
  <si>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</si>
  <si>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</si>
  <si>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</si>
  <si>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</si>
  <si>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</si>
  <si>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</si>
  <si>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</si>
  <si>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</si>
  <si>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</si>
  <si>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</si>
  <si>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</si>
  <si>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</si>
  <si>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</si>
  <si>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</si>
  <si>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</si>
  <si>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</si>
  <si>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</si>
  <si>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</si>
  <si>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</si>
  <si>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</si>
  <si>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</si>
  <si>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</si>
  <si>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</si>
  <si>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SAMPLE ONLY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</si>
  <si>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</si>
  <si>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</si>
  <si>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</si>
  <si>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</si>
  <si>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</si>
  <si>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</si>
  <si>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</si>
  <si>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</si>
  <si>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</si>
  <si>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</si>
  <si>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</si>
  <si>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</si>
  <si>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</si>
  <si>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</si>
  <si>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</si>
  <si>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</si>
  <si>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</si>
  <si>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</si>
  <si>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</si>
  <si>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</si>
  <si>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</si>
  <si>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</si>
  <si>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</si>
  <si>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</si>
  <si>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</si>
  <si>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</si>
  <si>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</si>
  <si>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</si>
  <si>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</si>
  <si>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</si>
  <si>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</si>
  <si>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</si>
  <si>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</si>
  <si>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</si>
  <si>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</si>
  <si>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</si>
  <si>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</si>
  <si>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</si>
  <si>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</si>
  <si>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</si>
  <si>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</si>
  <si>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</si>
  <si>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</si>
  <si>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</si>
  <si>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</si>
  <si>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</si>
  <si>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</si>
  <si>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</si>
  <si>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</si>
  <si>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</si>
  <si>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</si>
  <si>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</si>
  <si>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Commission Order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</si>
  <si>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</si>
  <si>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</si>
  <si>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</si>
  <si>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</si>
  <si>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</si>
  <si>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</si>
  <si>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</si>
  <si>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 xml:space="preserve">Q4 2023 Per Books as Reported SEC Kentucky Power Company </t>
  </si>
  <si>
    <t>13 Month Average Common Equity</t>
  </si>
  <si>
    <t xml:space="preserve">Kentucky Power Company </t>
  </si>
  <si>
    <t>Non-Rockport PPA Base Rate Amount - Form 5.0 (Based on No. of Months)</t>
  </si>
  <si>
    <t>80% of Incremental PJM LSE OATT</t>
  </si>
  <si>
    <t>Incremental PJM LSE OATT</t>
  </si>
  <si>
    <t>PJM LSE OATT To be included in PPA</t>
  </si>
  <si>
    <t>Exhibit 2 -  Rockport</t>
  </si>
  <si>
    <t xml:space="preserve"> 2023 Rockport Offset Calculation</t>
  </si>
  <si>
    <t>Net GAAP Income Increase Required to Earn Allowed Retail ROE</t>
  </si>
  <si>
    <t>Commission Order, or  as updated in a future Commission proceeding</t>
  </si>
  <si>
    <t>12 Month Net GAAP Income</t>
  </si>
  <si>
    <t>Rockport Fixed Cost Savings</t>
  </si>
  <si>
    <t>Gross-Up (Line 6 X .005425)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</si>
  <si>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</si>
  <si>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</si>
  <si>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</si>
  <si>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</si>
  <si>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</si>
  <si>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</si>
  <si>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</si>
  <si>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</si>
  <si>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</si>
  <si>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Fixed Cost Savings (Dec 9, 2022+)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</si>
  <si>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</si>
  <si>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</si>
  <si>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</si>
  <si>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</si>
  <si>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</si>
  <si>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 xml:space="preserve">  $5 million in 2020, $10 million in 2021 and 2022</t>
  </si>
  <si>
    <r>
      <t>2018 OATT TCOS -</t>
    </r>
    <r>
      <rPr>
        <sz val="11"/>
        <color rgb="FFFF0000"/>
        <rFont val="Calibri"/>
        <family val="2"/>
      </rPr>
      <t xml:space="preserve"> Updated for 21% FIT Rate</t>
    </r>
  </si>
  <si>
    <t>TO WACC @ 9.70 ROE</t>
  </si>
  <si>
    <r>
      <t xml:space="preserve">2018 OATT TCOS - </t>
    </r>
    <r>
      <rPr>
        <sz val="11"/>
        <color rgb="FFFF0000"/>
        <rFont val="Calibri"/>
        <family val="2"/>
      </rPr>
      <t>Updated for PSC Order</t>
    </r>
  </si>
  <si>
    <t>TO WACC @ 10.35 ROE</t>
  </si>
  <si>
    <r>
      <t xml:space="preserve">2018 OATT TCOS - </t>
    </r>
    <r>
      <rPr>
        <sz val="11"/>
        <color rgb="FFFF0000"/>
        <rFont val="Calibri"/>
        <family val="2"/>
      </rPr>
      <t>Updated for settlement in docket EL17-13</t>
    </r>
  </si>
  <si>
    <t>Forced Outage Purchase Power Limitation Base Amount - Acct 555</t>
  </si>
  <si>
    <t>NA This Filing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</si>
  <si>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</si>
  <si>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</si>
  <si>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</si>
  <si>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</si>
  <si>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</si>
  <si>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</si>
  <si>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</si>
  <si>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</si>
  <si>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</si>
  <si>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</si>
  <si>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</si>
  <si>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</si>
  <si>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</si>
  <si>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</si>
  <si>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</si>
  <si>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</si>
  <si>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</si>
  <si>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</si>
  <si>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</si>
  <si>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</si>
  <si>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</si>
  <si>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</si>
  <si>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</si>
  <si>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</si>
  <si>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</si>
  <si>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</si>
  <si>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</si>
  <si>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</si>
  <si>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</si>
  <si>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</si>
  <si>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</si>
  <si>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</si>
  <si>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</si>
  <si>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</si>
  <si>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</si>
  <si>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</si>
  <si>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</si>
  <si>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</si>
  <si>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</si>
  <si>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Notes:</t>
  </si>
  <si>
    <t>(9a)*</t>
  </si>
  <si>
    <t>(11a)*</t>
  </si>
  <si>
    <t>(12)*</t>
  </si>
  <si>
    <t>*Separated the monthly base amount to properly account for the 80% incremental recovery of PJM LSE OATT Costs</t>
  </si>
  <si>
    <r>
      <t>Monthly PPA Base Amount to be used for Periods less than 12 months (Line</t>
    </r>
    <r>
      <rPr>
        <sz val="11"/>
        <rFont val="Calibri"/>
        <family val="2"/>
        <scheme val="minor"/>
      </rPr>
      <t xml:space="preserve"> 12</t>
    </r>
    <r>
      <rPr>
        <sz val="11"/>
        <color theme="1"/>
        <rFont val="Calibri"/>
        <family val="2"/>
        <scheme val="minor"/>
      </rPr>
      <t>/12)</t>
    </r>
  </si>
  <si>
    <t>12 -Month Period ended June 30, 2019</t>
  </si>
  <si>
    <t>Biling units are 12 months</t>
  </si>
  <si>
    <t>Billing Energy TME 6/2019</t>
  </si>
  <si>
    <t>December</t>
  </si>
  <si>
    <t>November</t>
  </si>
  <si>
    <t>October</t>
  </si>
  <si>
    <t>September</t>
  </si>
  <si>
    <t>August</t>
  </si>
  <si>
    <t>July</t>
  </si>
  <si>
    <t>PPA Rider set at zero until October 2018</t>
  </si>
  <si>
    <t>Actual Operating Expenses for the 12 Month period ended June 30,2019</t>
  </si>
  <si>
    <t>12-Month Period ended June 30, 2019</t>
  </si>
  <si>
    <t>Actual PPA Revenue Collected For  12-Months Ended June 30, 2019  from PPA  Form 4.0</t>
  </si>
  <si>
    <t>2019 OATT TCOS</t>
  </si>
  <si>
    <t xml:space="preserve">2019 OATT TCOS </t>
  </si>
  <si>
    <t>2018 OATT TCOS</t>
  </si>
  <si>
    <t>Actual Non-Rockport PPA Costs  12-Months Ended June 30, 2019 - Form 3.0</t>
  </si>
  <si>
    <t>5650015*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</si>
  <si>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</si>
  <si>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</si>
  <si>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</si>
  <si>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</si>
  <si>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</si>
  <si>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</si>
  <si>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80% above or below recovery in base rates allowable for recovery</t>
  </si>
  <si>
    <t>2019 Tariff PPA Revenue Credit</t>
  </si>
  <si>
    <t>*New FERC account for a subset of LSE Expense - Schedule 1A Charges</t>
  </si>
  <si>
    <t>Non-Rockport Current Period Revenue Requirement - Form 3.0*</t>
  </si>
  <si>
    <t>Increase in Rockport Collection - Reduction of Amount of Rockport Base Rate Deferral (2020 - Dec 8, 2022)**</t>
  </si>
  <si>
    <t>Includes 80% allowable recovery of PJM OAT LSE Charges</t>
  </si>
  <si>
    <t>Purchase Power Adjustment</t>
  </si>
  <si>
    <t>Calculated Going Level PPA Revenue Requirement (Line 11 - Line 12 + Line 13)</t>
  </si>
  <si>
    <t>Energy*</t>
  </si>
  <si>
    <t>Demand*</t>
  </si>
  <si>
    <t>*Billing units adjusted for an 11 month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</si>
</sst>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  <numFmt numFmtId="183" formatCode="0.0%"/>
    <numFmt numFmtId="184" formatCode="_(&quot;$&quot;* #,##0.0_);_(&quot;$&quot;* \(#,##0.0\);_(&quot;$&quot;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vertAlign val="superscript"/>
      <sz val="14"/>
      <name val="Arial"/>
      <family val="2"/>
    </font>
    <font>
      <vertAlign val="superscript"/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6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1" applyNumberFormat="0" applyAlignment="0" applyProtection="0"/>
    <xf numFmtId="0" fontId="13" fillId="22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11" applyNumberFormat="0" applyAlignment="0" applyProtection="0"/>
    <xf numFmtId="0" fontId="20" fillId="0" borderId="16" applyNumberFormat="0" applyFill="0" applyAlignment="0" applyProtection="0"/>
    <xf numFmtId="0" fontId="21" fillId="23" borderId="0" applyNumberFormat="0" applyBorder="0" applyAlignment="0" applyProtection="0"/>
    <xf numFmtId="0" fontId="6" fillId="24" borderId="17" applyNumberFormat="0" applyFont="0" applyAlignment="0" applyProtection="0"/>
    <xf numFmtId="0" fontId="22" fillId="21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38" fillId="0" borderId="0"/>
    <xf numFmtId="0" fontId="1" fillId="0" borderId="0"/>
    <xf numFmtId="0" fontId="38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4" fillId="0" borderId="0"/>
  </cellStyleXfs>
  <cellXfs count="3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4" fillId="0" borderId="0" xfId="0" applyFont="1"/>
    <xf numFmtId="0" fontId="2" fillId="0" borderId="0" xfId="0" applyFont="1"/>
    <xf numFmtId="165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 applyAlignment="1">
      <alignment horizontal="right"/>
    </xf>
    <xf numFmtId="165" fontId="1" fillId="0" borderId="0" xfId="1" applyNumberFormat="1" applyFont="1"/>
    <xf numFmtId="0" fontId="1" fillId="0" borderId="0" xfId="0" applyFont="1" applyFill="1"/>
    <xf numFmtId="0" fontId="26" fillId="0" borderId="0" xfId="11" applyFont="1" applyFill="1"/>
    <xf numFmtId="0" fontId="28" fillId="0" borderId="0" xfId="11" applyFont="1" applyFill="1"/>
    <xf numFmtId="0" fontId="29" fillId="0" borderId="0" xfId="11" applyFont="1" applyFill="1" applyAlignment="1">
      <alignment horizontal="center"/>
    </xf>
    <xf numFmtId="166" fontId="28" fillId="0" borderId="0" xfId="11" applyNumberFormat="1" applyFont="1" applyFill="1" applyAlignment="1">
      <alignment horizontal="center"/>
    </xf>
    <xf numFmtId="165" fontId="28" fillId="0" borderId="0" xfId="4" applyNumberFormat="1" applyFont="1" applyFill="1"/>
    <xf numFmtId="165" fontId="28" fillId="0" borderId="0" xfId="11" applyNumberFormat="1" applyFont="1" applyFill="1"/>
    <xf numFmtId="0" fontId="0" fillId="0" borderId="0" xfId="0" applyFill="1"/>
    <xf numFmtId="165" fontId="0" fillId="0" borderId="0" xfId="0" applyNumberFormat="1" applyFill="1"/>
    <xf numFmtId="0" fontId="2" fillId="0" borderId="1" xfId="0" applyFont="1" applyBorder="1" applyAlignment="1">
      <alignment horizontal="center"/>
    </xf>
    <xf numFmtId="0" fontId="0" fillId="25" borderId="0" xfId="0" applyFill="1"/>
    <xf numFmtId="0" fontId="0" fillId="25" borderId="0" xfId="0" applyFill="1" applyAlignment="1"/>
    <xf numFmtId="0" fontId="41" fillId="25" borderId="0" xfId="0" applyFont="1" applyFill="1" applyAlignment="1"/>
    <xf numFmtId="0" fontId="41" fillId="25" borderId="0" xfId="0" applyFont="1" applyFill="1"/>
    <xf numFmtId="0" fontId="42" fillId="25" borderId="0" xfId="0" applyFont="1" applyFill="1" applyAlignment="1"/>
    <xf numFmtId="0" fontId="42" fillId="25" borderId="3" xfId="0" applyFont="1" applyFill="1" applyBorder="1" applyAlignment="1"/>
    <xf numFmtId="0" fontId="42" fillId="25" borderId="4" xfId="0" applyFont="1" applyFill="1" applyBorder="1"/>
    <xf numFmtId="0" fontId="43" fillId="25" borderId="4" xfId="0" applyFont="1" applyFill="1" applyBorder="1" applyAlignment="1">
      <alignment horizontal="center"/>
    </xf>
    <xf numFmtId="0" fontId="43" fillId="25" borderId="5" xfId="0" applyFont="1" applyFill="1" applyBorder="1" applyAlignment="1">
      <alignment horizontal="center"/>
    </xf>
    <xf numFmtId="0" fontId="42" fillId="25" borderId="0" xfId="0" applyFont="1" applyFill="1"/>
    <xf numFmtId="0" fontId="42" fillId="25" borderId="6" xfId="0" applyFont="1" applyFill="1" applyBorder="1" applyAlignment="1"/>
    <xf numFmtId="0" fontId="42" fillId="25" borderId="0" xfId="0" applyFont="1" applyFill="1" applyBorder="1"/>
    <xf numFmtId="0" fontId="43" fillId="25" borderId="0" xfId="0" applyFont="1" applyFill="1" applyBorder="1" applyAlignment="1">
      <alignment horizontal="center"/>
    </xf>
    <xf numFmtId="0" fontId="43" fillId="25" borderId="7" xfId="0" applyFont="1" applyFill="1" applyBorder="1" applyAlignment="1">
      <alignment horizontal="center"/>
    </xf>
    <xf numFmtId="0" fontId="42" fillId="25" borderId="8" xfId="0" applyFont="1" applyFill="1" applyBorder="1" applyAlignment="1"/>
    <xf numFmtId="0" fontId="42" fillId="25" borderId="9" xfId="0" applyFont="1" applyFill="1" applyBorder="1"/>
    <xf numFmtId="5" fontId="42" fillId="25" borderId="9" xfId="0" applyNumberFormat="1" applyFont="1" applyFill="1" applyBorder="1"/>
    <xf numFmtId="5" fontId="42" fillId="25" borderId="10" xfId="0" applyNumberFormat="1" applyFont="1" applyFill="1" applyBorder="1" applyAlignment="1"/>
    <xf numFmtId="37" fontId="42" fillId="25" borderId="0" xfId="0" applyNumberFormat="1" applyFont="1" applyFill="1" applyAlignment="1"/>
    <xf numFmtId="0" fontId="42" fillId="25" borderId="0" xfId="0" applyFont="1" applyFill="1" applyAlignment="1">
      <alignment horizontal="center"/>
    </xf>
    <xf numFmtId="0" fontId="43" fillId="25" borderId="0" xfId="0" applyFont="1" applyFill="1" applyAlignment="1">
      <alignment horizontal="center"/>
    </xf>
    <xf numFmtId="166" fontId="42" fillId="25" borderId="0" xfId="0" applyNumberFormat="1" applyFont="1" applyFill="1" applyAlignment="1">
      <alignment horizontal="center"/>
    </xf>
    <xf numFmtId="166" fontId="42" fillId="25" borderId="0" xfId="0" quotePrefix="1" applyNumberFormat="1" applyFont="1" applyFill="1" applyAlignment="1">
      <alignment horizontal="center"/>
    </xf>
    <xf numFmtId="38" fontId="42" fillId="25" borderId="0" xfId="0" applyNumberFormat="1" applyFont="1" applyFill="1"/>
    <xf numFmtId="167" fontId="42" fillId="25" borderId="0" xfId="0" applyNumberFormat="1" applyFont="1" applyFill="1"/>
    <xf numFmtId="6" fontId="42" fillId="25" borderId="0" xfId="382" applyNumberFormat="1" applyFont="1" applyFill="1"/>
    <xf numFmtId="44" fontId="42" fillId="25" borderId="0" xfId="382" applyNumberFormat="1" applyFont="1" applyFill="1"/>
    <xf numFmtId="168" fontId="42" fillId="25" borderId="0" xfId="382" applyNumberFormat="1" applyFont="1" applyFill="1"/>
    <xf numFmtId="166" fontId="44" fillId="25" borderId="0" xfId="0" applyNumberFormat="1" applyFont="1" applyFill="1"/>
    <xf numFmtId="169" fontId="42" fillId="25" borderId="0" xfId="382" applyNumberFormat="1" applyFont="1" applyFill="1"/>
    <xf numFmtId="38" fontId="42" fillId="25" borderId="0" xfId="382" applyNumberFormat="1" applyFont="1" applyFill="1"/>
    <xf numFmtId="170" fontId="42" fillId="25" borderId="0" xfId="0" applyNumberFormat="1" applyFont="1" applyFill="1"/>
    <xf numFmtId="3" fontId="42" fillId="25" borderId="0" xfId="0" applyNumberFormat="1" applyFont="1" applyFill="1"/>
    <xf numFmtId="0" fontId="42" fillId="25" borderId="2" xfId="0" applyFont="1" applyFill="1" applyBorder="1"/>
    <xf numFmtId="38" fontId="42" fillId="25" borderId="2" xfId="0" applyNumberFormat="1" applyFont="1" applyFill="1" applyBorder="1"/>
    <xf numFmtId="3" fontId="42" fillId="25" borderId="2" xfId="0" applyNumberFormat="1" applyFont="1" applyFill="1" applyBorder="1"/>
    <xf numFmtId="6" fontId="42" fillId="25" borderId="2" xfId="0" applyNumberFormat="1" applyFont="1" applyFill="1" applyBorder="1"/>
    <xf numFmtId="165" fontId="41" fillId="25" borderId="0" xfId="58" applyNumberFormat="1" applyFont="1" applyFill="1"/>
    <xf numFmtId="37" fontId="41" fillId="25" borderId="0" xfId="0" applyNumberFormat="1" applyFont="1" applyFill="1"/>
    <xf numFmtId="171" fontId="41" fillId="25" borderId="0" xfId="382" applyNumberFormat="1" applyFont="1" applyFill="1" applyAlignment="1">
      <alignment horizontal="right"/>
    </xf>
    <xf numFmtId="0" fontId="5" fillId="25" borderId="0" xfId="0" applyFont="1" applyFill="1"/>
    <xf numFmtId="0" fontId="45" fillId="25" borderId="0" xfId="0" applyFont="1" applyFill="1"/>
    <xf numFmtId="38" fontId="5" fillId="25" borderId="0" xfId="0" applyNumberFormat="1" applyFont="1" applyFill="1"/>
    <xf numFmtId="166" fontId="45" fillId="25" borderId="0" xfId="0" applyNumberFormat="1" applyFont="1" applyFill="1"/>
    <xf numFmtId="166" fontId="2" fillId="0" borderId="0" xfId="0" applyNumberFormat="1" applyFont="1" applyAlignment="1">
      <alignment horizontal="center"/>
    </xf>
    <xf numFmtId="181" fontId="47" fillId="25" borderId="1" xfId="0" applyNumberFormat="1" applyFont="1" applyFill="1" applyBorder="1"/>
    <xf numFmtId="0" fontId="47" fillId="25" borderId="1" xfId="0" applyFont="1" applyFill="1" applyBorder="1"/>
    <xf numFmtId="0" fontId="0" fillId="25" borderId="0" xfId="0" quotePrefix="1" applyFill="1" applyAlignment="1">
      <alignment horizontal="center"/>
    </xf>
    <xf numFmtId="181" fontId="0" fillId="25" borderId="0" xfId="0" applyNumberFormat="1" applyFill="1"/>
    <xf numFmtId="0" fontId="0" fillId="25" borderId="0" xfId="0" applyFill="1" applyAlignment="1">
      <alignment horizontal="center"/>
    </xf>
    <xf numFmtId="0" fontId="0" fillId="25" borderId="0" xfId="0" applyFill="1" applyBorder="1"/>
    <xf numFmtId="171" fontId="47" fillId="25" borderId="0" xfId="0" applyNumberFormat="1" applyFont="1" applyFill="1" applyBorder="1"/>
    <xf numFmtId="0" fontId="47" fillId="25" borderId="0" xfId="0" applyFont="1" applyFill="1" applyBorder="1"/>
    <xf numFmtId="182" fontId="0" fillId="25" borderId="0" xfId="0" applyNumberFormat="1" applyFill="1" applyBorder="1"/>
    <xf numFmtId="171" fontId="0" fillId="25" borderId="0" xfId="0" applyNumberFormat="1" applyFill="1" applyBorder="1"/>
    <xf numFmtId="171" fontId="0" fillId="25" borderId="1" xfId="0" applyNumberFormat="1" applyFill="1" applyBorder="1"/>
    <xf numFmtId="0" fontId="0" fillId="25" borderId="1" xfId="0" applyFill="1" applyBorder="1" applyAlignment="1">
      <alignment horizontal="center" wrapText="1"/>
    </xf>
    <xf numFmtId="10" fontId="0" fillId="25" borderId="0" xfId="0" applyNumberFormat="1" applyFill="1" applyBorder="1"/>
    <xf numFmtId="10" fontId="0" fillId="25" borderId="0" xfId="785" applyNumberFormat="1" applyFont="1" applyFill="1" applyBorder="1"/>
    <xf numFmtId="44" fontId="0" fillId="25" borderId="0" xfId="54" applyFont="1" applyFill="1"/>
    <xf numFmtId="10" fontId="0" fillId="25" borderId="0" xfId="785" applyNumberFormat="1" applyFont="1" applyFill="1"/>
    <xf numFmtId="171" fontId="0" fillId="25" borderId="0" xfId="0" applyNumberFormat="1" applyFill="1"/>
    <xf numFmtId="171" fontId="0" fillId="25" borderId="1" xfId="54" applyNumberFormat="1" applyFont="1" applyFill="1" applyBorder="1"/>
    <xf numFmtId="0" fontId="0" fillId="25" borderId="1" xfId="0" applyFill="1" applyBorder="1"/>
    <xf numFmtId="171" fontId="0" fillId="25" borderId="0" xfId="54" applyNumberFormat="1" applyFont="1" applyFill="1"/>
    <xf numFmtId="0" fontId="46" fillId="25" borderId="0" xfId="0" applyFont="1" applyFill="1" applyAlignment="1">
      <alignment horizontal="center"/>
    </xf>
    <xf numFmtId="0" fontId="46" fillId="25" borderId="0" xfId="0" applyFont="1" applyFill="1" applyAlignment="1">
      <alignment horizontal="center"/>
    </xf>
    <xf numFmtId="0" fontId="39" fillId="25" borderId="0" xfId="0" applyFont="1" applyFill="1"/>
    <xf numFmtId="0" fontId="2" fillId="25" borderId="0" xfId="0" applyFont="1" applyFill="1"/>
    <xf numFmtId="0" fontId="2" fillId="25" borderId="0" xfId="0" applyFont="1" applyFill="1" applyAlignment="1">
      <alignment horizontal="center"/>
    </xf>
    <xf numFmtId="166" fontId="2" fillId="25" borderId="0" xfId="0" applyNumberFormat="1" applyFont="1" applyFill="1" applyAlignment="1">
      <alignment horizontal="center"/>
    </xf>
    <xf numFmtId="181" fontId="47" fillId="25" borderId="0" xfId="0" applyNumberFormat="1" applyFont="1" applyFill="1" applyBorder="1"/>
    <xf numFmtId="181" fontId="2" fillId="25" borderId="0" xfId="0" applyNumberFormat="1" applyFont="1" applyFill="1"/>
    <xf numFmtId="0" fontId="2" fillId="25" borderId="1" xfId="0" applyFont="1" applyFill="1" applyBorder="1" applyAlignment="1">
      <alignment horizontal="center"/>
    </xf>
    <xf numFmtId="165" fontId="0" fillId="25" borderId="0" xfId="1" applyNumberFormat="1" applyFont="1" applyFill="1" applyAlignment="1">
      <alignment horizontal="right"/>
    </xf>
    <xf numFmtId="0" fontId="2" fillId="25" borderId="0" xfId="0" applyFont="1" applyFill="1" applyAlignment="1">
      <alignment wrapText="1"/>
    </xf>
    <xf numFmtId="0" fontId="2" fillId="25" borderId="1" xfId="0" applyFont="1" applyFill="1" applyBorder="1"/>
    <xf numFmtId="0" fontId="0" fillId="25" borderId="0" xfId="0" applyFill="1" applyAlignment="1">
      <alignment horizontal="left"/>
    </xf>
    <xf numFmtId="171" fontId="0" fillId="25" borderId="0" xfId="54" applyNumberFormat="1" applyFont="1" applyFill="1" applyBorder="1" applyAlignment="1">
      <alignment horizontal="center"/>
    </xf>
    <xf numFmtId="2" fontId="0" fillId="25" borderId="0" xfId="0" applyNumberFormat="1" applyFill="1"/>
    <xf numFmtId="2" fontId="0" fillId="25" borderId="0" xfId="0" applyNumberFormat="1" applyFill="1" applyBorder="1"/>
    <xf numFmtId="0" fontId="5" fillId="25" borderId="0" xfId="0" applyFont="1" applyFill="1" applyAlignment="1">
      <alignment horizontal="left"/>
    </xf>
    <xf numFmtId="171" fontId="0" fillId="25" borderId="0" xfId="54" applyNumberFormat="1" applyFont="1" applyFill="1" applyBorder="1"/>
    <xf numFmtId="171" fontId="2" fillId="25" borderId="0" xfId="0" applyNumberFormat="1" applyFont="1" applyFill="1"/>
    <xf numFmtId="2" fontId="2" fillId="25" borderId="0" xfId="0" applyNumberFormat="1" applyFont="1" applyFill="1"/>
    <xf numFmtId="171" fontId="2" fillId="25" borderId="0" xfId="54" applyNumberFormat="1" applyFont="1" applyFill="1"/>
    <xf numFmtId="6" fontId="2" fillId="25" borderId="0" xfId="0" applyNumberFormat="1" applyFont="1" applyFill="1"/>
    <xf numFmtId="0" fontId="48" fillId="25" borderId="0" xfId="0" applyFont="1" applyFill="1"/>
    <xf numFmtId="6" fontId="0" fillId="25" borderId="0" xfId="0" applyNumberFormat="1" applyFill="1"/>
    <xf numFmtId="171" fontId="39" fillId="25" borderId="27" xfId="0" applyNumberFormat="1" applyFont="1" applyFill="1" applyBorder="1"/>
    <xf numFmtId="4" fontId="0" fillId="25" borderId="0" xfId="0" applyNumberFormat="1" applyFill="1"/>
    <xf numFmtId="44" fontId="0" fillId="25" borderId="0" xfId="0" applyNumberFormat="1" applyFill="1"/>
    <xf numFmtId="0" fontId="0" fillId="25" borderId="0" xfId="0" applyFill="1" applyBorder="1" applyAlignment="1">
      <alignment horizontal="center"/>
    </xf>
    <xf numFmtId="6" fontId="0" fillId="25" borderId="0" xfId="0" applyNumberFormat="1" applyFill="1" applyBorder="1"/>
    <xf numFmtId="179" fontId="0" fillId="25" borderId="0" xfId="0" applyNumberForma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10" fontId="0" fillId="25" borderId="0" xfId="785" applyNumberFormat="1" applyFont="1" applyFill="1" applyAlignment="1">
      <alignment horizontal="center"/>
    </xf>
    <xf numFmtId="8" fontId="0" fillId="25" borderId="0" xfId="0" applyNumberFormat="1" applyFill="1"/>
    <xf numFmtId="0" fontId="4" fillId="25" borderId="0" xfId="0" applyFont="1" applyFill="1"/>
    <xf numFmtId="0" fontId="0" fillId="25" borderId="0" xfId="0" applyFill="1" applyAlignment="1">
      <alignment horizontal="center" wrapText="1"/>
    </xf>
    <xf numFmtId="0" fontId="4" fillId="25" borderId="0" xfId="0" applyFont="1" applyFill="1" applyAlignment="1">
      <alignment horizontal="center"/>
    </xf>
    <xf numFmtId="165" fontId="0" fillId="25" borderId="0" xfId="1" applyNumberFormat="1" applyFont="1" applyFill="1"/>
    <xf numFmtId="165" fontId="0" fillId="25" borderId="0" xfId="1" applyNumberFormat="1" applyFont="1" applyFill="1" applyBorder="1" applyAlignment="1"/>
    <xf numFmtId="0" fontId="0" fillId="25" borderId="0" xfId="0" applyFill="1" applyAlignment="1">
      <alignment horizontal="left" wrapText="1"/>
    </xf>
    <xf numFmtId="165" fontId="0" fillId="25" borderId="0" xfId="0" applyNumberFormat="1" applyFill="1" applyAlignment="1"/>
    <xf numFmtId="0" fontId="0" fillId="25" borderId="0" xfId="0" applyFill="1" applyAlignment="1">
      <alignment horizontal="right"/>
    </xf>
    <xf numFmtId="5" fontId="0" fillId="25" borderId="0" xfId="0" applyNumberFormat="1" applyFill="1" applyBorder="1"/>
    <xf numFmtId="5" fontId="0" fillId="25" borderId="1" xfId="0" applyNumberFormat="1" applyFill="1" applyBorder="1"/>
    <xf numFmtId="5" fontId="0" fillId="25" borderId="0" xfId="0" applyNumberFormat="1" applyFill="1"/>
    <xf numFmtId="0" fontId="3" fillId="25" borderId="0" xfId="0" applyFont="1" applyFill="1" applyAlignment="1">
      <alignment horizontal="center"/>
    </xf>
    <xf numFmtId="0" fontId="28" fillId="25" borderId="0" xfId="2" applyFont="1" applyFill="1"/>
    <xf numFmtId="172" fontId="0" fillId="25" borderId="0" xfId="1" applyNumberFormat="1" applyFont="1" applyFill="1"/>
    <xf numFmtId="43" fontId="0" fillId="25" borderId="0" xfId="1" applyFont="1" applyFill="1"/>
    <xf numFmtId="3" fontId="1" fillId="0" borderId="0" xfId="0" applyNumberFormat="1" applyFont="1" applyFill="1"/>
    <xf numFmtId="3" fontId="0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1" fillId="0" borderId="0" xfId="0" applyNumberFormat="1" applyFont="1" applyFill="1"/>
    <xf numFmtId="9" fontId="1" fillId="0" borderId="0" xfId="785" applyFont="1" applyFill="1"/>
    <xf numFmtId="183" fontId="1" fillId="0" borderId="0" xfId="785" applyNumberFormat="1" applyFont="1" applyFill="1"/>
    <xf numFmtId="6" fontId="0" fillId="25" borderId="1" xfId="0" applyNumberFormat="1" applyFill="1" applyBorder="1"/>
    <xf numFmtId="0" fontId="0" fillId="25" borderId="0" xfId="0" applyFont="1" applyFill="1"/>
    <xf numFmtId="0" fontId="50" fillId="25" borderId="0" xfId="0" applyFont="1" applyFill="1"/>
    <xf numFmtId="6" fontId="2" fillId="25" borderId="28" xfId="0" applyNumberFormat="1" applyFont="1" applyFill="1" applyBorder="1"/>
    <xf numFmtId="0" fontId="49" fillId="25" borderId="0" xfId="0" applyFont="1" applyFill="1"/>
    <xf numFmtId="173" fontId="0" fillId="25" borderId="0" xfId="785" applyNumberFormat="1" applyFont="1" applyFill="1"/>
    <xf numFmtId="0" fontId="49" fillId="25" borderId="1" xfId="0" applyFont="1" applyFill="1" applyBorder="1"/>
    <xf numFmtId="173" fontId="0" fillId="25" borderId="1" xfId="785" applyNumberFormat="1" applyFont="1" applyFill="1" applyBorder="1"/>
    <xf numFmtId="174" fontId="0" fillId="25" borderId="0" xfId="0" applyNumberFormat="1" applyFill="1"/>
    <xf numFmtId="178" fontId="0" fillId="25" borderId="1" xfId="0" applyNumberFormat="1" applyFill="1" applyBorder="1"/>
    <xf numFmtId="0" fontId="0" fillId="25" borderId="0" xfId="0" quotePrefix="1" applyFill="1"/>
    <xf numFmtId="171" fontId="47" fillId="25" borderId="0" xfId="0" applyNumberFormat="1" applyFont="1" applyFill="1"/>
    <xf numFmtId="166" fontId="0" fillId="25" borderId="0" xfId="0" applyNumberFormat="1" applyFont="1" applyFill="1" applyAlignment="1">
      <alignment horizontal="left"/>
    </xf>
    <xf numFmtId="0" fontId="1" fillId="25" borderId="0" xfId="408" applyFill="1"/>
    <xf numFmtId="0" fontId="27" fillId="25" borderId="0" xfId="408" applyFont="1" applyFill="1"/>
    <xf numFmtId="10" fontId="1" fillId="25" borderId="0" xfId="539" applyNumberFormat="1" applyFont="1" applyFill="1"/>
    <xf numFmtId="174" fontId="1" fillId="25" borderId="0" xfId="539" applyNumberFormat="1" applyFont="1" applyFill="1"/>
    <xf numFmtId="6" fontId="1" fillId="25" borderId="0" xfId="214" applyNumberFormat="1" applyFont="1" applyFill="1"/>
    <xf numFmtId="43" fontId="1" fillId="25" borderId="0" xfId="214" applyNumberFormat="1" applyFont="1" applyFill="1"/>
    <xf numFmtId="43" fontId="1" fillId="25" borderId="0" xfId="408" applyNumberFormat="1" applyFill="1" applyAlignment="1">
      <alignment horizontal="center"/>
    </xf>
    <xf numFmtId="165" fontId="1" fillId="25" borderId="0" xfId="408" applyNumberFormat="1" applyFill="1" applyAlignment="1">
      <alignment horizontal="center"/>
    </xf>
    <xf numFmtId="0" fontId="1" fillId="25" borderId="0" xfId="408" applyFill="1" applyAlignment="1">
      <alignment horizontal="center"/>
    </xf>
    <xf numFmtId="0" fontId="27" fillId="25" borderId="0" xfId="408" applyFont="1" applyFill="1" applyAlignment="1">
      <alignment horizontal="center"/>
    </xf>
    <xf numFmtId="174" fontId="1" fillId="25" borderId="0" xfId="539" applyNumberFormat="1" applyFont="1" applyFill="1" applyAlignment="1">
      <alignment horizontal="center"/>
    </xf>
    <xf numFmtId="0" fontId="1" fillId="25" borderId="0" xfId="408" applyFill="1" applyAlignment="1">
      <alignment horizontal="center" wrapText="1"/>
    </xf>
    <xf numFmtId="0" fontId="28" fillId="25" borderId="0" xfId="408" applyFont="1" applyFill="1" applyAlignment="1">
      <alignment horizontal="center" wrapText="1"/>
    </xf>
    <xf numFmtId="0" fontId="1" fillId="25" borderId="0" xfId="408" applyFill="1" applyBorder="1" applyAlignment="1">
      <alignment horizontal="center" wrapText="1"/>
    </xf>
    <xf numFmtId="180" fontId="1" fillId="25" borderId="0" xfId="408" applyNumberFormat="1" applyFill="1"/>
    <xf numFmtId="165" fontId="1" fillId="25" borderId="0" xfId="214" applyNumberFormat="1" applyFont="1" applyFill="1"/>
    <xf numFmtId="165" fontId="28" fillId="25" borderId="0" xfId="214" applyNumberFormat="1" applyFont="1" applyFill="1"/>
    <xf numFmtId="165" fontId="1" fillId="25" borderId="0" xfId="214" applyNumberFormat="1" applyFont="1" applyFill="1" applyBorder="1"/>
    <xf numFmtId="165" fontId="1" fillId="25" borderId="0" xfId="786" applyNumberFormat="1" applyFont="1" applyFill="1"/>
    <xf numFmtId="180" fontId="1" fillId="25" borderId="0" xfId="408" applyNumberFormat="1" applyFill="1" applyAlignment="1">
      <alignment horizontal="right"/>
    </xf>
    <xf numFmtId="0" fontId="55" fillId="25" borderId="0" xfId="0" applyFont="1" applyFill="1"/>
    <xf numFmtId="0" fontId="55" fillId="25" borderId="0" xfId="408" applyFont="1" applyFill="1"/>
    <xf numFmtId="0" fontId="5" fillId="25" borderId="0" xfId="55" applyFill="1"/>
    <xf numFmtId="0" fontId="5" fillId="25" borderId="0" xfId="55" applyFill="1" applyAlignment="1">
      <alignment horizontal="center"/>
    </xf>
    <xf numFmtId="0" fontId="5" fillId="25" borderId="0" xfId="55" applyFont="1" applyFill="1"/>
    <xf numFmtId="0" fontId="5" fillId="25" borderId="0" xfId="55" applyFill="1" applyBorder="1" applyAlignment="1">
      <alignment horizontal="center"/>
    </xf>
    <xf numFmtId="0" fontId="5" fillId="25" borderId="0" xfId="55" applyFill="1" applyBorder="1"/>
    <xf numFmtId="49" fontId="7" fillId="25" borderId="22" xfId="56" applyNumberFormat="1" applyFill="1" applyBorder="1" applyAlignment="1">
      <alignment horizontal="center" wrapText="1"/>
    </xf>
    <xf numFmtId="49" fontId="7" fillId="25" borderId="4" xfId="56" applyNumberFormat="1" applyFill="1" applyBorder="1" applyAlignment="1">
      <alignment wrapText="1"/>
    </xf>
    <xf numFmtId="49" fontId="7" fillId="25" borderId="20" xfId="56" applyNumberFormat="1" applyFill="1" applyBorder="1" applyAlignment="1">
      <alignment horizontal="center" wrapText="1"/>
    </xf>
    <xf numFmtId="49" fontId="7" fillId="25" borderId="23" xfId="56" applyNumberFormat="1" applyFill="1" applyBorder="1" applyAlignment="1">
      <alignment wrapText="1"/>
    </xf>
    <xf numFmtId="49" fontId="7" fillId="25" borderId="23" xfId="56" applyNumberFormat="1" applyFill="1" applyBorder="1" applyAlignment="1">
      <alignment horizontal="center" wrapText="1"/>
    </xf>
    <xf numFmtId="49" fontId="7" fillId="25" borderId="22" xfId="56" applyNumberFormat="1" applyFill="1" applyBorder="1" applyAlignment="1">
      <alignment wrapText="1"/>
    </xf>
    <xf numFmtId="0" fontId="7" fillId="25" borderId="23" xfId="56" applyFill="1" applyBorder="1"/>
    <xf numFmtId="0" fontId="7" fillId="25" borderId="23" xfId="56" applyFill="1" applyBorder="1" applyAlignment="1">
      <alignment horizontal="center"/>
    </xf>
    <xf numFmtId="49" fontId="7" fillId="25" borderId="21" xfId="56" applyNumberFormat="1" applyFill="1" applyBorder="1" applyAlignment="1">
      <alignment horizontal="center" wrapText="1"/>
    </xf>
    <xf numFmtId="49" fontId="5" fillId="25" borderId="0" xfId="55" applyNumberFormat="1" applyFill="1" applyBorder="1" applyAlignment="1">
      <alignment horizontal="center" wrapText="1"/>
    </xf>
    <xf numFmtId="49" fontId="7" fillId="25" borderId="6" xfId="56" applyNumberFormat="1" applyFill="1" applyBorder="1" applyAlignment="1">
      <alignment horizontal="center" wrapText="1"/>
    </xf>
    <xf numFmtId="49" fontId="7" fillId="25" borderId="0" xfId="56" applyNumberFormat="1" applyFill="1" applyBorder="1" applyAlignment="1">
      <alignment wrapText="1"/>
    </xf>
    <xf numFmtId="49" fontId="7" fillId="25" borderId="0" xfId="56" applyNumberFormat="1" applyFill="1" applyBorder="1" applyAlignment="1">
      <alignment horizontal="center" wrapText="1"/>
    </xf>
    <xf numFmtId="49" fontId="30" fillId="25" borderId="0" xfId="56" applyNumberFormat="1" applyFont="1" applyFill="1" applyBorder="1" applyAlignment="1">
      <alignment horizontal="center" wrapText="1"/>
    </xf>
    <xf numFmtId="49" fontId="7" fillId="25" borderId="24" xfId="56" applyNumberFormat="1" applyFill="1" applyBorder="1" applyAlignment="1">
      <alignment wrapText="1"/>
    </xf>
    <xf numFmtId="0" fontId="7" fillId="25" borderId="0" xfId="56" applyFill="1" applyBorder="1"/>
    <xf numFmtId="0" fontId="7" fillId="25" borderId="0" xfId="56" applyFill="1" applyBorder="1" applyAlignment="1">
      <alignment horizontal="center"/>
    </xf>
    <xf numFmtId="49" fontId="7" fillId="25" borderId="7" xfId="56" applyNumberFormat="1" applyFill="1" applyBorder="1" applyAlignment="1">
      <alignment horizontal="center" wrapText="1"/>
    </xf>
    <xf numFmtId="0" fontId="7" fillId="25" borderId="25" xfId="56" applyFill="1" applyBorder="1" applyAlignment="1">
      <alignment horizontal="center"/>
    </xf>
    <xf numFmtId="0" fontId="7" fillId="25" borderId="4" xfId="56" applyFill="1" applyBorder="1"/>
    <xf numFmtId="0" fontId="7" fillId="25" borderId="25" xfId="56" applyFill="1" applyBorder="1"/>
    <xf numFmtId="0" fontId="7" fillId="25" borderId="5" xfId="56" applyFill="1" applyBorder="1"/>
    <xf numFmtId="0" fontId="0" fillId="25" borderId="24" xfId="56" applyFont="1" applyFill="1" applyBorder="1" applyAlignment="1">
      <alignment horizontal="center"/>
    </xf>
    <xf numFmtId="5" fontId="31" fillId="25" borderId="0" xfId="56" applyNumberFormat="1" applyFont="1" applyFill="1" applyBorder="1"/>
    <xf numFmtId="10" fontId="7" fillId="25" borderId="0" xfId="56" applyNumberFormat="1" applyFill="1" applyBorder="1"/>
    <xf numFmtId="10" fontId="31" fillId="25" borderId="0" xfId="56" applyNumberFormat="1" applyFont="1" applyFill="1" applyBorder="1"/>
    <xf numFmtId="0" fontId="7" fillId="25" borderId="24" xfId="56" applyFill="1" applyBorder="1"/>
    <xf numFmtId="175" fontId="7" fillId="25" borderId="0" xfId="56" applyNumberFormat="1" applyFill="1" applyBorder="1" applyAlignment="1">
      <alignment horizontal="center"/>
    </xf>
    <xf numFmtId="0" fontId="0" fillId="25" borderId="0" xfId="56" applyFont="1" applyFill="1" applyBorder="1"/>
    <xf numFmtId="10" fontId="7" fillId="25" borderId="7" xfId="56" applyNumberFormat="1" applyFill="1" applyBorder="1"/>
    <xf numFmtId="10" fontId="5" fillId="25" borderId="0" xfId="55" applyNumberFormat="1" applyFill="1" applyBorder="1"/>
    <xf numFmtId="10" fontId="30" fillId="25" borderId="0" xfId="56" applyNumberFormat="1" applyFont="1" applyFill="1" applyBorder="1"/>
    <xf numFmtId="0" fontId="5" fillId="25" borderId="24" xfId="56" applyFont="1" applyFill="1" applyBorder="1" applyAlignment="1">
      <alignment horizontal="center"/>
    </xf>
    <xf numFmtId="175" fontId="30" fillId="25" borderId="0" xfId="56" applyNumberFormat="1" applyFont="1" applyFill="1" applyBorder="1" applyAlignment="1">
      <alignment horizontal="center"/>
    </xf>
    <xf numFmtId="0" fontId="0" fillId="25" borderId="0" xfId="56" applyFont="1" applyFill="1" applyBorder="1" applyAlignment="1">
      <alignment horizontal="center"/>
    </xf>
    <xf numFmtId="173" fontId="7" fillId="25" borderId="0" xfId="56" applyNumberFormat="1" applyFill="1" applyBorder="1"/>
    <xf numFmtId="173" fontId="32" fillId="25" borderId="0" xfId="56" applyNumberFormat="1" applyFont="1" applyFill="1" applyBorder="1"/>
    <xf numFmtId="176" fontId="7" fillId="25" borderId="7" xfId="56" applyNumberFormat="1" applyFill="1" applyBorder="1"/>
    <xf numFmtId="176" fontId="5" fillId="25" borderId="0" xfId="55" applyNumberFormat="1" applyFill="1" applyBorder="1"/>
    <xf numFmtId="5" fontId="33" fillId="25" borderId="0" xfId="56" applyNumberFormat="1" applyFont="1" applyFill="1" applyBorder="1"/>
    <xf numFmtId="10" fontId="34" fillId="25" borderId="0" xfId="56" applyNumberFormat="1" applyFont="1" applyFill="1" applyBorder="1"/>
    <xf numFmtId="10" fontId="34" fillId="25" borderId="7" xfId="56" applyNumberFormat="1" applyFont="1" applyFill="1" applyBorder="1" applyAlignment="1">
      <alignment horizontal="right" wrapText="1"/>
    </xf>
    <xf numFmtId="10" fontId="34" fillId="25" borderId="0" xfId="55" applyNumberFormat="1" applyFont="1" applyFill="1" applyBorder="1" applyAlignment="1">
      <alignment horizontal="center" wrapText="1"/>
    </xf>
    <xf numFmtId="0" fontId="7" fillId="25" borderId="7" xfId="56" applyFill="1" applyBorder="1"/>
    <xf numFmtId="0" fontId="0" fillId="25" borderId="26" xfId="56" applyFont="1" applyFill="1" applyBorder="1" applyAlignment="1">
      <alignment horizontal="center"/>
    </xf>
    <xf numFmtId="0" fontId="7" fillId="25" borderId="9" xfId="56" applyFill="1" applyBorder="1"/>
    <xf numFmtId="0" fontId="7" fillId="25" borderId="26" xfId="56" applyFill="1" applyBorder="1"/>
    <xf numFmtId="0" fontId="7" fillId="25" borderId="10" xfId="56" applyFill="1" applyBorder="1"/>
    <xf numFmtId="0" fontId="5" fillId="25" borderId="6" xfId="55" applyFill="1" applyBorder="1" applyAlignment="1">
      <alignment horizontal="center"/>
    </xf>
    <xf numFmtId="0" fontId="5" fillId="25" borderId="7" xfId="55" applyFill="1" applyBorder="1"/>
    <xf numFmtId="0" fontId="35" fillId="25" borderId="0" xfId="55" applyFont="1" applyFill="1" applyBorder="1" applyAlignment="1">
      <alignment horizontal="center"/>
    </xf>
    <xf numFmtId="177" fontId="7" fillId="25" borderId="0" xfId="57" applyNumberFormat="1" applyFont="1" applyFill="1" applyBorder="1"/>
    <xf numFmtId="177" fontId="7" fillId="25" borderId="0" xfId="57" applyNumberFormat="1" applyFont="1" applyFill="1" applyBorder="1" applyAlignment="1">
      <alignment horizontal="right"/>
    </xf>
    <xf numFmtId="0" fontId="7" fillId="25" borderId="0" xfId="56" applyFill="1"/>
    <xf numFmtId="177" fontId="7" fillId="25" borderId="0" xfId="57" applyNumberFormat="1" applyFont="1" applyFill="1" applyAlignment="1">
      <alignment horizontal="right"/>
    </xf>
    <xf numFmtId="0" fontId="0" fillId="25" borderId="0" xfId="56" applyFont="1" applyFill="1"/>
    <xf numFmtId="178" fontId="7" fillId="25" borderId="0" xfId="56" applyNumberFormat="1" applyFill="1"/>
    <xf numFmtId="0" fontId="5" fillId="25" borderId="0" xfId="56" applyFont="1" applyFill="1"/>
    <xf numFmtId="0" fontId="5" fillId="25" borderId="0" xfId="55" applyFont="1" applyFill="1" applyAlignment="1">
      <alignment horizontal="center"/>
    </xf>
    <xf numFmtId="0" fontId="7" fillId="25" borderId="0" xfId="56" applyFill="1" applyAlignment="1">
      <alignment horizontal="center"/>
    </xf>
    <xf numFmtId="177" fontId="7" fillId="25" borderId="0" xfId="57" applyNumberFormat="1" applyFont="1" applyFill="1" applyAlignment="1">
      <alignment horizontal="right" vertical="center"/>
    </xf>
    <xf numFmtId="0" fontId="7" fillId="25" borderId="0" xfId="56" applyFill="1" applyAlignment="1">
      <alignment horizontal="right"/>
    </xf>
    <xf numFmtId="178" fontId="7" fillId="25" borderId="0" xfId="56" applyNumberFormat="1" applyFill="1" applyAlignment="1">
      <alignment horizontal="right"/>
    </xf>
    <xf numFmtId="0" fontId="5" fillId="25" borderId="0" xfId="56" applyFont="1" applyFill="1" applyAlignment="1">
      <alignment horizontal="center"/>
    </xf>
    <xf numFmtId="0" fontId="5" fillId="25" borderId="0" xfId="56" applyFont="1" applyFill="1" applyAlignment="1">
      <alignment horizontal="right"/>
    </xf>
    <xf numFmtId="0" fontId="34" fillId="25" borderId="0" xfId="56" applyFont="1" applyFill="1" applyBorder="1" applyAlignment="1">
      <alignment horizontal="center"/>
    </xf>
    <xf numFmtId="37" fontId="5" fillId="25" borderId="0" xfId="56" applyNumberFormat="1" applyFont="1" applyFill="1" applyBorder="1" applyAlignment="1">
      <alignment horizontal="center"/>
    </xf>
    <xf numFmtId="0" fontId="5" fillId="25" borderId="0" xfId="56" applyFont="1" applyFill="1" applyBorder="1"/>
    <xf numFmtId="49" fontId="5" fillId="25" borderId="0" xfId="56" applyNumberFormat="1" applyFont="1" applyFill="1" applyBorder="1" applyAlignment="1">
      <alignment horizontal="center" wrapText="1"/>
    </xf>
    <xf numFmtId="37" fontId="7" fillId="25" borderId="0" xfId="56" applyNumberFormat="1" applyFill="1" applyBorder="1" applyAlignment="1">
      <alignment horizontal="center"/>
    </xf>
    <xf numFmtId="0" fontId="56" fillId="25" borderId="0" xfId="0" applyFont="1" applyFill="1" applyAlignment="1">
      <alignment horizontal="left"/>
    </xf>
    <xf numFmtId="175" fontId="7" fillId="25" borderId="0" xfId="56" applyNumberFormat="1" applyFill="1"/>
    <xf numFmtId="166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173" fontId="5" fillId="25" borderId="0" xfId="0" applyNumberFormat="1" applyFont="1" applyFill="1"/>
    <xf numFmtId="0" fontId="0" fillId="26" borderId="0" xfId="0" applyFill="1"/>
    <xf numFmtId="6" fontId="0" fillId="26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3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34" fillId="0" borderId="0" xfId="787" applyFont="1" applyFill="1"/>
    <xf numFmtId="0" fontId="34" fillId="0" borderId="0" xfId="0" applyFont="1" applyFill="1"/>
    <xf numFmtId="40" fontId="5" fillId="0" borderId="0" xfId="0" applyNumberFormat="1" applyFont="1" applyFill="1" applyBorder="1"/>
    <xf numFmtId="38" fontId="5" fillId="0" borderId="0" xfId="0" applyNumberFormat="1" applyFont="1" applyFill="1"/>
    <xf numFmtId="43" fontId="5" fillId="0" borderId="0" xfId="1" applyFont="1" applyFill="1"/>
    <xf numFmtId="171" fontId="0" fillId="0" borderId="0" xfId="54" applyNumberFormat="1" applyFont="1" applyFill="1"/>
    <xf numFmtId="0" fontId="0" fillId="0" borderId="1" xfId="0" applyFill="1" applyBorder="1"/>
    <xf numFmtId="171" fontId="0" fillId="0" borderId="0" xfId="0" applyNumberFormat="1" applyFill="1"/>
    <xf numFmtId="173" fontId="0" fillId="0" borderId="0" xfId="785" applyNumberFormat="1" applyFont="1" applyFill="1"/>
    <xf numFmtId="173" fontId="0" fillId="0" borderId="1" xfId="785" applyNumberFormat="1" applyFont="1" applyFill="1" applyBorder="1"/>
    <xf numFmtId="174" fontId="0" fillId="0" borderId="0" xfId="0" applyNumberFormat="1" applyFill="1"/>
    <xf numFmtId="178" fontId="0" fillId="0" borderId="1" xfId="0" applyNumberFormat="1" applyFill="1" applyBorder="1"/>
    <xf numFmtId="171" fontId="47" fillId="0" borderId="0" xfId="0" applyNumberFormat="1" applyFont="1" applyFill="1"/>
    <xf numFmtId="6" fontId="2" fillId="0" borderId="28" xfId="0" applyNumberFormat="1" applyFont="1" applyFill="1" applyBorder="1"/>
    <xf numFmtId="165" fontId="42" fillId="25" borderId="0" xfId="1" applyNumberFormat="1" applyFont="1" applyFill="1"/>
    <xf numFmtId="0" fontId="0" fillId="25" borderId="0" xfId="0" applyFill="1" applyAlignment="1">
      <alignment horizontal="left" wrapText="1"/>
    </xf>
    <xf numFmtId="0" fontId="2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165" fontId="2" fillId="0" borderId="0" xfId="0" applyNumberFormat="1" applyFont="1" applyFill="1"/>
    <xf numFmtId="0" fontId="52" fillId="0" borderId="0" xfId="0" applyFont="1" applyFill="1"/>
    <xf numFmtId="0" fontId="41" fillId="0" borderId="0" xfId="0" applyFont="1" applyFill="1"/>
    <xf numFmtId="43" fontId="5" fillId="0" borderId="0" xfId="0" applyNumberFormat="1" applyFont="1" applyFill="1"/>
    <xf numFmtId="0" fontId="53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44" fontId="5" fillId="0" borderId="0" xfId="54" applyFont="1" applyFill="1"/>
    <xf numFmtId="38" fontId="5" fillId="0" borderId="1" xfId="0" applyNumberFormat="1" applyFont="1" applyFill="1" applyBorder="1"/>
    <xf numFmtId="40" fontId="5" fillId="0" borderId="2" xfId="0" applyNumberFormat="1" applyFont="1" applyFill="1" applyBorder="1"/>
    <xf numFmtId="38" fontId="5" fillId="0" borderId="0" xfId="0" applyNumberFormat="1" applyFont="1" applyFill="1" applyBorder="1"/>
    <xf numFmtId="40" fontId="5" fillId="0" borderId="0" xfId="788" applyNumberFormat="1" applyFont="1" applyFill="1" applyBorder="1"/>
    <xf numFmtId="40" fontId="35" fillId="0" borderId="0" xfId="0" applyNumberFormat="1" applyFont="1" applyFill="1" applyAlignment="1">
      <alignment horizontal="center"/>
    </xf>
    <xf numFmtId="43" fontId="5" fillId="0" borderId="0" xfId="1" applyFont="1" applyFill="1" applyBorder="1" applyAlignment="1">
      <alignment horizontal="right"/>
    </xf>
    <xf numFmtId="43" fontId="5" fillId="0" borderId="0" xfId="3" applyNumberFormat="1" applyFont="1" applyFill="1" applyBorder="1"/>
    <xf numFmtId="44" fontId="5" fillId="0" borderId="0" xfId="3" applyFont="1" applyFill="1" applyBorder="1"/>
    <xf numFmtId="0" fontId="5" fillId="0" borderId="0" xfId="0" applyFont="1" applyFill="1" applyAlignment="1"/>
    <xf numFmtId="44" fontId="5" fillId="0" borderId="2" xfId="54" applyFont="1" applyFill="1" applyBorder="1"/>
    <xf numFmtId="38" fontId="5" fillId="0" borderId="0" xfId="1" applyNumberFormat="1" applyFont="1" applyFill="1" applyBorder="1" applyAlignment="1">
      <alignment horizontal="right"/>
    </xf>
    <xf numFmtId="171" fontId="5" fillId="0" borderId="0" xfId="54" applyNumberFormat="1" applyFont="1" applyFill="1" applyBorder="1"/>
    <xf numFmtId="44" fontId="5" fillId="0" borderId="1" xfId="3" applyFont="1" applyFill="1" applyBorder="1"/>
    <xf numFmtId="44" fontId="5" fillId="0" borderId="0" xfId="0" applyNumberFormat="1" applyFont="1" applyFill="1"/>
    <xf numFmtId="40" fontId="5" fillId="0" borderId="27" xfId="0" applyNumberFormat="1" applyFont="1" applyFill="1" applyBorder="1"/>
    <xf numFmtId="40" fontId="5" fillId="0" borderId="0" xfId="0" applyNumberFormat="1" applyFont="1" applyFill="1"/>
    <xf numFmtId="0" fontId="5" fillId="0" borderId="2" xfId="787" applyFont="1" applyFill="1" applyBorder="1"/>
    <xf numFmtId="0" fontId="5" fillId="0" borderId="2" xfId="0" applyFont="1" applyFill="1" applyBorder="1"/>
    <xf numFmtId="43" fontId="5" fillId="0" borderId="2" xfId="0" applyNumberFormat="1" applyFont="1" applyFill="1" applyBorder="1"/>
    <xf numFmtId="0" fontId="5" fillId="0" borderId="0" xfId="787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171" fontId="5" fillId="0" borderId="0" xfId="54" applyNumberFormat="1" applyFont="1" applyFill="1"/>
    <xf numFmtId="6" fontId="0" fillId="25" borderId="0" xfId="0" applyNumberFormat="1" applyFill="1" applyAlignment="1"/>
    <xf numFmtId="43" fontId="0" fillId="25" borderId="0" xfId="0" applyNumberFormat="1" applyFill="1" applyAlignment="1"/>
    <xf numFmtId="44" fontId="2" fillId="25" borderId="0" xfId="0" applyNumberFormat="1" applyFont="1" applyFill="1"/>
    <xf numFmtId="184" fontId="2" fillId="25" borderId="0" xfId="0" applyNumberFormat="1" applyFont="1" applyFill="1"/>
    <xf numFmtId="184" fontId="0" fillId="25" borderId="0" xfId="0" applyNumberFormat="1" applyFill="1"/>
    <xf numFmtId="171" fontId="2" fillId="25" borderId="27" xfId="0" applyNumberFormat="1" applyFont="1" applyFill="1" applyBorder="1"/>
    <xf numFmtId="171" fontId="0" fillId="25" borderId="27" xfId="0" applyNumberFormat="1" applyFont="1" applyFill="1" applyBorder="1"/>
    <xf numFmtId="171" fontId="28" fillId="25" borderId="0" xfId="0" applyNumberFormat="1" applyFont="1" applyFill="1"/>
    <xf numFmtId="44" fontId="42" fillId="0" borderId="0" xfId="382" applyNumberFormat="1" applyFont="1" applyFill="1"/>
    <xf numFmtId="168" fontId="42" fillId="0" borderId="0" xfId="382" applyNumberFormat="1" applyFont="1" applyFill="1"/>
    <xf numFmtId="0" fontId="0" fillId="25" borderId="0" xfId="0" applyFill="1" applyAlignment="1">
      <alignment horizontal="center"/>
    </xf>
    <xf numFmtId="165" fontId="0" fillId="25" borderId="1" xfId="1" applyNumberFormat="1" applyFont="1" applyFill="1" applyBorder="1" applyAlignment="1"/>
    <xf numFmtId="165" fontId="0" fillId="25" borderId="28" xfId="1" applyNumberFormat="1" applyFont="1" applyFill="1" applyBorder="1" applyAlignment="1"/>
    <xf numFmtId="182" fontId="5" fillId="25" borderId="0" xfId="0" applyNumberFormat="1" applyFont="1" applyFill="1"/>
    <xf numFmtId="0" fontId="0" fillId="25" borderId="0" xfId="0" applyFill="1" applyAlignment="1">
      <alignment horizontal="left" wrapText="1"/>
    </xf>
    <xf numFmtId="0" fontId="39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wrapText="1"/>
    </xf>
    <xf numFmtId="0" fontId="2" fillId="25" borderId="0" xfId="0" applyFont="1" applyFill="1" applyAlignment="1">
      <alignment horizontal="center" wrapText="1"/>
    </xf>
    <xf numFmtId="0" fontId="40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53" fillId="0" borderId="3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0" borderId="0" xfId="11" applyFont="1" applyFill="1" applyAlignment="1">
      <alignment horizontal="center" wrapText="1"/>
    </xf>
    <xf numFmtId="0" fontId="0" fillId="25" borderId="0" xfId="0" applyFill="1" applyAlignment="1">
      <alignment horizontal="center"/>
    </xf>
    <xf numFmtId="0" fontId="1" fillId="25" borderId="0" xfId="408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26" fillId="0" borderId="0" xfId="11" applyFont="1" applyFill="1" applyAlignment="1">
      <alignment horizontal="center"/>
    </xf>
    <xf numFmtId="49" fontId="5" fillId="25" borderId="0" xfId="55" applyNumberFormat="1" applyFill="1" applyAlignment="1">
      <alignment horizontal="center"/>
    </xf>
    <xf numFmtId="0" fontId="5" fillId="25" borderId="0" xfId="55" applyFill="1" applyAlignment="1">
      <alignment horizontal="center" wrapText="1"/>
    </xf>
  </cellXfs>
  <cellStyles count="789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10" xfId="58"/>
    <cellStyle name="Comma 10 2" xfId="59"/>
    <cellStyle name="Comma 10 3" xfId="60"/>
    <cellStyle name="Comma 10 3 2" xfId="61"/>
    <cellStyle name="Comma 10 3 3" xfId="62"/>
    <cellStyle name="Comma 10 4" xfId="63"/>
    <cellStyle name="Comma 10 4 2" xfId="64"/>
    <cellStyle name="Comma 10 4 3" xfId="65"/>
    <cellStyle name="Comma 10 4 4" xfId="66"/>
    <cellStyle name="Comma 10 5" xfId="67"/>
    <cellStyle name="Comma 10 5 2" xfId="68"/>
    <cellStyle name="Comma 10 5 2 2" xfId="69"/>
    <cellStyle name="Comma 10 5 2 3" xfId="70"/>
    <cellStyle name="Comma 10 5 2 3 2" xfId="71"/>
    <cellStyle name="Comma 10 5 3" xfId="72"/>
    <cellStyle name="Comma 10 6" xfId="73"/>
    <cellStyle name="Comma 10 6 2" xfId="74"/>
    <cellStyle name="Comma 10 6 3" xfId="75"/>
    <cellStyle name="Comma 10 6 3 2" xfId="76"/>
    <cellStyle name="Comma 10 7" xfId="77"/>
    <cellStyle name="Comma 10 8" xfId="78"/>
    <cellStyle name="Comma 10 8 2" xfId="79"/>
    <cellStyle name="Comma 11" xfId="80"/>
    <cellStyle name="Comma 11 10" xfId="81"/>
    <cellStyle name="Comma 11 11" xfId="82"/>
    <cellStyle name="Comma 11 11 2" xfId="83"/>
    <cellStyle name="Comma 11 11 2 2" xfId="84"/>
    <cellStyle name="Comma 11 11 2 3" xfId="85"/>
    <cellStyle name="Comma 11 11 2 3 2" xfId="86"/>
    <cellStyle name="Comma 11 12" xfId="87"/>
    <cellStyle name="Comma 11 13" xfId="88"/>
    <cellStyle name="Comma 11 13 2" xfId="89"/>
    <cellStyle name="Comma 11 13 2 2" xfId="90"/>
    <cellStyle name="Comma 11 13 2 3" xfId="91"/>
    <cellStyle name="Comma 11 13 2 3 2" xfId="92"/>
    <cellStyle name="Comma 11 2" xfId="93"/>
    <cellStyle name="Comma 11 3" xfId="94"/>
    <cellStyle name="Comma 11 4" xfId="95"/>
    <cellStyle name="Comma 11 5" xfId="96"/>
    <cellStyle name="Comma 11 6" xfId="97"/>
    <cellStyle name="Comma 11 7" xfId="98"/>
    <cellStyle name="Comma 11 7 2" xfId="99"/>
    <cellStyle name="Comma 11 7 2 2" xfId="100"/>
    <cellStyle name="Comma 11 7 2 3" xfId="101"/>
    <cellStyle name="Comma 11 8" xfId="102"/>
    <cellStyle name="Comma 11 9" xfId="103"/>
    <cellStyle name="Comma 12" xfId="104"/>
    <cellStyle name="Comma 12 10" xfId="105"/>
    <cellStyle name="Comma 12 10 2" xfId="106"/>
    <cellStyle name="Comma 12 10 2 2" xfId="107"/>
    <cellStyle name="Comma 12 10 2 3" xfId="108"/>
    <cellStyle name="Comma 12 10 2 3 2" xfId="109"/>
    <cellStyle name="Comma 12 11" xfId="110"/>
    <cellStyle name="Comma 12 12" xfId="111"/>
    <cellStyle name="Comma 12 12 2" xfId="112"/>
    <cellStyle name="Comma 12 12 2 2" xfId="113"/>
    <cellStyle name="Comma 12 12 2 3" xfId="114"/>
    <cellStyle name="Comma 12 12 2 3 2" xfId="115"/>
    <cellStyle name="Comma 12 2" xfId="116"/>
    <cellStyle name="Comma 12 3" xfId="117"/>
    <cellStyle name="Comma 12 4" xfId="118"/>
    <cellStyle name="Comma 12 5" xfId="119"/>
    <cellStyle name="Comma 12 6" xfId="120"/>
    <cellStyle name="Comma 12 6 2" xfId="121"/>
    <cellStyle name="Comma 12 6 2 2" xfId="122"/>
    <cellStyle name="Comma 12 6 2 3" xfId="123"/>
    <cellStyle name="Comma 12 7" xfId="124"/>
    <cellStyle name="Comma 12 8" xfId="125"/>
    <cellStyle name="Comma 12 9" xfId="126"/>
    <cellStyle name="Comma 13" xfId="127"/>
    <cellStyle name="Comma 13 2" xfId="128"/>
    <cellStyle name="Comma 13 3" xfId="129"/>
    <cellStyle name="Comma 13 4" xfId="130"/>
    <cellStyle name="Comma 13 5" xfId="131"/>
    <cellStyle name="Comma 13 6" xfId="132"/>
    <cellStyle name="Comma 14" xfId="133"/>
    <cellStyle name="Comma 14 2" xfId="134"/>
    <cellStyle name="Comma 14 3" xfId="135"/>
    <cellStyle name="Comma 14 4" xfId="136"/>
    <cellStyle name="Comma 14 5" xfId="137"/>
    <cellStyle name="Comma 15" xfId="138"/>
    <cellStyle name="Comma 15 2" xfId="139"/>
    <cellStyle name="Comma 15 3" xfId="140"/>
    <cellStyle name="Comma 15 4" xfId="141"/>
    <cellStyle name="Comma 15 5" xfId="142"/>
    <cellStyle name="Comma 16" xfId="143"/>
    <cellStyle name="Comma 16 2" xfId="144"/>
    <cellStyle name="Comma 16 3" xfId="145"/>
    <cellStyle name="Comma 16 3 2" xfId="146"/>
    <cellStyle name="Comma 16 3 3" xfId="147"/>
    <cellStyle name="Comma 16 3 3 2" xfId="148"/>
    <cellStyle name="Comma 17" xfId="149"/>
    <cellStyle name="Comma 17 2" xfId="150"/>
    <cellStyle name="Comma 17 3" xfId="151"/>
    <cellStyle name="Comma 17 3 2" xfId="152"/>
    <cellStyle name="Comma 17 4" xfId="786"/>
    <cellStyle name="Comma 18" xfId="153"/>
    <cellStyle name="Comma 18 2" xfId="154"/>
    <cellStyle name="Comma 18 3" xfId="155"/>
    <cellStyle name="Comma 18 3 2" xfId="156"/>
    <cellStyle name="Comma 19" xfId="157"/>
    <cellStyle name="Comma 19 2" xfId="158"/>
    <cellStyle name="Comma 19 3" xfId="159"/>
    <cellStyle name="Comma 19 3 2" xfId="160"/>
    <cellStyle name="Comma 2" xfId="4"/>
    <cellStyle name="Comma 2 2" xfId="57"/>
    <cellStyle name="Comma 2 2 2" xfId="161"/>
    <cellStyle name="Comma 2 2 3" xfId="162"/>
    <cellStyle name="Comma 2 2 4" xfId="163"/>
    <cellStyle name="Comma 2 2 5" xfId="164"/>
    <cellStyle name="Comma 2 3" xfId="165"/>
    <cellStyle name="Comma 2 3 2" xfId="166"/>
    <cellStyle name="Comma 2 3 3" xfId="167"/>
    <cellStyle name="Comma 2 3 4" xfId="168"/>
    <cellStyle name="Comma 2 3 4 2" xfId="169"/>
    <cellStyle name="Comma 2 3 4 2 2" xfId="170"/>
    <cellStyle name="Comma 2 3 4 3" xfId="171"/>
    <cellStyle name="Comma 2 3 4 4" xfId="172"/>
    <cellStyle name="Comma 2 3 4 5" xfId="173"/>
    <cellStyle name="Comma 2 3 4 5 2" xfId="174"/>
    <cellStyle name="Comma 2 3 5" xfId="175"/>
    <cellStyle name="Comma 2 4" xfId="176"/>
    <cellStyle name="Comma 2 5" xfId="177"/>
    <cellStyle name="Comma 20" xfId="178"/>
    <cellStyle name="Comma 20 2" xfId="179"/>
    <cellStyle name="Comma 20 3" xfId="180"/>
    <cellStyle name="Comma 20 3 2" xfId="181"/>
    <cellStyle name="Comma 21" xfId="182"/>
    <cellStyle name="Comma 21 2" xfId="183"/>
    <cellStyle name="Comma 21 3" xfId="184"/>
    <cellStyle name="Comma 21 3 2" xfId="185"/>
    <cellStyle name="Comma 22" xfId="186"/>
    <cellStyle name="Comma 22 2" xfId="187"/>
    <cellStyle name="Comma 22 3" xfId="188"/>
    <cellStyle name="Comma 22 3 2" xfId="189"/>
    <cellStyle name="Comma 23" xfId="190"/>
    <cellStyle name="Comma 23 2" xfId="191"/>
    <cellStyle name="Comma 23 3" xfId="192"/>
    <cellStyle name="Comma 23 3 2" xfId="193"/>
    <cellStyle name="Comma 24" xfId="194"/>
    <cellStyle name="Comma 24 2" xfId="195"/>
    <cellStyle name="Comma 24 3" xfId="196"/>
    <cellStyle name="Comma 24 3 2" xfId="197"/>
    <cellStyle name="Comma 25" xfId="198"/>
    <cellStyle name="Comma 25 2" xfId="199"/>
    <cellStyle name="Comma 25 3" xfId="200"/>
    <cellStyle name="Comma 25 3 2" xfId="201"/>
    <cellStyle name="Comma 26" xfId="202"/>
    <cellStyle name="Comma 26 2" xfId="203"/>
    <cellStyle name="Comma 26 3" xfId="204"/>
    <cellStyle name="Comma 26 3 2" xfId="205"/>
    <cellStyle name="Comma 27" xfId="206"/>
    <cellStyle name="Comma 27 2" xfId="207"/>
    <cellStyle name="Comma 27 3" xfId="208"/>
    <cellStyle name="Comma 27 3 2" xfId="209"/>
    <cellStyle name="Comma 28" xfId="210"/>
    <cellStyle name="Comma 28 2" xfId="211"/>
    <cellStyle name="Comma 29" xfId="212"/>
    <cellStyle name="Comma 29 2" xfId="213"/>
    <cellStyle name="Comma 3" xfId="214"/>
    <cellStyle name="Comma 3 2" xfId="215"/>
    <cellStyle name="Comma 3 3" xfId="216"/>
    <cellStyle name="Comma 3 4" xfId="217"/>
    <cellStyle name="Comma 30" xfId="218"/>
    <cellStyle name="Comma 31" xfId="219"/>
    <cellStyle name="Comma 31 2" xfId="220"/>
    <cellStyle name="Comma 31 3" xfId="221"/>
    <cellStyle name="Comma 31 3 2" xfId="222"/>
    <cellStyle name="Comma 32" xfId="223"/>
    <cellStyle name="Comma 32 2" xfId="224"/>
    <cellStyle name="Comma 32 2 2" xfId="225"/>
    <cellStyle name="Comma 32 3" xfId="226"/>
    <cellStyle name="Comma 32 4" xfId="227"/>
    <cellStyle name="Comma 32 4 2" xfId="228"/>
    <cellStyle name="Comma 33" xfId="229"/>
    <cellStyle name="Comma 33 2" xfId="230"/>
    <cellStyle name="Comma 33 3" xfId="231"/>
    <cellStyle name="Comma 33 3 2" xfId="232"/>
    <cellStyle name="Comma 34" xfId="233"/>
    <cellStyle name="Comma 35" xfId="234"/>
    <cellStyle name="Comma 35 2" xfId="235"/>
    <cellStyle name="Comma 36" xfId="236"/>
    <cellStyle name="Comma 37" xfId="237"/>
    <cellStyle name="Comma 38" xfId="238"/>
    <cellStyle name="Comma 4" xfId="239"/>
    <cellStyle name="Comma 4 2" xfId="240"/>
    <cellStyle name="Comma 4 3" xfId="241"/>
    <cellStyle name="Comma 4 4" xfId="242"/>
    <cellStyle name="Comma 4 5" xfId="243"/>
    <cellStyle name="Comma 5" xfId="244"/>
    <cellStyle name="Comma 5 2" xfId="245"/>
    <cellStyle name="Comma 5 3" xfId="246"/>
    <cellStyle name="Comma 5 4" xfId="247"/>
    <cellStyle name="Comma 5 5" xfId="248"/>
    <cellStyle name="Comma 5 6" xfId="249"/>
    <cellStyle name="Comma 6" xfId="250"/>
    <cellStyle name="Comma 6 2" xfId="251"/>
    <cellStyle name="Comma 6 3" xfId="252"/>
    <cellStyle name="Comma 6 4" xfId="253"/>
    <cellStyle name="Comma 6 4 2" xfId="254"/>
    <cellStyle name="Comma 6 4 2 2" xfId="255"/>
    <cellStyle name="Comma 6 4 3" xfId="256"/>
    <cellStyle name="Comma 6 4 4" xfId="257"/>
    <cellStyle name="Comma 6 4 5" xfId="258"/>
    <cellStyle name="Comma 6 4 5 2" xfId="259"/>
    <cellStyle name="Comma 6 5" xfId="260"/>
    <cellStyle name="Comma 7" xfId="261"/>
    <cellStyle name="Comma 7 2" xfId="262"/>
    <cellStyle name="Comma 7 2 2" xfId="263"/>
    <cellStyle name="Comma 7 2 2 2" xfId="264"/>
    <cellStyle name="Comma 7 2 2 2 2" xfId="265"/>
    <cellStyle name="Comma 7 2 2 3" xfId="266"/>
    <cellStyle name="Comma 7 2 2 3 2" xfId="267"/>
    <cellStyle name="Comma 7 2 2 3 2 2" xfId="268"/>
    <cellStyle name="Comma 7 2 2 3 3" xfId="269"/>
    <cellStyle name="Comma 7 2 2 4" xfId="270"/>
    <cellStyle name="Comma 7 2 3" xfId="271"/>
    <cellStyle name="Comma 7 3" xfId="272"/>
    <cellStyle name="Comma 7 3 2" xfId="273"/>
    <cellStyle name="Comma 7 3 2 2" xfId="274"/>
    <cellStyle name="Comma 7 3 3" xfId="275"/>
    <cellStyle name="Comma 7 3 3 2" xfId="276"/>
    <cellStyle name="Comma 7 3 3 2 2" xfId="277"/>
    <cellStyle name="Comma 7 3 3 3" xfId="278"/>
    <cellStyle name="Comma 7 3 4" xfId="279"/>
    <cellStyle name="Comma 7 4" xfId="280"/>
    <cellStyle name="Comma 7 4 2" xfId="281"/>
    <cellStyle name="Comma 7 5" xfId="282"/>
    <cellStyle name="Comma 7 5 2" xfId="283"/>
    <cellStyle name="Comma 7 5 2 2" xfId="284"/>
    <cellStyle name="Comma 7 5 3" xfId="285"/>
    <cellStyle name="Comma 7 6" xfId="286"/>
    <cellStyle name="Comma 8" xfId="287"/>
    <cellStyle name="Comma 8 2" xfId="288"/>
    <cellStyle name="Comma 8 2 2" xfId="289"/>
    <cellStyle name="Comma 8 2 3" xfId="290"/>
    <cellStyle name="Comma 8 2 4" xfId="291"/>
    <cellStyle name="Comma 8 2 4 10" xfId="292"/>
    <cellStyle name="Comma 8 2 4 11" xfId="293"/>
    <cellStyle name="Comma 8 2 4 11 2" xfId="294"/>
    <cellStyle name="Comma 8 2 4 11 2 2" xfId="295"/>
    <cellStyle name="Comma 8 2 4 11 2 3" xfId="296"/>
    <cellStyle name="Comma 8 2 4 11 2 3 2" xfId="297"/>
    <cellStyle name="Comma 8 2 4 2" xfId="298"/>
    <cellStyle name="Comma 8 2 4 3" xfId="299"/>
    <cellStyle name="Comma 8 2 4 4" xfId="300"/>
    <cellStyle name="Comma 8 2 4 5" xfId="301"/>
    <cellStyle name="Comma 8 2 4 5 2" xfId="302"/>
    <cellStyle name="Comma 8 2 4 5 2 2" xfId="303"/>
    <cellStyle name="Comma 8 2 4 5 2 3" xfId="304"/>
    <cellStyle name="Comma 8 2 4 6" xfId="305"/>
    <cellStyle name="Comma 8 2 4 7" xfId="306"/>
    <cellStyle name="Comma 8 2 4 8" xfId="307"/>
    <cellStyle name="Comma 8 2 4 9" xfId="308"/>
    <cellStyle name="Comma 8 2 4 9 2" xfId="309"/>
    <cellStyle name="Comma 8 2 4 9 2 2" xfId="310"/>
    <cellStyle name="Comma 8 2 4 9 2 3" xfId="311"/>
    <cellStyle name="Comma 8 2 4 9 2 3 2" xfId="312"/>
    <cellStyle name="Comma 8 2 5" xfId="313"/>
    <cellStyle name="Comma 8 2 5 2" xfId="314"/>
    <cellStyle name="Comma 8 2 5 3" xfId="315"/>
    <cellStyle name="Comma 8 2 5 4" xfId="316"/>
    <cellStyle name="Comma 8 2 6" xfId="317"/>
    <cellStyle name="Comma 8 2 6 2" xfId="318"/>
    <cellStyle name="Comma 8 2 6 2 2" xfId="319"/>
    <cellStyle name="Comma 8 2 6 2 3" xfId="320"/>
    <cellStyle name="Comma 8 2 6 2 3 2" xfId="321"/>
    <cellStyle name="Comma 8 2 6 3" xfId="322"/>
    <cellStyle name="Comma 8 2 7" xfId="323"/>
    <cellStyle name="Comma 8 2 7 2" xfId="324"/>
    <cellStyle name="Comma 8 2 7 3" xfId="325"/>
    <cellStyle name="Comma 8 2 7 3 2" xfId="326"/>
    <cellStyle name="Comma 8 2 8" xfId="327"/>
    <cellStyle name="Comma 8 2 9" xfId="328"/>
    <cellStyle name="Comma 8 2 9 2" xfId="329"/>
    <cellStyle name="Comma 8 3" xfId="330"/>
    <cellStyle name="Comma 8 4" xfId="331"/>
    <cellStyle name="Comma 8 5" xfId="332"/>
    <cellStyle name="Comma 8 5 2" xfId="333"/>
    <cellStyle name="Comma 8 6" xfId="334"/>
    <cellStyle name="Comma 8 6 2" xfId="335"/>
    <cellStyle name="Comma 9" xfId="336"/>
    <cellStyle name="Comma 9 2" xfId="337"/>
    <cellStyle name="Comma 9 2 2" xfId="338"/>
    <cellStyle name="Comma 9 2 3" xfId="339"/>
    <cellStyle name="Comma 9 2 3 2" xfId="340"/>
    <cellStyle name="Comma 9 2 3 3" xfId="341"/>
    <cellStyle name="Comma 9 2 3 4" xfId="342"/>
    <cellStyle name="Comma 9 2 4" xfId="343"/>
    <cellStyle name="Comma 9 2 4 2" xfId="344"/>
    <cellStyle name="Comma 9 2 4 2 2" xfId="345"/>
    <cellStyle name="Comma 9 2 4 2 3" xfId="346"/>
    <cellStyle name="Comma 9 2 4 2 3 2" xfId="347"/>
    <cellStyle name="Comma 9 2 4 3" xfId="348"/>
    <cellStyle name="Comma 9 2 5" xfId="349"/>
    <cellStyle name="Comma 9 2 5 2" xfId="350"/>
    <cellStyle name="Comma 9 2 5 3" xfId="351"/>
    <cellStyle name="Comma 9 2 5 3 2" xfId="352"/>
    <cellStyle name="Comma 9 2 6" xfId="353"/>
    <cellStyle name="Comma 9 2 7" xfId="354"/>
    <cellStyle name="Comma 9 2 7 2" xfId="355"/>
    <cellStyle name="Comma 9 3" xfId="356"/>
    <cellStyle name="Comma 9 4" xfId="357"/>
    <cellStyle name="Comma 9 5" xfId="358"/>
    <cellStyle name="Comma 9 6" xfId="359"/>
    <cellStyle name="Comma 9 6 10" xfId="360"/>
    <cellStyle name="Comma 9 6 11" xfId="361"/>
    <cellStyle name="Comma 9 6 11 2" xfId="362"/>
    <cellStyle name="Comma 9 6 11 2 2" xfId="363"/>
    <cellStyle name="Comma 9 6 11 2 3" xfId="364"/>
    <cellStyle name="Comma 9 6 11 2 3 2" xfId="365"/>
    <cellStyle name="Comma 9 6 2" xfId="366"/>
    <cellStyle name="Comma 9 6 3" xfId="367"/>
    <cellStyle name="Comma 9 6 4" xfId="368"/>
    <cellStyle name="Comma 9 6 5" xfId="369"/>
    <cellStyle name="Comma 9 6 5 2" xfId="370"/>
    <cellStyle name="Comma 9 6 5 2 2" xfId="371"/>
    <cellStyle name="Comma 9 6 5 2 3" xfId="372"/>
    <cellStyle name="Comma 9 6 6" xfId="373"/>
    <cellStyle name="Comma 9 6 7" xfId="374"/>
    <cellStyle name="Comma 9 6 8" xfId="375"/>
    <cellStyle name="Comma 9 6 9" xfId="376"/>
    <cellStyle name="Comma 9 6 9 2" xfId="377"/>
    <cellStyle name="Comma 9 6 9 2 2" xfId="378"/>
    <cellStyle name="Comma 9 6 9 2 3" xfId="379"/>
    <cellStyle name="Comma 9 6 9 2 3 2" xfId="380"/>
    <cellStyle name="Currency" xfId="54" builtinId="4"/>
    <cellStyle name="Currency 2" xfId="3"/>
    <cellStyle name="Currency 3" xfId="381"/>
    <cellStyle name="Currency 4" xfId="382"/>
    <cellStyle name="Currency 4 2" xfId="383"/>
    <cellStyle name="Currency 4 3" xfId="384"/>
    <cellStyle name="Currency 4 3 2" xfId="385"/>
    <cellStyle name="Currency 5" xfId="386"/>
    <cellStyle name="Currency 5 2" xfId="387"/>
    <cellStyle name="Currency 5 3" xfId="388"/>
    <cellStyle name="Currency 5 3 2" xfId="389"/>
    <cellStyle name="Currency 6" xfId="390"/>
    <cellStyle name="Currency 7" xfId="391"/>
    <cellStyle name="Currency 7 2" xfId="392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3"/>
    <cellStyle name="Normal 11" xfId="394"/>
    <cellStyle name="Normal 12" xfId="395"/>
    <cellStyle name="Normal 13" xfId="396"/>
    <cellStyle name="Normal 13 2" xfId="788"/>
    <cellStyle name="Normal 14" xfId="397"/>
    <cellStyle name="Normal 2" xfId="2"/>
    <cellStyle name="Normal 2 2" xfId="56"/>
    <cellStyle name="Normal 2 2 2" xfId="398"/>
    <cellStyle name="Normal 2 2 3" xfId="399"/>
    <cellStyle name="Normal 2 2 4" xfId="400"/>
    <cellStyle name="Normal 2 2 4 2" xfId="401"/>
    <cellStyle name="Normal 2 2 4 2 2" xfId="402"/>
    <cellStyle name="Normal 2 2 4 3" xfId="403"/>
    <cellStyle name="Normal 2 2 4 4" xfId="404"/>
    <cellStyle name="Normal 2 2 4 5" xfId="405"/>
    <cellStyle name="Normal 2 2 4 5 2" xfId="406"/>
    <cellStyle name="Normal 2 2 5" xfId="407"/>
    <cellStyle name="Normal 2 2 6" xfId="408"/>
    <cellStyle name="Normal 2 3" xfId="409"/>
    <cellStyle name="Normal 2 4" xfId="410"/>
    <cellStyle name="Normal 3" xfId="11"/>
    <cellStyle name="Normal 3 2" xfId="55"/>
    <cellStyle name="Normal 3 2 2" xfId="411"/>
    <cellStyle name="Normal 3 3" xfId="412"/>
    <cellStyle name="Normal 3 3 2" xfId="413"/>
    <cellStyle name="Normal 3 4" xfId="414"/>
    <cellStyle name="Normal 4" xfId="415"/>
    <cellStyle name="Normal 4 2" xfId="416"/>
    <cellStyle name="Normal 4 3" xfId="417"/>
    <cellStyle name="Normal 4 3 2" xfId="418"/>
    <cellStyle name="Normal 4 3 3" xfId="419"/>
    <cellStyle name="Normal 5" xfId="420"/>
    <cellStyle name="Normal 5 2" xfId="421"/>
    <cellStyle name="Normal 5 2 2" xfId="422"/>
    <cellStyle name="Normal 5 2 3" xfId="423"/>
    <cellStyle name="Normal 5 2 3 2" xfId="424"/>
    <cellStyle name="Normal 5 3" xfId="425"/>
    <cellStyle name="Normal 5 4" xfId="426"/>
    <cellStyle name="Normal 6" xfId="427"/>
    <cellStyle name="Normal 6 2" xfId="428"/>
    <cellStyle name="Normal 7" xfId="429"/>
    <cellStyle name="Normal 7 2" xfId="430"/>
    <cellStyle name="Normal 7 3" xfId="431"/>
    <cellStyle name="Normal 7 3 2" xfId="432"/>
    <cellStyle name="Normal 8" xfId="433"/>
    <cellStyle name="Normal 9" xfId="434"/>
    <cellStyle name="Normal 9 2" xfId="435"/>
    <cellStyle name="Normal_Summary" xfId="787"/>
    <cellStyle name="Note 2" xfId="48"/>
    <cellStyle name="Output 2" xfId="49"/>
    <cellStyle name="Percent" xfId="785" builtinId="5"/>
    <cellStyle name="Percent 10" xfId="436"/>
    <cellStyle name="Percent 10 2" xfId="437"/>
    <cellStyle name="Percent 10 3" xfId="438"/>
    <cellStyle name="Percent 10 3 2" xfId="439"/>
    <cellStyle name="Percent 10 3 3" xfId="440"/>
    <cellStyle name="Percent 10 3 3 2" xfId="441"/>
    <cellStyle name="Percent 11" xfId="442"/>
    <cellStyle name="Percent 11 2" xfId="443"/>
    <cellStyle name="Percent 11 3" xfId="444"/>
    <cellStyle name="Percent 11 3 2" xfId="445"/>
    <cellStyle name="Percent 12" xfId="446"/>
    <cellStyle name="Percent 12 2" xfId="447"/>
    <cellStyle name="Percent 12 3" xfId="448"/>
    <cellStyle name="Percent 12 3 2" xfId="449"/>
    <cellStyle name="Percent 13" xfId="450"/>
    <cellStyle name="Percent 13 2" xfId="451"/>
    <cellStyle name="Percent 13 3" xfId="452"/>
    <cellStyle name="Percent 13 3 2" xfId="453"/>
    <cellStyle name="Percent 14" xfId="454"/>
    <cellStyle name="Percent 14 2" xfId="455"/>
    <cellStyle name="Percent 14 3" xfId="456"/>
    <cellStyle name="Percent 14 3 2" xfId="457"/>
    <cellStyle name="Percent 15" xfId="458"/>
    <cellStyle name="Percent 15 2" xfId="459"/>
    <cellStyle name="Percent 15 3" xfId="460"/>
    <cellStyle name="Percent 15 3 2" xfId="461"/>
    <cellStyle name="Percent 16" xfId="462"/>
    <cellStyle name="Percent 16 2" xfId="463"/>
    <cellStyle name="Percent 16 3" xfId="464"/>
    <cellStyle name="Percent 16 3 2" xfId="465"/>
    <cellStyle name="Percent 17" xfId="466"/>
    <cellStyle name="Percent 17 2" xfId="467"/>
    <cellStyle name="Percent 17 3" xfId="468"/>
    <cellStyle name="Percent 17 3 2" xfId="469"/>
    <cellStyle name="Percent 18" xfId="470"/>
    <cellStyle name="Percent 18 2" xfId="471"/>
    <cellStyle name="Percent 18 3" xfId="472"/>
    <cellStyle name="Percent 18 3 2" xfId="473"/>
    <cellStyle name="Percent 19" xfId="474"/>
    <cellStyle name="Percent 19 2" xfId="475"/>
    <cellStyle name="Percent 19 3" xfId="476"/>
    <cellStyle name="Percent 19 3 2" xfId="477"/>
    <cellStyle name="Percent 2" xfId="53"/>
    <cellStyle name="Percent 2 2" xfId="478"/>
    <cellStyle name="Percent 2 2 2" xfId="479"/>
    <cellStyle name="Percent 2 2 2 2" xfId="480"/>
    <cellStyle name="Percent 2 2 2 3" xfId="481"/>
    <cellStyle name="Percent 2 2 2 3 2" xfId="482"/>
    <cellStyle name="Percent 2 2 2 3 3" xfId="483"/>
    <cellStyle name="Percent 2 2 2 3 3 2" xfId="484"/>
    <cellStyle name="Percent 2 2 2 3 3 3" xfId="485"/>
    <cellStyle name="Percent 2 2 2 3 3 4" xfId="486"/>
    <cellStyle name="Percent 2 2 2 3 4" xfId="487"/>
    <cellStyle name="Percent 2 2 2 3 4 2" xfId="488"/>
    <cellStyle name="Percent 2 2 2 3 4 2 2" xfId="489"/>
    <cellStyle name="Percent 2 2 2 3 4 2 3" xfId="490"/>
    <cellStyle name="Percent 2 2 2 3 4 2 3 2" xfId="491"/>
    <cellStyle name="Percent 2 2 2 3 4 3" xfId="492"/>
    <cellStyle name="Percent 2 2 2 3 5" xfId="493"/>
    <cellStyle name="Percent 2 2 2 3 5 2" xfId="494"/>
    <cellStyle name="Percent 2 2 2 3 5 3" xfId="495"/>
    <cellStyle name="Percent 2 2 2 3 5 3 2" xfId="496"/>
    <cellStyle name="Percent 2 2 2 3 6" xfId="497"/>
    <cellStyle name="Percent 2 2 2 3 7" xfId="498"/>
    <cellStyle name="Percent 2 2 2 3 7 2" xfId="499"/>
    <cellStyle name="Percent 2 2 2 4" xfId="500"/>
    <cellStyle name="Percent 2 2 2 4 2" xfId="501"/>
    <cellStyle name="Percent 2 2 2 4 2 2" xfId="502"/>
    <cellStyle name="Percent 2 2 2 4 2 3" xfId="503"/>
    <cellStyle name="Percent 2 2 2 4 2 3 2" xfId="504"/>
    <cellStyle name="Percent 2 2 2 4 3" xfId="505"/>
    <cellStyle name="Percent 2 2 2 5" xfId="506"/>
    <cellStyle name="Percent 2 2 2 5 2" xfId="507"/>
    <cellStyle name="Percent 2 2 2 5 3" xfId="508"/>
    <cellStyle name="Percent 2 2 2 5 3 2" xfId="509"/>
    <cellStyle name="Percent 2 2 2 6" xfId="510"/>
    <cellStyle name="Percent 2 2 2 6 2" xfId="511"/>
    <cellStyle name="Percent 2 2 3" xfId="512"/>
    <cellStyle name="Percent 2 2 3 2" xfId="513"/>
    <cellStyle name="Percent 2 2 3 3" xfId="514"/>
    <cellStyle name="Percent 2 2 3 4" xfId="515"/>
    <cellStyle name="Percent 2 3" xfId="516"/>
    <cellStyle name="Percent 2 4" xfId="517"/>
    <cellStyle name="Percent 2 4 10" xfId="518"/>
    <cellStyle name="Percent 2 4 11" xfId="519"/>
    <cellStyle name="Percent 2 4 11 2" xfId="520"/>
    <cellStyle name="Percent 2 4 11 2 2" xfId="521"/>
    <cellStyle name="Percent 2 4 11 2 3" xfId="522"/>
    <cellStyle name="Percent 2 4 11 2 3 2" xfId="523"/>
    <cellStyle name="Percent 2 4 2" xfId="524"/>
    <cellStyle name="Percent 2 4 3" xfId="525"/>
    <cellStyle name="Percent 2 4 4" xfId="526"/>
    <cellStyle name="Percent 2 4 5" xfId="527"/>
    <cellStyle name="Percent 2 4 5 2" xfId="528"/>
    <cellStyle name="Percent 2 4 5 2 2" xfId="529"/>
    <cellStyle name="Percent 2 4 5 2 3" xfId="530"/>
    <cellStyle name="Percent 2 4 6" xfId="531"/>
    <cellStyle name="Percent 2 4 7" xfId="532"/>
    <cellStyle name="Percent 2 4 8" xfId="533"/>
    <cellStyle name="Percent 2 4 9" xfId="534"/>
    <cellStyle name="Percent 2 4 9 2" xfId="535"/>
    <cellStyle name="Percent 2 4 9 2 2" xfId="536"/>
    <cellStyle name="Percent 2 4 9 2 3" xfId="537"/>
    <cellStyle name="Percent 2 4 9 2 3 2" xfId="538"/>
    <cellStyle name="Percent 2 5" xfId="539"/>
    <cellStyle name="Percent 20" xfId="540"/>
    <cellStyle name="Percent 20 2" xfId="541"/>
    <cellStyle name="Percent 20 3" xfId="542"/>
    <cellStyle name="Percent 20 3 2" xfId="543"/>
    <cellStyle name="Percent 21" xfId="544"/>
    <cellStyle name="Percent 21 2" xfId="545"/>
    <cellStyle name="Percent 21 3" xfId="546"/>
    <cellStyle name="Percent 21 3 2" xfId="547"/>
    <cellStyle name="Percent 22" xfId="548"/>
    <cellStyle name="Percent 22 2" xfId="549"/>
    <cellStyle name="Percent 23" xfId="550"/>
    <cellStyle name="Percent 23 2" xfId="551"/>
    <cellStyle name="Percent 24" xfId="552"/>
    <cellStyle name="Percent 25" xfId="553"/>
    <cellStyle name="Percent 25 2" xfId="554"/>
    <cellStyle name="Percent 25 3" xfId="555"/>
    <cellStyle name="Percent 25 3 2" xfId="556"/>
    <cellStyle name="Percent 26" xfId="557"/>
    <cellStyle name="Percent 27" xfId="558"/>
    <cellStyle name="Percent 27 2" xfId="559"/>
    <cellStyle name="Percent 3" xfId="560"/>
    <cellStyle name="Percent 3 2" xfId="561"/>
    <cellStyle name="Percent 3 2 2" xfId="562"/>
    <cellStyle name="Percent 3 2 3" xfId="563"/>
    <cellStyle name="Percent 3 2 3 2" xfId="564"/>
    <cellStyle name="Percent 3 2 3 3" xfId="565"/>
    <cellStyle name="Percent 3 2 3 4" xfId="566"/>
    <cellStyle name="Percent 3 2 4" xfId="567"/>
    <cellStyle name="Percent 3 2 4 2" xfId="568"/>
    <cellStyle name="Percent 3 2 4 2 2" xfId="569"/>
    <cellStyle name="Percent 3 2 4 2 3" xfId="570"/>
    <cellStyle name="Percent 3 2 4 2 3 2" xfId="571"/>
    <cellStyle name="Percent 3 2 4 3" xfId="572"/>
    <cellStyle name="Percent 3 2 5" xfId="573"/>
    <cellStyle name="Percent 3 2 5 2" xfId="574"/>
    <cellStyle name="Percent 3 2 5 3" xfId="575"/>
    <cellStyle name="Percent 3 2 5 3 2" xfId="576"/>
    <cellStyle name="Percent 3 2 6" xfId="577"/>
    <cellStyle name="Percent 3 2 7" xfId="578"/>
    <cellStyle name="Percent 3 2 7 2" xfId="579"/>
    <cellStyle name="Percent 3 3" xfId="580"/>
    <cellStyle name="Percent 3 4" xfId="581"/>
    <cellStyle name="Percent 3 5" xfId="582"/>
    <cellStyle name="Percent 3 5 2" xfId="583"/>
    <cellStyle name="Percent 3 5 3" xfId="584"/>
    <cellStyle name="Percent 3 5 4" xfId="585"/>
    <cellStyle name="Percent 4" xfId="586"/>
    <cellStyle name="Percent 4 2" xfId="587"/>
    <cellStyle name="Percent 4 3" xfId="588"/>
    <cellStyle name="Percent 4 3 2" xfId="589"/>
    <cellStyle name="Percent 4 3 3" xfId="590"/>
    <cellStyle name="Percent 4 3 4" xfId="591"/>
    <cellStyle name="Percent 4 4" xfId="592"/>
    <cellStyle name="Percent 4 4 2" xfId="593"/>
    <cellStyle name="Percent 4 4 2 2" xfId="594"/>
    <cellStyle name="Percent 4 4 2 3" xfId="595"/>
    <cellStyle name="Percent 4 4 2 3 2" xfId="596"/>
    <cellStyle name="Percent 4 4 3" xfId="597"/>
    <cellStyle name="Percent 4 5" xfId="598"/>
    <cellStyle name="Percent 4 5 2" xfId="599"/>
    <cellStyle name="Percent 4 5 3" xfId="600"/>
    <cellStyle name="Percent 4 5 3 2" xfId="601"/>
    <cellStyle name="Percent 4 6" xfId="602"/>
    <cellStyle name="Percent 4 7" xfId="603"/>
    <cellStyle name="Percent 4 7 2" xfId="604"/>
    <cellStyle name="Percent 5" xfId="605"/>
    <cellStyle name="Percent 5 2" xfId="606"/>
    <cellStyle name="Percent 5 3" xfId="607"/>
    <cellStyle name="Percent 5 3 2" xfId="608"/>
    <cellStyle name="Percent 5 3 3" xfId="609"/>
    <cellStyle name="Percent 5 4" xfId="610"/>
    <cellStyle name="Percent 5 4 2" xfId="611"/>
    <cellStyle name="Percent 5 4 3" xfId="612"/>
    <cellStyle name="Percent 5 4 4" xfId="613"/>
    <cellStyle name="Percent 5 5" xfId="614"/>
    <cellStyle name="Percent 5 5 2" xfId="615"/>
    <cellStyle name="Percent 5 5 2 2" xfId="616"/>
    <cellStyle name="Percent 5 5 2 3" xfId="617"/>
    <cellStyle name="Percent 5 5 2 3 2" xfId="618"/>
    <cellStyle name="Percent 5 5 3" xfId="619"/>
    <cellStyle name="Percent 5 6" xfId="620"/>
    <cellStyle name="Percent 5 6 2" xfId="621"/>
    <cellStyle name="Percent 5 6 3" xfId="622"/>
    <cellStyle name="Percent 5 6 3 2" xfId="623"/>
    <cellStyle name="Percent 5 7" xfId="624"/>
    <cellStyle name="Percent 5 8" xfId="625"/>
    <cellStyle name="Percent 5 8 2" xfId="626"/>
    <cellStyle name="Percent 5 9" xfId="627"/>
    <cellStyle name="Percent 5 9 2" xfId="628"/>
    <cellStyle name="Percent 5 9 3" xfId="629"/>
    <cellStyle name="Percent 5 9 3 2" xfId="630"/>
    <cellStyle name="Percent 6" xfId="631"/>
    <cellStyle name="Percent 6 10" xfId="632"/>
    <cellStyle name="Percent 6 11" xfId="633"/>
    <cellStyle name="Percent 6 11 2" xfId="634"/>
    <cellStyle name="Percent 6 11 2 2" xfId="635"/>
    <cellStyle name="Percent 6 11 2 3" xfId="636"/>
    <cellStyle name="Percent 6 11 2 3 2" xfId="637"/>
    <cellStyle name="Percent 6 12" xfId="638"/>
    <cellStyle name="Percent 6 13" xfId="639"/>
    <cellStyle name="Percent 6 13 2" xfId="640"/>
    <cellStyle name="Percent 6 13 2 2" xfId="641"/>
    <cellStyle name="Percent 6 13 2 3" xfId="642"/>
    <cellStyle name="Percent 6 13 2 3 2" xfId="643"/>
    <cellStyle name="Percent 6 14" xfId="644"/>
    <cellStyle name="Percent 6 14 2" xfId="645"/>
    <cellStyle name="Percent 6 15" xfId="646"/>
    <cellStyle name="Percent 6 16" xfId="647"/>
    <cellStyle name="Percent 6 16 2" xfId="648"/>
    <cellStyle name="Percent 6 2" xfId="649"/>
    <cellStyle name="Percent 6 3" xfId="650"/>
    <cellStyle name="Percent 6 4" xfId="651"/>
    <cellStyle name="Percent 6 5" xfId="652"/>
    <cellStyle name="Percent 6 6" xfId="653"/>
    <cellStyle name="Percent 6 7" xfId="654"/>
    <cellStyle name="Percent 6 7 2" xfId="655"/>
    <cellStyle name="Percent 6 7 2 2" xfId="656"/>
    <cellStyle name="Percent 6 7 2 3" xfId="657"/>
    <cellStyle name="Percent 6 8" xfId="658"/>
    <cellStyle name="Percent 6 9" xfId="659"/>
    <cellStyle name="Percent 7" xfId="660"/>
    <cellStyle name="Percent 7 10" xfId="661"/>
    <cellStyle name="Percent 7 11" xfId="662"/>
    <cellStyle name="Percent 7 11 2" xfId="663"/>
    <cellStyle name="Percent 7 11 2 2" xfId="664"/>
    <cellStyle name="Percent 7 11 2 3" xfId="665"/>
    <cellStyle name="Percent 7 11 2 3 2" xfId="666"/>
    <cellStyle name="Percent 7 12" xfId="667"/>
    <cellStyle name="Percent 7 12 2" xfId="668"/>
    <cellStyle name="Percent 7 13" xfId="669"/>
    <cellStyle name="Percent 7 14" xfId="670"/>
    <cellStyle name="Percent 7 14 2" xfId="671"/>
    <cellStyle name="Percent 7 2" xfId="672"/>
    <cellStyle name="Percent 7 3" xfId="673"/>
    <cellStyle name="Percent 7 4" xfId="674"/>
    <cellStyle name="Percent 7 5" xfId="675"/>
    <cellStyle name="Percent 7 5 2" xfId="676"/>
    <cellStyle name="Percent 7 5 2 2" xfId="677"/>
    <cellStyle name="Percent 7 5 2 3" xfId="678"/>
    <cellStyle name="Percent 7 5 2 4" xfId="679"/>
    <cellStyle name="Percent 7 6" xfId="680"/>
    <cellStyle name="Percent 7 7" xfId="681"/>
    <cellStyle name="Percent 7 8" xfId="682"/>
    <cellStyle name="Percent 7 9" xfId="683"/>
    <cellStyle name="Percent 7 9 2" xfId="684"/>
    <cellStyle name="Percent 7 9 2 2" xfId="685"/>
    <cellStyle name="Percent 7 9 2 3" xfId="686"/>
    <cellStyle name="Percent 7 9 2 3 2" xfId="687"/>
    <cellStyle name="Percent 8" xfId="688"/>
    <cellStyle name="Percent 8 2" xfId="689"/>
    <cellStyle name="Percent 8 3" xfId="690"/>
    <cellStyle name="Percent 8 4" xfId="691"/>
    <cellStyle name="Percent 8 5" xfId="692"/>
    <cellStyle name="Percent 9" xfId="693"/>
    <cellStyle name="Percent 9 2" xfId="694"/>
    <cellStyle name="Percent 9 3" xfId="695"/>
    <cellStyle name="Percent 9 4" xfId="696"/>
    <cellStyle name="Percent 9 5" xfId="697"/>
    <cellStyle name="PSChar" xfId="5"/>
    <cellStyle name="PSChar 2" xfId="698"/>
    <cellStyle name="PSChar 2 2" xfId="699"/>
    <cellStyle name="PSChar 2 2 2" xfId="700"/>
    <cellStyle name="PSChar 3" xfId="701"/>
    <cellStyle name="PSChar 3 2" xfId="702"/>
    <cellStyle name="PSChar 4" xfId="703"/>
    <cellStyle name="PSChar 4 2" xfId="704"/>
    <cellStyle name="PSChar 5" xfId="705"/>
    <cellStyle name="PSChar 5 2" xfId="706"/>
    <cellStyle name="PSChar 5 3" xfId="707"/>
    <cellStyle name="PSChar 5 3 2" xfId="708"/>
    <cellStyle name="PSChar 6" xfId="709"/>
    <cellStyle name="PSChar 6 2" xfId="710"/>
    <cellStyle name="PSChar 7" xfId="711"/>
    <cellStyle name="PSChar 8" xfId="712"/>
    <cellStyle name="PSChar 9" xfId="713"/>
    <cellStyle name="PSDate" xfId="6"/>
    <cellStyle name="PSDate 2" xfId="714"/>
    <cellStyle name="PSDate 2 2" xfId="715"/>
    <cellStyle name="PSDate 2 2 2" xfId="716"/>
    <cellStyle name="PSDate 3" xfId="717"/>
    <cellStyle name="PSDate 3 2" xfId="718"/>
    <cellStyle name="PSDate 4" xfId="719"/>
    <cellStyle name="PSDate 4 2" xfId="720"/>
    <cellStyle name="PSDate 5" xfId="721"/>
    <cellStyle name="PSDate 5 2" xfId="722"/>
    <cellStyle name="PSDate 5 3" xfId="723"/>
    <cellStyle name="PSDate 5 3 2" xfId="724"/>
    <cellStyle name="PSDate 6" xfId="725"/>
    <cellStyle name="PSDate 6 2" xfId="726"/>
    <cellStyle name="PSDate 7" xfId="727"/>
    <cellStyle name="PSDate 8" xfId="728"/>
    <cellStyle name="PSDec" xfId="7"/>
    <cellStyle name="PSDec 2" xfId="729"/>
    <cellStyle name="PSDec 2 2" xfId="730"/>
    <cellStyle name="PSDec 2 2 2" xfId="731"/>
    <cellStyle name="PSDec 3" xfId="732"/>
    <cellStyle name="PSDec 3 2" xfId="733"/>
    <cellStyle name="PSDec 4" xfId="734"/>
    <cellStyle name="PSDec 4 2" xfId="735"/>
    <cellStyle name="PSDec 5" xfId="736"/>
    <cellStyle name="PSDec 5 2" xfId="737"/>
    <cellStyle name="PSDec 5 3" xfId="738"/>
    <cellStyle name="PSDec 5 3 2" xfId="739"/>
    <cellStyle name="PSDec 6" xfId="740"/>
    <cellStyle name="PSDec 6 2" xfId="741"/>
    <cellStyle name="PSDec 7" xfId="742"/>
    <cellStyle name="PSDec 8" xfId="743"/>
    <cellStyle name="PSDec 9" xfId="744"/>
    <cellStyle name="PSHeading" xfId="8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9"/>
    <cellStyle name="PSInt 2" xfId="755"/>
    <cellStyle name="PSInt 2 2" xfId="756"/>
    <cellStyle name="PSInt 2 2 2" xfId="757"/>
    <cellStyle name="PSInt 3" xfId="758"/>
    <cellStyle name="PSInt 3 2" xfId="759"/>
    <cellStyle name="PSInt 4" xfId="760"/>
    <cellStyle name="PSInt 4 2" xfId="761"/>
    <cellStyle name="PSInt 5" xfId="762"/>
    <cellStyle name="PSInt 5 2" xfId="763"/>
    <cellStyle name="PSInt 5 3" xfId="764"/>
    <cellStyle name="PSInt 5 3 2" xfId="765"/>
    <cellStyle name="PSInt 6" xfId="766"/>
    <cellStyle name="PSInt 6 2" xfId="767"/>
    <cellStyle name="PSInt 7" xfId="768"/>
    <cellStyle name="PSInt 8" xfId="769"/>
    <cellStyle name="PSInt 9" xfId="770"/>
    <cellStyle name="PSSpacer" xfId="10"/>
    <cellStyle name="PSSpacer 2" xfId="771"/>
    <cellStyle name="PSSpacer 2 2" xfId="772"/>
    <cellStyle name="PSSpacer 3" xfId="773"/>
    <cellStyle name="PSSpacer 3 2" xfId="774"/>
    <cellStyle name="PSSpacer 4" xfId="775"/>
    <cellStyle name="PSSpacer 4 2" xfId="776"/>
    <cellStyle name="PSSpacer 5" xfId="777"/>
    <cellStyle name="PSSpacer 5 2" xfId="778"/>
    <cellStyle name="PSSpacer 5 3" xfId="779"/>
    <cellStyle name="PSSpacer 5 3 2" xfId="780"/>
    <cellStyle name="PSSpacer 6" xfId="781"/>
    <cellStyle name="PSSpacer 6 2" xfId="782"/>
    <cellStyle name="PSSpacer 7" xfId="783"/>
    <cellStyle name="PSSpacer 8" xfId="784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111123</xdr:colOff>
      <xdr:row>45</xdr:row>
      <xdr:rowOff>142876</xdr:rowOff>
    </xdr:from>
    <xdr:to>
      <xdr:col>15</xdr:col>
      <xdr:colOff>507998</xdr:colOff>
      <xdr:row>56</xdr:row>
      <xdr:rowOff>23818</xdr:rowOff>
    </xdr:to>
    <xdr:sp macro="" textlink="">
      <xdr:nvSpPr>
        <xdr:cNvPr id="2" name="TextBox 1"/>
        <xdr:cNvSpPr txBox="1"/>
      </xdr:nvSpPr>
      <xdr:spPr>
        <a:xfrm rot="5400000">
          <a:off x="13021465" y="9409909"/>
          <a:ext cx="1627192" cy="10001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BS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1 - Form 2.0</a:t>
          </a:r>
          <a:endParaRPr lang="en-US" sz="14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opLeftCell="A10" zoomScale="110" zoomScaleNormal="110" workbookViewId="0">
      <selection activeCell="C38" sqref="C38"/>
    </sheetView>
  </sheetViews>
  <sheetFormatPr defaultColWidth="9.140625" defaultRowHeight="15"/>
  <cols>
    <col min="1" max="1" width="6.28515625" style="72" customWidth="1"/>
    <col min="2" max="2" width="34" style="23" customWidth="1"/>
    <col min="3" max="3" width="15.7109375" style="23" customWidth="1"/>
    <col min="4" max="4" width="16.28515625" style="23" customWidth="1"/>
    <col min="5" max="5" width="13.140625" style="23" customWidth="1"/>
    <col min="6" max="6" width="14.7109375" style="23" customWidth="1"/>
    <col min="7" max="7" width="12" style="124" customWidth="1"/>
    <col min="8" max="8" width="6.7109375" style="23" customWidth="1"/>
    <col min="9" max="10" width="9.140625" style="23"/>
    <col min="11" max="11" width="13.28515625" style="23" bestFit="1" customWidth="1"/>
    <col min="12" max="12" width="10.5703125" style="23" bestFit="1" customWidth="1"/>
    <col min="13" max="16384" width="9.140625" style="23"/>
  </cols>
  <sheetData>
    <row r="1" spans="1:12">
      <c r="G1" s="97" t="s">
        <v>97</v>
      </c>
    </row>
    <row r="3" spans="1:12" ht="15.75">
      <c r="A3" s="333" t="s">
        <v>0</v>
      </c>
      <c r="B3" s="333"/>
      <c r="C3" s="333"/>
      <c r="D3" s="333"/>
      <c r="E3" s="333"/>
      <c r="F3" s="333"/>
      <c r="G3" s="333"/>
    </row>
    <row r="4" spans="1:12" ht="15.75">
      <c r="A4" s="332" t="s">
        <v>282</v>
      </c>
      <c r="B4" s="332"/>
      <c r="C4" s="332"/>
      <c r="D4" s="332"/>
      <c r="E4" s="332"/>
      <c r="F4" s="332"/>
      <c r="G4" s="332"/>
    </row>
    <row r="5" spans="1:12" ht="15.75">
      <c r="A5" s="332" t="str">
        <f>'Input Sheet'!A2</f>
        <v>12 -Month Period ended June 30, 2019</v>
      </c>
      <c r="B5" s="332"/>
      <c r="C5" s="332"/>
      <c r="D5" s="332"/>
      <c r="E5" s="332"/>
      <c r="F5" s="332"/>
      <c r="G5" s="332"/>
    </row>
    <row r="6" spans="1:12">
      <c r="A6" s="334"/>
      <c r="B6" s="334"/>
      <c r="C6" s="334"/>
      <c r="D6" s="334"/>
      <c r="E6" s="334"/>
      <c r="F6" s="334"/>
      <c r="G6" s="334"/>
    </row>
    <row r="7" spans="1:12">
      <c r="A7" s="122"/>
      <c r="B7" s="122"/>
      <c r="C7" s="122"/>
      <c r="D7" s="122"/>
      <c r="E7" s="122"/>
      <c r="F7" s="122"/>
      <c r="G7" s="122"/>
    </row>
    <row r="8" spans="1:12">
      <c r="A8" s="123" t="s">
        <v>104</v>
      </c>
    </row>
    <row r="9" spans="1:12" s="24" customFormat="1">
      <c r="A9" s="93">
        <v>-1</v>
      </c>
      <c r="B9" s="331" t="s">
        <v>268</v>
      </c>
      <c r="C9" s="331"/>
      <c r="D9" s="331"/>
      <c r="E9" s="331"/>
      <c r="F9" s="331"/>
      <c r="G9" s="125">
        <f>'PPA Form 3.0'!G22+'PPA Form 3.0'!G29+'PPA Form 3.0'!G31</f>
        <v>67826483.782742843</v>
      </c>
      <c r="K9" s="317"/>
    </row>
    <row r="10" spans="1:12" s="24" customFormat="1">
      <c r="A10" s="92"/>
      <c r="B10" s="126"/>
      <c r="C10" s="126"/>
      <c r="D10" s="126"/>
      <c r="E10" s="126"/>
      <c r="F10" s="126"/>
      <c r="G10" s="125"/>
    </row>
    <row r="11" spans="1:12" s="24" customFormat="1" ht="14.45" customHeight="1">
      <c r="A11" s="93">
        <f>A9-1</f>
        <v>-2</v>
      </c>
      <c r="B11" s="100" t="s">
        <v>173</v>
      </c>
      <c r="C11" s="126"/>
      <c r="D11" s="126"/>
      <c r="E11" s="126"/>
      <c r="F11" s="126"/>
      <c r="G11" s="125">
        <f>'PPA Form 3.0'!G23+'PPA Form 3.0'!G30</f>
        <v>74453085.030000016</v>
      </c>
      <c r="K11" s="127"/>
      <c r="L11" s="127"/>
    </row>
    <row r="12" spans="1:12" s="24" customFormat="1">
      <c r="A12" s="92"/>
      <c r="B12" s="126"/>
      <c r="C12" s="126"/>
      <c r="D12" s="126"/>
      <c r="E12" s="126"/>
      <c r="F12" s="126"/>
      <c r="G12" s="125"/>
    </row>
    <row r="13" spans="1:12" s="24" customFormat="1">
      <c r="A13" s="93">
        <f>A11-1</f>
        <v>-3</v>
      </c>
      <c r="B13" s="256" t="s">
        <v>279</v>
      </c>
      <c r="C13" s="257"/>
      <c r="D13" s="282"/>
      <c r="E13" s="282"/>
      <c r="F13" s="282"/>
      <c r="G13" s="125">
        <f>'PPA Form 3.0'!G33</f>
        <v>-5222398.4590571439</v>
      </c>
      <c r="K13" s="127"/>
    </row>
    <row r="14" spans="1:12" s="24" customFormat="1">
      <c r="A14" s="93"/>
      <c r="B14" s="100"/>
      <c r="C14" s="126"/>
      <c r="D14" s="126"/>
      <c r="E14" s="126"/>
      <c r="F14" s="126"/>
      <c r="G14" s="125"/>
      <c r="K14" s="318"/>
    </row>
    <row r="15" spans="1:12" s="24" customFormat="1">
      <c r="A15" s="255">
        <f>A13-1</f>
        <v>-4</v>
      </c>
      <c r="B15" s="256" t="s">
        <v>280</v>
      </c>
      <c r="C15" s="257"/>
      <c r="D15" s="257"/>
      <c r="E15" s="257"/>
      <c r="F15" s="257"/>
      <c r="G15" s="125">
        <v>0</v>
      </c>
      <c r="H15" s="24" t="s">
        <v>206</v>
      </c>
    </row>
    <row r="16" spans="1:12" s="24" customFormat="1">
      <c r="A16" s="93"/>
      <c r="B16" s="100"/>
      <c r="C16" s="126"/>
      <c r="D16" s="126"/>
      <c r="E16" s="126"/>
      <c r="F16" s="126"/>
      <c r="G16" s="125"/>
    </row>
    <row r="17" spans="1:10" s="24" customFormat="1">
      <c r="A17" s="93">
        <f>A15-1</f>
        <v>-5</v>
      </c>
      <c r="B17" s="100" t="s">
        <v>193</v>
      </c>
      <c r="C17" s="126"/>
      <c r="D17" s="126"/>
      <c r="E17" s="126"/>
      <c r="F17" s="126"/>
      <c r="G17" s="125">
        <f>-'Rockport Savings-Offset'!D7</f>
        <v>0</v>
      </c>
      <c r="H17" s="24" t="s">
        <v>206</v>
      </c>
    </row>
    <row r="18" spans="1:10" s="24" customFormat="1">
      <c r="A18" s="92"/>
      <c r="B18" s="126"/>
      <c r="C18" s="126"/>
      <c r="D18" s="126"/>
      <c r="E18" s="126"/>
      <c r="F18" s="126"/>
      <c r="G18" s="125"/>
    </row>
    <row r="19" spans="1:10" s="24" customFormat="1">
      <c r="A19" s="93">
        <f>A17-1</f>
        <v>-6</v>
      </c>
      <c r="B19" s="24" t="s">
        <v>192</v>
      </c>
      <c r="G19" s="127">
        <f>G13+G15+G17</f>
        <v>-5222398.4590571439</v>
      </c>
    </row>
    <row r="20" spans="1:10" s="24" customFormat="1">
      <c r="A20" s="93"/>
    </row>
    <row r="21" spans="1:10" s="24" customFormat="1">
      <c r="A21" s="255">
        <f>A19-1</f>
        <v>-7</v>
      </c>
      <c r="B21" s="256" t="s">
        <v>183</v>
      </c>
      <c r="C21" s="126"/>
      <c r="D21" s="126"/>
      <c r="E21" s="126"/>
      <c r="F21" s="126"/>
      <c r="G21" s="125">
        <f>G19*0.005425</f>
        <v>-28331.511640385008</v>
      </c>
    </row>
    <row r="22" spans="1:10" s="24" customFormat="1">
      <c r="A22" s="93"/>
      <c r="B22" s="100"/>
      <c r="C22" s="126"/>
      <c r="D22" s="126"/>
      <c r="E22" s="126"/>
      <c r="F22" s="126"/>
      <c r="G22" s="125"/>
    </row>
    <row r="23" spans="1:10">
      <c r="A23" s="93">
        <f>A21-1</f>
        <v>-8</v>
      </c>
      <c r="B23" s="100" t="s">
        <v>194</v>
      </c>
      <c r="C23" s="126"/>
      <c r="D23" s="126"/>
      <c r="E23" s="126"/>
      <c r="F23" s="126"/>
      <c r="G23" s="125">
        <v>0</v>
      </c>
      <c r="H23" s="24" t="s">
        <v>206</v>
      </c>
    </row>
    <row r="24" spans="1:10" s="24" customFormat="1">
      <c r="A24" s="93"/>
      <c r="B24" s="100"/>
      <c r="C24" s="126"/>
      <c r="D24" s="126"/>
      <c r="E24" s="126"/>
      <c r="F24" s="126"/>
      <c r="G24" s="125"/>
    </row>
    <row r="25" spans="1:10" s="24" customFormat="1">
      <c r="A25" s="93">
        <f>A23-1</f>
        <v>-9</v>
      </c>
      <c r="B25" s="100" t="s">
        <v>188</v>
      </c>
      <c r="C25" s="126"/>
      <c r="D25" s="126"/>
      <c r="E25" s="126"/>
      <c r="F25" s="126"/>
      <c r="G25" s="125">
        <v>0</v>
      </c>
      <c r="H25" s="24" t="s">
        <v>206</v>
      </c>
    </row>
    <row r="26" spans="1:10" s="24" customFormat="1">
      <c r="A26" s="93"/>
      <c r="B26" s="100"/>
      <c r="C26" s="126"/>
      <c r="D26" s="126"/>
      <c r="E26" s="126"/>
      <c r="F26" s="126"/>
      <c r="G26" s="125"/>
    </row>
    <row r="27" spans="1:10" s="24" customFormat="1">
      <c r="A27" s="93">
        <f>A25-1</f>
        <v>-10</v>
      </c>
      <c r="B27" s="100" t="s">
        <v>189</v>
      </c>
      <c r="C27" s="126"/>
      <c r="D27" s="126"/>
      <c r="E27" s="126"/>
      <c r="F27" s="126"/>
      <c r="G27" s="125">
        <v>0</v>
      </c>
      <c r="H27" s="24" t="s">
        <v>206</v>
      </c>
    </row>
    <row r="28" spans="1:10" s="24" customFormat="1">
      <c r="A28" s="93"/>
      <c r="B28" s="100"/>
      <c r="C28" s="126"/>
      <c r="D28" s="126"/>
      <c r="E28" s="126"/>
      <c r="F28" s="126"/>
      <c r="G28" s="125"/>
    </row>
    <row r="29" spans="1:10" s="24" customFormat="1">
      <c r="A29" s="93">
        <f>A27-1</f>
        <v>-11</v>
      </c>
      <c r="B29" s="100" t="s">
        <v>190</v>
      </c>
      <c r="C29" s="126"/>
      <c r="D29" s="126"/>
      <c r="E29" s="126"/>
      <c r="F29" s="126"/>
      <c r="G29" s="125">
        <f>G19+G21+G23+G25+G27</f>
        <v>-5250729.9706975287</v>
      </c>
    </row>
    <row r="30" spans="1:10" s="24" customFormat="1">
      <c r="A30" s="93"/>
      <c r="B30" s="100"/>
      <c r="C30" s="126"/>
      <c r="D30" s="126"/>
      <c r="E30" s="126"/>
      <c r="F30" s="126"/>
      <c r="G30" s="125"/>
    </row>
    <row r="31" spans="1:10" s="24" customFormat="1">
      <c r="A31" s="93">
        <f>A29-1</f>
        <v>-12</v>
      </c>
      <c r="B31" s="23" t="s">
        <v>264</v>
      </c>
      <c r="C31" s="23"/>
      <c r="D31" s="23"/>
      <c r="E31" s="23"/>
      <c r="F31" s="23"/>
      <c r="G31" s="125">
        <f>'PPA Form 4.0'!G22</f>
        <v>279557.66000000003</v>
      </c>
      <c r="H31" s="23"/>
      <c r="I31" s="23"/>
      <c r="J31" s="23"/>
    </row>
    <row r="32" spans="1:10" s="24" customFormat="1">
      <c r="A32" s="93" t="s">
        <v>45</v>
      </c>
      <c r="B32" s="23"/>
      <c r="C32" s="23"/>
      <c r="D32" s="23"/>
      <c r="E32" s="23"/>
      <c r="F32" s="23"/>
      <c r="G32" s="125"/>
      <c r="H32" s="23"/>
      <c r="I32" s="23"/>
      <c r="J32" s="23"/>
    </row>
    <row r="33" spans="1:10" s="24" customFormat="1" ht="13.9" customHeight="1">
      <c r="A33" s="93">
        <f t="shared" ref="A33:A35" si="0">A31-1</f>
        <v>-13</v>
      </c>
      <c r="B33" s="23" t="s">
        <v>114</v>
      </c>
      <c r="C33" s="23"/>
      <c r="D33" s="23"/>
      <c r="E33" s="23"/>
      <c r="F33" s="23"/>
      <c r="G33" s="328">
        <v>360509.46272669872</v>
      </c>
      <c r="H33" s="23"/>
      <c r="I33" s="23"/>
      <c r="J33" s="23"/>
    </row>
    <row r="34" spans="1:10" s="24" customFormat="1" ht="18.600000000000001" customHeight="1">
      <c r="A34" s="72"/>
      <c r="B34" s="23"/>
      <c r="C34" s="23"/>
      <c r="D34" s="23"/>
      <c r="E34" s="23"/>
      <c r="F34" s="23"/>
      <c r="G34" s="125"/>
      <c r="H34" s="23"/>
      <c r="I34" s="23"/>
      <c r="J34" s="23"/>
    </row>
    <row r="35" spans="1:10" s="24" customFormat="1" ht="15.75" thickBot="1">
      <c r="A35" s="93">
        <f t="shared" si="0"/>
        <v>-14</v>
      </c>
      <c r="B35" s="23" t="s">
        <v>283</v>
      </c>
      <c r="C35" s="23"/>
      <c r="D35" s="23"/>
      <c r="E35" s="23"/>
      <c r="F35" s="23"/>
      <c r="G35" s="329">
        <f>G29-G31+G33</f>
        <v>-5169778.1679708306</v>
      </c>
      <c r="H35" s="23"/>
      <c r="I35" s="23"/>
      <c r="J35" s="23"/>
    </row>
    <row r="36" spans="1:10" ht="15.75" thickTop="1">
      <c r="H36" s="24"/>
      <c r="I36" s="24"/>
      <c r="J36" s="24"/>
    </row>
    <row r="37" spans="1:10">
      <c r="A37" s="327"/>
      <c r="H37" s="24"/>
      <c r="I37" s="24"/>
      <c r="J37" s="24"/>
    </row>
    <row r="38" spans="1:10">
      <c r="B38" s="128" t="s">
        <v>8</v>
      </c>
      <c r="C38" s="23" t="s">
        <v>3</v>
      </c>
      <c r="D38" s="129">
        <f>G35*'PPA Form 3.0'!C38</f>
        <v>-5052236.8894383451</v>
      </c>
      <c r="E38" s="129"/>
      <c r="F38" s="73"/>
    </row>
    <row r="39" spans="1:10">
      <c r="B39" s="128" t="s">
        <v>9</v>
      </c>
      <c r="C39" s="23" t="s">
        <v>5</v>
      </c>
      <c r="D39" s="130">
        <f>G35*'PPA Form 3.0'!C39</f>
        <v>-117541.27853248637</v>
      </c>
      <c r="E39" s="129"/>
      <c r="F39" s="73"/>
    </row>
    <row r="40" spans="1:10">
      <c r="D40" s="131">
        <f>SUM(D38:D39)</f>
        <v>-5169778.1679708315</v>
      </c>
      <c r="E40" s="131"/>
    </row>
    <row r="41" spans="1:10">
      <c r="A41" s="327"/>
      <c r="D41" s="131"/>
      <c r="E41" s="131"/>
    </row>
    <row r="42" spans="1:10">
      <c r="A42" s="327"/>
      <c r="D42" s="131"/>
      <c r="E42" s="131"/>
    </row>
    <row r="43" spans="1:10">
      <c r="A43" s="128" t="s">
        <v>198</v>
      </c>
      <c r="B43" s="23" t="s">
        <v>281</v>
      </c>
      <c r="D43" s="131"/>
      <c r="E43" s="131"/>
    </row>
    <row r="44" spans="1:10">
      <c r="A44" s="128" t="s">
        <v>58</v>
      </c>
      <c r="B44" s="24" t="s">
        <v>199</v>
      </c>
    </row>
    <row r="45" spans="1:10">
      <c r="A45" s="128"/>
      <c r="G45" s="132"/>
    </row>
    <row r="46" spans="1:10">
      <c r="D46" s="132"/>
      <c r="F46" s="132"/>
      <c r="G46" s="132"/>
    </row>
    <row r="47" spans="1:10">
      <c r="D47" s="133"/>
      <c r="F47" s="134"/>
      <c r="G47" s="135"/>
    </row>
    <row r="48" spans="1:10">
      <c r="D48" s="133"/>
      <c r="F48" s="134"/>
      <c r="G48" s="135"/>
    </row>
    <row r="49" spans="4:7">
      <c r="D49" s="133"/>
      <c r="F49" s="134"/>
      <c r="G49" s="135"/>
    </row>
    <row r="50" spans="4:7">
      <c r="D50" s="133"/>
      <c r="F50" s="134"/>
      <c r="G50" s="135"/>
    </row>
    <row r="51" spans="4:7">
      <c r="D51" s="133"/>
      <c r="F51" s="134"/>
      <c r="G51" s="135"/>
    </row>
    <row r="52" spans="4:7">
      <c r="D52" s="133"/>
      <c r="F52" s="134"/>
      <c r="G52" s="135"/>
    </row>
    <row r="53" spans="4:7">
      <c r="D53" s="133"/>
      <c r="F53" s="134"/>
      <c r="G53" s="135"/>
    </row>
    <row r="54" spans="4:7">
      <c r="D54" s="133"/>
      <c r="F54" s="134"/>
      <c r="G54" s="135"/>
    </row>
    <row r="55" spans="4:7">
      <c r="D55" s="133"/>
      <c r="F55" s="134"/>
      <c r="G55" s="135"/>
    </row>
    <row r="56" spans="4:7">
      <c r="D56" s="133"/>
      <c r="F56" s="134"/>
      <c r="G56" s="135"/>
    </row>
  </sheetData>
  <customSheetViews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3"/>
    </customSheetView>
  </customSheetViews>
  <mergeCells count="5">
    <mergeCell ref="B9:F9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7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C8" sqref="C8"/>
    </sheetView>
  </sheetViews>
  <sheetFormatPr defaultColWidth="9.140625" defaultRowHeight="15"/>
  <cols>
    <col min="1" max="1" width="10.7109375" style="13" customWidth="1"/>
    <col min="2" max="2" width="11.7109375" style="13" customWidth="1"/>
    <col min="3" max="3" width="23.85546875" style="13" bestFit="1" customWidth="1"/>
    <col min="4" max="4" width="15" style="13" bestFit="1" customWidth="1"/>
    <col min="5" max="5" width="18.85546875" style="13" bestFit="1" customWidth="1"/>
    <col min="6" max="6" width="2.7109375" style="13" customWidth="1"/>
    <col min="7" max="7" width="12.28515625" style="13" bestFit="1" customWidth="1"/>
    <col min="8" max="8" width="11.140625" style="13" bestFit="1" customWidth="1"/>
    <col min="9" max="10" width="12.7109375" style="13" bestFit="1" customWidth="1"/>
    <col min="11" max="16384" width="9.140625" style="13"/>
  </cols>
  <sheetData>
    <row r="1" spans="1:10">
      <c r="A1" s="349" t="s">
        <v>42</v>
      </c>
      <c r="B1" s="349"/>
      <c r="C1" s="349"/>
      <c r="D1" s="349"/>
    </row>
    <row r="2" spans="1:10">
      <c r="A2" s="349" t="s">
        <v>252</v>
      </c>
      <c r="B2" s="349"/>
      <c r="C2" s="349"/>
      <c r="D2" s="349"/>
    </row>
    <row r="3" spans="1:10">
      <c r="A3" s="349" t="s">
        <v>253</v>
      </c>
      <c r="B3" s="349"/>
      <c r="C3" s="349"/>
      <c r="D3" s="349"/>
    </row>
    <row r="4" spans="1:10">
      <c r="A4" s="14"/>
      <c r="B4" s="15"/>
      <c r="C4" s="15"/>
      <c r="D4" s="15"/>
    </row>
    <row r="5" spans="1:10">
      <c r="A5" s="16" t="s">
        <v>22</v>
      </c>
      <c r="B5" s="16"/>
      <c r="C5" s="16" t="s">
        <v>254</v>
      </c>
      <c r="D5" s="16"/>
    </row>
    <row r="6" spans="1:10">
      <c r="A6" s="17">
        <v>-1</v>
      </c>
      <c r="B6" s="15"/>
      <c r="C6" s="15"/>
      <c r="D6" s="15"/>
    </row>
    <row r="7" spans="1:10">
      <c r="C7" s="138"/>
      <c r="D7" s="138"/>
      <c r="E7" s="138"/>
    </row>
    <row r="8" spans="1:10">
      <c r="A8" s="18" t="s">
        <v>36</v>
      </c>
      <c r="B8" s="15"/>
      <c r="C8" s="18">
        <v>2021580181</v>
      </c>
      <c r="D8" s="18"/>
      <c r="E8" s="140"/>
    </row>
    <row r="9" spans="1:10">
      <c r="A9" s="18" t="s">
        <v>94</v>
      </c>
      <c r="B9" s="15"/>
      <c r="C9" s="18">
        <v>593420357</v>
      </c>
      <c r="D9" s="18"/>
      <c r="E9" s="140"/>
      <c r="G9" s="138"/>
      <c r="H9" s="138"/>
      <c r="I9" s="138"/>
      <c r="J9" s="139"/>
    </row>
    <row r="10" spans="1:10" ht="14.45" customHeight="1">
      <c r="A10" s="18" t="s">
        <v>37</v>
      </c>
      <c r="B10" s="15"/>
      <c r="C10" s="18">
        <v>607372271</v>
      </c>
      <c r="D10" s="18"/>
      <c r="E10" s="140"/>
      <c r="G10" s="136"/>
      <c r="H10" s="136"/>
      <c r="I10" s="136"/>
      <c r="J10" s="136"/>
    </row>
    <row r="11" spans="1:10" ht="14.45" customHeight="1">
      <c r="A11" s="18" t="s">
        <v>38</v>
      </c>
      <c r="B11" s="15"/>
      <c r="C11" s="18">
        <v>1646646</v>
      </c>
      <c r="D11" s="18"/>
      <c r="E11" s="140"/>
      <c r="G11" s="136"/>
      <c r="H11" s="136"/>
      <c r="I11" s="136"/>
      <c r="J11" s="136"/>
    </row>
    <row r="12" spans="1:10" ht="14.45" customHeight="1">
      <c r="A12" s="18" t="s">
        <v>95</v>
      </c>
      <c r="B12" s="15"/>
      <c r="C12" s="18">
        <v>2406196919</v>
      </c>
      <c r="D12" s="18"/>
      <c r="E12" s="140"/>
      <c r="G12" s="136"/>
      <c r="H12" s="136"/>
      <c r="I12" s="136"/>
      <c r="J12" s="136"/>
    </row>
    <row r="13" spans="1:10" ht="14.45" customHeight="1">
      <c r="A13" s="18" t="s">
        <v>39</v>
      </c>
      <c r="B13" s="15"/>
      <c r="C13" s="18">
        <v>1886260</v>
      </c>
      <c r="D13" s="18"/>
      <c r="E13" s="140"/>
      <c r="G13" s="136"/>
      <c r="H13" s="137"/>
      <c r="I13" s="136"/>
      <c r="J13" s="136"/>
    </row>
    <row r="14" spans="1:10">
      <c r="A14" s="18" t="s">
        <v>40</v>
      </c>
      <c r="B14" s="15"/>
      <c r="C14" s="18">
        <v>41432009</v>
      </c>
      <c r="D14" s="18"/>
      <c r="E14" s="140"/>
      <c r="G14" s="136"/>
      <c r="H14" s="136"/>
      <c r="I14" s="136"/>
      <c r="J14" s="136"/>
    </row>
    <row r="15" spans="1:10">
      <c r="A15" s="18" t="s">
        <v>41</v>
      </c>
      <c r="B15" s="15"/>
      <c r="C15" s="18">
        <v>8438254</v>
      </c>
      <c r="D15" s="18"/>
      <c r="E15" s="140"/>
      <c r="G15" s="136"/>
      <c r="H15" s="136"/>
      <c r="I15" s="136"/>
      <c r="J15" s="136"/>
    </row>
    <row r="16" spans="1:10">
      <c r="A16" s="18"/>
      <c r="B16" s="15"/>
      <c r="C16" s="18"/>
      <c r="D16" s="18"/>
      <c r="G16" s="136"/>
      <c r="H16" s="136"/>
      <c r="I16" s="136"/>
      <c r="J16" s="136"/>
    </row>
    <row r="17" spans="1:10">
      <c r="A17" s="19" t="s">
        <v>6</v>
      </c>
      <c r="B17" s="15"/>
      <c r="C17" s="19">
        <f>SUM(C8:C15)</f>
        <v>5681972897</v>
      </c>
      <c r="D17" s="19"/>
      <c r="E17" s="140"/>
      <c r="G17" s="136"/>
      <c r="H17" s="136"/>
      <c r="I17" s="136"/>
      <c r="J17" s="136"/>
    </row>
    <row r="18" spans="1:10">
      <c r="D18" s="140"/>
      <c r="E18" s="142"/>
      <c r="G18" s="136"/>
      <c r="H18" s="136"/>
      <c r="I18" s="136"/>
      <c r="J18" s="136"/>
    </row>
    <row r="19" spans="1:10">
      <c r="D19" s="141"/>
      <c r="G19" s="136"/>
      <c r="H19" s="136"/>
      <c r="I19" s="136"/>
      <c r="J19" s="136"/>
    </row>
    <row r="20" spans="1:10">
      <c r="G20" s="136"/>
      <c r="J20" s="136"/>
    </row>
    <row r="21" spans="1:10">
      <c r="G21" s="136"/>
    </row>
    <row r="22" spans="1:10">
      <c r="G22" s="136"/>
    </row>
  </sheetData>
  <customSheetViews>
    <customSheetView guid="{4EF176FC-448F-4BD8-8859-C810312E84E7}" fitToPage="1">
      <selection activeCell="N33" sqref="N33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Normal="100" workbookViewId="0">
      <pane ySplit="4" topLeftCell="A5" activePane="bottomLeft" state="frozen"/>
      <selection pane="bottomLeft" activeCell="S28" sqref="S28"/>
    </sheetView>
  </sheetViews>
  <sheetFormatPr defaultColWidth="8.85546875" defaultRowHeight="12.75"/>
  <cols>
    <col min="1" max="1" width="10.7109375" style="178" customWidth="1"/>
    <col min="2" max="2" width="5" style="179" bestFit="1" customWidth="1"/>
    <col min="3" max="3" width="0.28515625" style="178" customWidth="1"/>
    <col min="4" max="4" width="12.7109375" style="178" customWidth="1"/>
    <col min="5" max="5" width="0.28515625" style="178" customWidth="1"/>
    <col min="6" max="6" width="15.7109375" style="178" customWidth="1"/>
    <col min="7" max="7" width="0.28515625" style="178" customWidth="1"/>
    <col min="8" max="8" width="12.85546875" style="178" customWidth="1"/>
    <col min="9" max="9" width="0.28515625" style="178" customWidth="1"/>
    <col min="10" max="10" width="12.7109375" style="178" customWidth="1"/>
    <col min="11" max="11" width="3.7109375" style="178" customWidth="1"/>
    <col min="12" max="12" width="0.28515625" style="178" customWidth="1"/>
    <col min="13" max="13" width="12.7109375" style="178" customWidth="1"/>
    <col min="14" max="14" width="0.28515625" style="178" customWidth="1"/>
    <col min="15" max="15" width="9.7109375" style="178" customWidth="1"/>
    <col min="16" max="16" width="0.28515625" style="178" customWidth="1"/>
    <col min="17" max="17" width="3.7109375" style="178" customWidth="1"/>
    <col min="18" max="18" width="0.28515625" style="178" customWidth="1"/>
    <col min="19" max="19" width="12" style="178" bestFit="1" customWidth="1"/>
    <col min="20" max="20" width="2.28515625" style="178" customWidth="1"/>
    <col min="21" max="16384" width="8.85546875" style="178"/>
  </cols>
  <sheetData>
    <row r="1" spans="2:20" ht="15" customHeight="1">
      <c r="B1" s="350" t="s">
        <v>72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2:20" ht="14.45" customHeight="1">
      <c r="B2" s="351" t="s">
        <v>108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</row>
    <row r="4" spans="2:20">
      <c r="J4" s="179" t="s">
        <v>45</v>
      </c>
    </row>
    <row r="5" spans="2:20" ht="13.5" thickBot="1">
      <c r="B5" s="181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</row>
    <row r="6" spans="2:20" ht="30" customHeight="1" thickBot="1">
      <c r="B6" s="183" t="s">
        <v>46</v>
      </c>
      <c r="C6" s="184"/>
      <c r="D6" s="185" t="s">
        <v>47</v>
      </c>
      <c r="E6" s="186"/>
      <c r="F6" s="187" t="s">
        <v>48</v>
      </c>
      <c r="G6" s="186"/>
      <c r="H6" s="187" t="s">
        <v>49</v>
      </c>
      <c r="I6" s="186"/>
      <c r="J6" s="187" t="s">
        <v>50</v>
      </c>
      <c r="K6" s="188"/>
      <c r="L6" s="186"/>
      <c r="M6" s="187" t="s">
        <v>51</v>
      </c>
      <c r="N6" s="189"/>
      <c r="O6" s="190" t="s">
        <v>52</v>
      </c>
      <c r="P6" s="190"/>
      <c r="Q6" s="189"/>
      <c r="R6" s="189"/>
      <c r="S6" s="191" t="s">
        <v>53</v>
      </c>
      <c r="T6" s="192"/>
    </row>
    <row r="7" spans="2:20" ht="30" customHeight="1" thickBot="1">
      <c r="B7" s="193"/>
      <c r="C7" s="194"/>
      <c r="D7" s="195"/>
      <c r="E7" s="194"/>
      <c r="F7" s="196" t="s">
        <v>99</v>
      </c>
      <c r="G7" s="194"/>
      <c r="H7" s="195"/>
      <c r="I7" s="194"/>
      <c r="J7" s="195"/>
      <c r="K7" s="197"/>
      <c r="L7" s="194"/>
      <c r="M7" s="195"/>
      <c r="N7" s="198"/>
      <c r="O7" s="199"/>
      <c r="P7" s="199"/>
      <c r="Q7" s="198"/>
      <c r="R7" s="198"/>
      <c r="S7" s="200"/>
      <c r="T7" s="192"/>
    </row>
    <row r="8" spans="2:20" ht="12.75" customHeight="1">
      <c r="B8" s="201"/>
      <c r="C8" s="202"/>
      <c r="D8" s="202"/>
      <c r="E8" s="202"/>
      <c r="F8" s="202"/>
      <c r="G8" s="202"/>
      <c r="H8" s="202"/>
      <c r="I8" s="202"/>
      <c r="J8" s="202"/>
      <c r="K8" s="203"/>
      <c r="L8" s="202"/>
      <c r="M8" s="202"/>
      <c r="N8" s="202"/>
      <c r="O8" s="202"/>
      <c r="P8" s="202"/>
      <c r="Q8" s="202"/>
      <c r="R8" s="202"/>
      <c r="S8" s="204"/>
      <c r="T8" s="182"/>
    </row>
    <row r="9" spans="2:20" ht="15" customHeight="1">
      <c r="B9" s="205">
        <v>1</v>
      </c>
      <c r="C9" s="198"/>
      <c r="D9" s="198" t="s">
        <v>54</v>
      </c>
      <c r="E9" s="198"/>
      <c r="F9" s="206">
        <v>648913758</v>
      </c>
      <c r="G9" s="198"/>
      <c r="H9" s="207">
        <f>ROUND(F9/$F$14,4)-0.01</f>
        <v>0.53449999999999998</v>
      </c>
      <c r="I9" s="198"/>
      <c r="J9" s="208">
        <v>4.36E-2</v>
      </c>
      <c r="K9" s="209"/>
      <c r="L9" s="198"/>
      <c r="M9" s="207">
        <f>ROUND(H9*J9,4)</f>
        <v>2.3300000000000001E-2</v>
      </c>
      <c r="N9" s="198"/>
      <c r="O9" s="210">
        <f>O38</f>
        <v>1.005425</v>
      </c>
      <c r="P9" s="198"/>
      <c r="Q9" s="211"/>
      <c r="R9" s="198"/>
      <c r="S9" s="212">
        <f>ROUND(M9*O9,6)</f>
        <v>2.3425999999999999E-2</v>
      </c>
      <c r="T9" s="213"/>
    </row>
    <row r="10" spans="2:20" ht="15">
      <c r="B10" s="205">
        <f>+B9+1</f>
        <v>2</v>
      </c>
      <c r="C10" s="198"/>
      <c r="D10" s="198" t="s">
        <v>55</v>
      </c>
      <c r="E10" s="198"/>
      <c r="F10" s="206">
        <v>0</v>
      </c>
      <c r="G10" s="198"/>
      <c r="H10" s="207">
        <v>3.2000000000000001E-2</v>
      </c>
      <c r="I10" s="198"/>
      <c r="J10" s="208">
        <v>1.2500000000000001E-2</v>
      </c>
      <c r="K10" s="209"/>
      <c r="L10" s="198"/>
      <c r="M10" s="207">
        <f>ROUND(H10*J10,4)</f>
        <v>4.0000000000000002E-4</v>
      </c>
      <c r="N10" s="198"/>
      <c r="O10" s="210">
        <f>O38</f>
        <v>1.005425</v>
      </c>
      <c r="P10" s="198"/>
      <c r="Q10" s="198"/>
      <c r="R10" s="198"/>
      <c r="S10" s="212">
        <f>ROUND(M10*O10,6)</f>
        <v>4.0200000000000001E-4</v>
      </c>
      <c r="T10" s="213"/>
    </row>
    <row r="11" spans="2:20" ht="33" customHeight="1">
      <c r="B11" s="205">
        <f>+B10+1</f>
        <v>3</v>
      </c>
      <c r="C11" s="198"/>
      <c r="D11" s="194" t="s">
        <v>56</v>
      </c>
      <c r="E11" s="198"/>
      <c r="F11" s="206">
        <v>46105009</v>
      </c>
      <c r="G11" s="198"/>
      <c r="H11" s="207">
        <v>1.67E-2</v>
      </c>
      <c r="I11" s="198"/>
      <c r="J11" s="208">
        <v>1.95E-2</v>
      </c>
      <c r="K11" s="209"/>
      <c r="L11" s="198"/>
      <c r="M11" s="207">
        <f>ROUND(H11*J11,4)</f>
        <v>2.9999999999999997E-4</v>
      </c>
      <c r="N11" s="198"/>
      <c r="O11" s="210">
        <f>O38</f>
        <v>1.005425</v>
      </c>
      <c r="P11" s="198"/>
      <c r="Q11" s="198"/>
      <c r="R11" s="198"/>
      <c r="S11" s="212">
        <f>ROUND(M11*O11,6)</f>
        <v>3.0200000000000002E-4</v>
      </c>
      <c r="T11" s="213"/>
    </row>
    <row r="12" spans="2:20" ht="15">
      <c r="B12" s="205">
        <f>+B11+1</f>
        <v>4</v>
      </c>
      <c r="C12" s="198"/>
      <c r="D12" s="198" t="s">
        <v>57</v>
      </c>
      <c r="E12" s="198"/>
      <c r="F12" s="206">
        <v>496766726</v>
      </c>
      <c r="G12" s="198"/>
      <c r="H12" s="207">
        <f>ROUND(F12/$F$14,4)</f>
        <v>0.4168</v>
      </c>
      <c r="I12" s="198"/>
      <c r="J12" s="214">
        <v>9.7000000000000003E-2</v>
      </c>
      <c r="K12" s="215" t="s">
        <v>58</v>
      </c>
      <c r="L12" s="198"/>
      <c r="M12" s="207">
        <f>ROUND(H12*J12,4)</f>
        <v>4.0399999999999998E-2</v>
      </c>
      <c r="N12" s="198"/>
      <c r="O12" s="216">
        <f>S38</f>
        <v>1.3521160000000001</v>
      </c>
      <c r="P12" s="198"/>
      <c r="Q12" s="217"/>
      <c r="R12" s="198"/>
      <c r="S12" s="212">
        <f>ROUND(M12*O12,6)</f>
        <v>5.4625E-2</v>
      </c>
      <c r="T12" s="213"/>
    </row>
    <row r="13" spans="2:20" ht="15">
      <c r="B13" s="205"/>
      <c r="C13" s="198"/>
      <c r="D13" s="198"/>
      <c r="E13" s="198"/>
      <c r="F13" s="206"/>
      <c r="G13" s="198"/>
      <c r="H13" s="218"/>
      <c r="I13" s="198"/>
      <c r="J13" s="219"/>
      <c r="K13" s="209"/>
      <c r="L13" s="198"/>
      <c r="M13" s="218"/>
      <c r="N13" s="198"/>
      <c r="O13" s="199"/>
      <c r="P13" s="198"/>
      <c r="Q13" s="198"/>
      <c r="R13" s="198"/>
      <c r="S13" s="220"/>
      <c r="T13" s="221"/>
    </row>
    <row r="14" spans="2:20" ht="15">
      <c r="B14" s="205">
        <f>+B12+1</f>
        <v>5</v>
      </c>
      <c r="C14" s="198"/>
      <c r="D14" s="198" t="s">
        <v>59</v>
      </c>
      <c r="E14" s="198"/>
      <c r="F14" s="222">
        <f>SUM(F9:F12)</f>
        <v>1191785493</v>
      </c>
      <c r="G14" s="198"/>
      <c r="H14" s="223">
        <f>SUM(H9:H12)</f>
        <v>1</v>
      </c>
      <c r="I14" s="198"/>
      <c r="J14" s="219"/>
      <c r="K14" s="209"/>
      <c r="L14" s="198"/>
      <c r="M14" s="223" t="s">
        <v>45</v>
      </c>
      <c r="N14" s="198"/>
      <c r="O14" s="198"/>
      <c r="P14" s="198"/>
      <c r="Q14" s="198"/>
      <c r="R14" s="198"/>
      <c r="S14" s="224">
        <f>SUM(S9:S13)</f>
        <v>7.8754999999999992E-2</v>
      </c>
      <c r="T14" s="225"/>
    </row>
    <row r="15" spans="2:20" ht="15">
      <c r="B15" s="205"/>
      <c r="C15" s="198"/>
      <c r="D15" s="198"/>
      <c r="E15" s="198"/>
      <c r="F15" s="198"/>
      <c r="G15" s="198"/>
      <c r="H15" s="198"/>
      <c r="I15" s="198"/>
      <c r="J15" s="198"/>
      <c r="K15" s="209"/>
      <c r="L15" s="198"/>
      <c r="M15" s="198"/>
      <c r="N15" s="198"/>
      <c r="O15" s="198"/>
      <c r="P15" s="198"/>
      <c r="Q15" s="198"/>
      <c r="R15" s="198"/>
      <c r="S15" s="226"/>
      <c r="T15" s="182"/>
    </row>
    <row r="16" spans="2:20" ht="15.75" thickBot="1">
      <c r="B16" s="227"/>
      <c r="C16" s="228"/>
      <c r="D16" s="228"/>
      <c r="E16" s="228"/>
      <c r="F16" s="228"/>
      <c r="G16" s="228"/>
      <c r="H16" s="228"/>
      <c r="I16" s="228"/>
      <c r="J16" s="228"/>
      <c r="K16" s="229"/>
      <c r="L16" s="228"/>
      <c r="M16" s="228"/>
      <c r="N16" s="228"/>
      <c r="O16" s="228"/>
      <c r="P16" s="228"/>
      <c r="Q16" s="228"/>
      <c r="R16" s="228"/>
      <c r="S16" s="230"/>
      <c r="T16" s="182"/>
    </row>
    <row r="17" spans="2:24" hidden="1">
      <c r="B17" s="23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1"/>
      <c r="Q17" s="182"/>
      <c r="R17" s="182"/>
      <c r="S17" s="232"/>
      <c r="T17" s="182"/>
    </row>
    <row r="18" spans="2:24" ht="12" hidden="1" customHeight="1">
      <c r="B18" s="23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1"/>
      <c r="Q18" s="182"/>
      <c r="R18" s="182"/>
      <c r="S18" s="232"/>
      <c r="T18" s="182"/>
    </row>
    <row r="19" spans="2:24" ht="12" customHeight="1"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1"/>
      <c r="Q19" s="182"/>
      <c r="R19" s="182"/>
      <c r="S19" s="182"/>
      <c r="T19" s="182"/>
    </row>
    <row r="20" spans="2:24" ht="12" customHeight="1"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1"/>
      <c r="Q20" s="182"/>
      <c r="R20" s="182"/>
      <c r="S20" s="182"/>
      <c r="T20" s="182"/>
    </row>
    <row r="21" spans="2:24" ht="12" customHeight="1"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233" t="s">
        <v>60</v>
      </c>
      <c r="P21" s="233"/>
      <c r="S21" s="233" t="s">
        <v>61</v>
      </c>
      <c r="T21" s="182"/>
    </row>
    <row r="22" spans="2:24" ht="15">
      <c r="B22" s="217">
        <v>6</v>
      </c>
      <c r="C22" s="198"/>
      <c r="D22" s="211" t="s">
        <v>62</v>
      </c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234">
        <v>100</v>
      </c>
      <c r="P22" s="198"/>
      <c r="Q22" s="198"/>
      <c r="R22" s="198"/>
      <c r="S22" s="235">
        <f>O22</f>
        <v>100</v>
      </c>
      <c r="T22" s="198"/>
      <c r="U22" s="236"/>
    </row>
    <row r="23" spans="2:24" ht="15">
      <c r="B23" s="217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7"/>
      <c r="T23" s="236"/>
      <c r="U23" s="236"/>
    </row>
    <row r="24" spans="2:24" ht="15">
      <c r="B24" s="217">
        <v>7</v>
      </c>
      <c r="C24" s="236"/>
      <c r="D24" s="238" t="s">
        <v>63</v>
      </c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9">
        <v>0.34</v>
      </c>
      <c r="P24" s="236"/>
      <c r="Q24" s="236"/>
      <c r="R24" s="236"/>
      <c r="S24" s="237">
        <f>O24</f>
        <v>0.34</v>
      </c>
      <c r="T24" s="236"/>
      <c r="U24" s="236"/>
    </row>
    <row r="25" spans="2:24" ht="15">
      <c r="B25" s="217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7"/>
      <c r="T25" s="236"/>
      <c r="U25" s="236"/>
    </row>
    <row r="26" spans="2:24" ht="15">
      <c r="B26" s="217">
        <v>8</v>
      </c>
      <c r="C26" s="236"/>
      <c r="D26" s="238" t="s">
        <v>64</v>
      </c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>
        <v>0.1996</v>
      </c>
      <c r="P26" s="236"/>
      <c r="Q26" s="236"/>
      <c r="R26" s="236"/>
      <c r="S26" s="237">
        <f>O26</f>
        <v>0.1996</v>
      </c>
      <c r="T26" s="236"/>
      <c r="U26" s="236"/>
    </row>
    <row r="27" spans="2:24" ht="15">
      <c r="B27" s="217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8" t="s">
        <v>45</v>
      </c>
      <c r="P27" s="236"/>
      <c r="Q27" s="236"/>
      <c r="R27" s="236"/>
      <c r="S27" s="237"/>
      <c r="T27" s="236"/>
      <c r="U27" s="236"/>
    </row>
    <row r="28" spans="2:24" ht="15">
      <c r="B28" s="217">
        <v>9</v>
      </c>
      <c r="C28" s="236"/>
      <c r="D28" s="238" t="s">
        <v>65</v>
      </c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9">
        <f>O22-O24-O26</f>
        <v>99.460399999999993</v>
      </c>
      <c r="P28" s="236"/>
      <c r="Q28" s="236"/>
      <c r="R28" s="236"/>
      <c r="S28" s="237">
        <f>S22-S24-S26</f>
        <v>99.460399999999993</v>
      </c>
      <c r="T28" s="236"/>
      <c r="U28" s="236"/>
    </row>
    <row r="29" spans="2:24" ht="15">
      <c r="B29" s="217"/>
      <c r="C29" s="236"/>
      <c r="D29" s="238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7"/>
      <c r="T29" s="236"/>
      <c r="U29" s="236"/>
      <c r="X29" s="178" t="s">
        <v>45</v>
      </c>
    </row>
    <row r="30" spans="2:24" ht="15">
      <c r="B30" s="217">
        <v>10</v>
      </c>
      <c r="C30" s="236"/>
      <c r="D30" s="240" t="s">
        <v>66</v>
      </c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41"/>
      <c r="P30" s="236"/>
      <c r="Q30" s="236"/>
      <c r="R30" s="236"/>
      <c r="S30" s="237">
        <f>ROUND(S28*0.058742,6)</f>
        <v>5.8425029999999998</v>
      </c>
      <c r="T30" s="236"/>
      <c r="U30" s="236"/>
    </row>
    <row r="31" spans="2:24" ht="15">
      <c r="B31" s="217"/>
      <c r="C31" s="236"/>
      <c r="D31" s="238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42"/>
      <c r="P31" s="236"/>
      <c r="Q31" s="236"/>
      <c r="R31" s="236"/>
      <c r="S31" s="237"/>
      <c r="T31" s="236"/>
      <c r="U31" s="236"/>
    </row>
    <row r="32" spans="2:24" ht="15">
      <c r="B32" s="217">
        <v>11</v>
      </c>
      <c r="C32" s="236"/>
      <c r="D32" s="240" t="s">
        <v>67</v>
      </c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42"/>
      <c r="P32" s="236"/>
      <c r="Q32" s="236"/>
      <c r="R32" s="236"/>
      <c r="S32" s="237">
        <f>S28-S30</f>
        <v>93.617896999999999</v>
      </c>
      <c r="T32" s="236"/>
      <c r="U32" s="236"/>
    </row>
    <row r="33" spans="1:23" ht="15">
      <c r="B33" s="217"/>
      <c r="C33" s="236"/>
      <c r="D33" s="238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7"/>
      <c r="T33" s="236"/>
      <c r="U33" s="236"/>
    </row>
    <row r="34" spans="1:23" ht="15">
      <c r="B34" s="217">
        <f>B32+1</f>
        <v>12</v>
      </c>
      <c r="C34" s="236"/>
      <c r="D34" s="240" t="s">
        <v>244</v>
      </c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43">
        <f>S32*0.21</f>
        <v>19.659758369999999</v>
      </c>
      <c r="T34" s="236"/>
      <c r="U34" s="236"/>
    </row>
    <row r="35" spans="1:23" ht="15">
      <c r="B35" s="217"/>
      <c r="C35" s="236"/>
      <c r="D35" s="240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7"/>
      <c r="T35" s="236"/>
      <c r="U35" s="236"/>
    </row>
    <row r="36" spans="1:23" ht="15">
      <c r="B36" s="217">
        <f>B34+1</f>
        <v>13</v>
      </c>
      <c r="C36" s="236"/>
      <c r="D36" s="240" t="s">
        <v>68</v>
      </c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7">
        <f>S32-S34</f>
        <v>73.958138630000008</v>
      </c>
      <c r="T36" s="236"/>
      <c r="U36" s="236"/>
    </row>
    <row r="37" spans="1:23" ht="15">
      <c r="B37" s="217"/>
      <c r="C37" s="236"/>
      <c r="D37" s="240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44"/>
      <c r="T37" s="236"/>
      <c r="U37" s="236"/>
    </row>
    <row r="38" spans="1:23" ht="15">
      <c r="B38" s="217">
        <f>B36+1</f>
        <v>14</v>
      </c>
      <c r="C38" s="236"/>
      <c r="D38" s="240" t="s">
        <v>69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54">
        <f>ROUND(100/O28,6)</f>
        <v>1.005425</v>
      </c>
      <c r="P38" s="236"/>
      <c r="Q38" s="236"/>
      <c r="R38" s="236"/>
      <c r="S38" s="245">
        <f>ROUND(100/S36,6)</f>
        <v>1.3521160000000001</v>
      </c>
      <c r="T38" s="236"/>
      <c r="U38" s="236"/>
    </row>
    <row r="39" spans="1:23" ht="15">
      <c r="B39" s="217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44"/>
      <c r="T39" s="236"/>
      <c r="U39" s="236"/>
    </row>
    <row r="40" spans="1:23">
      <c r="A40" s="180"/>
      <c r="B40" s="246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7"/>
      <c r="T40" s="240"/>
      <c r="U40" s="240"/>
      <c r="V40" s="180"/>
      <c r="W40" s="180"/>
    </row>
    <row r="41" spans="1:23">
      <c r="A41" s="241" t="s">
        <v>45</v>
      </c>
      <c r="B41" s="246"/>
      <c r="C41" s="240"/>
      <c r="D41" s="180" t="s">
        <v>45</v>
      </c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7"/>
      <c r="T41" s="240"/>
      <c r="U41" s="240"/>
      <c r="V41" s="180"/>
      <c r="W41" s="180"/>
    </row>
    <row r="42" spans="1:23">
      <c r="A42" s="248" t="s">
        <v>45</v>
      </c>
      <c r="B42" s="249"/>
      <c r="C42" s="250" t="s">
        <v>70</v>
      </c>
      <c r="D42" s="250" t="s">
        <v>45</v>
      </c>
      <c r="E42" s="250"/>
      <c r="F42" s="250"/>
      <c r="G42" s="250"/>
      <c r="H42" s="180"/>
      <c r="I42" s="180"/>
      <c r="J42" s="180"/>
      <c r="K42" s="180"/>
      <c r="L42" s="180"/>
      <c r="M42" s="180"/>
      <c r="N42" s="180"/>
      <c r="O42" s="240"/>
      <c r="P42" s="240"/>
      <c r="Q42" s="240"/>
      <c r="R42" s="240"/>
      <c r="S42" s="240"/>
      <c r="T42" s="240"/>
      <c r="U42" s="240"/>
      <c r="V42" s="180"/>
      <c r="W42" s="180"/>
    </row>
    <row r="43" spans="1:23">
      <c r="B43" s="242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</row>
    <row r="44" spans="1:23">
      <c r="B44" s="242"/>
      <c r="C44" s="236"/>
      <c r="D44" s="236"/>
      <c r="E44" s="236"/>
      <c r="F44" s="236"/>
      <c r="G44" s="236"/>
      <c r="H44" s="236"/>
      <c r="I44" s="198"/>
      <c r="J44" s="198" t="s">
        <v>71</v>
      </c>
      <c r="K44" s="198"/>
      <c r="L44" s="198"/>
      <c r="M44" s="198"/>
      <c r="N44" s="198"/>
      <c r="O44" s="207"/>
      <c r="P44" s="199"/>
      <c r="Q44" s="198"/>
      <c r="R44" s="198"/>
      <c r="S44" s="198"/>
      <c r="T44" s="198"/>
      <c r="U44" s="236"/>
    </row>
    <row r="45" spans="1:23">
      <c r="B45" s="242"/>
      <c r="C45" s="236"/>
      <c r="D45" s="236"/>
      <c r="E45" s="236"/>
      <c r="F45" s="236"/>
      <c r="G45" s="236"/>
      <c r="H45" s="236"/>
      <c r="I45" s="198"/>
      <c r="J45" s="198"/>
      <c r="K45" s="198"/>
      <c r="L45" s="198"/>
      <c r="M45" s="198"/>
      <c r="N45" s="198"/>
      <c r="O45" s="198"/>
      <c r="P45" s="199"/>
      <c r="Q45" s="198"/>
      <c r="R45" s="198"/>
      <c r="S45" s="198"/>
      <c r="T45" s="198"/>
      <c r="U45" s="236"/>
    </row>
    <row r="46" spans="1:23">
      <c r="B46" s="242"/>
      <c r="C46" s="236"/>
      <c r="D46" s="236"/>
      <c r="E46" s="236"/>
      <c r="F46" s="236"/>
      <c r="G46" s="236"/>
      <c r="H46" s="236"/>
      <c r="I46" s="198"/>
      <c r="J46" s="198"/>
      <c r="K46" s="198"/>
      <c r="L46" s="198"/>
      <c r="M46" s="198"/>
      <c r="N46" s="198"/>
      <c r="O46" s="198"/>
      <c r="P46" s="199"/>
      <c r="Q46" s="198"/>
      <c r="R46" s="198"/>
      <c r="S46" s="198"/>
      <c r="T46" s="198"/>
      <c r="U46" s="236"/>
    </row>
    <row r="47" spans="1:23">
      <c r="B47" s="242"/>
      <c r="C47" s="236"/>
      <c r="D47" s="236"/>
      <c r="E47" s="236"/>
      <c r="F47" s="236"/>
      <c r="G47" s="236"/>
      <c r="H47" s="236"/>
      <c r="I47" s="198"/>
      <c r="J47" s="198"/>
      <c r="K47" s="198"/>
      <c r="L47" s="198"/>
      <c r="M47" s="198"/>
      <c r="N47" s="198"/>
      <c r="O47" s="198"/>
      <c r="P47" s="199"/>
      <c r="Q47" s="198"/>
      <c r="R47" s="198"/>
      <c r="S47" s="198"/>
      <c r="T47" s="198"/>
      <c r="U47" s="236"/>
    </row>
    <row r="48" spans="1:23">
      <c r="B48" s="242"/>
      <c r="C48" s="236"/>
      <c r="D48" s="236"/>
      <c r="E48" s="236"/>
      <c r="F48" s="236"/>
      <c r="G48" s="236"/>
      <c r="H48" s="236"/>
      <c r="I48" s="198"/>
      <c r="J48" s="198"/>
      <c r="K48" s="198"/>
      <c r="L48" s="198"/>
      <c r="M48" s="198"/>
      <c r="N48" s="198"/>
      <c r="O48" s="198"/>
      <c r="P48" s="199"/>
      <c r="Q48" s="198"/>
      <c r="R48" s="198"/>
      <c r="S48" s="198"/>
      <c r="T48" s="198"/>
      <c r="U48" s="236"/>
    </row>
    <row r="49" spans="2:21">
      <c r="B49" s="242"/>
      <c r="C49" s="236"/>
      <c r="D49" s="236"/>
      <c r="E49" s="236"/>
      <c r="F49" s="236"/>
      <c r="G49" s="236"/>
      <c r="H49" s="236"/>
      <c r="I49" s="198"/>
      <c r="J49" s="198"/>
      <c r="K49" s="198"/>
      <c r="L49" s="198"/>
      <c r="M49" s="198"/>
      <c r="N49" s="198"/>
      <c r="O49" s="198"/>
      <c r="P49" s="199"/>
      <c r="Q49" s="198"/>
      <c r="R49" s="198"/>
      <c r="S49" s="198"/>
      <c r="T49" s="198"/>
      <c r="U49" s="236"/>
    </row>
    <row r="50" spans="2:21">
      <c r="B50" s="24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</row>
    <row r="51" spans="2:21">
      <c r="B51" s="251" t="s">
        <v>45</v>
      </c>
      <c r="C51" s="252"/>
      <c r="D51" s="198"/>
      <c r="E51" s="198"/>
      <c r="F51" s="198"/>
      <c r="G51" s="198"/>
      <c r="H51" s="198"/>
    </row>
    <row r="53" spans="2:21">
      <c r="B53" s="252"/>
      <c r="C53" s="252"/>
      <c r="D53" s="198"/>
      <c r="E53" s="198"/>
      <c r="F53" s="198"/>
      <c r="G53" s="198"/>
      <c r="H53" s="198"/>
    </row>
    <row r="54" spans="2:21">
      <c r="B54" s="242"/>
      <c r="C54" s="236"/>
      <c r="D54" s="236"/>
      <c r="E54" s="236"/>
      <c r="F54" s="236"/>
      <c r="G54" s="236"/>
      <c r="H54" s="236"/>
    </row>
  </sheetData>
  <customSheetViews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2">
    <mergeCell ref="B1:S1"/>
    <mergeCell ref="B2:S2"/>
  </mergeCells>
  <printOptions horizontalCentered="1" verticalCentered="1"/>
  <pageMargins left="0" right="0" top="0" bottom="0.2" header="0" footer="0"/>
  <pageSetup scale="91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workbookViewId="0">
      <selection activeCell="B42" sqref="B42"/>
    </sheetView>
  </sheetViews>
  <sheetFormatPr defaultColWidth="9.140625" defaultRowHeight="15"/>
  <cols>
    <col min="1" max="1" width="2.5703125" style="23" customWidth="1"/>
    <col min="2" max="2" width="30.5703125" style="23" customWidth="1"/>
    <col min="3" max="3" width="23.28515625" style="23" bestFit="1" customWidth="1"/>
    <col min="4" max="4" width="19.42578125" style="23" bestFit="1" customWidth="1"/>
    <col min="5" max="5" width="17.140625" style="23" bestFit="1" customWidth="1"/>
    <col min="6" max="6" width="16.85546875" style="23" customWidth="1"/>
    <col min="7" max="7" width="21.85546875" style="23" customWidth="1"/>
    <col min="8" max="8" width="20.42578125" style="23" bestFit="1" customWidth="1"/>
    <col min="9" max="9" width="18" style="23" bestFit="1" customWidth="1"/>
    <col min="10" max="10" width="1.7109375" style="23" customWidth="1"/>
    <col min="11" max="11" width="15.28515625" style="23" customWidth="1"/>
    <col min="12" max="12" width="2.5703125" style="23" bestFit="1" customWidth="1"/>
    <col min="13" max="13" width="22.85546875" style="23" bestFit="1" customWidth="1"/>
    <col min="14" max="14" width="18.28515625" style="23" customWidth="1"/>
    <col min="15" max="15" width="17" style="23" customWidth="1"/>
    <col min="16" max="16" width="9.5703125" style="23" bestFit="1" customWidth="1"/>
    <col min="17" max="16384" width="9.140625" style="23"/>
  </cols>
  <sheetData>
    <row r="1" spans="2:14" ht="18">
      <c r="B1" s="335" t="s">
        <v>0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2:14" ht="18">
      <c r="B2" s="335" t="s">
        <v>96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2:14" ht="20.45" customHeight="1"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2:14" ht="15.6" customHeigh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1" t="s">
        <v>107</v>
      </c>
    </row>
    <row r="5" spans="2:14" s="26" customForma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4" s="26" customFormat="1" ht="15.75" thickBo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4" s="32" customFormat="1" ht="18">
      <c r="B7" s="27"/>
      <c r="C7" s="27"/>
      <c r="D7" s="27"/>
      <c r="E7" s="28"/>
      <c r="F7" s="29"/>
      <c r="G7" s="30" t="s">
        <v>3</v>
      </c>
      <c r="H7" s="30" t="s">
        <v>5</v>
      </c>
      <c r="I7" s="30" t="s">
        <v>6</v>
      </c>
      <c r="J7" s="31"/>
      <c r="K7" s="27"/>
      <c r="L7" s="27"/>
      <c r="M7" s="27"/>
    </row>
    <row r="8" spans="2:14" s="32" customFormat="1" ht="18">
      <c r="B8" s="27"/>
      <c r="C8" s="27"/>
      <c r="D8" s="27"/>
      <c r="E8" s="33" t="s">
        <v>10</v>
      </c>
      <c r="F8" s="34"/>
      <c r="G8" s="35"/>
      <c r="H8" s="35"/>
      <c r="I8" s="35"/>
      <c r="J8" s="36"/>
      <c r="K8" s="27"/>
      <c r="L8" s="27"/>
      <c r="M8" s="27"/>
    </row>
    <row r="9" spans="2:14" s="32" customFormat="1" ht="18.75" thickBot="1">
      <c r="C9" s="27"/>
      <c r="D9" s="27"/>
      <c r="E9" s="37" t="s">
        <v>7</v>
      </c>
      <c r="F9" s="38"/>
      <c r="G9" s="39">
        <f>'PPA Form 1.0'!D38</f>
        <v>-5052236.8894383451</v>
      </c>
      <c r="H9" s="39">
        <f>'PPA Form 1.0'!D39</f>
        <v>-117541.27853248637</v>
      </c>
      <c r="I9" s="39">
        <f>G9+H9</f>
        <v>-5169778.1679708315</v>
      </c>
      <c r="J9" s="40"/>
      <c r="K9" s="27"/>
      <c r="L9" s="27"/>
      <c r="M9" s="27"/>
    </row>
    <row r="10" spans="2:14" s="32" customFormat="1" ht="18">
      <c r="B10" s="27"/>
      <c r="C10" s="27"/>
      <c r="D10" s="27"/>
      <c r="E10" s="27"/>
      <c r="F10" s="41"/>
      <c r="G10" s="41"/>
      <c r="H10" s="41"/>
      <c r="I10" s="27"/>
      <c r="J10" s="27"/>
      <c r="K10" s="27"/>
      <c r="L10" s="27"/>
      <c r="M10" s="27"/>
    </row>
    <row r="11" spans="2:14" s="32" customFormat="1" ht="18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2:14" s="32" customFormat="1" ht="18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2:14" s="32" customFormat="1" ht="18">
      <c r="B13" s="42"/>
      <c r="E13" s="42"/>
      <c r="F13" s="42" t="s">
        <v>11</v>
      </c>
      <c r="G13" s="42" t="s">
        <v>12</v>
      </c>
      <c r="H13" s="42" t="s">
        <v>12</v>
      </c>
      <c r="K13" s="42"/>
      <c r="L13" s="42"/>
    </row>
    <row r="14" spans="2:14" s="32" customFormat="1" ht="18">
      <c r="B14" s="42"/>
      <c r="C14" s="42" t="s">
        <v>13</v>
      </c>
      <c r="D14" s="42" t="s">
        <v>13</v>
      </c>
      <c r="E14" s="42" t="s">
        <v>14</v>
      </c>
      <c r="F14" s="42" t="s">
        <v>3</v>
      </c>
      <c r="G14" s="42" t="s">
        <v>3</v>
      </c>
      <c r="H14" s="42" t="s">
        <v>5</v>
      </c>
      <c r="K14" s="42"/>
      <c r="L14" s="42"/>
    </row>
    <row r="15" spans="2:14" s="32" customFormat="1" ht="18">
      <c r="B15" s="42"/>
      <c r="C15" s="42" t="s">
        <v>15</v>
      </c>
      <c r="D15" s="42" t="s">
        <v>15</v>
      </c>
      <c r="E15" s="42" t="s">
        <v>16</v>
      </c>
      <c r="F15" s="42" t="s">
        <v>17</v>
      </c>
      <c r="G15" s="42" t="s">
        <v>18</v>
      </c>
      <c r="H15" s="42" t="s">
        <v>18</v>
      </c>
      <c r="I15" s="42" t="s">
        <v>19</v>
      </c>
      <c r="J15" s="42"/>
      <c r="K15" s="42" t="s">
        <v>20</v>
      </c>
      <c r="L15" s="42"/>
      <c r="M15" s="42" t="s">
        <v>21</v>
      </c>
    </row>
    <row r="16" spans="2:14" s="32" customFormat="1" ht="18">
      <c r="B16" s="43" t="s">
        <v>22</v>
      </c>
      <c r="C16" s="43" t="s">
        <v>284</v>
      </c>
      <c r="D16" s="43" t="s">
        <v>285</v>
      </c>
      <c r="E16" s="43" t="s">
        <v>23</v>
      </c>
      <c r="F16" s="43" t="s">
        <v>24</v>
      </c>
      <c r="G16" s="43" t="s">
        <v>25</v>
      </c>
      <c r="H16" s="43" t="s">
        <v>25</v>
      </c>
      <c r="I16" s="43" t="s">
        <v>26</v>
      </c>
      <c r="J16" s="43"/>
      <c r="K16" s="43" t="s">
        <v>26</v>
      </c>
      <c r="L16" s="43"/>
      <c r="M16" s="43" t="s">
        <v>27</v>
      </c>
      <c r="N16" s="43" t="s">
        <v>28</v>
      </c>
    </row>
    <row r="17" spans="2:14" s="32" customFormat="1" ht="18">
      <c r="B17" s="44">
        <v>-1</v>
      </c>
      <c r="C17" s="44">
        <v>-2</v>
      </c>
      <c r="D17" s="44">
        <v>-3</v>
      </c>
      <c r="E17" s="45">
        <v>-4</v>
      </c>
      <c r="F17" s="45" t="s">
        <v>29</v>
      </c>
      <c r="G17" s="44">
        <v>-6</v>
      </c>
      <c r="H17" s="44">
        <v>-7</v>
      </c>
      <c r="I17" s="45" t="s">
        <v>30</v>
      </c>
      <c r="J17" s="45"/>
      <c r="K17" s="45" t="s">
        <v>31</v>
      </c>
      <c r="L17" s="44"/>
      <c r="M17" s="44">
        <v>-10</v>
      </c>
      <c r="N17" s="45" t="s">
        <v>32</v>
      </c>
    </row>
    <row r="18" spans="2:14" s="32" customFormat="1" ht="18">
      <c r="C18" s="44"/>
      <c r="D18" s="44"/>
      <c r="E18" s="45"/>
      <c r="G18" s="44" t="s">
        <v>33</v>
      </c>
      <c r="H18" s="44" t="s">
        <v>34</v>
      </c>
      <c r="K18" s="44"/>
      <c r="L18" s="44"/>
      <c r="N18" s="45" t="s">
        <v>35</v>
      </c>
    </row>
    <row r="19" spans="2:14" s="32" customFormat="1" ht="18" customHeight="1"/>
    <row r="20" spans="2:14" s="32" customFormat="1" ht="22.5" customHeight="1">
      <c r="B20" s="32" t="s">
        <v>36</v>
      </c>
      <c r="C20" s="281">
        <f>'Input Sheet'!C8*$B$32</f>
        <v>1853115165.9166665</v>
      </c>
      <c r="D20" s="281"/>
      <c r="E20" s="47">
        <v>2.4090932437174979E-4</v>
      </c>
      <c r="F20" s="46">
        <f>ROUND(C20*E20,0)</f>
        <v>446433</v>
      </c>
      <c r="G20" s="48">
        <f t="shared" ref="G20:G27" si="0">ROUND(G$9*(F20/F$29),0)</f>
        <v>-2479866</v>
      </c>
      <c r="H20" s="48">
        <f t="shared" ref="H20:H27" si="1">ROUND(H$9*(C20/C$29),0)</f>
        <v>-41820</v>
      </c>
      <c r="I20" s="49">
        <f>ROUND(IF(D20&gt;0,G20/D20,0),2)</f>
        <v>0</v>
      </c>
      <c r="J20" s="46"/>
      <c r="K20" s="326">
        <f>ROUND(IF(D20&gt;0,H20/C20,(G20+H20)/C20),5)</f>
        <v>-1.3600000000000001E-3</v>
      </c>
      <c r="L20" s="51"/>
      <c r="M20" s="48">
        <f>(C20*K20)+(D20*I20)</f>
        <v>-2520236.6256466666</v>
      </c>
      <c r="N20" s="52">
        <f>M20-H20-G20</f>
        <v>1449.3743533333763</v>
      </c>
    </row>
    <row r="21" spans="2:14" s="32" customFormat="1" ht="19.899999999999999" customHeight="1">
      <c r="B21" s="32" t="s">
        <v>94</v>
      </c>
      <c r="C21" s="281">
        <f>'Input Sheet'!C9*$B$32</f>
        <v>543968660.58333325</v>
      </c>
      <c r="D21" s="281"/>
      <c r="E21" s="47">
        <v>1.96553E-4</v>
      </c>
      <c r="F21" s="46">
        <f>ROUND(C21*E21,0)</f>
        <v>106919</v>
      </c>
      <c r="G21" s="53">
        <f t="shared" si="0"/>
        <v>-593918</v>
      </c>
      <c r="H21" s="53">
        <f t="shared" si="1"/>
        <v>-12276</v>
      </c>
      <c r="I21" s="49">
        <f t="shared" ref="I21:I27" si="2">ROUND(IF(D21&gt;0,G21/D21,0),2)</f>
        <v>0</v>
      </c>
      <c r="J21" s="46"/>
      <c r="K21" s="50">
        <f>ROUND(IF(D21&gt;0,H21/C21,(G21+H21)/C21),5)</f>
        <v>-1.1100000000000001E-3</v>
      </c>
      <c r="L21" s="54"/>
      <c r="M21" s="53">
        <f t="shared" ref="M21:M27" si="3">(C21*K21)+(D21*I21)</f>
        <v>-603805.21324750001</v>
      </c>
      <c r="N21" s="52">
        <f t="shared" ref="N21:N27" si="4">M21-H21-G21</f>
        <v>2388.7867524999892</v>
      </c>
    </row>
    <row r="22" spans="2:14" s="32" customFormat="1" ht="19.899999999999999" customHeight="1">
      <c r="B22" s="32" t="s">
        <v>37</v>
      </c>
      <c r="C22" s="281">
        <f>'Input Sheet'!C10*$B$32</f>
        <v>556757915.08333325</v>
      </c>
      <c r="D22" s="281">
        <f>1892205*B32</f>
        <v>1734521.25</v>
      </c>
      <c r="E22" s="47">
        <v>1.7048015574931555E-4</v>
      </c>
      <c r="F22" s="46">
        <f t="shared" ref="F22:F27" si="5">ROUND(C22*E22,0)</f>
        <v>94916</v>
      </c>
      <c r="G22" s="53">
        <f t="shared" si="0"/>
        <v>-527244</v>
      </c>
      <c r="H22" s="53">
        <f t="shared" si="1"/>
        <v>-12565</v>
      </c>
      <c r="I22" s="49">
        <f t="shared" si="2"/>
        <v>-0.3</v>
      </c>
      <c r="J22" s="46"/>
      <c r="K22" s="50">
        <f>ROUND(IF(D22&gt;0,H22/C22,(G22+H22)/C22),5)</f>
        <v>-2.0000000000000002E-5</v>
      </c>
      <c r="L22" s="51"/>
      <c r="M22" s="53">
        <f t="shared" si="3"/>
        <v>-531491.53330166661</v>
      </c>
      <c r="N22" s="52">
        <f t="shared" si="4"/>
        <v>8317.4666983333882</v>
      </c>
    </row>
    <row r="23" spans="2:14" s="32" customFormat="1" ht="18">
      <c r="B23" s="32" t="s">
        <v>38</v>
      </c>
      <c r="C23" s="281">
        <f>'Input Sheet'!C11*$B$32</f>
        <v>1509425.5</v>
      </c>
      <c r="D23" s="281"/>
      <c r="E23" s="47">
        <v>1.7048015574931555E-4</v>
      </c>
      <c r="F23" s="46">
        <f t="shared" si="5"/>
        <v>257</v>
      </c>
      <c r="G23" s="53">
        <f t="shared" si="0"/>
        <v>-1428</v>
      </c>
      <c r="H23" s="53">
        <f t="shared" si="1"/>
        <v>-34</v>
      </c>
      <c r="I23" s="49">
        <f t="shared" si="2"/>
        <v>0</v>
      </c>
      <c r="J23" s="46"/>
      <c r="K23" s="50">
        <f t="shared" ref="K23:K27" si="6">ROUND(IF(D23&gt;0,H23/C23,(G23+H23)/C23),5)</f>
        <v>-9.7000000000000005E-4</v>
      </c>
      <c r="L23" s="54"/>
      <c r="M23" s="53">
        <f t="shared" si="3"/>
        <v>-1464.1427350000001</v>
      </c>
      <c r="N23" s="52">
        <f t="shared" si="4"/>
        <v>-2.1427350000001297</v>
      </c>
    </row>
    <row r="24" spans="2:14" s="32" customFormat="1" ht="21">
      <c r="B24" s="32" t="s">
        <v>95</v>
      </c>
      <c r="C24" s="281">
        <f>'Input Sheet'!C12*$B$32</f>
        <v>2205680509.083333</v>
      </c>
      <c r="D24" s="281">
        <f>4648453*B32</f>
        <v>4261081.916666666</v>
      </c>
      <c r="E24" s="47">
        <v>1.1822199999999999E-4</v>
      </c>
      <c r="F24" s="46">
        <f t="shared" si="5"/>
        <v>260760</v>
      </c>
      <c r="G24" s="53">
        <f t="shared" si="0"/>
        <v>-1448481</v>
      </c>
      <c r="H24" s="53">
        <f t="shared" si="1"/>
        <v>-49776</v>
      </c>
      <c r="I24" s="325">
        <f>ROUND(IF(D24&gt;0,G24/D24,0),2)</f>
        <v>-0.34</v>
      </c>
      <c r="J24" s="46"/>
      <c r="K24" s="50">
        <f>ROUND(IF(D24&gt;0,H24/C24,(G24+H24)/C24),5)</f>
        <v>-2.0000000000000002E-5</v>
      </c>
      <c r="L24" s="51"/>
      <c r="M24" s="53">
        <f t="shared" si="3"/>
        <v>-1492881.4618483332</v>
      </c>
      <c r="N24" s="52">
        <f t="shared" si="4"/>
        <v>5375.5381516667549</v>
      </c>
    </row>
    <row r="25" spans="2:14" s="32" customFormat="1" ht="18">
      <c r="B25" s="32" t="s">
        <v>39</v>
      </c>
      <c r="C25" s="281">
        <f>'Input Sheet'!C13*$B$32</f>
        <v>1729071.6666666665</v>
      </c>
      <c r="D25" s="281"/>
      <c r="E25" s="47">
        <v>1.3548038622656047E-4</v>
      </c>
      <c r="F25" s="46">
        <f t="shared" si="5"/>
        <v>234</v>
      </c>
      <c r="G25" s="53">
        <f t="shared" si="0"/>
        <v>-1300</v>
      </c>
      <c r="H25" s="53">
        <f t="shared" si="1"/>
        <v>-39</v>
      </c>
      <c r="I25" s="49">
        <f t="shared" si="2"/>
        <v>0</v>
      </c>
      <c r="J25" s="46"/>
      <c r="K25" s="50">
        <f t="shared" si="6"/>
        <v>-7.6999999999999996E-4</v>
      </c>
      <c r="L25" s="54"/>
      <c r="M25" s="53">
        <f t="shared" si="3"/>
        <v>-1331.3851833333331</v>
      </c>
      <c r="N25" s="52">
        <f t="shared" si="4"/>
        <v>7.6148166666669113</v>
      </c>
    </row>
    <row r="26" spans="2:14" s="32" customFormat="1" ht="18">
      <c r="B26" s="32" t="s">
        <v>40</v>
      </c>
      <c r="C26" s="281">
        <f>'Input Sheet'!C14*$B$32</f>
        <v>37979341.583333328</v>
      </c>
      <c r="D26" s="281"/>
      <c r="E26" s="47">
        <v>0</v>
      </c>
      <c r="F26" s="46">
        <f t="shared" si="5"/>
        <v>0</v>
      </c>
      <c r="G26" s="53">
        <f t="shared" si="0"/>
        <v>0</v>
      </c>
      <c r="H26" s="53">
        <f t="shared" si="1"/>
        <v>-857</v>
      </c>
      <c r="I26" s="49">
        <f t="shared" si="2"/>
        <v>0</v>
      </c>
      <c r="J26" s="46"/>
      <c r="K26" s="50">
        <f t="shared" si="6"/>
        <v>-2.0000000000000002E-5</v>
      </c>
      <c r="L26" s="54"/>
      <c r="M26" s="53">
        <f t="shared" si="3"/>
        <v>-759.58683166666663</v>
      </c>
      <c r="N26" s="52">
        <f t="shared" si="4"/>
        <v>97.413168333333374</v>
      </c>
    </row>
    <row r="27" spans="2:14" s="32" customFormat="1" ht="18">
      <c r="B27" s="32" t="s">
        <v>41</v>
      </c>
      <c r="C27" s="281">
        <f>'Input Sheet'!C15*$B$32</f>
        <v>7735066.166666666</v>
      </c>
      <c r="D27" s="281"/>
      <c r="E27" s="47">
        <v>0</v>
      </c>
      <c r="F27" s="46">
        <f t="shared" si="5"/>
        <v>0</v>
      </c>
      <c r="G27" s="53">
        <f t="shared" si="0"/>
        <v>0</v>
      </c>
      <c r="H27" s="53">
        <f t="shared" si="1"/>
        <v>-175</v>
      </c>
      <c r="I27" s="49">
        <f t="shared" si="2"/>
        <v>0</v>
      </c>
      <c r="J27" s="46"/>
      <c r="K27" s="50">
        <f t="shared" si="6"/>
        <v>-2.0000000000000002E-5</v>
      </c>
      <c r="L27" s="54"/>
      <c r="M27" s="53">
        <f t="shared" si="3"/>
        <v>-154.70132333333333</v>
      </c>
      <c r="N27" s="52">
        <f t="shared" si="4"/>
        <v>20.298676666666665</v>
      </c>
    </row>
    <row r="28" spans="2:14" s="32" customFormat="1" ht="18">
      <c r="C28" s="46"/>
      <c r="D28" s="46"/>
      <c r="E28" s="55"/>
      <c r="F28" s="46"/>
      <c r="G28" s="46"/>
      <c r="H28" s="46"/>
      <c r="I28" s="46"/>
      <c r="J28" s="46"/>
      <c r="M28" s="46"/>
      <c r="N28" s="46"/>
    </row>
    <row r="29" spans="2:14" s="32" customFormat="1" ht="18">
      <c r="B29" s="56" t="s">
        <v>6</v>
      </c>
      <c r="C29" s="57">
        <f>SUM(C20:C27)</f>
        <v>5208475155.583333</v>
      </c>
      <c r="D29" s="57">
        <f>SUM(D20:D27)</f>
        <v>5995603.166666666</v>
      </c>
      <c r="E29" s="58"/>
      <c r="F29" s="57">
        <f>SUM(F20:F27)</f>
        <v>909519</v>
      </c>
      <c r="G29" s="59">
        <f>SUM(G20:G27)</f>
        <v>-5052237</v>
      </c>
      <c r="H29" s="59">
        <f>SUM(H20:H27)</f>
        <v>-117542</v>
      </c>
      <c r="I29" s="59"/>
      <c r="J29" s="59"/>
      <c r="K29" s="56"/>
      <c r="L29" s="56"/>
      <c r="M29" s="59">
        <f>SUM(M20:M27)</f>
        <v>-5152124.6501174998</v>
      </c>
      <c r="N29" s="59">
        <f>SUM(N20:N27)</f>
        <v>17654.349882500173</v>
      </c>
    </row>
    <row r="30" spans="2:14" s="26" customFormat="1">
      <c r="C30" s="60"/>
      <c r="D30" s="60"/>
      <c r="M30" s="61"/>
      <c r="N30" s="61"/>
    </row>
    <row r="31" spans="2:14" s="26" customFormat="1">
      <c r="B31" s="26" t="s">
        <v>286</v>
      </c>
      <c r="M31" s="62"/>
    </row>
    <row r="32" spans="2:14" s="63" customFormat="1" ht="12.75">
      <c r="B32" s="330">
        <f>11/12</f>
        <v>0.91666666666666663</v>
      </c>
      <c r="N32" s="258"/>
    </row>
    <row r="33" spans="1:8" s="63" customFormat="1" ht="14.25">
      <c r="A33" s="64"/>
      <c r="H33" s="65"/>
    </row>
    <row r="34" spans="1:8" s="63" customFormat="1" ht="14.25">
      <c r="A34" s="66"/>
    </row>
    <row r="35" spans="1:8" s="26" customFormat="1"/>
    <row r="36" spans="1:8" s="26" customFormat="1"/>
    <row r="37" spans="1:8" s="26" customFormat="1"/>
  </sheetData>
  <customSheetViews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2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4" zoomScaleNormal="100" workbookViewId="0">
      <selection activeCell="E39" sqref="E39"/>
    </sheetView>
  </sheetViews>
  <sheetFormatPr defaultColWidth="9.140625" defaultRowHeight="15"/>
  <cols>
    <col min="1" max="1" width="17.42578125" style="23" customWidth="1"/>
    <col min="2" max="2" width="52.42578125" style="23" customWidth="1"/>
    <col min="3" max="3" width="34.28515625" style="23" customWidth="1"/>
    <col min="4" max="4" width="4.140625" style="23" customWidth="1"/>
    <col min="5" max="5" width="15.28515625" style="23" bestFit="1" customWidth="1"/>
    <col min="6" max="6" width="17.5703125" style="23" bestFit="1" customWidth="1"/>
    <col min="7" max="7" width="18" style="23" customWidth="1"/>
    <col min="8" max="8" width="10.140625" style="23" bestFit="1" customWidth="1"/>
    <col min="9" max="9" width="14.42578125" style="23" bestFit="1" customWidth="1"/>
    <col min="10" max="10" width="12.140625" style="23" bestFit="1" customWidth="1"/>
    <col min="11" max="16384" width="9.140625" style="23"/>
  </cols>
  <sheetData>
    <row r="1" spans="1:7">
      <c r="A1" s="336" t="s">
        <v>45</v>
      </c>
      <c r="B1" s="336"/>
      <c r="C1" s="336"/>
      <c r="D1" s="336"/>
      <c r="E1" s="336"/>
      <c r="F1" s="336"/>
      <c r="G1" s="97" t="s">
        <v>87</v>
      </c>
    </row>
    <row r="2" spans="1:7">
      <c r="A2" s="336" t="s">
        <v>0</v>
      </c>
      <c r="B2" s="336"/>
      <c r="C2" s="336"/>
      <c r="D2" s="336"/>
      <c r="E2" s="336"/>
      <c r="F2" s="336"/>
      <c r="G2" s="336"/>
    </row>
    <row r="3" spans="1:7">
      <c r="A3" s="336" t="s">
        <v>105</v>
      </c>
      <c r="B3" s="336"/>
      <c r="C3" s="336"/>
      <c r="D3" s="336"/>
      <c r="E3" s="336"/>
      <c r="F3" s="336"/>
      <c r="G3" s="336"/>
    </row>
    <row r="4" spans="1:7" ht="14.45" customHeight="1">
      <c r="A4" s="337" t="s">
        <v>262</v>
      </c>
      <c r="B4" s="337"/>
      <c r="C4" s="337"/>
      <c r="D4" s="337"/>
      <c r="E4" s="337"/>
      <c r="F4" s="337"/>
      <c r="G4" s="337"/>
    </row>
    <row r="5" spans="1:7">
      <c r="A5" s="334"/>
      <c r="B5" s="334"/>
      <c r="C5" s="334"/>
      <c r="D5" s="334"/>
      <c r="E5" s="334"/>
      <c r="F5" s="334"/>
      <c r="G5" s="334"/>
    </row>
    <row r="8" spans="1:7" ht="15" customHeight="1">
      <c r="F8" s="98"/>
      <c r="G8" s="98"/>
    </row>
    <row r="10" spans="1:7">
      <c r="A10" s="96" t="s">
        <v>83</v>
      </c>
      <c r="B10" s="96" t="s">
        <v>2</v>
      </c>
      <c r="C10" s="96" t="s">
        <v>88</v>
      </c>
      <c r="D10" s="99"/>
      <c r="E10" s="96" t="s">
        <v>86</v>
      </c>
      <c r="F10" s="96" t="s">
        <v>17</v>
      </c>
      <c r="G10" s="96" t="s">
        <v>101</v>
      </c>
    </row>
    <row r="11" spans="1:7">
      <c r="A11" s="100">
        <v>4561005</v>
      </c>
      <c r="B11" s="23" t="s">
        <v>140</v>
      </c>
      <c r="C11" s="101">
        <f>'PPA Form 3.0a'!P20</f>
        <v>-546447.06999999995</v>
      </c>
      <c r="E11" s="23" t="s">
        <v>3</v>
      </c>
      <c r="F11" s="102">
        <v>1</v>
      </c>
      <c r="G11" s="101">
        <f>F11*C11</f>
        <v>-546447.06999999995</v>
      </c>
    </row>
    <row r="12" spans="1:7" ht="14.45" customHeight="1">
      <c r="A12" s="100">
        <v>4561002</v>
      </c>
      <c r="B12" s="23" t="s">
        <v>141</v>
      </c>
      <c r="C12" s="101">
        <f>'PPA Form 3.0a'!P21</f>
        <v>126021.93000000001</v>
      </c>
      <c r="E12" s="23" t="s">
        <v>3</v>
      </c>
      <c r="F12" s="102">
        <v>1</v>
      </c>
      <c r="G12" s="101">
        <f t="shared" ref="G12:G21" si="0">F12*C12</f>
        <v>126021.93000000001</v>
      </c>
    </row>
    <row r="13" spans="1:7">
      <c r="A13" s="100" t="s">
        <v>111</v>
      </c>
      <c r="B13" s="23" t="s">
        <v>77</v>
      </c>
      <c r="C13" s="101">
        <f>'PPA Form 3.0a'!P22</f>
        <v>37432196.649999991</v>
      </c>
      <c r="E13" s="23" t="s">
        <v>3</v>
      </c>
      <c r="F13" s="102">
        <v>1</v>
      </c>
      <c r="G13" s="101">
        <f t="shared" si="0"/>
        <v>37432196.649999991</v>
      </c>
    </row>
    <row r="14" spans="1:7" ht="14.45" customHeight="1">
      <c r="A14" s="100" t="s">
        <v>112</v>
      </c>
      <c r="B14" s="23" t="s">
        <v>78</v>
      </c>
      <c r="C14" s="101">
        <f>'PPA Form 3.0a'!P23</f>
        <v>363477.11999999994</v>
      </c>
      <c r="E14" s="23" t="s">
        <v>5</v>
      </c>
      <c r="F14" s="102">
        <v>1</v>
      </c>
      <c r="G14" s="101">
        <f t="shared" si="0"/>
        <v>363477.11999999994</v>
      </c>
    </row>
    <row r="15" spans="1:7">
      <c r="A15" s="100" t="s">
        <v>113</v>
      </c>
      <c r="B15" s="23" t="s">
        <v>79</v>
      </c>
      <c r="C15" s="101">
        <f>'PPA Form 3.0a'!P24</f>
        <v>1045849.7400000001</v>
      </c>
      <c r="E15" s="23" t="s">
        <v>3</v>
      </c>
      <c r="F15" s="102">
        <v>1</v>
      </c>
      <c r="G15" s="101">
        <f t="shared" si="0"/>
        <v>1045849.7400000001</v>
      </c>
    </row>
    <row r="16" spans="1:7" ht="14.45" customHeight="1">
      <c r="A16" s="100">
        <v>5650012</v>
      </c>
      <c r="B16" s="23" t="s">
        <v>80</v>
      </c>
      <c r="C16" s="87">
        <f>'PPA Form 3.0a'!P25</f>
        <v>-7762041.5700000003</v>
      </c>
      <c r="E16" s="23" t="s">
        <v>3</v>
      </c>
      <c r="F16" s="102">
        <v>1</v>
      </c>
      <c r="G16" s="101">
        <f t="shared" si="0"/>
        <v>-7762041.5700000003</v>
      </c>
    </row>
    <row r="17" spans="1:10" ht="14.45" customHeight="1">
      <c r="A17" s="100">
        <v>5650016</v>
      </c>
      <c r="B17" s="23" t="s">
        <v>81</v>
      </c>
      <c r="C17" s="87">
        <f>'PPA Form 3.0a'!P26</f>
        <v>30312116.119999997</v>
      </c>
      <c r="E17" s="23" t="s">
        <v>3</v>
      </c>
      <c r="F17" s="102">
        <v>1</v>
      </c>
      <c r="G17" s="101">
        <f t="shared" si="0"/>
        <v>30312116.119999997</v>
      </c>
    </row>
    <row r="18" spans="1:10" ht="14.45" customHeight="1">
      <c r="A18" s="100">
        <v>5650019</v>
      </c>
      <c r="B18" s="23" t="s">
        <v>82</v>
      </c>
      <c r="C18" s="87">
        <f>'PPA Form 3.0a'!P27</f>
        <v>5732372.2699999996</v>
      </c>
      <c r="D18" s="73"/>
      <c r="E18" s="73" t="s">
        <v>3</v>
      </c>
      <c r="F18" s="103">
        <v>1</v>
      </c>
      <c r="G18" s="101">
        <f t="shared" si="0"/>
        <v>5732372.2699999996</v>
      </c>
    </row>
    <row r="19" spans="1:10" ht="14.45" customHeight="1">
      <c r="A19" s="100">
        <v>5650021</v>
      </c>
      <c r="B19" s="104" t="s">
        <v>225</v>
      </c>
      <c r="C19" s="105">
        <f>'PPA Form 3.0a'!P18</f>
        <v>217992.62</v>
      </c>
      <c r="D19" s="73"/>
      <c r="E19" s="73" t="s">
        <v>3</v>
      </c>
      <c r="F19" s="103">
        <v>1</v>
      </c>
      <c r="G19" s="101">
        <f t="shared" si="0"/>
        <v>217992.62</v>
      </c>
    </row>
    <row r="20" spans="1:10" ht="14.45" customHeight="1">
      <c r="A20" s="100" t="s">
        <v>269</v>
      </c>
      <c r="B20" s="262" t="s">
        <v>226</v>
      </c>
      <c r="C20" s="105">
        <f>'PPA Form 3.0a'!P19</f>
        <v>95965.27900000001</v>
      </c>
      <c r="D20" s="73"/>
      <c r="E20" s="261" t="s">
        <v>5</v>
      </c>
      <c r="F20" s="103">
        <v>1</v>
      </c>
      <c r="G20" s="101">
        <f t="shared" si="0"/>
        <v>95965.27900000001</v>
      </c>
    </row>
    <row r="21" spans="1:10" ht="14.45" customHeight="1">
      <c r="A21" s="100"/>
      <c r="C21" s="105"/>
      <c r="E21" s="73"/>
      <c r="F21" s="103"/>
      <c r="G21" s="101">
        <f t="shared" si="0"/>
        <v>0</v>
      </c>
    </row>
    <row r="22" spans="1:10" s="91" customFormat="1" ht="15.75" thickBot="1">
      <c r="A22" s="91" t="s">
        <v>102</v>
      </c>
      <c r="C22" s="106"/>
      <c r="F22" s="107"/>
      <c r="G22" s="322">
        <f>SUM(G11:G21)</f>
        <v>67017503.088999979</v>
      </c>
    </row>
    <row r="23" spans="1:10" s="91" customFormat="1" ht="15.75" thickTop="1">
      <c r="A23" s="91" t="s">
        <v>75</v>
      </c>
      <c r="B23" s="23"/>
      <c r="F23" s="107"/>
      <c r="G23" s="106">
        <f>'PPA Form 3.0a'!P15</f>
        <v>74038517.030000016</v>
      </c>
      <c r="H23" s="108"/>
    </row>
    <row r="24" spans="1:10" s="91" customFormat="1" ht="15.75" thickBot="1">
      <c r="A24" s="91" t="s">
        <v>175</v>
      </c>
      <c r="F24" s="107"/>
      <c r="G24" s="323">
        <f>'PPA Form 3.0a'!P31</f>
        <v>-7021013.9409999941</v>
      </c>
    </row>
    <row r="25" spans="1:10" s="91" customFormat="1" ht="15.75" thickTop="1">
      <c r="A25" s="91" t="s">
        <v>174</v>
      </c>
      <c r="F25" s="107"/>
      <c r="G25" s="106">
        <f>G24*0.8</f>
        <v>-5616811.1527999956</v>
      </c>
      <c r="I25" s="319"/>
    </row>
    <row r="26" spans="1:10" s="91" customFormat="1" ht="15.75" thickBot="1">
      <c r="A26" s="91" t="s">
        <v>176</v>
      </c>
      <c r="F26" s="107"/>
      <c r="G26" s="322">
        <f>G25</f>
        <v>-5616811.1527999956</v>
      </c>
      <c r="J26" s="106"/>
    </row>
    <row r="27" spans="1:10" s="91" customFormat="1" ht="15.75" thickTop="1">
      <c r="C27" s="109"/>
      <c r="F27" s="107"/>
      <c r="G27" s="320"/>
    </row>
    <row r="28" spans="1:10">
      <c r="F28" s="102"/>
      <c r="G28" s="321"/>
    </row>
    <row r="29" spans="1:10">
      <c r="A29" s="23" t="s">
        <v>242</v>
      </c>
      <c r="C29" s="87">
        <f>'PPA Form 3.0a'!P43</f>
        <v>1082676.3076747516</v>
      </c>
      <c r="D29" s="100"/>
      <c r="E29" s="23" t="s">
        <v>5</v>
      </c>
      <c r="F29" s="102" t="s">
        <v>241</v>
      </c>
      <c r="G29" s="84">
        <f>C29</f>
        <v>1082676.3076747516</v>
      </c>
    </row>
    <row r="30" spans="1:10">
      <c r="A30" s="23" t="s">
        <v>243</v>
      </c>
      <c r="C30" s="87">
        <f>'PPA Form 3.0a'!P38</f>
        <v>414567.99999999994</v>
      </c>
      <c r="D30" s="100"/>
      <c r="F30" s="102"/>
      <c r="G30" s="84">
        <f>C30</f>
        <v>414567.99999999994</v>
      </c>
    </row>
    <row r="31" spans="1:10" ht="15.75">
      <c r="A31" s="110" t="s">
        <v>115</v>
      </c>
      <c r="C31" s="111">
        <f>-'PPA Form 3.0a'!P34</f>
        <v>-273695.61393189972</v>
      </c>
      <c r="E31" s="23" t="s">
        <v>3</v>
      </c>
      <c r="F31" s="23">
        <v>1</v>
      </c>
      <c r="G31" s="324">
        <f>C31*F31</f>
        <v>-273695.61393189972</v>
      </c>
      <c r="J31" s="84"/>
    </row>
    <row r="32" spans="1:10">
      <c r="G32" s="84"/>
    </row>
    <row r="33" spans="1:9" ht="16.5" thickBot="1">
      <c r="A33" s="90" t="s">
        <v>103</v>
      </c>
      <c r="G33" s="112">
        <f>+G26+G29-G30+G31</f>
        <v>-5222398.4590571439</v>
      </c>
      <c r="H33" s="113"/>
      <c r="I33" s="114"/>
    </row>
    <row r="34" spans="1:9" ht="15.75" thickTop="1"/>
    <row r="35" spans="1:9">
      <c r="A35" s="73"/>
      <c r="B35" s="115"/>
      <c r="C35" s="115"/>
    </row>
    <row r="36" spans="1:9">
      <c r="A36" s="73"/>
      <c r="B36" s="116"/>
      <c r="C36" s="117"/>
    </row>
    <row r="37" spans="1:9">
      <c r="B37" s="118" t="s">
        <v>92</v>
      </c>
      <c r="C37" s="118" t="s">
        <v>93</v>
      </c>
    </row>
    <row r="38" spans="1:9">
      <c r="A38" s="23" t="s">
        <v>90</v>
      </c>
      <c r="B38" s="84">
        <f>G13+G15+G16+G17+G18+G19+G21+G11+G12+G31</f>
        <v>66284365.076068088</v>
      </c>
      <c r="C38" s="119">
        <f>B38/E40</f>
        <v>0.97726376747445221</v>
      </c>
      <c r="E38" s="84">
        <f>G31+SUM(G21,G19,G18,G17,G16,G15,G11,G12,G13)</f>
        <v>66284365.076068081</v>
      </c>
    </row>
    <row r="39" spans="1:9">
      <c r="A39" s="23" t="s">
        <v>91</v>
      </c>
      <c r="B39" s="84">
        <f>G14+G29+G20</f>
        <v>1542118.7066747516</v>
      </c>
      <c r="C39" s="119">
        <f>B39/E40</f>
        <v>2.2736232525548003E-2</v>
      </c>
      <c r="E39" s="84">
        <f>G29+G14+G20</f>
        <v>1542118.7066747516</v>
      </c>
    </row>
    <row r="40" spans="1:9">
      <c r="E40" s="84">
        <f>E39+E38</f>
        <v>67826483.782742828</v>
      </c>
    </row>
    <row r="41" spans="1:9">
      <c r="A41" s="121" t="s">
        <v>246</v>
      </c>
    </row>
    <row r="42" spans="1:9" s="20" customFormat="1">
      <c r="A42" s="20" t="s">
        <v>278</v>
      </c>
      <c r="B42" s="23"/>
      <c r="C42" s="23"/>
      <c r="D42" s="23"/>
      <c r="E42" s="23"/>
      <c r="F42" s="23"/>
    </row>
  </sheetData>
  <customSheetViews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7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90" zoomScaleNormal="90" workbookViewId="0">
      <pane xSplit="3" ySplit="6" topLeftCell="D23" activePane="bottomRight" state="frozen"/>
      <selection pane="topRight" activeCell="D1" sqref="D1"/>
      <selection pane="bottomLeft" activeCell="A7" sqref="A7"/>
      <selection pane="bottomRight" activeCell="C4" sqref="C4"/>
    </sheetView>
  </sheetViews>
  <sheetFormatPr defaultColWidth="9.140625" defaultRowHeight="12.75"/>
  <cols>
    <col min="1" max="1" width="14.7109375" style="264" customWidth="1"/>
    <col min="2" max="2" width="16.85546875" style="264" customWidth="1"/>
    <col min="3" max="3" width="89.140625" style="264" customWidth="1"/>
    <col min="4" max="11" width="17.140625" style="264" customWidth="1"/>
    <col min="12" max="12" width="19.85546875" style="264" customWidth="1"/>
    <col min="13" max="14" width="16.5703125" style="264" customWidth="1"/>
    <col min="15" max="15" width="18.42578125" style="264" customWidth="1"/>
    <col min="16" max="16" width="17.42578125" style="264" bestFit="1" customWidth="1"/>
    <col min="17" max="17" width="10.140625" style="264" bestFit="1" customWidth="1"/>
    <col min="18" max="16384" width="9.140625" style="264"/>
  </cols>
  <sheetData>
    <row r="1" spans="1:16" ht="15">
      <c r="A1" s="287" t="s">
        <v>209</v>
      </c>
    </row>
    <row r="2" spans="1:16" ht="15.75">
      <c r="A2" s="287" t="s">
        <v>210</v>
      </c>
      <c r="B2" s="288"/>
      <c r="G2" s="289"/>
    </row>
    <row r="3" spans="1:16" ht="15">
      <c r="A3" s="287" t="str">
        <f>'Input Sheet'!A2:D2</f>
        <v>12 -Month Period ended June 30, 2019</v>
      </c>
      <c r="B3" s="262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16" ht="15">
      <c r="A4" s="287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6">
      <c r="D5" s="266" t="s">
        <v>211</v>
      </c>
      <c r="E5" s="266" t="s">
        <v>211</v>
      </c>
      <c r="F5" s="266" t="s">
        <v>211</v>
      </c>
      <c r="G5" s="266" t="s">
        <v>211</v>
      </c>
      <c r="H5" s="266" t="s">
        <v>211</v>
      </c>
      <c r="I5" s="266" t="s">
        <v>211</v>
      </c>
      <c r="J5" s="266" t="s">
        <v>211</v>
      </c>
      <c r="K5" s="266" t="s">
        <v>211</v>
      </c>
      <c r="L5" s="266" t="s">
        <v>211</v>
      </c>
      <c r="M5" s="266" t="s">
        <v>211</v>
      </c>
      <c r="N5" s="266" t="s">
        <v>211</v>
      </c>
      <c r="O5" s="266" t="s">
        <v>211</v>
      </c>
      <c r="P5" s="264" t="s">
        <v>240</v>
      </c>
    </row>
    <row r="6" spans="1:16">
      <c r="C6" s="291" t="s">
        <v>209</v>
      </c>
      <c r="D6" s="292" t="s">
        <v>260</v>
      </c>
      <c r="E6" s="292" t="s">
        <v>259</v>
      </c>
      <c r="F6" s="292" t="s">
        <v>258</v>
      </c>
      <c r="G6" s="292" t="s">
        <v>257</v>
      </c>
      <c r="H6" s="292" t="s">
        <v>256</v>
      </c>
      <c r="I6" s="292" t="s">
        <v>255</v>
      </c>
      <c r="J6" s="292" t="s">
        <v>212</v>
      </c>
      <c r="K6" s="292" t="s">
        <v>213</v>
      </c>
      <c r="L6" s="292" t="s">
        <v>214</v>
      </c>
      <c r="M6" s="292" t="s">
        <v>215</v>
      </c>
      <c r="N6" s="292" t="s">
        <v>216</v>
      </c>
      <c r="O6" s="292" t="s">
        <v>217</v>
      </c>
    </row>
    <row r="7" spans="1:16" ht="13.5" thickBot="1">
      <c r="A7" s="291" t="s">
        <v>218</v>
      </c>
      <c r="C7" s="264" t="s">
        <v>275</v>
      </c>
      <c r="D7" s="271">
        <v>0</v>
      </c>
      <c r="E7" s="271">
        <v>0</v>
      </c>
      <c r="F7" s="271">
        <v>0</v>
      </c>
      <c r="G7" s="271">
        <v>22975.23</v>
      </c>
      <c r="H7" s="271">
        <v>35861.71</v>
      </c>
      <c r="I7" s="271">
        <v>33543.61</v>
      </c>
      <c r="J7" s="271">
        <v>36575.410000000003</v>
      </c>
      <c r="K7" s="271">
        <v>31521.68</v>
      </c>
      <c r="L7" s="271">
        <v>36149.480000000003</v>
      </c>
      <c r="M7" s="271">
        <v>25615.84</v>
      </c>
      <c r="N7" s="271">
        <v>28823.95</v>
      </c>
      <c r="O7" s="271">
        <v>28490.75</v>
      </c>
      <c r="P7" s="270">
        <f>SUM(D7:O7)</f>
        <v>279557.66000000003</v>
      </c>
    </row>
    <row r="8" spans="1:16">
      <c r="A8" s="338" t="s">
        <v>261</v>
      </c>
      <c r="B8" s="339"/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</row>
    <row r="9" spans="1:16">
      <c r="A9" s="340"/>
      <c r="B9" s="341"/>
      <c r="D9" s="271">
        <v>0</v>
      </c>
      <c r="E9" s="271">
        <v>0</v>
      </c>
      <c r="F9" s="271">
        <v>0</v>
      </c>
      <c r="G9" s="271">
        <v>0</v>
      </c>
      <c r="H9" s="271">
        <v>0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</row>
    <row r="10" spans="1:16">
      <c r="A10" s="340"/>
      <c r="B10" s="341"/>
      <c r="D10" s="271">
        <v>0</v>
      </c>
      <c r="E10" s="271">
        <v>0</v>
      </c>
      <c r="F10" s="271">
        <v>0</v>
      </c>
      <c r="G10" s="271"/>
      <c r="H10" s="271"/>
      <c r="I10" s="271"/>
      <c r="J10" s="271"/>
      <c r="K10" s="293"/>
      <c r="L10" s="293"/>
      <c r="M10" s="293"/>
      <c r="N10" s="293"/>
      <c r="O10" s="293"/>
    </row>
    <row r="11" spans="1:16">
      <c r="A11" s="340"/>
      <c r="B11" s="341"/>
      <c r="D11" s="271">
        <v>0</v>
      </c>
      <c r="E11" s="271">
        <v>0</v>
      </c>
      <c r="F11" s="271">
        <v>0</v>
      </c>
      <c r="G11" s="271">
        <v>0</v>
      </c>
      <c r="H11" s="271"/>
      <c r="I11" s="271"/>
      <c r="J11" s="271"/>
      <c r="K11" s="293"/>
      <c r="L11" s="293"/>
      <c r="M11" s="293"/>
      <c r="N11" s="293"/>
      <c r="O11" s="293"/>
    </row>
    <row r="12" spans="1:16" ht="13.5" thickBot="1">
      <c r="A12" s="342"/>
      <c r="B12" s="343"/>
      <c r="C12" s="264" t="s">
        <v>219</v>
      </c>
      <c r="D12" s="271">
        <v>0</v>
      </c>
      <c r="E12" s="271">
        <v>0</v>
      </c>
      <c r="F12" s="271">
        <v>0</v>
      </c>
      <c r="G12" s="271">
        <f>SUM(G7:G11)*-0.004952</f>
        <v>-113.77333895999999</v>
      </c>
      <c r="H12" s="271">
        <f t="shared" ref="H12:O12" si="0">SUM(H7:H11)*-0.004952</f>
        <v>-177.58718791999999</v>
      </c>
      <c r="I12" s="271">
        <f t="shared" si="0"/>
        <v>-166.10795672</v>
      </c>
      <c r="J12" s="271">
        <f t="shared" si="0"/>
        <v>-181.12143032</v>
      </c>
      <c r="K12" s="271">
        <f t="shared" si="0"/>
        <v>-156.09535936</v>
      </c>
      <c r="L12" s="271">
        <f t="shared" si="0"/>
        <v>-179.01222496</v>
      </c>
      <c r="M12" s="271">
        <f t="shared" si="0"/>
        <v>-126.84963968</v>
      </c>
      <c r="N12" s="271">
        <f t="shared" si="0"/>
        <v>-142.7362004</v>
      </c>
      <c r="O12" s="271">
        <f t="shared" si="0"/>
        <v>-141.08619400000001</v>
      </c>
      <c r="P12" s="294">
        <f>SUM(D12:O12)</f>
        <v>-1384.3695323199997</v>
      </c>
    </row>
    <row r="13" spans="1:16">
      <c r="C13" s="268"/>
      <c r="D13" s="295">
        <f t="shared" ref="D13" si="1">SUM(D7:D12)</f>
        <v>0</v>
      </c>
      <c r="E13" s="295">
        <f t="shared" ref="E13:H13" si="2">SUM(E7:E12)</f>
        <v>0</v>
      </c>
      <c r="F13" s="295">
        <f t="shared" si="2"/>
        <v>0</v>
      </c>
      <c r="G13" s="295">
        <f>SUM(G7:G12)</f>
        <v>22861.45666104</v>
      </c>
      <c r="H13" s="295">
        <f t="shared" si="2"/>
        <v>35684.122812080001</v>
      </c>
      <c r="I13" s="295">
        <f t="shared" ref="I13:O13" si="3">SUM(I7:I12)</f>
        <v>33377.502043280001</v>
      </c>
      <c r="J13" s="295">
        <f t="shared" si="3"/>
        <v>36394.28856968</v>
      </c>
      <c r="K13" s="295">
        <f t="shared" si="3"/>
        <v>31365.584640640001</v>
      </c>
      <c r="L13" s="295">
        <f t="shared" si="3"/>
        <v>35970.467775040001</v>
      </c>
      <c r="M13" s="295">
        <f t="shared" si="3"/>
        <v>25488.99036032</v>
      </c>
      <c r="N13" s="295">
        <f t="shared" si="3"/>
        <v>28681.213799600002</v>
      </c>
      <c r="O13" s="295">
        <f t="shared" si="3"/>
        <v>28349.663806</v>
      </c>
      <c r="P13" s="270">
        <f>SUM(D13:O13)</f>
        <v>278173.29046768002</v>
      </c>
    </row>
    <row r="14" spans="1:16">
      <c r="C14" s="291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15" spans="1:16">
      <c r="A15" s="291" t="s">
        <v>220</v>
      </c>
      <c r="B15" s="267"/>
      <c r="C15" s="268" t="s">
        <v>221</v>
      </c>
      <c r="D15" s="296">
        <f>'PPA Form 5.0'!D15/12</f>
        <v>6169876.4191666665</v>
      </c>
      <c r="E15" s="296">
        <f>$D$15</f>
        <v>6169876.4191666665</v>
      </c>
      <c r="F15" s="296">
        <f t="shared" ref="F15:O15" si="4">$D$15</f>
        <v>6169876.4191666665</v>
      </c>
      <c r="G15" s="296">
        <f t="shared" si="4"/>
        <v>6169876.4191666665</v>
      </c>
      <c r="H15" s="296">
        <f t="shared" si="4"/>
        <v>6169876.4191666665</v>
      </c>
      <c r="I15" s="296">
        <f t="shared" si="4"/>
        <v>6169876.4191666665</v>
      </c>
      <c r="J15" s="296">
        <f t="shared" si="4"/>
        <v>6169876.4191666665</v>
      </c>
      <c r="K15" s="296">
        <f t="shared" si="4"/>
        <v>6169876.4191666665</v>
      </c>
      <c r="L15" s="296">
        <f t="shared" si="4"/>
        <v>6169876.4191666665</v>
      </c>
      <c r="M15" s="296">
        <f t="shared" si="4"/>
        <v>6169876.4191666665</v>
      </c>
      <c r="N15" s="296">
        <f t="shared" si="4"/>
        <v>6169876.4191666665</v>
      </c>
      <c r="O15" s="296">
        <f t="shared" si="4"/>
        <v>6169876.4191666665</v>
      </c>
      <c r="P15" s="270">
        <f>SUM(D15:O15)</f>
        <v>74038517.030000016</v>
      </c>
    </row>
    <row r="16" spans="1:16">
      <c r="C16" s="291"/>
      <c r="D16" s="292"/>
      <c r="E16" s="292"/>
      <c r="F16" s="292"/>
      <c r="G16" s="292"/>
      <c r="H16" s="292"/>
      <c r="I16" s="292"/>
      <c r="J16" s="292"/>
      <c r="K16" s="292"/>
      <c r="L16" s="292"/>
      <c r="M16" s="297"/>
      <c r="N16" s="292"/>
      <c r="O16" s="292"/>
    </row>
    <row r="17" spans="1:17">
      <c r="A17" s="291" t="s">
        <v>222</v>
      </c>
      <c r="B17" s="292" t="s">
        <v>223</v>
      </c>
      <c r="C17" s="291" t="s">
        <v>224</v>
      </c>
      <c r="D17" s="292"/>
      <c r="E17" s="292"/>
      <c r="F17" s="292"/>
      <c r="G17" s="292"/>
      <c r="H17" s="292"/>
      <c r="I17" s="292"/>
      <c r="J17" s="292"/>
      <c r="K17" s="292"/>
      <c r="L17" s="292"/>
      <c r="M17" s="298"/>
      <c r="N17" s="292"/>
      <c r="O17" s="292"/>
    </row>
    <row r="18" spans="1:17">
      <c r="B18" s="266">
        <v>5650021</v>
      </c>
      <c r="C18" s="262" t="s">
        <v>225</v>
      </c>
      <c r="D18" s="299">
        <v>16109.61</v>
      </c>
      <c r="E18" s="299">
        <v>16116.8</v>
      </c>
      <c r="F18" s="299">
        <v>16116.8</v>
      </c>
      <c r="G18" s="299">
        <v>16116.8</v>
      </c>
      <c r="H18" s="299">
        <v>16116.8</v>
      </c>
      <c r="I18" s="299">
        <v>16116.8</v>
      </c>
      <c r="J18" s="299">
        <v>18409.53</v>
      </c>
      <c r="K18" s="300">
        <v>18125.830000000002</v>
      </c>
      <c r="L18" s="300">
        <v>18267.68</v>
      </c>
      <c r="M18" s="300">
        <v>18267.68</v>
      </c>
      <c r="N18" s="301">
        <v>27037.38</v>
      </c>
      <c r="O18" s="301">
        <v>21190.91</v>
      </c>
      <c r="P18" s="270">
        <f>SUM(D18:O18)</f>
        <v>217992.62</v>
      </c>
    </row>
    <row r="19" spans="1:17">
      <c r="B19" s="266">
        <v>5650015</v>
      </c>
      <c r="C19" s="262" t="s">
        <v>226</v>
      </c>
      <c r="D19" s="299">
        <v>0</v>
      </c>
      <c r="E19" s="299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19975.079000000002</v>
      </c>
      <c r="K19" s="300">
        <v>15698.22</v>
      </c>
      <c r="L19" s="300">
        <v>16881.82</v>
      </c>
      <c r="M19" s="300">
        <v>13805.980000000001</v>
      </c>
      <c r="N19" s="301">
        <v>14020.19</v>
      </c>
      <c r="O19" s="301">
        <v>15583.99</v>
      </c>
      <c r="P19" s="270">
        <f t="shared" ref="P19:P26" si="5">SUM(D19:O19)</f>
        <v>95965.27900000001</v>
      </c>
    </row>
    <row r="20" spans="1:17">
      <c r="B20" s="266">
        <v>4561005</v>
      </c>
      <c r="C20" s="262" t="s">
        <v>227</v>
      </c>
      <c r="D20" s="299">
        <v>-45015.99</v>
      </c>
      <c r="E20" s="299">
        <v>-41230.43</v>
      </c>
      <c r="F20" s="299">
        <v>-41578.639999999999</v>
      </c>
      <c r="G20" s="299">
        <v>-49011.37</v>
      </c>
      <c r="H20" s="299">
        <v>-38633.89</v>
      </c>
      <c r="I20" s="299">
        <v>-52711.700000000004</v>
      </c>
      <c r="J20" s="299">
        <v>-85276.110000000015</v>
      </c>
      <c r="K20" s="300">
        <v>-44392.09</v>
      </c>
      <c r="L20" s="300">
        <v>-34159.39</v>
      </c>
      <c r="M20" s="300">
        <v>-35112.609999999986</v>
      </c>
      <c r="N20" s="301">
        <v>-31132.52</v>
      </c>
      <c r="O20" s="301">
        <v>-48192.33</v>
      </c>
      <c r="P20" s="270">
        <f t="shared" si="5"/>
        <v>-546447.06999999995</v>
      </c>
    </row>
    <row r="21" spans="1:17">
      <c r="B21" s="266">
        <v>4561002</v>
      </c>
      <c r="C21" s="262" t="s">
        <v>228</v>
      </c>
      <c r="D21" s="299">
        <v>9792.6400000000067</v>
      </c>
      <c r="E21" s="299">
        <v>10118.83</v>
      </c>
      <c r="F21" s="299">
        <v>10119.31</v>
      </c>
      <c r="G21" s="299">
        <v>9792.6400000000031</v>
      </c>
      <c r="H21" s="299">
        <v>9792.65</v>
      </c>
      <c r="I21" s="299">
        <v>10445.959999999997</v>
      </c>
      <c r="J21" s="299">
        <v>11485.54</v>
      </c>
      <c r="K21" s="300">
        <v>10005.290000000001</v>
      </c>
      <c r="L21" s="300">
        <v>10749.28</v>
      </c>
      <c r="M21" s="300">
        <v>11861.51</v>
      </c>
      <c r="N21" s="301">
        <v>11120.51</v>
      </c>
      <c r="O21" s="301">
        <v>10737.77</v>
      </c>
      <c r="P21" s="270">
        <f t="shared" si="5"/>
        <v>126021.93000000001</v>
      </c>
    </row>
    <row r="22" spans="1:17">
      <c r="B22" s="266">
        <v>4561035</v>
      </c>
      <c r="C22" s="302" t="s">
        <v>229</v>
      </c>
      <c r="D22" s="299">
        <v>3072890.8799999999</v>
      </c>
      <c r="E22" s="299">
        <v>3072890.8799999999</v>
      </c>
      <c r="F22" s="299">
        <v>2973245.47</v>
      </c>
      <c r="G22" s="299">
        <v>3072890.8799999999</v>
      </c>
      <c r="H22" s="299">
        <v>2973245.47</v>
      </c>
      <c r="I22" s="299">
        <v>3072847.98</v>
      </c>
      <c r="J22" s="299">
        <v>3289609.96</v>
      </c>
      <c r="K22" s="300">
        <v>2970138.63</v>
      </c>
      <c r="L22" s="300">
        <v>3289861.4</v>
      </c>
      <c r="M22" s="300">
        <v>3183203.33</v>
      </c>
      <c r="N22" s="301">
        <v>3281091.68</v>
      </c>
      <c r="O22" s="301">
        <v>3180280.09</v>
      </c>
      <c r="P22" s="270">
        <f t="shared" si="5"/>
        <v>37432196.649999991</v>
      </c>
    </row>
    <row r="23" spans="1:17">
      <c r="B23" s="266">
        <v>4561036</v>
      </c>
      <c r="C23" s="262" t="s">
        <v>230</v>
      </c>
      <c r="D23" s="299">
        <v>49014.15</v>
      </c>
      <c r="E23" s="299">
        <v>46982.38</v>
      </c>
      <c r="F23" s="299">
        <v>43309.45</v>
      </c>
      <c r="G23" s="299">
        <v>42077.81</v>
      </c>
      <c r="H23" s="299">
        <v>47041.97</v>
      </c>
      <c r="I23" s="299">
        <v>51901.35</v>
      </c>
      <c r="J23" s="299">
        <v>17287.3</v>
      </c>
      <c r="K23" s="300">
        <v>13606.17</v>
      </c>
      <c r="L23" s="300">
        <v>14626.22</v>
      </c>
      <c r="M23" s="300">
        <v>11965.44</v>
      </c>
      <c r="N23" s="301">
        <v>12161.99</v>
      </c>
      <c r="O23" s="301">
        <v>13502.89</v>
      </c>
      <c r="P23" s="270">
        <f t="shared" si="5"/>
        <v>363477.11999999994</v>
      </c>
    </row>
    <row r="24" spans="1:17">
      <c r="B24" s="266">
        <v>4561060</v>
      </c>
      <c r="C24" s="262" t="s">
        <v>231</v>
      </c>
      <c r="D24" s="299">
        <v>91985.38</v>
      </c>
      <c r="E24" s="299">
        <v>83555.72</v>
      </c>
      <c r="F24" s="299">
        <v>100415.04000000001</v>
      </c>
      <c r="G24" s="299">
        <v>91985.38</v>
      </c>
      <c r="H24" s="299">
        <v>91985.38</v>
      </c>
      <c r="I24" s="299">
        <v>91985.38</v>
      </c>
      <c r="J24" s="299">
        <v>82320.179999999993</v>
      </c>
      <c r="K24" s="300">
        <v>82325.64</v>
      </c>
      <c r="L24" s="300">
        <v>82322.91</v>
      </c>
      <c r="M24" s="300">
        <v>82322.91</v>
      </c>
      <c r="N24" s="301">
        <v>82322.91</v>
      </c>
      <c r="O24" s="301">
        <v>82322.91</v>
      </c>
      <c r="P24" s="270">
        <f t="shared" si="5"/>
        <v>1045849.7400000001</v>
      </c>
    </row>
    <row r="25" spans="1:17">
      <c r="B25" s="266">
        <v>5650012</v>
      </c>
      <c r="C25" s="262" t="s">
        <v>231</v>
      </c>
      <c r="D25" s="299">
        <v>161643.93000000017</v>
      </c>
      <c r="E25" s="299">
        <v>-1440836.25</v>
      </c>
      <c r="F25" s="299">
        <v>-675931.90999999968</v>
      </c>
      <c r="G25" s="299">
        <v>-414163.63000000018</v>
      </c>
      <c r="H25" s="299">
        <v>-823201.46</v>
      </c>
      <c r="I25" s="299">
        <v>-624686.38</v>
      </c>
      <c r="J25" s="299">
        <v>-687042.61000000022</v>
      </c>
      <c r="K25" s="300">
        <v>-665261.51</v>
      </c>
      <c r="L25" s="300">
        <v>-653750.44999999995</v>
      </c>
      <c r="M25" s="300">
        <v>-652364.73999999976</v>
      </c>
      <c r="N25" s="301">
        <v>-650399.37</v>
      </c>
      <c r="O25" s="301">
        <v>-636047.18999999994</v>
      </c>
      <c r="P25" s="270">
        <f t="shared" si="5"/>
        <v>-7762041.5700000003</v>
      </c>
    </row>
    <row r="26" spans="1:17">
      <c r="B26" s="266">
        <v>5650016</v>
      </c>
      <c r="C26" s="302" t="s">
        <v>232</v>
      </c>
      <c r="D26" s="299">
        <v>2191014.09</v>
      </c>
      <c r="E26" s="299">
        <v>2191014.09</v>
      </c>
      <c r="F26" s="299">
        <v>2120336.21</v>
      </c>
      <c r="G26" s="299">
        <v>2191014.1</v>
      </c>
      <c r="H26" s="299">
        <v>2120336.21</v>
      </c>
      <c r="I26" s="299">
        <v>2191014.1</v>
      </c>
      <c r="J26" s="299">
        <v>2964198.22</v>
      </c>
      <c r="K26" s="300">
        <v>2677359.9</v>
      </c>
      <c r="L26" s="300">
        <v>2964296.42</v>
      </c>
      <c r="M26" s="300">
        <v>2868618.18</v>
      </c>
      <c r="N26" s="301">
        <v>2964296.42</v>
      </c>
      <c r="O26" s="301">
        <v>2868618.18</v>
      </c>
      <c r="P26" s="270">
        <f t="shared" si="5"/>
        <v>30312116.119999997</v>
      </c>
    </row>
    <row r="27" spans="1:17">
      <c r="B27" s="266">
        <v>5650019</v>
      </c>
      <c r="C27" s="262" t="s">
        <v>231</v>
      </c>
      <c r="D27" s="299">
        <v>495271.99</v>
      </c>
      <c r="E27" s="299">
        <v>495271.99</v>
      </c>
      <c r="F27" s="299">
        <v>495271.99</v>
      </c>
      <c r="G27" s="299">
        <v>495271.99</v>
      </c>
      <c r="H27" s="299">
        <v>495271.98</v>
      </c>
      <c r="I27" s="299">
        <v>495271.98</v>
      </c>
      <c r="J27" s="299">
        <v>460108.32000000007</v>
      </c>
      <c r="K27" s="300">
        <v>460137.76</v>
      </c>
      <c r="L27" s="300">
        <v>460123.58</v>
      </c>
      <c r="M27" s="300">
        <v>460123.57000000007</v>
      </c>
      <c r="N27" s="301">
        <v>460123.56</v>
      </c>
      <c r="O27" s="301">
        <v>460123.56</v>
      </c>
      <c r="P27" s="270">
        <f>SUM(D27:O27)</f>
        <v>5732372.2699999996</v>
      </c>
    </row>
    <row r="28" spans="1:17">
      <c r="B28" s="266"/>
      <c r="C28" s="265"/>
      <c r="D28" s="299">
        <v>0</v>
      </c>
      <c r="E28" s="299">
        <v>0</v>
      </c>
      <c r="F28" s="299">
        <v>0</v>
      </c>
      <c r="G28" s="299">
        <v>0</v>
      </c>
      <c r="H28" s="299">
        <v>0</v>
      </c>
      <c r="I28" s="299">
        <v>0</v>
      </c>
      <c r="J28" s="299"/>
      <c r="K28" s="301">
        <v>0</v>
      </c>
      <c r="L28" s="301">
        <v>0</v>
      </c>
      <c r="M28" s="300"/>
      <c r="N28" s="301"/>
      <c r="O28" s="301"/>
      <c r="P28" s="270">
        <f>SUM(D28:O28)</f>
        <v>0</v>
      </c>
    </row>
    <row r="29" spans="1:17">
      <c r="C29" s="268"/>
      <c r="D29" s="303">
        <f>SUM(D18:D28)</f>
        <v>6042706.6799999997</v>
      </c>
      <c r="E29" s="303">
        <f t="shared" ref="E29:J29" si="6">SUM(E18:E28)</f>
        <v>4433884.01</v>
      </c>
      <c r="F29" s="303">
        <f t="shared" si="6"/>
        <v>5041303.7200000007</v>
      </c>
      <c r="G29" s="303">
        <f t="shared" si="6"/>
        <v>5455974.5999999996</v>
      </c>
      <c r="H29" s="303">
        <f t="shared" si="6"/>
        <v>4891955.1100000013</v>
      </c>
      <c r="I29" s="303">
        <f t="shared" si="6"/>
        <v>5252185.4700000007</v>
      </c>
      <c r="J29" s="303">
        <f t="shared" si="6"/>
        <v>6091075.409</v>
      </c>
      <c r="K29" s="303">
        <f t="shared" ref="K29:N29" si="7">SUM(K18:K28)</f>
        <v>5537743.8399999999</v>
      </c>
      <c r="L29" s="303">
        <f t="shared" si="7"/>
        <v>6169219.4700000007</v>
      </c>
      <c r="M29" s="303">
        <f>SUM(M18:M28)</f>
        <v>5962691.2500000009</v>
      </c>
      <c r="N29" s="303">
        <f t="shared" si="7"/>
        <v>6170642.75</v>
      </c>
      <c r="O29" s="303">
        <f>SUM(O18:O28)</f>
        <v>5968120.7800000003</v>
      </c>
      <c r="P29" s="270">
        <f>SUM(D29:O29)</f>
        <v>67017503.089000002</v>
      </c>
    </row>
    <row r="30" spans="1:17">
      <c r="B30" s="266"/>
      <c r="C30" s="263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270"/>
    </row>
    <row r="31" spans="1:17">
      <c r="B31" s="266"/>
      <c r="C31" s="268" t="s">
        <v>233</v>
      </c>
      <c r="D31" s="301">
        <f>+D29-D15</f>
        <v>-127169.73916666675</v>
      </c>
      <c r="E31" s="301">
        <f>+E29-E15</f>
        <v>-1735992.4091666667</v>
      </c>
      <c r="F31" s="301">
        <f>+F29-F15</f>
        <v>-1128572.6991666658</v>
      </c>
      <c r="G31" s="301">
        <f>+G29-G15</f>
        <v>-713901.81916666683</v>
      </c>
      <c r="H31" s="301">
        <f t="shared" ref="H31" si="8">+H29-H15</f>
        <v>-1277921.3091666652</v>
      </c>
      <c r="I31" s="301">
        <f t="shared" ref="I31:N31" si="9">+I29-I15</f>
        <v>-917690.94916666579</v>
      </c>
      <c r="J31" s="301">
        <f t="shared" si="9"/>
        <v>-78801.01016666647</v>
      </c>
      <c r="K31" s="301">
        <f t="shared" si="9"/>
        <v>-632132.5791666666</v>
      </c>
      <c r="L31" s="301">
        <f t="shared" si="9"/>
        <v>-656.94916666578501</v>
      </c>
      <c r="M31" s="301">
        <f>+M29-M15</f>
        <v>-207185.16916666552</v>
      </c>
      <c r="N31" s="301">
        <f t="shared" si="9"/>
        <v>766.33083333354443</v>
      </c>
      <c r="O31" s="301">
        <f>+O29-O15</f>
        <v>-201755.63916666619</v>
      </c>
      <c r="P31" s="270">
        <f>SUM(D31:O31)</f>
        <v>-7021013.9409999941</v>
      </c>
    </row>
    <row r="32" spans="1:17">
      <c r="A32" s="267"/>
      <c r="B32" s="267"/>
      <c r="C32" s="263" t="s">
        <v>276</v>
      </c>
      <c r="D32" s="269">
        <f>+D31*0.8</f>
        <v>-101735.79133333341</v>
      </c>
      <c r="E32" s="269">
        <f t="shared" ref="E32:M32" si="10">+E31*0.8</f>
        <v>-1388793.9273333335</v>
      </c>
      <c r="F32" s="269">
        <f t="shared" si="10"/>
        <v>-902858.15933333267</v>
      </c>
      <c r="G32" s="269">
        <f>+G31*0.8</f>
        <v>-571121.45533333346</v>
      </c>
      <c r="H32" s="269">
        <f t="shared" si="10"/>
        <v>-1022337.0473333322</v>
      </c>
      <c r="I32" s="269">
        <f t="shared" si="10"/>
        <v>-734152.75933333265</v>
      </c>
      <c r="J32" s="269">
        <f t="shared" si="10"/>
        <v>-63040.808133333179</v>
      </c>
      <c r="K32" s="269">
        <f t="shared" si="10"/>
        <v>-505706.0633333333</v>
      </c>
      <c r="L32" s="269">
        <f t="shared" si="10"/>
        <v>-525.55933333262806</v>
      </c>
      <c r="M32" s="269">
        <f t="shared" si="10"/>
        <v>-165748.13533333244</v>
      </c>
      <c r="N32" s="269">
        <f t="shared" ref="N32" si="11">+N31*0.8</f>
        <v>613.06466666683559</v>
      </c>
      <c r="O32" s="269">
        <f>+O31*0.8</f>
        <v>-161404.51133333298</v>
      </c>
      <c r="P32" s="270">
        <f>SUM(D32:O32)</f>
        <v>-5616811.1527999956</v>
      </c>
      <c r="Q32" s="270"/>
    </row>
    <row r="33" spans="1:16">
      <c r="A33" s="267"/>
      <c r="B33" s="267"/>
      <c r="C33" s="263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70"/>
    </row>
    <row r="34" spans="1:16">
      <c r="A34" s="267"/>
      <c r="B34" s="267"/>
      <c r="C34" s="268" t="s">
        <v>245</v>
      </c>
      <c r="D34" s="296">
        <v>9674.9500000000007</v>
      </c>
      <c r="E34" s="296">
        <v>9674.9500000000007</v>
      </c>
      <c r="F34" s="296">
        <v>9674.9500000000007</v>
      </c>
      <c r="G34" s="296">
        <v>9674.9500000000007</v>
      </c>
      <c r="H34" s="296">
        <v>9674.9500000000007</v>
      </c>
      <c r="I34" s="296">
        <v>9674.9500000000007</v>
      </c>
      <c r="J34" s="304">
        <v>35940.985655316617</v>
      </c>
      <c r="K34" s="304">
        <v>35940.985655316617</v>
      </c>
      <c r="L34" s="304">
        <v>35940.985655316617</v>
      </c>
      <c r="M34" s="304">
        <v>35940.985655316617</v>
      </c>
      <c r="N34" s="304">
        <v>35940.985655316617</v>
      </c>
      <c r="O34" s="304">
        <v>35940.985655316617</v>
      </c>
      <c r="P34" s="270">
        <f>SUM(D34:O34)</f>
        <v>273695.61393189972</v>
      </c>
    </row>
    <row r="35" spans="1:16">
      <c r="A35" s="267"/>
      <c r="B35" s="267"/>
      <c r="C35" s="263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70"/>
    </row>
    <row r="36" spans="1:16">
      <c r="A36" s="267"/>
      <c r="B36" s="267"/>
      <c r="C36" s="268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70"/>
    </row>
    <row r="37" spans="1:16">
      <c r="A37" s="267"/>
      <c r="B37" s="267"/>
      <c r="C37" s="268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</row>
    <row r="38" spans="1:16">
      <c r="A38" s="267"/>
      <c r="B38" s="267"/>
      <c r="C38" s="268" t="s">
        <v>234</v>
      </c>
      <c r="D38" s="305">
        <f>'PPA Form 5.0'!D22</f>
        <v>34547.333333333336</v>
      </c>
      <c r="E38" s="305">
        <f>$D$38</f>
        <v>34547.333333333336</v>
      </c>
      <c r="F38" s="305">
        <f t="shared" ref="F38:N38" si="12">$D$38</f>
        <v>34547.333333333336</v>
      </c>
      <c r="G38" s="305">
        <f t="shared" si="12"/>
        <v>34547.333333333336</v>
      </c>
      <c r="H38" s="305">
        <f t="shared" si="12"/>
        <v>34547.333333333336</v>
      </c>
      <c r="I38" s="305">
        <f t="shared" si="12"/>
        <v>34547.333333333336</v>
      </c>
      <c r="J38" s="305">
        <f t="shared" si="12"/>
        <v>34547.333333333336</v>
      </c>
      <c r="K38" s="305">
        <f t="shared" si="12"/>
        <v>34547.333333333336</v>
      </c>
      <c r="L38" s="305">
        <f t="shared" si="12"/>
        <v>34547.333333333336</v>
      </c>
      <c r="M38" s="305">
        <f t="shared" si="12"/>
        <v>34547.333333333336</v>
      </c>
      <c r="N38" s="305">
        <f t="shared" si="12"/>
        <v>34547.333333333336</v>
      </c>
      <c r="O38" s="305">
        <f>$D$38</f>
        <v>34547.333333333336</v>
      </c>
      <c r="P38" s="270">
        <f>SUM(D38:O38)</f>
        <v>414567.99999999994</v>
      </c>
    </row>
    <row r="39" spans="1:16">
      <c r="A39" s="267"/>
      <c r="B39" s="267"/>
      <c r="C39" s="263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</row>
    <row r="40" spans="1:16">
      <c r="B40" s="266"/>
      <c r="C40" s="263" t="s">
        <v>270</v>
      </c>
      <c r="D40" s="301">
        <v>379414.68043015635</v>
      </c>
      <c r="E40" s="301">
        <v>46169.434626239999</v>
      </c>
      <c r="F40" s="301">
        <v>37719.022375909997</v>
      </c>
      <c r="G40" s="301">
        <v>186765.51226709996</v>
      </c>
      <c r="H40" s="301">
        <v>48248.39</v>
      </c>
      <c r="I40" s="301">
        <v>107953.99</v>
      </c>
      <c r="J40" s="301">
        <v>40592.94</v>
      </c>
      <c r="K40" s="301">
        <v>39889.699999999997</v>
      </c>
      <c r="L40" s="269">
        <v>151246.39000000001</v>
      </c>
      <c r="M40" s="301">
        <v>52094.203596799998</v>
      </c>
      <c r="N40" s="301">
        <v>36517.86</v>
      </c>
      <c r="O40" s="301">
        <v>49309.27</v>
      </c>
    </row>
    <row r="41" spans="1:16">
      <c r="B41" s="266"/>
      <c r="C41" s="263" t="s">
        <v>271</v>
      </c>
      <c r="D41" s="301">
        <v>-683884.24</v>
      </c>
      <c r="E41" s="301">
        <f>-D40</f>
        <v>-379414.68043015635</v>
      </c>
      <c r="F41" s="301">
        <f>-E40</f>
        <v>-46169.434626239999</v>
      </c>
      <c r="G41" s="301">
        <f t="shared" ref="G41:O41" si="13">-F40</f>
        <v>-37719.022375909997</v>
      </c>
      <c r="H41" s="301">
        <f t="shared" si="13"/>
        <v>-186765.51226709996</v>
      </c>
      <c r="I41" s="301">
        <f t="shared" si="13"/>
        <v>-48248.39</v>
      </c>
      <c r="J41" s="301">
        <f t="shared" si="13"/>
        <v>-107953.99</v>
      </c>
      <c r="K41" s="301">
        <f t="shared" si="13"/>
        <v>-40592.94</v>
      </c>
      <c r="L41" s="301">
        <f t="shared" si="13"/>
        <v>-39889.699999999997</v>
      </c>
      <c r="M41" s="301">
        <f t="shared" si="13"/>
        <v>-151246.39000000001</v>
      </c>
      <c r="N41" s="301">
        <f t="shared" si="13"/>
        <v>-52094.203596799998</v>
      </c>
      <c r="O41" s="301">
        <f t="shared" si="13"/>
        <v>-36517.86</v>
      </c>
    </row>
    <row r="42" spans="1:16">
      <c r="B42" s="266"/>
      <c r="C42" s="264" t="s">
        <v>272</v>
      </c>
      <c r="D42" s="306">
        <v>683531.39728799998</v>
      </c>
      <c r="E42" s="306">
        <v>378792.78029054176</v>
      </c>
      <c r="F42" s="306">
        <v>112716.80234225999</v>
      </c>
      <c r="G42" s="306">
        <v>37769.323936029992</v>
      </c>
      <c r="H42" s="306">
        <v>186909.54</v>
      </c>
      <c r="I42" s="306">
        <v>48200.37</v>
      </c>
      <c r="J42" s="306">
        <v>107953.88</v>
      </c>
      <c r="K42" s="306">
        <v>-118496.24</v>
      </c>
      <c r="L42" s="306">
        <v>39994.07</v>
      </c>
      <c r="M42" s="306">
        <v>151076.18381792001</v>
      </c>
      <c r="N42" s="306">
        <v>52285.31</v>
      </c>
      <c r="O42" s="306">
        <v>36517.86</v>
      </c>
    </row>
    <row r="43" spans="1:16">
      <c r="B43" s="266"/>
      <c r="C43" s="264" t="s">
        <v>235</v>
      </c>
      <c r="D43" s="301">
        <f>SUM(D40:D42)</f>
        <v>379061.83771815634</v>
      </c>
      <c r="E43" s="301">
        <f t="shared" ref="E43:J43" si="14">SUM(E40:E42)</f>
        <v>45547.534486625402</v>
      </c>
      <c r="F43" s="301">
        <f t="shared" si="14"/>
        <v>104266.39009192999</v>
      </c>
      <c r="G43" s="301">
        <f t="shared" si="14"/>
        <v>186815.81382721994</v>
      </c>
      <c r="H43" s="301">
        <f t="shared" si="14"/>
        <v>48392.417732900038</v>
      </c>
      <c r="I43" s="301">
        <f t="shared" si="14"/>
        <v>107905.97</v>
      </c>
      <c r="J43" s="301">
        <f t="shared" si="14"/>
        <v>40592.83</v>
      </c>
      <c r="K43" s="301">
        <f t="shared" ref="K43:O43" si="15">SUM(K40:K42)</f>
        <v>-119199.48000000001</v>
      </c>
      <c r="L43" s="301">
        <f t="shared" si="15"/>
        <v>151350.76</v>
      </c>
      <c r="M43" s="301">
        <f t="shared" si="15"/>
        <v>51923.997414719997</v>
      </c>
      <c r="N43" s="301">
        <f t="shared" si="15"/>
        <v>36708.9664032</v>
      </c>
      <c r="O43" s="301">
        <f t="shared" si="15"/>
        <v>49309.27</v>
      </c>
      <c r="P43" s="270">
        <f>SUM(D43:O43)</f>
        <v>1082676.3076747516</v>
      </c>
    </row>
    <row r="45" spans="1:16">
      <c r="C45" s="264" t="s">
        <v>236</v>
      </c>
      <c r="D45" s="307">
        <f>D43-D38</f>
        <v>344514.50438482303</v>
      </c>
      <c r="E45" s="307">
        <f t="shared" ref="E45:J45" si="16">E43-E38</f>
        <v>11000.201153292066</v>
      </c>
      <c r="F45" s="307">
        <f t="shared" si="16"/>
        <v>69719.056758596649</v>
      </c>
      <c r="G45" s="307">
        <f>G43-G38</f>
        <v>152268.4804938866</v>
      </c>
      <c r="H45" s="307">
        <f t="shared" si="16"/>
        <v>13845.084399566702</v>
      </c>
      <c r="I45" s="307">
        <f t="shared" si="16"/>
        <v>73358.636666666658</v>
      </c>
      <c r="J45" s="307">
        <f t="shared" si="16"/>
        <v>6045.496666666666</v>
      </c>
      <c r="K45" s="307">
        <f t="shared" ref="K45:O45" si="17">K43-K38</f>
        <v>-153746.81333333335</v>
      </c>
      <c r="L45" s="307">
        <f t="shared" si="17"/>
        <v>116803.42666666667</v>
      </c>
      <c r="M45" s="307">
        <f t="shared" si="17"/>
        <v>17376.664081386662</v>
      </c>
      <c r="N45" s="307">
        <f t="shared" si="17"/>
        <v>2161.6330698666643</v>
      </c>
      <c r="O45" s="307">
        <f t="shared" si="17"/>
        <v>14761.936666666661</v>
      </c>
      <c r="P45" s="270">
        <f>SUM(D45:O45)</f>
        <v>668108.30767475185</v>
      </c>
    </row>
    <row r="46" spans="1:16">
      <c r="P46" s="307"/>
    </row>
    <row r="47" spans="1:16" ht="13.5" thickBot="1">
      <c r="A47" s="267"/>
      <c r="B47" s="267"/>
      <c r="C47" s="268" t="s">
        <v>237</v>
      </c>
      <c r="D47" s="308">
        <f>(D32-D34)+D45</f>
        <v>233103.7630514896</v>
      </c>
      <c r="E47" s="308">
        <f>(E32-E34)+E45</f>
        <v>-1387468.6761800414</v>
      </c>
      <c r="F47" s="308">
        <f t="shared" ref="F47:N47" si="18">(F32-F34)+F45</f>
        <v>-842814.05257473595</v>
      </c>
      <c r="G47" s="308">
        <f>(G32-G34)+G45</f>
        <v>-428527.92483944679</v>
      </c>
      <c r="H47" s="308">
        <f t="shared" si="18"/>
        <v>-1018166.9129337654</v>
      </c>
      <c r="I47" s="308">
        <f t="shared" si="18"/>
        <v>-670469.072666666</v>
      </c>
      <c r="J47" s="308">
        <f t="shared" si="18"/>
        <v>-92936.297121983138</v>
      </c>
      <c r="K47" s="308">
        <f>(K32-K34)+K45</f>
        <v>-695393.86232198321</v>
      </c>
      <c r="L47" s="308">
        <f t="shared" si="18"/>
        <v>80336.881678017424</v>
      </c>
      <c r="M47" s="308">
        <f t="shared" si="18"/>
        <v>-184312.45690726239</v>
      </c>
      <c r="N47" s="308">
        <f t="shared" si="18"/>
        <v>-33166.28791878312</v>
      </c>
      <c r="O47" s="308">
        <f>(O32-O34)+O45</f>
        <v>-182583.56032198295</v>
      </c>
    </row>
    <row r="48" spans="1:16" ht="13.5" thickTop="1">
      <c r="A48" s="267"/>
      <c r="B48" s="267"/>
      <c r="C48" s="268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</row>
    <row r="49" spans="1:17">
      <c r="A49" s="267"/>
      <c r="B49" s="267"/>
      <c r="C49" s="267" t="s">
        <v>238</v>
      </c>
      <c r="D49" s="309">
        <f>D47-D13</f>
        <v>233103.7630514896</v>
      </c>
      <c r="E49" s="309">
        <f>E47-E13</f>
        <v>-1387468.6761800414</v>
      </c>
      <c r="F49" s="309">
        <f t="shared" ref="F49:H49" si="19">F47-F13</f>
        <v>-842814.05257473595</v>
      </c>
      <c r="G49" s="309">
        <f>G47-G13</f>
        <v>-451389.38150048681</v>
      </c>
      <c r="H49" s="309">
        <f t="shared" si="19"/>
        <v>-1053851.0357458454</v>
      </c>
      <c r="I49" s="309">
        <f t="shared" ref="I49:N49" si="20">I47-I13</f>
        <v>-703846.57470994606</v>
      </c>
      <c r="J49" s="309">
        <f t="shared" si="20"/>
        <v>-129330.58569166315</v>
      </c>
      <c r="K49" s="309">
        <f t="shared" si="20"/>
        <v>-726759.44696262316</v>
      </c>
      <c r="L49" s="309">
        <f t="shared" si="20"/>
        <v>44366.413902977423</v>
      </c>
      <c r="M49" s="309">
        <f t="shared" si="20"/>
        <v>-209801.44726758238</v>
      </c>
      <c r="N49" s="309">
        <f t="shared" si="20"/>
        <v>-61847.501718383122</v>
      </c>
      <c r="O49" s="309">
        <f>O47-O13</f>
        <v>-210933.22412798295</v>
      </c>
    </row>
    <row r="51" spans="1:17">
      <c r="A51" s="267"/>
      <c r="B51" s="267"/>
      <c r="C51" s="268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</row>
    <row r="52" spans="1:17">
      <c r="A52" s="310"/>
      <c r="B52" s="311"/>
      <c r="C52" s="312" t="s">
        <v>239</v>
      </c>
      <c r="D52" s="271">
        <f>+D49+341958.23</f>
        <v>575061.99305148958</v>
      </c>
      <c r="E52" s="271">
        <f>+E49+D52</f>
        <v>-812406.68312855181</v>
      </c>
      <c r="F52" s="271">
        <f t="shared" ref="F52:O52" si="21">+F49+E52</f>
        <v>-1655220.7357032876</v>
      </c>
      <c r="G52" s="271">
        <f>+G49+F52</f>
        <v>-2106610.1172037744</v>
      </c>
      <c r="H52" s="271">
        <f t="shared" si="21"/>
        <v>-3160461.15294962</v>
      </c>
      <c r="I52" s="271">
        <f t="shared" si="21"/>
        <v>-3864307.7276595663</v>
      </c>
      <c r="J52" s="271">
        <f t="shared" si="21"/>
        <v>-3993638.3133512293</v>
      </c>
      <c r="K52" s="271">
        <f t="shared" si="21"/>
        <v>-4720397.7603138527</v>
      </c>
      <c r="L52" s="271">
        <f t="shared" si="21"/>
        <v>-4676031.3464108752</v>
      </c>
      <c r="M52" s="271">
        <f t="shared" si="21"/>
        <v>-4885832.7936784578</v>
      </c>
      <c r="N52" s="271">
        <f t="shared" si="21"/>
        <v>-4947680.2953968411</v>
      </c>
      <c r="O52" s="271">
        <f t="shared" si="21"/>
        <v>-5158613.5195248239</v>
      </c>
      <c r="P52" s="307">
        <f>P32-P34-P38+P43</f>
        <v>-5222398.4590571439</v>
      </c>
      <c r="Q52" s="264" t="s">
        <v>198</v>
      </c>
    </row>
    <row r="53" spans="1:17">
      <c r="A53" s="313"/>
      <c r="B53" s="314"/>
      <c r="C53" s="315"/>
      <c r="D53" s="271"/>
      <c r="E53" s="271"/>
      <c r="F53" s="271"/>
      <c r="G53" s="271"/>
      <c r="H53" s="271"/>
      <c r="I53" s="271"/>
      <c r="J53" s="271"/>
      <c r="K53" s="271"/>
      <c r="L53" s="309"/>
      <c r="O53" s="316"/>
    </row>
    <row r="54" spans="1:17">
      <c r="A54" s="313"/>
      <c r="B54" s="314"/>
      <c r="C54" s="315"/>
      <c r="D54" s="271"/>
      <c r="E54" s="271"/>
      <c r="F54" s="271"/>
      <c r="G54" s="271"/>
      <c r="H54" s="271"/>
      <c r="I54" s="271"/>
      <c r="J54" s="271"/>
      <c r="K54" s="271"/>
      <c r="L54" s="309"/>
      <c r="O54" s="307"/>
    </row>
  </sheetData>
  <customSheetViews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3"/>
    </customSheetView>
  </customSheetViews>
  <mergeCells count="1">
    <mergeCell ref="A8:B12"/>
  </mergeCells>
  <pageMargins left="0.7" right="0.7" top="0.75" bottom="0.75" header="0.3" footer="0.3"/>
  <pageSetup scale="35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85" workbookViewId="0">
      <selection activeCell="A3" sqref="A3"/>
    </sheetView>
  </sheetViews>
  <sheetFormatPr defaultRowHeight="15"/>
  <cols>
    <col min="1" max="1" width="8.85546875" style="1"/>
    <col min="2" max="2" width="58.7109375" customWidth="1"/>
    <col min="3" max="3" width="11.5703125" bestFit="1" customWidth="1"/>
    <col min="4" max="4" width="1.7109375" customWidth="1"/>
    <col min="5" max="5" width="17.140625" customWidth="1"/>
    <col min="6" max="6" width="1.7109375" customWidth="1"/>
    <col min="7" max="7" width="19.85546875" bestFit="1" customWidth="1"/>
  </cols>
  <sheetData>
    <row r="1" spans="1:7">
      <c r="G1" s="11" t="s">
        <v>98</v>
      </c>
    </row>
    <row r="2" spans="1:7">
      <c r="C2" s="3"/>
    </row>
    <row r="3" spans="1:7">
      <c r="B3" s="344" t="s">
        <v>0</v>
      </c>
      <c r="C3" s="344"/>
      <c r="D3" s="344"/>
      <c r="E3" s="344"/>
      <c r="F3" s="344"/>
      <c r="G3" s="344"/>
    </row>
    <row r="4" spans="1:7">
      <c r="B4" s="344" t="s">
        <v>89</v>
      </c>
      <c r="C4" s="344"/>
      <c r="D4" s="344"/>
      <c r="E4" s="344"/>
      <c r="F4" s="344"/>
      <c r="G4" s="344"/>
    </row>
    <row r="5" spans="1:7">
      <c r="B5" s="345" t="s">
        <v>263</v>
      </c>
      <c r="C5" s="345"/>
      <c r="D5" s="345"/>
      <c r="E5" s="345"/>
      <c r="F5" s="345"/>
      <c r="G5" s="345"/>
    </row>
    <row r="6" spans="1:7">
      <c r="C6" s="10"/>
    </row>
    <row r="7" spans="1:7">
      <c r="B7" s="9" t="s">
        <v>1</v>
      </c>
      <c r="C7" s="9"/>
      <c r="E7" s="9"/>
      <c r="G7" s="9" t="s">
        <v>44</v>
      </c>
    </row>
    <row r="8" spans="1:7">
      <c r="A8" s="22" t="s">
        <v>104</v>
      </c>
    </row>
    <row r="9" spans="1:7">
      <c r="A9" s="67">
        <v>-1</v>
      </c>
      <c r="B9" s="2" t="s">
        <v>36</v>
      </c>
      <c r="C9" s="3"/>
      <c r="E9" s="3"/>
      <c r="G9" s="21">
        <v>116687.92</v>
      </c>
    </row>
    <row r="10" spans="1:7">
      <c r="A10" s="67">
        <f>A9-1</f>
        <v>-2</v>
      </c>
      <c r="B10" s="2" t="s">
        <v>110</v>
      </c>
      <c r="C10" s="3"/>
      <c r="E10" s="3"/>
      <c r="G10" s="21">
        <v>28633.89</v>
      </c>
    </row>
    <row r="11" spans="1:7">
      <c r="A11" s="67">
        <f t="shared" ref="A11:A15" si="0">A10-1</f>
        <v>-3</v>
      </c>
      <c r="B11" s="2" t="s">
        <v>37</v>
      </c>
      <c r="C11" s="3"/>
      <c r="E11" s="3"/>
      <c r="G11" s="21">
        <v>26553.03</v>
      </c>
    </row>
    <row r="12" spans="1:7">
      <c r="A12" s="67">
        <f t="shared" si="0"/>
        <v>-4</v>
      </c>
      <c r="B12" s="2" t="s">
        <v>43</v>
      </c>
      <c r="C12" s="3"/>
      <c r="E12" s="3"/>
      <c r="G12" s="21">
        <v>67.22</v>
      </c>
    </row>
    <row r="13" spans="1:7">
      <c r="A13" s="67">
        <f t="shared" si="0"/>
        <v>-5</v>
      </c>
      <c r="B13" s="2" t="s">
        <v>95</v>
      </c>
      <c r="C13" s="3"/>
      <c r="E13" s="3"/>
      <c r="G13" s="21">
        <v>97199.12</v>
      </c>
    </row>
    <row r="14" spans="1:7">
      <c r="A14" s="67">
        <f t="shared" si="0"/>
        <v>-6</v>
      </c>
      <c r="B14" s="2" t="s">
        <v>39</v>
      </c>
      <c r="C14" s="3"/>
      <c r="E14" s="3"/>
      <c r="G14" s="21">
        <v>65.48</v>
      </c>
    </row>
    <row r="15" spans="1:7">
      <c r="A15" s="67">
        <f t="shared" si="0"/>
        <v>-7</v>
      </c>
      <c r="B15" s="2" t="s">
        <v>40</v>
      </c>
      <c r="C15" s="3"/>
      <c r="E15" s="3"/>
      <c r="G15" s="21">
        <v>0</v>
      </c>
    </row>
    <row r="16" spans="1:7">
      <c r="A16" s="67">
        <f>A15-1</f>
        <v>-8</v>
      </c>
      <c r="B16" s="2" t="s">
        <v>41</v>
      </c>
      <c r="C16" s="3"/>
      <c r="E16" s="3"/>
      <c r="G16" s="21">
        <v>0</v>
      </c>
    </row>
    <row r="17" spans="1:9">
      <c r="A17" s="67" t="s">
        <v>45</v>
      </c>
      <c r="C17" s="3"/>
      <c r="G17" s="20"/>
    </row>
    <row r="18" spans="1:9">
      <c r="A18" s="67">
        <f>A16-1</f>
        <v>-9</v>
      </c>
      <c r="B18" s="283" t="s">
        <v>273</v>
      </c>
      <c r="C18" s="12"/>
      <c r="E18" s="4"/>
      <c r="G18" s="21">
        <f>SUM(G9:G16)</f>
        <v>269206.65999999997</v>
      </c>
    </row>
    <row r="19" spans="1:9">
      <c r="A19" s="67"/>
      <c r="B19" s="283"/>
      <c r="C19" s="12"/>
      <c r="E19" s="4"/>
      <c r="G19" s="21"/>
    </row>
    <row r="20" spans="1:9">
      <c r="A20" s="67">
        <v>-10</v>
      </c>
      <c r="B20" s="284" t="s">
        <v>274</v>
      </c>
      <c r="G20" s="21">
        <f>'PPA Form 3.0a'!P7-'PPA Form 4.0'!G18</f>
        <v>10351.000000000058</v>
      </c>
    </row>
    <row r="21" spans="1:9">
      <c r="A21" s="67"/>
      <c r="B21" s="285"/>
      <c r="G21" s="21"/>
    </row>
    <row r="22" spans="1:9">
      <c r="A22" s="67">
        <v>-11</v>
      </c>
      <c r="B22" s="6" t="s">
        <v>4</v>
      </c>
      <c r="G22" s="286">
        <f>G18+G20</f>
        <v>279557.66000000003</v>
      </c>
    </row>
    <row r="23" spans="1:9">
      <c r="A23" s="67" t="s">
        <v>45</v>
      </c>
      <c r="B23" s="5"/>
      <c r="G23" s="20"/>
      <c r="H23" s="20"/>
      <c r="I23" s="20"/>
    </row>
    <row r="24" spans="1:9">
      <c r="A24" s="67" t="s">
        <v>45</v>
      </c>
      <c r="B24" s="2"/>
      <c r="G24" s="20" t="s">
        <v>45</v>
      </c>
      <c r="H24" s="20"/>
      <c r="I24" s="20"/>
    </row>
    <row r="25" spans="1:9">
      <c r="B25" s="2"/>
      <c r="G25" s="20"/>
      <c r="H25" s="20"/>
      <c r="I25" s="20"/>
    </row>
    <row r="26" spans="1:9">
      <c r="B26" s="2"/>
    </row>
    <row r="27" spans="1:9">
      <c r="B27" s="2"/>
    </row>
    <row r="28" spans="1:9">
      <c r="B28" s="2"/>
    </row>
    <row r="29" spans="1:9">
      <c r="B29" s="2"/>
    </row>
    <row r="30" spans="1:9">
      <c r="B30" s="2" t="s">
        <v>45</v>
      </c>
    </row>
    <row r="31" spans="1:9">
      <c r="B31" s="2"/>
    </row>
    <row r="32" spans="1:9">
      <c r="B32" s="2"/>
    </row>
    <row r="33" spans="2:3">
      <c r="B33" s="2"/>
    </row>
    <row r="34" spans="2:3">
      <c r="C34" s="3"/>
    </row>
    <row r="35" spans="2:3">
      <c r="B35" s="6"/>
      <c r="C35" s="7"/>
    </row>
    <row r="37" spans="2:3">
      <c r="B37" s="6"/>
      <c r="C37" s="8"/>
    </row>
  </sheetData>
  <customSheetViews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="115" zoomScaleNormal="115" workbookViewId="0">
      <selection activeCell="G25" sqref="G25"/>
    </sheetView>
  </sheetViews>
  <sheetFormatPr defaultColWidth="9.140625" defaultRowHeight="15"/>
  <cols>
    <col min="1" max="1" width="8.85546875" style="72"/>
    <col min="2" max="2" width="20.7109375" style="23" customWidth="1"/>
    <col min="3" max="3" width="55.5703125" style="23" customWidth="1"/>
    <col min="4" max="4" width="22.7109375" style="23" bestFit="1" customWidth="1"/>
    <col min="5" max="5" width="3.140625" style="23" customWidth="1"/>
    <col min="6" max="6" width="16.28515625" style="23" customWidth="1"/>
    <col min="7" max="16384" width="9.140625" style="23"/>
  </cols>
  <sheetData>
    <row r="1" spans="1:6" ht="15.75">
      <c r="B1" s="90" t="s">
        <v>73</v>
      </c>
      <c r="F1" s="97" t="s">
        <v>106</v>
      </c>
    </row>
    <row r="2" spans="1:6" ht="15.75">
      <c r="B2" s="90" t="s">
        <v>100</v>
      </c>
    </row>
    <row r="3" spans="1:6" ht="15.75">
      <c r="B3" s="90" t="s">
        <v>74</v>
      </c>
    </row>
    <row r="6" spans="1:6">
      <c r="A6" s="96" t="s">
        <v>104</v>
      </c>
      <c r="B6" s="96" t="s">
        <v>83</v>
      </c>
      <c r="C6" s="96" t="s">
        <v>2</v>
      </c>
      <c r="D6" s="96" t="s">
        <v>84</v>
      </c>
      <c r="E6" s="99"/>
      <c r="F6" s="96" t="s">
        <v>86</v>
      </c>
    </row>
    <row r="7" spans="1:6">
      <c r="A7" s="93">
        <v>-1</v>
      </c>
      <c r="B7" s="100">
        <v>4561005</v>
      </c>
      <c r="C7" s="23" t="s">
        <v>140</v>
      </c>
      <c r="D7" s="111">
        <v>-535143.05000000005</v>
      </c>
      <c r="F7" s="23" t="s">
        <v>3</v>
      </c>
    </row>
    <row r="8" spans="1:6">
      <c r="A8" s="93">
        <f>A7-1</f>
        <v>-2</v>
      </c>
      <c r="B8" s="100">
        <v>4561002</v>
      </c>
      <c r="C8" s="23" t="s">
        <v>141</v>
      </c>
      <c r="D8" s="111">
        <v>196296.08</v>
      </c>
      <c r="F8" s="23" t="s">
        <v>3</v>
      </c>
    </row>
    <row r="9" spans="1:6">
      <c r="A9" s="93">
        <f>A8-1</f>
        <v>-3</v>
      </c>
      <c r="B9" s="100">
        <v>4561035</v>
      </c>
      <c r="C9" s="23" t="s">
        <v>77</v>
      </c>
      <c r="D9" s="111">
        <v>45453207</v>
      </c>
      <c r="F9" s="23" t="s">
        <v>3</v>
      </c>
    </row>
    <row r="10" spans="1:6">
      <c r="A10" s="93">
        <f t="shared" ref="A10:A15" si="0">A9-1</f>
        <v>-4</v>
      </c>
      <c r="B10" s="100">
        <v>4561036</v>
      </c>
      <c r="C10" s="23" t="s">
        <v>78</v>
      </c>
      <c r="D10" s="111">
        <v>566356</v>
      </c>
      <c r="F10" s="23" t="s">
        <v>5</v>
      </c>
    </row>
    <row r="11" spans="1:6">
      <c r="A11" s="93">
        <f t="shared" si="0"/>
        <v>-5</v>
      </c>
      <c r="B11" s="100">
        <v>4561060</v>
      </c>
      <c r="C11" s="23" t="s">
        <v>79</v>
      </c>
      <c r="D11" s="111">
        <v>788524</v>
      </c>
      <c r="F11" s="23" t="s">
        <v>3</v>
      </c>
    </row>
    <row r="12" spans="1:6">
      <c r="A12" s="93">
        <f t="shared" si="0"/>
        <v>-6</v>
      </c>
      <c r="B12" s="100">
        <v>5650012</v>
      </c>
      <c r="C12" s="23" t="s">
        <v>80</v>
      </c>
      <c r="D12" s="111">
        <v>5035193</v>
      </c>
      <c r="F12" s="23" t="s">
        <v>3</v>
      </c>
    </row>
    <row r="13" spans="1:6">
      <c r="A13" s="93">
        <f t="shared" si="0"/>
        <v>-7</v>
      </c>
      <c r="B13" s="100">
        <v>5650016</v>
      </c>
      <c r="C13" s="23" t="s">
        <v>81</v>
      </c>
      <c r="D13" s="111">
        <v>18568254</v>
      </c>
      <c r="F13" s="23" t="s">
        <v>3</v>
      </c>
    </row>
    <row r="14" spans="1:6">
      <c r="A14" s="93">
        <f t="shared" si="0"/>
        <v>-8</v>
      </c>
      <c r="B14" s="100">
        <v>5650019</v>
      </c>
      <c r="C14" s="23" t="s">
        <v>82</v>
      </c>
      <c r="D14" s="143">
        <v>3965830</v>
      </c>
      <c r="F14" s="23" t="s">
        <v>3</v>
      </c>
    </row>
    <row r="15" spans="1:6">
      <c r="A15" s="93">
        <f t="shared" si="0"/>
        <v>-9</v>
      </c>
      <c r="B15" s="23" t="s">
        <v>75</v>
      </c>
      <c r="D15" s="111">
        <f>SUM(D7:D14)</f>
        <v>74038517.030000001</v>
      </c>
      <c r="F15" s="120"/>
    </row>
    <row r="16" spans="1:6">
      <c r="A16" s="93"/>
      <c r="D16" s="111"/>
      <c r="F16" s="120"/>
    </row>
    <row r="17" spans="1:6">
      <c r="A17" s="93" t="s">
        <v>247</v>
      </c>
      <c r="B17" s="23" t="s">
        <v>207</v>
      </c>
      <c r="D17" s="109">
        <f>ROUND(D15/12,0)</f>
        <v>6169876</v>
      </c>
    </row>
    <row r="18" spans="1:6">
      <c r="A18" s="93" t="s">
        <v>45</v>
      </c>
    </row>
    <row r="19" spans="1:6">
      <c r="A19" s="93">
        <f>A15-1</f>
        <v>-10</v>
      </c>
      <c r="B19" s="144" t="s">
        <v>205</v>
      </c>
      <c r="C19" s="145"/>
      <c r="D19" s="87">
        <v>372542</v>
      </c>
      <c r="E19" s="100" t="s">
        <v>45</v>
      </c>
      <c r="F19" s="23" t="s">
        <v>5</v>
      </c>
    </row>
    <row r="20" spans="1:6">
      <c r="A20" s="93" t="s">
        <v>45</v>
      </c>
      <c r="E20" s="100"/>
    </row>
    <row r="21" spans="1:6">
      <c r="A21" s="93">
        <f>A19-1</f>
        <v>-11</v>
      </c>
      <c r="B21" s="23" t="s">
        <v>85</v>
      </c>
      <c r="D21" s="87">
        <v>42026</v>
      </c>
      <c r="E21" s="100" t="s">
        <v>45</v>
      </c>
      <c r="F21" s="23" t="s">
        <v>3</v>
      </c>
    </row>
    <row r="22" spans="1:6">
      <c r="A22" s="93" t="s">
        <v>248</v>
      </c>
      <c r="B22" s="23" t="s">
        <v>208</v>
      </c>
      <c r="D22" s="108">
        <f>SUM(D19:D21)/12</f>
        <v>34547.333333333336</v>
      </c>
      <c r="E22" s="100"/>
    </row>
    <row r="23" spans="1:6">
      <c r="A23" s="93"/>
      <c r="D23" s="87"/>
      <c r="E23" s="100"/>
    </row>
    <row r="24" spans="1:6">
      <c r="A24" s="93" t="s">
        <v>45</v>
      </c>
    </row>
    <row r="25" spans="1:6" ht="16.5" thickBot="1">
      <c r="A25" s="93" t="s">
        <v>249</v>
      </c>
      <c r="B25" s="90" t="s">
        <v>76</v>
      </c>
      <c r="D25" s="112">
        <f>SUM(D21,D19,D15)</f>
        <v>74453085.030000001</v>
      </c>
    </row>
    <row r="26" spans="1:6" ht="15.75" thickTop="1">
      <c r="A26" s="93" t="s">
        <v>45</v>
      </c>
    </row>
    <row r="27" spans="1:6" ht="15.75" thickBot="1">
      <c r="A27" s="93">
        <v>-13</v>
      </c>
      <c r="B27" s="23" t="s">
        <v>251</v>
      </c>
      <c r="D27" s="146">
        <f>D25/12</f>
        <v>6204423.7525000004</v>
      </c>
    </row>
    <row r="28" spans="1:6" ht="15.75" thickTop="1">
      <c r="B28" s="23" t="s">
        <v>45</v>
      </c>
    </row>
    <row r="29" spans="1:6">
      <c r="A29" s="253" t="s">
        <v>250</v>
      </c>
    </row>
  </sheetData>
  <customSheetViews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B29" sqref="B29"/>
    </sheetView>
  </sheetViews>
  <sheetFormatPr defaultColWidth="9.140625" defaultRowHeight="15"/>
  <cols>
    <col min="1" max="1" width="9.5703125" style="23" customWidth="1"/>
    <col min="2" max="2" width="66.85546875" style="23" customWidth="1"/>
    <col min="3" max="3" width="18" style="23" customWidth="1"/>
    <col min="4" max="4" width="9.140625" style="23"/>
    <col min="5" max="5" width="31.140625" style="23" bestFit="1" customWidth="1"/>
    <col min="6" max="16384" width="9.140625" style="23"/>
  </cols>
  <sheetData>
    <row r="1" spans="1:5" ht="15.75">
      <c r="A1" s="90" t="s">
        <v>115</v>
      </c>
    </row>
    <row r="3" spans="1:5">
      <c r="B3" s="346"/>
      <c r="C3" s="346"/>
      <c r="E3" s="89" t="s">
        <v>116</v>
      </c>
    </row>
    <row r="4" spans="1:5">
      <c r="A4" s="23" t="s">
        <v>117</v>
      </c>
      <c r="B4" s="23" t="s">
        <v>118</v>
      </c>
      <c r="C4" s="87">
        <v>300309182.89368373</v>
      </c>
      <c r="E4" s="23" t="s">
        <v>204</v>
      </c>
    </row>
    <row r="5" spans="1:5">
      <c r="A5" s="23" t="s">
        <v>119</v>
      </c>
      <c r="B5" s="86" t="s">
        <v>120</v>
      </c>
      <c r="C5" s="86">
        <v>0.98499999999999999</v>
      </c>
      <c r="E5" s="23" t="s">
        <v>121</v>
      </c>
    </row>
    <row r="6" spans="1:5">
      <c r="A6" s="23" t="s">
        <v>122</v>
      </c>
      <c r="B6" s="23" t="s">
        <v>123</v>
      </c>
      <c r="C6" s="84">
        <f>C5*C4</f>
        <v>295804545.15027845</v>
      </c>
      <c r="E6" s="23" t="s">
        <v>124</v>
      </c>
    </row>
    <row r="7" spans="1:5">
      <c r="C7" s="84"/>
    </row>
    <row r="8" spans="1:5">
      <c r="A8" s="23" t="s">
        <v>125</v>
      </c>
      <c r="B8" s="23" t="s">
        <v>126</v>
      </c>
      <c r="C8" s="87">
        <v>266193975</v>
      </c>
      <c r="E8" s="23" t="s">
        <v>127</v>
      </c>
    </row>
    <row r="9" spans="1:5">
      <c r="A9" s="23" t="s">
        <v>128</v>
      </c>
      <c r="B9" s="23" t="s">
        <v>129</v>
      </c>
      <c r="C9" s="84">
        <f>C6-C8</f>
        <v>29610570.150278449</v>
      </c>
      <c r="E9" s="23" t="s">
        <v>124</v>
      </c>
    </row>
    <row r="11" spans="1:5">
      <c r="A11" s="23" t="s">
        <v>130</v>
      </c>
      <c r="B11" s="147" t="s">
        <v>203</v>
      </c>
      <c r="C11" s="148">
        <v>7.0486908012783164E-2</v>
      </c>
      <c r="E11" s="23" t="s">
        <v>204</v>
      </c>
    </row>
    <row r="12" spans="1:5" ht="14.45" customHeight="1">
      <c r="A12" s="23" t="s">
        <v>131</v>
      </c>
      <c r="B12" s="149" t="s">
        <v>201</v>
      </c>
      <c r="C12" s="150">
        <v>6.7572499999999994E-2</v>
      </c>
      <c r="E12" s="23" t="s">
        <v>202</v>
      </c>
    </row>
    <row r="13" spans="1:5">
      <c r="A13" s="23" t="s">
        <v>132</v>
      </c>
      <c r="B13" s="23" t="s">
        <v>28</v>
      </c>
      <c r="C13" s="151">
        <f>C11-C12</f>
        <v>2.9144080127831706E-3</v>
      </c>
      <c r="E13" s="23" t="s">
        <v>124</v>
      </c>
    </row>
    <row r="15" spans="1:5">
      <c r="A15" s="23" t="s">
        <v>133</v>
      </c>
      <c r="B15" s="23" t="s">
        <v>134</v>
      </c>
      <c r="C15" s="84">
        <f>C13*C9</f>
        <v>86297.282909049682</v>
      </c>
      <c r="E15" s="23" t="s">
        <v>124</v>
      </c>
    </row>
    <row r="16" spans="1:5">
      <c r="A16" s="23" t="s">
        <v>135</v>
      </c>
      <c r="B16" s="86" t="s">
        <v>52</v>
      </c>
      <c r="C16" s="152">
        <v>1.3452999999999999</v>
      </c>
      <c r="E16" s="23" t="s">
        <v>200</v>
      </c>
    </row>
    <row r="17" spans="1:8">
      <c r="A17" s="153" t="s">
        <v>137</v>
      </c>
      <c r="B17" s="75" t="s">
        <v>136</v>
      </c>
      <c r="C17" s="154">
        <f>ROUND(C16*C15,0)</f>
        <v>116096</v>
      </c>
      <c r="E17" s="23" t="s">
        <v>124</v>
      </c>
    </row>
    <row r="19" spans="1:8" ht="15.75" thickBot="1">
      <c r="A19" s="155" t="s">
        <v>138</v>
      </c>
      <c r="B19" s="23" t="s">
        <v>139</v>
      </c>
      <c r="C19" s="146">
        <f>ROUND(C17/12,0)</f>
        <v>9675</v>
      </c>
    </row>
    <row r="20" spans="1:8" ht="15.75" thickTop="1">
      <c r="A20" s="259"/>
      <c r="B20" s="259"/>
      <c r="C20" s="260"/>
      <c r="D20" s="259"/>
      <c r="E20" s="259"/>
      <c r="F20" s="259"/>
      <c r="G20" s="259"/>
      <c r="H20" s="259"/>
    </row>
    <row r="22" spans="1:8">
      <c r="A22" s="23" t="s">
        <v>117</v>
      </c>
      <c r="B22" s="23" t="s">
        <v>118</v>
      </c>
      <c r="C22" s="272">
        <v>342717085</v>
      </c>
      <c r="D22" s="20"/>
      <c r="E22" s="20" t="s">
        <v>265</v>
      </c>
    </row>
    <row r="23" spans="1:8">
      <c r="A23" s="23" t="s">
        <v>119</v>
      </c>
      <c r="B23" s="86" t="s">
        <v>120</v>
      </c>
      <c r="C23" s="273">
        <v>0.98499999999999999</v>
      </c>
      <c r="D23" s="20"/>
      <c r="E23" s="20" t="s">
        <v>121</v>
      </c>
    </row>
    <row r="24" spans="1:8">
      <c r="A24" s="23" t="s">
        <v>122</v>
      </c>
      <c r="B24" s="23" t="s">
        <v>123</v>
      </c>
      <c r="C24" s="274">
        <f>C23*C22</f>
        <v>337576328.72500002</v>
      </c>
      <c r="D24" s="20"/>
      <c r="E24" s="20" t="s">
        <v>124</v>
      </c>
    </row>
    <row r="25" spans="1:8">
      <c r="C25" s="274"/>
      <c r="D25" s="20"/>
      <c r="E25" s="20"/>
    </row>
    <row r="26" spans="1:8">
      <c r="A26" s="23" t="s">
        <v>125</v>
      </c>
      <c r="B26" s="23" t="s">
        <v>126</v>
      </c>
      <c r="C26" s="272">
        <v>266193975</v>
      </c>
      <c r="D26" s="20"/>
      <c r="E26" s="20" t="s">
        <v>127</v>
      </c>
    </row>
    <row r="27" spans="1:8">
      <c r="A27" s="23" t="s">
        <v>128</v>
      </c>
      <c r="B27" s="23" t="s">
        <v>129</v>
      </c>
      <c r="C27" s="274">
        <f>C24-C26</f>
        <v>71382353.725000024</v>
      </c>
      <c r="D27" s="20"/>
      <c r="E27" s="20" t="s">
        <v>124</v>
      </c>
    </row>
    <row r="28" spans="1:8">
      <c r="C28" s="20"/>
      <c r="D28" s="20"/>
      <c r="E28" s="20"/>
    </row>
    <row r="29" spans="1:8">
      <c r="A29" s="23" t="s">
        <v>130</v>
      </c>
      <c r="B29" s="147" t="s">
        <v>203</v>
      </c>
      <c r="C29" s="275">
        <v>7.2097999999999995E-2</v>
      </c>
      <c r="D29" s="20"/>
      <c r="E29" s="20" t="s">
        <v>265</v>
      </c>
    </row>
    <row r="30" spans="1:8">
      <c r="A30" s="23" t="s">
        <v>131</v>
      </c>
      <c r="B30" s="149" t="s">
        <v>201</v>
      </c>
      <c r="C30" s="276">
        <v>6.7572499999999994E-2</v>
      </c>
      <c r="D30" s="20"/>
      <c r="E30" s="20" t="s">
        <v>267</v>
      </c>
    </row>
    <row r="31" spans="1:8">
      <c r="A31" s="23" t="s">
        <v>132</v>
      </c>
      <c r="B31" s="23" t="s">
        <v>28</v>
      </c>
      <c r="C31" s="277">
        <f>C29-C30</f>
        <v>4.5255000000000017E-3</v>
      </c>
      <c r="D31" s="20"/>
      <c r="E31" s="20" t="s">
        <v>124</v>
      </c>
    </row>
    <row r="32" spans="1:8">
      <c r="C32" s="20"/>
      <c r="D32" s="20"/>
      <c r="E32" s="20"/>
    </row>
    <row r="33" spans="1:5">
      <c r="A33" s="23" t="s">
        <v>133</v>
      </c>
      <c r="B33" s="23" t="s">
        <v>134</v>
      </c>
      <c r="C33" s="274">
        <f>C31*C27</f>
        <v>323040.84178248775</v>
      </c>
      <c r="D33" s="20"/>
      <c r="E33" s="20" t="s">
        <v>124</v>
      </c>
    </row>
    <row r="34" spans="1:5">
      <c r="A34" s="23" t="s">
        <v>135</v>
      </c>
      <c r="B34" s="86" t="s">
        <v>52</v>
      </c>
      <c r="C34" s="278">
        <v>1.3351</v>
      </c>
      <c r="D34" s="20"/>
      <c r="E34" s="20" t="s">
        <v>266</v>
      </c>
    </row>
    <row r="35" spans="1:5">
      <c r="A35" s="153" t="s">
        <v>137</v>
      </c>
      <c r="B35" s="75" t="s">
        <v>277</v>
      </c>
      <c r="C35" s="279">
        <f>ROUND(C34*C33,0)</f>
        <v>431292</v>
      </c>
      <c r="D35" s="20"/>
      <c r="E35" s="20" t="s">
        <v>124</v>
      </c>
    </row>
    <row r="36" spans="1:5">
      <c r="C36" s="20"/>
      <c r="D36" s="20"/>
      <c r="E36" s="20"/>
    </row>
    <row r="37" spans="1:5" ht="15.75" thickBot="1">
      <c r="A37" s="155" t="s">
        <v>138</v>
      </c>
      <c r="B37" s="23" t="s">
        <v>139</v>
      </c>
      <c r="C37" s="280">
        <f>ROUND(C35/12,0)</f>
        <v>35941</v>
      </c>
      <c r="D37" s="20"/>
      <c r="E37" s="20"/>
    </row>
    <row r="38" spans="1:5" ht="15.75" thickTop="1"/>
  </sheetData>
  <customSheetViews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RowHeight="15" outlineLevelRow="1"/>
  <cols>
    <col min="1" max="1" width="4.7109375" style="156" bestFit="1" customWidth="1"/>
    <col min="2" max="2" width="24.28515625" style="156" bestFit="1" customWidth="1"/>
    <col min="3" max="3" width="11.85546875" style="156" bestFit="1" customWidth="1"/>
    <col min="4" max="4" width="12.28515625" style="156" bestFit="1" customWidth="1"/>
    <col min="5" max="5" width="12.5703125" style="156" bestFit="1" customWidth="1"/>
    <col min="6" max="6" width="12.28515625" style="157" bestFit="1" customWidth="1"/>
    <col min="7" max="7" width="10.7109375" style="157" bestFit="1" customWidth="1"/>
    <col min="8" max="9" width="12.42578125" style="157" bestFit="1" customWidth="1"/>
    <col min="10" max="10" width="12.140625" style="156" customWidth="1"/>
    <col min="11" max="11" width="14.5703125" style="156" bestFit="1" customWidth="1"/>
    <col min="12" max="12" width="11.85546875" style="156" bestFit="1" customWidth="1"/>
    <col min="13" max="13" width="9.85546875" style="156" bestFit="1" customWidth="1"/>
    <col min="14" max="256" width="9.140625" style="156"/>
    <col min="257" max="257" width="4.7109375" style="156" bestFit="1" customWidth="1"/>
    <col min="258" max="258" width="24.28515625" style="156" bestFit="1" customWidth="1"/>
    <col min="259" max="259" width="11.85546875" style="156" bestFit="1" customWidth="1"/>
    <col min="260" max="260" width="12.28515625" style="156" bestFit="1" customWidth="1"/>
    <col min="261" max="261" width="12.5703125" style="156" bestFit="1" customWidth="1"/>
    <col min="262" max="262" width="12.28515625" style="156" bestFit="1" customWidth="1"/>
    <col min="263" max="263" width="10.7109375" style="156" bestFit="1" customWidth="1"/>
    <col min="264" max="265" width="12.42578125" style="156" bestFit="1" customWidth="1"/>
    <col min="266" max="266" width="12.140625" style="156" customWidth="1"/>
    <col min="267" max="267" width="14.5703125" style="156" bestFit="1" customWidth="1"/>
    <col min="268" max="268" width="11.85546875" style="156" bestFit="1" customWidth="1"/>
    <col min="269" max="269" width="9.85546875" style="156" bestFit="1" customWidth="1"/>
    <col min="270" max="512" width="9.140625" style="156"/>
    <col min="513" max="513" width="4.7109375" style="156" bestFit="1" customWidth="1"/>
    <col min="514" max="514" width="24.28515625" style="156" bestFit="1" customWidth="1"/>
    <col min="515" max="515" width="11.85546875" style="156" bestFit="1" customWidth="1"/>
    <col min="516" max="516" width="12.28515625" style="156" bestFit="1" customWidth="1"/>
    <col min="517" max="517" width="12.5703125" style="156" bestFit="1" customWidth="1"/>
    <col min="518" max="518" width="12.28515625" style="156" bestFit="1" customWidth="1"/>
    <col min="519" max="519" width="10.7109375" style="156" bestFit="1" customWidth="1"/>
    <col min="520" max="521" width="12.42578125" style="156" bestFit="1" customWidth="1"/>
    <col min="522" max="522" width="12.140625" style="156" customWidth="1"/>
    <col min="523" max="523" width="14.5703125" style="156" bestFit="1" customWidth="1"/>
    <col min="524" max="524" width="11.85546875" style="156" bestFit="1" customWidth="1"/>
    <col min="525" max="525" width="9.85546875" style="156" bestFit="1" customWidth="1"/>
    <col min="526" max="768" width="9.140625" style="156"/>
    <col min="769" max="769" width="4.7109375" style="156" bestFit="1" customWidth="1"/>
    <col min="770" max="770" width="24.28515625" style="156" bestFit="1" customWidth="1"/>
    <col min="771" max="771" width="11.85546875" style="156" bestFit="1" customWidth="1"/>
    <col min="772" max="772" width="12.28515625" style="156" bestFit="1" customWidth="1"/>
    <col min="773" max="773" width="12.5703125" style="156" bestFit="1" customWidth="1"/>
    <col min="774" max="774" width="12.28515625" style="156" bestFit="1" customWidth="1"/>
    <col min="775" max="775" width="10.7109375" style="156" bestFit="1" customWidth="1"/>
    <col min="776" max="777" width="12.42578125" style="156" bestFit="1" customWidth="1"/>
    <col min="778" max="778" width="12.140625" style="156" customWidth="1"/>
    <col min="779" max="779" width="14.5703125" style="156" bestFit="1" customWidth="1"/>
    <col min="780" max="780" width="11.85546875" style="156" bestFit="1" customWidth="1"/>
    <col min="781" max="781" width="9.85546875" style="156" bestFit="1" customWidth="1"/>
    <col min="782" max="1024" width="9.140625" style="156"/>
    <col min="1025" max="1025" width="4.7109375" style="156" bestFit="1" customWidth="1"/>
    <col min="1026" max="1026" width="24.28515625" style="156" bestFit="1" customWidth="1"/>
    <col min="1027" max="1027" width="11.85546875" style="156" bestFit="1" customWidth="1"/>
    <col min="1028" max="1028" width="12.28515625" style="156" bestFit="1" customWidth="1"/>
    <col min="1029" max="1029" width="12.5703125" style="156" bestFit="1" customWidth="1"/>
    <col min="1030" max="1030" width="12.28515625" style="156" bestFit="1" customWidth="1"/>
    <col min="1031" max="1031" width="10.7109375" style="156" bestFit="1" customWidth="1"/>
    <col min="1032" max="1033" width="12.42578125" style="156" bestFit="1" customWidth="1"/>
    <col min="1034" max="1034" width="12.140625" style="156" customWidth="1"/>
    <col min="1035" max="1035" width="14.5703125" style="156" bestFit="1" customWidth="1"/>
    <col min="1036" max="1036" width="11.85546875" style="156" bestFit="1" customWidth="1"/>
    <col min="1037" max="1037" width="9.85546875" style="156" bestFit="1" customWidth="1"/>
    <col min="1038" max="1280" width="9.140625" style="156"/>
    <col min="1281" max="1281" width="4.7109375" style="156" bestFit="1" customWidth="1"/>
    <col min="1282" max="1282" width="24.28515625" style="156" bestFit="1" customWidth="1"/>
    <col min="1283" max="1283" width="11.85546875" style="156" bestFit="1" customWidth="1"/>
    <col min="1284" max="1284" width="12.28515625" style="156" bestFit="1" customWidth="1"/>
    <col min="1285" max="1285" width="12.5703125" style="156" bestFit="1" customWidth="1"/>
    <col min="1286" max="1286" width="12.28515625" style="156" bestFit="1" customWidth="1"/>
    <col min="1287" max="1287" width="10.7109375" style="156" bestFit="1" customWidth="1"/>
    <col min="1288" max="1289" width="12.42578125" style="156" bestFit="1" customWidth="1"/>
    <col min="1290" max="1290" width="12.140625" style="156" customWidth="1"/>
    <col min="1291" max="1291" width="14.5703125" style="156" bestFit="1" customWidth="1"/>
    <col min="1292" max="1292" width="11.85546875" style="156" bestFit="1" customWidth="1"/>
    <col min="1293" max="1293" width="9.85546875" style="156" bestFit="1" customWidth="1"/>
    <col min="1294" max="1536" width="9.140625" style="156"/>
    <col min="1537" max="1537" width="4.7109375" style="156" bestFit="1" customWidth="1"/>
    <col min="1538" max="1538" width="24.28515625" style="156" bestFit="1" customWidth="1"/>
    <col min="1539" max="1539" width="11.85546875" style="156" bestFit="1" customWidth="1"/>
    <col min="1540" max="1540" width="12.28515625" style="156" bestFit="1" customWidth="1"/>
    <col min="1541" max="1541" width="12.5703125" style="156" bestFit="1" customWidth="1"/>
    <col min="1542" max="1542" width="12.28515625" style="156" bestFit="1" customWidth="1"/>
    <col min="1543" max="1543" width="10.7109375" style="156" bestFit="1" customWidth="1"/>
    <col min="1544" max="1545" width="12.42578125" style="156" bestFit="1" customWidth="1"/>
    <col min="1546" max="1546" width="12.140625" style="156" customWidth="1"/>
    <col min="1547" max="1547" width="14.5703125" style="156" bestFit="1" customWidth="1"/>
    <col min="1548" max="1548" width="11.85546875" style="156" bestFit="1" customWidth="1"/>
    <col min="1549" max="1549" width="9.85546875" style="156" bestFit="1" customWidth="1"/>
    <col min="1550" max="1792" width="9.140625" style="156"/>
    <col min="1793" max="1793" width="4.7109375" style="156" bestFit="1" customWidth="1"/>
    <col min="1794" max="1794" width="24.28515625" style="156" bestFit="1" customWidth="1"/>
    <col min="1795" max="1795" width="11.85546875" style="156" bestFit="1" customWidth="1"/>
    <col min="1796" max="1796" width="12.28515625" style="156" bestFit="1" customWidth="1"/>
    <col min="1797" max="1797" width="12.5703125" style="156" bestFit="1" customWidth="1"/>
    <col min="1798" max="1798" width="12.28515625" style="156" bestFit="1" customWidth="1"/>
    <col min="1799" max="1799" width="10.7109375" style="156" bestFit="1" customWidth="1"/>
    <col min="1800" max="1801" width="12.42578125" style="156" bestFit="1" customWidth="1"/>
    <col min="1802" max="1802" width="12.140625" style="156" customWidth="1"/>
    <col min="1803" max="1803" width="14.5703125" style="156" bestFit="1" customWidth="1"/>
    <col min="1804" max="1804" width="11.85546875" style="156" bestFit="1" customWidth="1"/>
    <col min="1805" max="1805" width="9.85546875" style="156" bestFit="1" customWidth="1"/>
    <col min="1806" max="2048" width="9.140625" style="156"/>
    <col min="2049" max="2049" width="4.7109375" style="156" bestFit="1" customWidth="1"/>
    <col min="2050" max="2050" width="24.28515625" style="156" bestFit="1" customWidth="1"/>
    <col min="2051" max="2051" width="11.85546875" style="156" bestFit="1" customWidth="1"/>
    <col min="2052" max="2052" width="12.28515625" style="156" bestFit="1" customWidth="1"/>
    <col min="2053" max="2053" width="12.5703125" style="156" bestFit="1" customWidth="1"/>
    <col min="2054" max="2054" width="12.28515625" style="156" bestFit="1" customWidth="1"/>
    <col min="2055" max="2055" width="10.7109375" style="156" bestFit="1" customWidth="1"/>
    <col min="2056" max="2057" width="12.42578125" style="156" bestFit="1" customWidth="1"/>
    <col min="2058" max="2058" width="12.140625" style="156" customWidth="1"/>
    <col min="2059" max="2059" width="14.5703125" style="156" bestFit="1" customWidth="1"/>
    <col min="2060" max="2060" width="11.85546875" style="156" bestFit="1" customWidth="1"/>
    <col min="2061" max="2061" width="9.85546875" style="156" bestFit="1" customWidth="1"/>
    <col min="2062" max="2304" width="9.140625" style="156"/>
    <col min="2305" max="2305" width="4.7109375" style="156" bestFit="1" customWidth="1"/>
    <col min="2306" max="2306" width="24.28515625" style="156" bestFit="1" customWidth="1"/>
    <col min="2307" max="2307" width="11.85546875" style="156" bestFit="1" customWidth="1"/>
    <col min="2308" max="2308" width="12.28515625" style="156" bestFit="1" customWidth="1"/>
    <col min="2309" max="2309" width="12.5703125" style="156" bestFit="1" customWidth="1"/>
    <col min="2310" max="2310" width="12.28515625" style="156" bestFit="1" customWidth="1"/>
    <col min="2311" max="2311" width="10.7109375" style="156" bestFit="1" customWidth="1"/>
    <col min="2312" max="2313" width="12.42578125" style="156" bestFit="1" customWidth="1"/>
    <col min="2314" max="2314" width="12.140625" style="156" customWidth="1"/>
    <col min="2315" max="2315" width="14.5703125" style="156" bestFit="1" customWidth="1"/>
    <col min="2316" max="2316" width="11.85546875" style="156" bestFit="1" customWidth="1"/>
    <col min="2317" max="2317" width="9.85546875" style="156" bestFit="1" customWidth="1"/>
    <col min="2318" max="2560" width="9.140625" style="156"/>
    <col min="2561" max="2561" width="4.7109375" style="156" bestFit="1" customWidth="1"/>
    <col min="2562" max="2562" width="24.28515625" style="156" bestFit="1" customWidth="1"/>
    <col min="2563" max="2563" width="11.85546875" style="156" bestFit="1" customWidth="1"/>
    <col min="2564" max="2564" width="12.28515625" style="156" bestFit="1" customWidth="1"/>
    <col min="2565" max="2565" width="12.5703125" style="156" bestFit="1" customWidth="1"/>
    <col min="2566" max="2566" width="12.28515625" style="156" bestFit="1" customWidth="1"/>
    <col min="2567" max="2567" width="10.7109375" style="156" bestFit="1" customWidth="1"/>
    <col min="2568" max="2569" width="12.42578125" style="156" bestFit="1" customWidth="1"/>
    <col min="2570" max="2570" width="12.140625" style="156" customWidth="1"/>
    <col min="2571" max="2571" width="14.5703125" style="156" bestFit="1" customWidth="1"/>
    <col min="2572" max="2572" width="11.85546875" style="156" bestFit="1" customWidth="1"/>
    <col min="2573" max="2573" width="9.85546875" style="156" bestFit="1" customWidth="1"/>
    <col min="2574" max="2816" width="9.140625" style="156"/>
    <col min="2817" max="2817" width="4.7109375" style="156" bestFit="1" customWidth="1"/>
    <col min="2818" max="2818" width="24.28515625" style="156" bestFit="1" customWidth="1"/>
    <col min="2819" max="2819" width="11.85546875" style="156" bestFit="1" customWidth="1"/>
    <col min="2820" max="2820" width="12.28515625" style="156" bestFit="1" customWidth="1"/>
    <col min="2821" max="2821" width="12.5703125" style="156" bestFit="1" customWidth="1"/>
    <col min="2822" max="2822" width="12.28515625" style="156" bestFit="1" customWidth="1"/>
    <col min="2823" max="2823" width="10.7109375" style="156" bestFit="1" customWidth="1"/>
    <col min="2824" max="2825" width="12.42578125" style="156" bestFit="1" customWidth="1"/>
    <col min="2826" max="2826" width="12.140625" style="156" customWidth="1"/>
    <col min="2827" max="2827" width="14.5703125" style="156" bestFit="1" customWidth="1"/>
    <col min="2828" max="2828" width="11.85546875" style="156" bestFit="1" customWidth="1"/>
    <col min="2829" max="2829" width="9.85546875" style="156" bestFit="1" customWidth="1"/>
    <col min="2830" max="3072" width="9.140625" style="156"/>
    <col min="3073" max="3073" width="4.7109375" style="156" bestFit="1" customWidth="1"/>
    <col min="3074" max="3074" width="24.28515625" style="156" bestFit="1" customWidth="1"/>
    <col min="3075" max="3075" width="11.85546875" style="156" bestFit="1" customWidth="1"/>
    <col min="3076" max="3076" width="12.28515625" style="156" bestFit="1" customWidth="1"/>
    <col min="3077" max="3077" width="12.5703125" style="156" bestFit="1" customWidth="1"/>
    <col min="3078" max="3078" width="12.28515625" style="156" bestFit="1" customWidth="1"/>
    <col min="3079" max="3079" width="10.7109375" style="156" bestFit="1" customWidth="1"/>
    <col min="3080" max="3081" width="12.42578125" style="156" bestFit="1" customWidth="1"/>
    <col min="3082" max="3082" width="12.140625" style="156" customWidth="1"/>
    <col min="3083" max="3083" width="14.5703125" style="156" bestFit="1" customWidth="1"/>
    <col min="3084" max="3084" width="11.85546875" style="156" bestFit="1" customWidth="1"/>
    <col min="3085" max="3085" width="9.85546875" style="156" bestFit="1" customWidth="1"/>
    <col min="3086" max="3328" width="9.140625" style="156"/>
    <col min="3329" max="3329" width="4.7109375" style="156" bestFit="1" customWidth="1"/>
    <col min="3330" max="3330" width="24.28515625" style="156" bestFit="1" customWidth="1"/>
    <col min="3331" max="3331" width="11.85546875" style="156" bestFit="1" customWidth="1"/>
    <col min="3332" max="3332" width="12.28515625" style="156" bestFit="1" customWidth="1"/>
    <col min="3333" max="3333" width="12.5703125" style="156" bestFit="1" customWidth="1"/>
    <col min="3334" max="3334" width="12.28515625" style="156" bestFit="1" customWidth="1"/>
    <col min="3335" max="3335" width="10.7109375" style="156" bestFit="1" customWidth="1"/>
    <col min="3336" max="3337" width="12.42578125" style="156" bestFit="1" customWidth="1"/>
    <col min="3338" max="3338" width="12.140625" style="156" customWidth="1"/>
    <col min="3339" max="3339" width="14.5703125" style="156" bestFit="1" customWidth="1"/>
    <col min="3340" max="3340" width="11.85546875" style="156" bestFit="1" customWidth="1"/>
    <col min="3341" max="3341" width="9.85546875" style="156" bestFit="1" customWidth="1"/>
    <col min="3342" max="3584" width="9.140625" style="156"/>
    <col min="3585" max="3585" width="4.7109375" style="156" bestFit="1" customWidth="1"/>
    <col min="3586" max="3586" width="24.28515625" style="156" bestFit="1" customWidth="1"/>
    <col min="3587" max="3587" width="11.85546875" style="156" bestFit="1" customWidth="1"/>
    <col min="3588" max="3588" width="12.28515625" style="156" bestFit="1" customWidth="1"/>
    <col min="3589" max="3589" width="12.5703125" style="156" bestFit="1" customWidth="1"/>
    <col min="3590" max="3590" width="12.28515625" style="156" bestFit="1" customWidth="1"/>
    <col min="3591" max="3591" width="10.7109375" style="156" bestFit="1" customWidth="1"/>
    <col min="3592" max="3593" width="12.42578125" style="156" bestFit="1" customWidth="1"/>
    <col min="3594" max="3594" width="12.140625" style="156" customWidth="1"/>
    <col min="3595" max="3595" width="14.5703125" style="156" bestFit="1" customWidth="1"/>
    <col min="3596" max="3596" width="11.85546875" style="156" bestFit="1" customWidth="1"/>
    <col min="3597" max="3597" width="9.85546875" style="156" bestFit="1" customWidth="1"/>
    <col min="3598" max="3840" width="9.140625" style="156"/>
    <col min="3841" max="3841" width="4.7109375" style="156" bestFit="1" customWidth="1"/>
    <col min="3842" max="3842" width="24.28515625" style="156" bestFit="1" customWidth="1"/>
    <col min="3843" max="3843" width="11.85546875" style="156" bestFit="1" customWidth="1"/>
    <col min="3844" max="3844" width="12.28515625" style="156" bestFit="1" customWidth="1"/>
    <col min="3845" max="3845" width="12.5703125" style="156" bestFit="1" customWidth="1"/>
    <col min="3846" max="3846" width="12.28515625" style="156" bestFit="1" customWidth="1"/>
    <col min="3847" max="3847" width="10.7109375" style="156" bestFit="1" customWidth="1"/>
    <col min="3848" max="3849" width="12.42578125" style="156" bestFit="1" customWidth="1"/>
    <col min="3850" max="3850" width="12.140625" style="156" customWidth="1"/>
    <col min="3851" max="3851" width="14.5703125" style="156" bestFit="1" customWidth="1"/>
    <col min="3852" max="3852" width="11.85546875" style="156" bestFit="1" customWidth="1"/>
    <col min="3853" max="3853" width="9.85546875" style="156" bestFit="1" customWidth="1"/>
    <col min="3854" max="4096" width="9.140625" style="156"/>
    <col min="4097" max="4097" width="4.7109375" style="156" bestFit="1" customWidth="1"/>
    <col min="4098" max="4098" width="24.28515625" style="156" bestFit="1" customWidth="1"/>
    <col min="4099" max="4099" width="11.85546875" style="156" bestFit="1" customWidth="1"/>
    <col min="4100" max="4100" width="12.28515625" style="156" bestFit="1" customWidth="1"/>
    <col min="4101" max="4101" width="12.5703125" style="156" bestFit="1" customWidth="1"/>
    <col min="4102" max="4102" width="12.28515625" style="156" bestFit="1" customWidth="1"/>
    <col min="4103" max="4103" width="10.7109375" style="156" bestFit="1" customWidth="1"/>
    <col min="4104" max="4105" width="12.42578125" style="156" bestFit="1" customWidth="1"/>
    <col min="4106" max="4106" width="12.140625" style="156" customWidth="1"/>
    <col min="4107" max="4107" width="14.5703125" style="156" bestFit="1" customWidth="1"/>
    <col min="4108" max="4108" width="11.85546875" style="156" bestFit="1" customWidth="1"/>
    <col min="4109" max="4109" width="9.85546875" style="156" bestFit="1" customWidth="1"/>
    <col min="4110" max="4352" width="9.140625" style="156"/>
    <col min="4353" max="4353" width="4.7109375" style="156" bestFit="1" customWidth="1"/>
    <col min="4354" max="4354" width="24.28515625" style="156" bestFit="1" customWidth="1"/>
    <col min="4355" max="4355" width="11.85546875" style="156" bestFit="1" customWidth="1"/>
    <col min="4356" max="4356" width="12.28515625" style="156" bestFit="1" customWidth="1"/>
    <col min="4357" max="4357" width="12.5703125" style="156" bestFit="1" customWidth="1"/>
    <col min="4358" max="4358" width="12.28515625" style="156" bestFit="1" customWidth="1"/>
    <col min="4359" max="4359" width="10.7109375" style="156" bestFit="1" customWidth="1"/>
    <col min="4360" max="4361" width="12.42578125" style="156" bestFit="1" customWidth="1"/>
    <col min="4362" max="4362" width="12.140625" style="156" customWidth="1"/>
    <col min="4363" max="4363" width="14.5703125" style="156" bestFit="1" customWidth="1"/>
    <col min="4364" max="4364" width="11.85546875" style="156" bestFit="1" customWidth="1"/>
    <col min="4365" max="4365" width="9.85546875" style="156" bestFit="1" customWidth="1"/>
    <col min="4366" max="4608" width="9.140625" style="156"/>
    <col min="4609" max="4609" width="4.7109375" style="156" bestFit="1" customWidth="1"/>
    <col min="4610" max="4610" width="24.28515625" style="156" bestFit="1" customWidth="1"/>
    <col min="4611" max="4611" width="11.85546875" style="156" bestFit="1" customWidth="1"/>
    <col min="4612" max="4612" width="12.28515625" style="156" bestFit="1" customWidth="1"/>
    <col min="4613" max="4613" width="12.5703125" style="156" bestFit="1" customWidth="1"/>
    <col min="4614" max="4614" width="12.28515625" style="156" bestFit="1" customWidth="1"/>
    <col min="4615" max="4615" width="10.7109375" style="156" bestFit="1" customWidth="1"/>
    <col min="4616" max="4617" width="12.42578125" style="156" bestFit="1" customWidth="1"/>
    <col min="4618" max="4618" width="12.140625" style="156" customWidth="1"/>
    <col min="4619" max="4619" width="14.5703125" style="156" bestFit="1" customWidth="1"/>
    <col min="4620" max="4620" width="11.85546875" style="156" bestFit="1" customWidth="1"/>
    <col min="4621" max="4621" width="9.85546875" style="156" bestFit="1" customWidth="1"/>
    <col min="4622" max="4864" width="9.140625" style="156"/>
    <col min="4865" max="4865" width="4.7109375" style="156" bestFit="1" customWidth="1"/>
    <col min="4866" max="4866" width="24.28515625" style="156" bestFit="1" customWidth="1"/>
    <col min="4867" max="4867" width="11.85546875" style="156" bestFit="1" customWidth="1"/>
    <col min="4868" max="4868" width="12.28515625" style="156" bestFit="1" customWidth="1"/>
    <col min="4869" max="4869" width="12.5703125" style="156" bestFit="1" customWidth="1"/>
    <col min="4870" max="4870" width="12.28515625" style="156" bestFit="1" customWidth="1"/>
    <col min="4871" max="4871" width="10.7109375" style="156" bestFit="1" customWidth="1"/>
    <col min="4872" max="4873" width="12.42578125" style="156" bestFit="1" customWidth="1"/>
    <col min="4874" max="4874" width="12.140625" style="156" customWidth="1"/>
    <col min="4875" max="4875" width="14.5703125" style="156" bestFit="1" customWidth="1"/>
    <col min="4876" max="4876" width="11.85546875" style="156" bestFit="1" customWidth="1"/>
    <col min="4877" max="4877" width="9.85546875" style="156" bestFit="1" customWidth="1"/>
    <col min="4878" max="5120" width="9.140625" style="156"/>
    <col min="5121" max="5121" width="4.7109375" style="156" bestFit="1" customWidth="1"/>
    <col min="5122" max="5122" width="24.28515625" style="156" bestFit="1" customWidth="1"/>
    <col min="5123" max="5123" width="11.85546875" style="156" bestFit="1" customWidth="1"/>
    <col min="5124" max="5124" width="12.28515625" style="156" bestFit="1" customWidth="1"/>
    <col min="5125" max="5125" width="12.5703125" style="156" bestFit="1" customWidth="1"/>
    <col min="5126" max="5126" width="12.28515625" style="156" bestFit="1" customWidth="1"/>
    <col min="5127" max="5127" width="10.7109375" style="156" bestFit="1" customWidth="1"/>
    <col min="5128" max="5129" width="12.42578125" style="156" bestFit="1" customWidth="1"/>
    <col min="5130" max="5130" width="12.140625" style="156" customWidth="1"/>
    <col min="5131" max="5131" width="14.5703125" style="156" bestFit="1" customWidth="1"/>
    <col min="5132" max="5132" width="11.85546875" style="156" bestFit="1" customWidth="1"/>
    <col min="5133" max="5133" width="9.85546875" style="156" bestFit="1" customWidth="1"/>
    <col min="5134" max="5376" width="9.140625" style="156"/>
    <col min="5377" max="5377" width="4.7109375" style="156" bestFit="1" customWidth="1"/>
    <col min="5378" max="5378" width="24.28515625" style="156" bestFit="1" customWidth="1"/>
    <col min="5379" max="5379" width="11.85546875" style="156" bestFit="1" customWidth="1"/>
    <col min="5380" max="5380" width="12.28515625" style="156" bestFit="1" customWidth="1"/>
    <col min="5381" max="5381" width="12.5703125" style="156" bestFit="1" customWidth="1"/>
    <col min="5382" max="5382" width="12.28515625" style="156" bestFit="1" customWidth="1"/>
    <col min="5383" max="5383" width="10.7109375" style="156" bestFit="1" customWidth="1"/>
    <col min="5384" max="5385" width="12.42578125" style="156" bestFit="1" customWidth="1"/>
    <col min="5386" max="5386" width="12.140625" style="156" customWidth="1"/>
    <col min="5387" max="5387" width="14.5703125" style="156" bestFit="1" customWidth="1"/>
    <col min="5388" max="5388" width="11.85546875" style="156" bestFit="1" customWidth="1"/>
    <col min="5389" max="5389" width="9.85546875" style="156" bestFit="1" customWidth="1"/>
    <col min="5390" max="5632" width="9.140625" style="156"/>
    <col min="5633" max="5633" width="4.7109375" style="156" bestFit="1" customWidth="1"/>
    <col min="5634" max="5634" width="24.28515625" style="156" bestFit="1" customWidth="1"/>
    <col min="5635" max="5635" width="11.85546875" style="156" bestFit="1" customWidth="1"/>
    <col min="5636" max="5636" width="12.28515625" style="156" bestFit="1" customWidth="1"/>
    <col min="5637" max="5637" width="12.5703125" style="156" bestFit="1" customWidth="1"/>
    <col min="5638" max="5638" width="12.28515625" style="156" bestFit="1" customWidth="1"/>
    <col min="5639" max="5639" width="10.7109375" style="156" bestFit="1" customWidth="1"/>
    <col min="5640" max="5641" width="12.42578125" style="156" bestFit="1" customWidth="1"/>
    <col min="5642" max="5642" width="12.140625" style="156" customWidth="1"/>
    <col min="5643" max="5643" width="14.5703125" style="156" bestFit="1" customWidth="1"/>
    <col min="5644" max="5644" width="11.85546875" style="156" bestFit="1" customWidth="1"/>
    <col min="5645" max="5645" width="9.85546875" style="156" bestFit="1" customWidth="1"/>
    <col min="5646" max="5888" width="9.140625" style="156"/>
    <col min="5889" max="5889" width="4.7109375" style="156" bestFit="1" customWidth="1"/>
    <col min="5890" max="5890" width="24.28515625" style="156" bestFit="1" customWidth="1"/>
    <col min="5891" max="5891" width="11.85546875" style="156" bestFit="1" customWidth="1"/>
    <col min="5892" max="5892" width="12.28515625" style="156" bestFit="1" customWidth="1"/>
    <col min="5893" max="5893" width="12.5703125" style="156" bestFit="1" customWidth="1"/>
    <col min="5894" max="5894" width="12.28515625" style="156" bestFit="1" customWidth="1"/>
    <col min="5895" max="5895" width="10.7109375" style="156" bestFit="1" customWidth="1"/>
    <col min="5896" max="5897" width="12.42578125" style="156" bestFit="1" customWidth="1"/>
    <col min="5898" max="5898" width="12.140625" style="156" customWidth="1"/>
    <col min="5899" max="5899" width="14.5703125" style="156" bestFit="1" customWidth="1"/>
    <col min="5900" max="5900" width="11.85546875" style="156" bestFit="1" customWidth="1"/>
    <col min="5901" max="5901" width="9.85546875" style="156" bestFit="1" customWidth="1"/>
    <col min="5902" max="6144" width="9.140625" style="156"/>
    <col min="6145" max="6145" width="4.7109375" style="156" bestFit="1" customWidth="1"/>
    <col min="6146" max="6146" width="24.28515625" style="156" bestFit="1" customWidth="1"/>
    <col min="6147" max="6147" width="11.85546875" style="156" bestFit="1" customWidth="1"/>
    <col min="6148" max="6148" width="12.28515625" style="156" bestFit="1" customWidth="1"/>
    <col min="6149" max="6149" width="12.5703125" style="156" bestFit="1" customWidth="1"/>
    <col min="6150" max="6150" width="12.28515625" style="156" bestFit="1" customWidth="1"/>
    <col min="6151" max="6151" width="10.7109375" style="156" bestFit="1" customWidth="1"/>
    <col min="6152" max="6153" width="12.42578125" style="156" bestFit="1" customWidth="1"/>
    <col min="6154" max="6154" width="12.140625" style="156" customWidth="1"/>
    <col min="6155" max="6155" width="14.5703125" style="156" bestFit="1" customWidth="1"/>
    <col min="6156" max="6156" width="11.85546875" style="156" bestFit="1" customWidth="1"/>
    <col min="6157" max="6157" width="9.85546875" style="156" bestFit="1" customWidth="1"/>
    <col min="6158" max="6400" width="9.140625" style="156"/>
    <col min="6401" max="6401" width="4.7109375" style="156" bestFit="1" customWidth="1"/>
    <col min="6402" max="6402" width="24.28515625" style="156" bestFit="1" customWidth="1"/>
    <col min="6403" max="6403" width="11.85546875" style="156" bestFit="1" customWidth="1"/>
    <col min="6404" max="6404" width="12.28515625" style="156" bestFit="1" customWidth="1"/>
    <col min="6405" max="6405" width="12.5703125" style="156" bestFit="1" customWidth="1"/>
    <col min="6406" max="6406" width="12.28515625" style="156" bestFit="1" customWidth="1"/>
    <col min="6407" max="6407" width="10.7109375" style="156" bestFit="1" customWidth="1"/>
    <col min="6408" max="6409" width="12.42578125" style="156" bestFit="1" customWidth="1"/>
    <col min="6410" max="6410" width="12.140625" style="156" customWidth="1"/>
    <col min="6411" max="6411" width="14.5703125" style="156" bestFit="1" customWidth="1"/>
    <col min="6412" max="6412" width="11.85546875" style="156" bestFit="1" customWidth="1"/>
    <col min="6413" max="6413" width="9.85546875" style="156" bestFit="1" customWidth="1"/>
    <col min="6414" max="6656" width="9.140625" style="156"/>
    <col min="6657" max="6657" width="4.7109375" style="156" bestFit="1" customWidth="1"/>
    <col min="6658" max="6658" width="24.28515625" style="156" bestFit="1" customWidth="1"/>
    <col min="6659" max="6659" width="11.85546875" style="156" bestFit="1" customWidth="1"/>
    <col min="6660" max="6660" width="12.28515625" style="156" bestFit="1" customWidth="1"/>
    <col min="6661" max="6661" width="12.5703125" style="156" bestFit="1" customWidth="1"/>
    <col min="6662" max="6662" width="12.28515625" style="156" bestFit="1" customWidth="1"/>
    <col min="6663" max="6663" width="10.7109375" style="156" bestFit="1" customWidth="1"/>
    <col min="6664" max="6665" width="12.42578125" style="156" bestFit="1" customWidth="1"/>
    <col min="6666" max="6666" width="12.140625" style="156" customWidth="1"/>
    <col min="6667" max="6667" width="14.5703125" style="156" bestFit="1" customWidth="1"/>
    <col min="6668" max="6668" width="11.85546875" style="156" bestFit="1" customWidth="1"/>
    <col min="6669" max="6669" width="9.85546875" style="156" bestFit="1" customWidth="1"/>
    <col min="6670" max="6912" width="9.140625" style="156"/>
    <col min="6913" max="6913" width="4.7109375" style="156" bestFit="1" customWidth="1"/>
    <col min="6914" max="6914" width="24.28515625" style="156" bestFit="1" customWidth="1"/>
    <col min="6915" max="6915" width="11.85546875" style="156" bestFit="1" customWidth="1"/>
    <col min="6916" max="6916" width="12.28515625" style="156" bestFit="1" customWidth="1"/>
    <col min="6917" max="6917" width="12.5703125" style="156" bestFit="1" customWidth="1"/>
    <col min="6918" max="6918" width="12.28515625" style="156" bestFit="1" customWidth="1"/>
    <col min="6919" max="6919" width="10.7109375" style="156" bestFit="1" customWidth="1"/>
    <col min="6920" max="6921" width="12.42578125" style="156" bestFit="1" customWidth="1"/>
    <col min="6922" max="6922" width="12.140625" style="156" customWidth="1"/>
    <col min="6923" max="6923" width="14.5703125" style="156" bestFit="1" customWidth="1"/>
    <col min="6924" max="6924" width="11.85546875" style="156" bestFit="1" customWidth="1"/>
    <col min="6925" max="6925" width="9.85546875" style="156" bestFit="1" customWidth="1"/>
    <col min="6926" max="7168" width="9.140625" style="156"/>
    <col min="7169" max="7169" width="4.7109375" style="156" bestFit="1" customWidth="1"/>
    <col min="7170" max="7170" width="24.28515625" style="156" bestFit="1" customWidth="1"/>
    <col min="7171" max="7171" width="11.85546875" style="156" bestFit="1" customWidth="1"/>
    <col min="7172" max="7172" width="12.28515625" style="156" bestFit="1" customWidth="1"/>
    <col min="7173" max="7173" width="12.5703125" style="156" bestFit="1" customWidth="1"/>
    <col min="7174" max="7174" width="12.28515625" style="156" bestFit="1" customWidth="1"/>
    <col min="7175" max="7175" width="10.7109375" style="156" bestFit="1" customWidth="1"/>
    <col min="7176" max="7177" width="12.42578125" style="156" bestFit="1" customWidth="1"/>
    <col min="7178" max="7178" width="12.140625" style="156" customWidth="1"/>
    <col min="7179" max="7179" width="14.5703125" style="156" bestFit="1" customWidth="1"/>
    <col min="7180" max="7180" width="11.85546875" style="156" bestFit="1" customWidth="1"/>
    <col min="7181" max="7181" width="9.85546875" style="156" bestFit="1" customWidth="1"/>
    <col min="7182" max="7424" width="9.140625" style="156"/>
    <col min="7425" max="7425" width="4.7109375" style="156" bestFit="1" customWidth="1"/>
    <col min="7426" max="7426" width="24.28515625" style="156" bestFit="1" customWidth="1"/>
    <col min="7427" max="7427" width="11.85546875" style="156" bestFit="1" customWidth="1"/>
    <col min="7428" max="7428" width="12.28515625" style="156" bestFit="1" customWidth="1"/>
    <col min="7429" max="7429" width="12.5703125" style="156" bestFit="1" customWidth="1"/>
    <col min="7430" max="7430" width="12.28515625" style="156" bestFit="1" customWidth="1"/>
    <col min="7431" max="7431" width="10.7109375" style="156" bestFit="1" customWidth="1"/>
    <col min="7432" max="7433" width="12.42578125" style="156" bestFit="1" customWidth="1"/>
    <col min="7434" max="7434" width="12.140625" style="156" customWidth="1"/>
    <col min="7435" max="7435" width="14.5703125" style="156" bestFit="1" customWidth="1"/>
    <col min="7436" max="7436" width="11.85546875" style="156" bestFit="1" customWidth="1"/>
    <col min="7437" max="7437" width="9.85546875" style="156" bestFit="1" customWidth="1"/>
    <col min="7438" max="7680" width="9.140625" style="156"/>
    <col min="7681" max="7681" width="4.7109375" style="156" bestFit="1" customWidth="1"/>
    <col min="7682" max="7682" width="24.28515625" style="156" bestFit="1" customWidth="1"/>
    <col min="7683" max="7683" width="11.85546875" style="156" bestFit="1" customWidth="1"/>
    <col min="7684" max="7684" width="12.28515625" style="156" bestFit="1" customWidth="1"/>
    <col min="7685" max="7685" width="12.5703125" style="156" bestFit="1" customWidth="1"/>
    <col min="7686" max="7686" width="12.28515625" style="156" bestFit="1" customWidth="1"/>
    <col min="7687" max="7687" width="10.7109375" style="156" bestFit="1" customWidth="1"/>
    <col min="7688" max="7689" width="12.42578125" style="156" bestFit="1" customWidth="1"/>
    <col min="7690" max="7690" width="12.140625" style="156" customWidth="1"/>
    <col min="7691" max="7691" width="14.5703125" style="156" bestFit="1" customWidth="1"/>
    <col min="7692" max="7692" width="11.85546875" style="156" bestFit="1" customWidth="1"/>
    <col min="7693" max="7693" width="9.85546875" style="156" bestFit="1" customWidth="1"/>
    <col min="7694" max="7936" width="9.140625" style="156"/>
    <col min="7937" max="7937" width="4.7109375" style="156" bestFit="1" customWidth="1"/>
    <col min="7938" max="7938" width="24.28515625" style="156" bestFit="1" customWidth="1"/>
    <col min="7939" max="7939" width="11.85546875" style="156" bestFit="1" customWidth="1"/>
    <col min="7940" max="7940" width="12.28515625" style="156" bestFit="1" customWidth="1"/>
    <col min="7941" max="7941" width="12.5703125" style="156" bestFit="1" customWidth="1"/>
    <col min="7942" max="7942" width="12.28515625" style="156" bestFit="1" customWidth="1"/>
    <col min="7943" max="7943" width="10.7109375" style="156" bestFit="1" customWidth="1"/>
    <col min="7944" max="7945" width="12.42578125" style="156" bestFit="1" customWidth="1"/>
    <col min="7946" max="7946" width="12.140625" style="156" customWidth="1"/>
    <col min="7947" max="7947" width="14.5703125" style="156" bestFit="1" customWidth="1"/>
    <col min="7948" max="7948" width="11.85546875" style="156" bestFit="1" customWidth="1"/>
    <col min="7949" max="7949" width="9.85546875" style="156" bestFit="1" customWidth="1"/>
    <col min="7950" max="8192" width="9.140625" style="156"/>
    <col min="8193" max="8193" width="4.7109375" style="156" bestFit="1" customWidth="1"/>
    <col min="8194" max="8194" width="24.28515625" style="156" bestFit="1" customWidth="1"/>
    <col min="8195" max="8195" width="11.85546875" style="156" bestFit="1" customWidth="1"/>
    <col min="8196" max="8196" width="12.28515625" style="156" bestFit="1" customWidth="1"/>
    <col min="8197" max="8197" width="12.5703125" style="156" bestFit="1" customWidth="1"/>
    <col min="8198" max="8198" width="12.28515625" style="156" bestFit="1" customWidth="1"/>
    <col min="8199" max="8199" width="10.7109375" style="156" bestFit="1" customWidth="1"/>
    <col min="8200" max="8201" width="12.42578125" style="156" bestFit="1" customWidth="1"/>
    <col min="8202" max="8202" width="12.140625" style="156" customWidth="1"/>
    <col min="8203" max="8203" width="14.5703125" style="156" bestFit="1" customWidth="1"/>
    <col min="8204" max="8204" width="11.85546875" style="156" bestFit="1" customWidth="1"/>
    <col min="8205" max="8205" width="9.85546875" style="156" bestFit="1" customWidth="1"/>
    <col min="8206" max="8448" width="9.140625" style="156"/>
    <col min="8449" max="8449" width="4.7109375" style="156" bestFit="1" customWidth="1"/>
    <col min="8450" max="8450" width="24.28515625" style="156" bestFit="1" customWidth="1"/>
    <col min="8451" max="8451" width="11.85546875" style="156" bestFit="1" customWidth="1"/>
    <col min="8452" max="8452" width="12.28515625" style="156" bestFit="1" customWidth="1"/>
    <col min="8453" max="8453" width="12.5703125" style="156" bestFit="1" customWidth="1"/>
    <col min="8454" max="8454" width="12.28515625" style="156" bestFit="1" customWidth="1"/>
    <col min="8455" max="8455" width="10.7109375" style="156" bestFit="1" customWidth="1"/>
    <col min="8456" max="8457" width="12.42578125" style="156" bestFit="1" customWidth="1"/>
    <col min="8458" max="8458" width="12.140625" style="156" customWidth="1"/>
    <col min="8459" max="8459" width="14.5703125" style="156" bestFit="1" customWidth="1"/>
    <col min="8460" max="8460" width="11.85546875" style="156" bestFit="1" customWidth="1"/>
    <col min="8461" max="8461" width="9.85546875" style="156" bestFit="1" customWidth="1"/>
    <col min="8462" max="8704" width="9.140625" style="156"/>
    <col min="8705" max="8705" width="4.7109375" style="156" bestFit="1" customWidth="1"/>
    <col min="8706" max="8706" width="24.28515625" style="156" bestFit="1" customWidth="1"/>
    <col min="8707" max="8707" width="11.85546875" style="156" bestFit="1" customWidth="1"/>
    <col min="8708" max="8708" width="12.28515625" style="156" bestFit="1" customWidth="1"/>
    <col min="8709" max="8709" width="12.5703125" style="156" bestFit="1" customWidth="1"/>
    <col min="8710" max="8710" width="12.28515625" style="156" bestFit="1" customWidth="1"/>
    <col min="8711" max="8711" width="10.7109375" style="156" bestFit="1" customWidth="1"/>
    <col min="8712" max="8713" width="12.42578125" style="156" bestFit="1" customWidth="1"/>
    <col min="8714" max="8714" width="12.140625" style="156" customWidth="1"/>
    <col min="8715" max="8715" width="14.5703125" style="156" bestFit="1" customWidth="1"/>
    <col min="8716" max="8716" width="11.85546875" style="156" bestFit="1" customWidth="1"/>
    <col min="8717" max="8717" width="9.85546875" style="156" bestFit="1" customWidth="1"/>
    <col min="8718" max="8960" width="9.140625" style="156"/>
    <col min="8961" max="8961" width="4.7109375" style="156" bestFit="1" customWidth="1"/>
    <col min="8962" max="8962" width="24.28515625" style="156" bestFit="1" customWidth="1"/>
    <col min="8963" max="8963" width="11.85546875" style="156" bestFit="1" customWidth="1"/>
    <col min="8964" max="8964" width="12.28515625" style="156" bestFit="1" customWidth="1"/>
    <col min="8965" max="8965" width="12.5703125" style="156" bestFit="1" customWidth="1"/>
    <col min="8966" max="8966" width="12.28515625" style="156" bestFit="1" customWidth="1"/>
    <col min="8967" max="8967" width="10.7109375" style="156" bestFit="1" customWidth="1"/>
    <col min="8968" max="8969" width="12.42578125" style="156" bestFit="1" customWidth="1"/>
    <col min="8970" max="8970" width="12.140625" style="156" customWidth="1"/>
    <col min="8971" max="8971" width="14.5703125" style="156" bestFit="1" customWidth="1"/>
    <col min="8972" max="8972" width="11.85546875" style="156" bestFit="1" customWidth="1"/>
    <col min="8973" max="8973" width="9.85546875" style="156" bestFit="1" customWidth="1"/>
    <col min="8974" max="9216" width="9.140625" style="156"/>
    <col min="9217" max="9217" width="4.7109375" style="156" bestFit="1" customWidth="1"/>
    <col min="9218" max="9218" width="24.28515625" style="156" bestFit="1" customWidth="1"/>
    <col min="9219" max="9219" width="11.85546875" style="156" bestFit="1" customWidth="1"/>
    <col min="9220" max="9220" width="12.28515625" style="156" bestFit="1" customWidth="1"/>
    <col min="9221" max="9221" width="12.5703125" style="156" bestFit="1" customWidth="1"/>
    <col min="9222" max="9222" width="12.28515625" style="156" bestFit="1" customWidth="1"/>
    <col min="9223" max="9223" width="10.7109375" style="156" bestFit="1" customWidth="1"/>
    <col min="9224" max="9225" width="12.42578125" style="156" bestFit="1" customWidth="1"/>
    <col min="9226" max="9226" width="12.140625" style="156" customWidth="1"/>
    <col min="9227" max="9227" width="14.5703125" style="156" bestFit="1" customWidth="1"/>
    <col min="9228" max="9228" width="11.85546875" style="156" bestFit="1" customWidth="1"/>
    <col min="9229" max="9229" width="9.85546875" style="156" bestFit="1" customWidth="1"/>
    <col min="9230" max="9472" width="9.140625" style="156"/>
    <col min="9473" max="9473" width="4.7109375" style="156" bestFit="1" customWidth="1"/>
    <col min="9474" max="9474" width="24.28515625" style="156" bestFit="1" customWidth="1"/>
    <col min="9475" max="9475" width="11.85546875" style="156" bestFit="1" customWidth="1"/>
    <col min="9476" max="9476" width="12.28515625" style="156" bestFit="1" customWidth="1"/>
    <col min="9477" max="9477" width="12.5703125" style="156" bestFit="1" customWidth="1"/>
    <col min="9478" max="9478" width="12.28515625" style="156" bestFit="1" customWidth="1"/>
    <col min="9479" max="9479" width="10.7109375" style="156" bestFit="1" customWidth="1"/>
    <col min="9480" max="9481" width="12.42578125" style="156" bestFit="1" customWidth="1"/>
    <col min="9482" max="9482" width="12.140625" style="156" customWidth="1"/>
    <col min="9483" max="9483" width="14.5703125" style="156" bestFit="1" customWidth="1"/>
    <col min="9484" max="9484" width="11.85546875" style="156" bestFit="1" customWidth="1"/>
    <col min="9485" max="9485" width="9.85546875" style="156" bestFit="1" customWidth="1"/>
    <col min="9486" max="9728" width="9.140625" style="156"/>
    <col min="9729" max="9729" width="4.7109375" style="156" bestFit="1" customWidth="1"/>
    <col min="9730" max="9730" width="24.28515625" style="156" bestFit="1" customWidth="1"/>
    <col min="9731" max="9731" width="11.85546875" style="156" bestFit="1" customWidth="1"/>
    <col min="9732" max="9732" width="12.28515625" style="156" bestFit="1" customWidth="1"/>
    <col min="9733" max="9733" width="12.5703125" style="156" bestFit="1" customWidth="1"/>
    <col min="9734" max="9734" width="12.28515625" style="156" bestFit="1" customWidth="1"/>
    <col min="9735" max="9735" width="10.7109375" style="156" bestFit="1" customWidth="1"/>
    <col min="9736" max="9737" width="12.42578125" style="156" bestFit="1" customWidth="1"/>
    <col min="9738" max="9738" width="12.140625" style="156" customWidth="1"/>
    <col min="9739" max="9739" width="14.5703125" style="156" bestFit="1" customWidth="1"/>
    <col min="9740" max="9740" width="11.85546875" style="156" bestFit="1" customWidth="1"/>
    <col min="9741" max="9741" width="9.85546875" style="156" bestFit="1" customWidth="1"/>
    <col min="9742" max="9984" width="9.140625" style="156"/>
    <col min="9985" max="9985" width="4.7109375" style="156" bestFit="1" customWidth="1"/>
    <col min="9986" max="9986" width="24.28515625" style="156" bestFit="1" customWidth="1"/>
    <col min="9987" max="9987" width="11.85546875" style="156" bestFit="1" customWidth="1"/>
    <col min="9988" max="9988" width="12.28515625" style="156" bestFit="1" customWidth="1"/>
    <col min="9989" max="9989" width="12.5703125" style="156" bestFit="1" customWidth="1"/>
    <col min="9990" max="9990" width="12.28515625" style="156" bestFit="1" customWidth="1"/>
    <col min="9991" max="9991" width="10.7109375" style="156" bestFit="1" customWidth="1"/>
    <col min="9992" max="9993" width="12.42578125" style="156" bestFit="1" customWidth="1"/>
    <col min="9994" max="9994" width="12.140625" style="156" customWidth="1"/>
    <col min="9995" max="9995" width="14.5703125" style="156" bestFit="1" customWidth="1"/>
    <col min="9996" max="9996" width="11.85546875" style="156" bestFit="1" customWidth="1"/>
    <col min="9997" max="9997" width="9.85546875" style="156" bestFit="1" customWidth="1"/>
    <col min="9998" max="10240" width="9.140625" style="156"/>
    <col min="10241" max="10241" width="4.7109375" style="156" bestFit="1" customWidth="1"/>
    <col min="10242" max="10242" width="24.28515625" style="156" bestFit="1" customWidth="1"/>
    <col min="10243" max="10243" width="11.85546875" style="156" bestFit="1" customWidth="1"/>
    <col min="10244" max="10244" width="12.28515625" style="156" bestFit="1" customWidth="1"/>
    <col min="10245" max="10245" width="12.5703125" style="156" bestFit="1" customWidth="1"/>
    <col min="10246" max="10246" width="12.28515625" style="156" bestFit="1" customWidth="1"/>
    <col min="10247" max="10247" width="10.7109375" style="156" bestFit="1" customWidth="1"/>
    <col min="10248" max="10249" width="12.42578125" style="156" bestFit="1" customWidth="1"/>
    <col min="10250" max="10250" width="12.140625" style="156" customWidth="1"/>
    <col min="10251" max="10251" width="14.5703125" style="156" bestFit="1" customWidth="1"/>
    <col min="10252" max="10252" width="11.85546875" style="156" bestFit="1" customWidth="1"/>
    <col min="10253" max="10253" width="9.85546875" style="156" bestFit="1" customWidth="1"/>
    <col min="10254" max="10496" width="9.140625" style="156"/>
    <col min="10497" max="10497" width="4.7109375" style="156" bestFit="1" customWidth="1"/>
    <col min="10498" max="10498" width="24.28515625" style="156" bestFit="1" customWidth="1"/>
    <col min="10499" max="10499" width="11.85546875" style="156" bestFit="1" customWidth="1"/>
    <col min="10500" max="10500" width="12.28515625" style="156" bestFit="1" customWidth="1"/>
    <col min="10501" max="10501" width="12.5703125" style="156" bestFit="1" customWidth="1"/>
    <col min="10502" max="10502" width="12.28515625" style="156" bestFit="1" customWidth="1"/>
    <col min="10503" max="10503" width="10.7109375" style="156" bestFit="1" customWidth="1"/>
    <col min="10504" max="10505" width="12.42578125" style="156" bestFit="1" customWidth="1"/>
    <col min="10506" max="10506" width="12.140625" style="156" customWidth="1"/>
    <col min="10507" max="10507" width="14.5703125" style="156" bestFit="1" customWidth="1"/>
    <col min="10508" max="10508" width="11.85546875" style="156" bestFit="1" customWidth="1"/>
    <col min="10509" max="10509" width="9.85546875" style="156" bestFit="1" customWidth="1"/>
    <col min="10510" max="10752" width="9.140625" style="156"/>
    <col min="10753" max="10753" width="4.7109375" style="156" bestFit="1" customWidth="1"/>
    <col min="10754" max="10754" width="24.28515625" style="156" bestFit="1" customWidth="1"/>
    <col min="10755" max="10755" width="11.85546875" style="156" bestFit="1" customWidth="1"/>
    <col min="10756" max="10756" width="12.28515625" style="156" bestFit="1" customWidth="1"/>
    <col min="10757" max="10757" width="12.5703125" style="156" bestFit="1" customWidth="1"/>
    <col min="10758" max="10758" width="12.28515625" style="156" bestFit="1" customWidth="1"/>
    <col min="10759" max="10759" width="10.7109375" style="156" bestFit="1" customWidth="1"/>
    <col min="10760" max="10761" width="12.42578125" style="156" bestFit="1" customWidth="1"/>
    <col min="10762" max="10762" width="12.140625" style="156" customWidth="1"/>
    <col min="10763" max="10763" width="14.5703125" style="156" bestFit="1" customWidth="1"/>
    <col min="10764" max="10764" width="11.85546875" style="156" bestFit="1" customWidth="1"/>
    <col min="10765" max="10765" width="9.85546875" style="156" bestFit="1" customWidth="1"/>
    <col min="10766" max="11008" width="9.140625" style="156"/>
    <col min="11009" max="11009" width="4.7109375" style="156" bestFit="1" customWidth="1"/>
    <col min="11010" max="11010" width="24.28515625" style="156" bestFit="1" customWidth="1"/>
    <col min="11011" max="11011" width="11.85546875" style="156" bestFit="1" customWidth="1"/>
    <col min="11012" max="11012" width="12.28515625" style="156" bestFit="1" customWidth="1"/>
    <col min="11013" max="11013" width="12.5703125" style="156" bestFit="1" customWidth="1"/>
    <col min="11014" max="11014" width="12.28515625" style="156" bestFit="1" customWidth="1"/>
    <col min="11015" max="11015" width="10.7109375" style="156" bestFit="1" customWidth="1"/>
    <col min="11016" max="11017" width="12.42578125" style="156" bestFit="1" customWidth="1"/>
    <col min="11018" max="11018" width="12.140625" style="156" customWidth="1"/>
    <col min="11019" max="11019" width="14.5703125" style="156" bestFit="1" customWidth="1"/>
    <col min="11020" max="11020" width="11.85546875" style="156" bestFit="1" customWidth="1"/>
    <col min="11021" max="11021" width="9.85546875" style="156" bestFit="1" customWidth="1"/>
    <col min="11022" max="11264" width="9.140625" style="156"/>
    <col min="11265" max="11265" width="4.7109375" style="156" bestFit="1" customWidth="1"/>
    <col min="11266" max="11266" width="24.28515625" style="156" bestFit="1" customWidth="1"/>
    <col min="11267" max="11267" width="11.85546875" style="156" bestFit="1" customWidth="1"/>
    <col min="11268" max="11268" width="12.28515625" style="156" bestFit="1" customWidth="1"/>
    <col min="11269" max="11269" width="12.5703125" style="156" bestFit="1" customWidth="1"/>
    <col min="11270" max="11270" width="12.28515625" style="156" bestFit="1" customWidth="1"/>
    <col min="11271" max="11271" width="10.7109375" style="156" bestFit="1" customWidth="1"/>
    <col min="11272" max="11273" width="12.42578125" style="156" bestFit="1" customWidth="1"/>
    <col min="11274" max="11274" width="12.140625" style="156" customWidth="1"/>
    <col min="11275" max="11275" width="14.5703125" style="156" bestFit="1" customWidth="1"/>
    <col min="11276" max="11276" width="11.85546875" style="156" bestFit="1" customWidth="1"/>
    <col min="11277" max="11277" width="9.85546875" style="156" bestFit="1" customWidth="1"/>
    <col min="11278" max="11520" width="9.140625" style="156"/>
    <col min="11521" max="11521" width="4.7109375" style="156" bestFit="1" customWidth="1"/>
    <col min="11522" max="11522" width="24.28515625" style="156" bestFit="1" customWidth="1"/>
    <col min="11523" max="11523" width="11.85546875" style="156" bestFit="1" customWidth="1"/>
    <col min="11524" max="11524" width="12.28515625" style="156" bestFit="1" customWidth="1"/>
    <col min="11525" max="11525" width="12.5703125" style="156" bestFit="1" customWidth="1"/>
    <col min="11526" max="11526" width="12.28515625" style="156" bestFit="1" customWidth="1"/>
    <col min="11527" max="11527" width="10.7109375" style="156" bestFit="1" customWidth="1"/>
    <col min="11528" max="11529" width="12.42578125" style="156" bestFit="1" customWidth="1"/>
    <col min="11530" max="11530" width="12.140625" style="156" customWidth="1"/>
    <col min="11531" max="11531" width="14.5703125" style="156" bestFit="1" customWidth="1"/>
    <col min="11532" max="11532" width="11.85546875" style="156" bestFit="1" customWidth="1"/>
    <col min="11533" max="11533" width="9.85546875" style="156" bestFit="1" customWidth="1"/>
    <col min="11534" max="11776" width="9.140625" style="156"/>
    <col min="11777" max="11777" width="4.7109375" style="156" bestFit="1" customWidth="1"/>
    <col min="11778" max="11778" width="24.28515625" style="156" bestFit="1" customWidth="1"/>
    <col min="11779" max="11779" width="11.85546875" style="156" bestFit="1" customWidth="1"/>
    <col min="11780" max="11780" width="12.28515625" style="156" bestFit="1" customWidth="1"/>
    <col min="11781" max="11781" width="12.5703125" style="156" bestFit="1" customWidth="1"/>
    <col min="11782" max="11782" width="12.28515625" style="156" bestFit="1" customWidth="1"/>
    <col min="11783" max="11783" width="10.7109375" style="156" bestFit="1" customWidth="1"/>
    <col min="11784" max="11785" width="12.42578125" style="156" bestFit="1" customWidth="1"/>
    <col min="11786" max="11786" width="12.140625" style="156" customWidth="1"/>
    <col min="11787" max="11787" width="14.5703125" style="156" bestFit="1" customWidth="1"/>
    <col min="11788" max="11788" width="11.85546875" style="156" bestFit="1" customWidth="1"/>
    <col min="11789" max="11789" width="9.85546875" style="156" bestFit="1" customWidth="1"/>
    <col min="11790" max="12032" width="9.140625" style="156"/>
    <col min="12033" max="12033" width="4.7109375" style="156" bestFit="1" customWidth="1"/>
    <col min="12034" max="12034" width="24.28515625" style="156" bestFit="1" customWidth="1"/>
    <col min="12035" max="12035" width="11.85546875" style="156" bestFit="1" customWidth="1"/>
    <col min="12036" max="12036" width="12.28515625" style="156" bestFit="1" customWidth="1"/>
    <col min="12037" max="12037" width="12.5703125" style="156" bestFit="1" customWidth="1"/>
    <col min="12038" max="12038" width="12.28515625" style="156" bestFit="1" customWidth="1"/>
    <col min="12039" max="12039" width="10.7109375" style="156" bestFit="1" customWidth="1"/>
    <col min="12040" max="12041" width="12.42578125" style="156" bestFit="1" customWidth="1"/>
    <col min="12042" max="12042" width="12.140625" style="156" customWidth="1"/>
    <col min="12043" max="12043" width="14.5703125" style="156" bestFit="1" customWidth="1"/>
    <col min="12044" max="12044" width="11.85546875" style="156" bestFit="1" customWidth="1"/>
    <col min="12045" max="12045" width="9.85546875" style="156" bestFit="1" customWidth="1"/>
    <col min="12046" max="12288" width="9.140625" style="156"/>
    <col min="12289" max="12289" width="4.7109375" style="156" bestFit="1" customWidth="1"/>
    <col min="12290" max="12290" width="24.28515625" style="156" bestFit="1" customWidth="1"/>
    <col min="12291" max="12291" width="11.85546875" style="156" bestFit="1" customWidth="1"/>
    <col min="12292" max="12292" width="12.28515625" style="156" bestFit="1" customWidth="1"/>
    <col min="12293" max="12293" width="12.5703125" style="156" bestFit="1" customWidth="1"/>
    <col min="12294" max="12294" width="12.28515625" style="156" bestFit="1" customWidth="1"/>
    <col min="12295" max="12295" width="10.7109375" style="156" bestFit="1" customWidth="1"/>
    <col min="12296" max="12297" width="12.42578125" style="156" bestFit="1" customWidth="1"/>
    <col min="12298" max="12298" width="12.140625" style="156" customWidth="1"/>
    <col min="12299" max="12299" width="14.5703125" style="156" bestFit="1" customWidth="1"/>
    <col min="12300" max="12300" width="11.85546875" style="156" bestFit="1" customWidth="1"/>
    <col min="12301" max="12301" width="9.85546875" style="156" bestFit="1" customWidth="1"/>
    <col min="12302" max="12544" width="9.140625" style="156"/>
    <col min="12545" max="12545" width="4.7109375" style="156" bestFit="1" customWidth="1"/>
    <col min="12546" max="12546" width="24.28515625" style="156" bestFit="1" customWidth="1"/>
    <col min="12547" max="12547" width="11.85546875" style="156" bestFit="1" customWidth="1"/>
    <col min="12548" max="12548" width="12.28515625" style="156" bestFit="1" customWidth="1"/>
    <col min="12549" max="12549" width="12.5703125" style="156" bestFit="1" customWidth="1"/>
    <col min="12550" max="12550" width="12.28515625" style="156" bestFit="1" customWidth="1"/>
    <col min="12551" max="12551" width="10.7109375" style="156" bestFit="1" customWidth="1"/>
    <col min="12552" max="12553" width="12.42578125" style="156" bestFit="1" customWidth="1"/>
    <col min="12554" max="12554" width="12.140625" style="156" customWidth="1"/>
    <col min="12555" max="12555" width="14.5703125" style="156" bestFit="1" customWidth="1"/>
    <col min="12556" max="12556" width="11.85546875" style="156" bestFit="1" customWidth="1"/>
    <col min="12557" max="12557" width="9.85546875" style="156" bestFit="1" customWidth="1"/>
    <col min="12558" max="12800" width="9.140625" style="156"/>
    <col min="12801" max="12801" width="4.7109375" style="156" bestFit="1" customWidth="1"/>
    <col min="12802" max="12802" width="24.28515625" style="156" bestFit="1" customWidth="1"/>
    <col min="12803" max="12803" width="11.85546875" style="156" bestFit="1" customWidth="1"/>
    <col min="12804" max="12804" width="12.28515625" style="156" bestFit="1" customWidth="1"/>
    <col min="12805" max="12805" width="12.5703125" style="156" bestFit="1" customWidth="1"/>
    <col min="12806" max="12806" width="12.28515625" style="156" bestFit="1" customWidth="1"/>
    <col min="12807" max="12807" width="10.7109375" style="156" bestFit="1" customWidth="1"/>
    <col min="12808" max="12809" width="12.42578125" style="156" bestFit="1" customWidth="1"/>
    <col min="12810" max="12810" width="12.140625" style="156" customWidth="1"/>
    <col min="12811" max="12811" width="14.5703125" style="156" bestFit="1" customWidth="1"/>
    <col min="12812" max="12812" width="11.85546875" style="156" bestFit="1" customWidth="1"/>
    <col min="12813" max="12813" width="9.85546875" style="156" bestFit="1" customWidth="1"/>
    <col min="12814" max="13056" width="9.140625" style="156"/>
    <col min="13057" max="13057" width="4.7109375" style="156" bestFit="1" customWidth="1"/>
    <col min="13058" max="13058" width="24.28515625" style="156" bestFit="1" customWidth="1"/>
    <col min="13059" max="13059" width="11.85546875" style="156" bestFit="1" customWidth="1"/>
    <col min="13060" max="13060" width="12.28515625" style="156" bestFit="1" customWidth="1"/>
    <col min="13061" max="13061" width="12.5703125" style="156" bestFit="1" customWidth="1"/>
    <col min="13062" max="13062" width="12.28515625" style="156" bestFit="1" customWidth="1"/>
    <col min="13063" max="13063" width="10.7109375" style="156" bestFit="1" customWidth="1"/>
    <col min="13064" max="13065" width="12.42578125" style="156" bestFit="1" customWidth="1"/>
    <col min="13066" max="13066" width="12.140625" style="156" customWidth="1"/>
    <col min="13067" max="13067" width="14.5703125" style="156" bestFit="1" customWidth="1"/>
    <col min="13068" max="13068" width="11.85546875" style="156" bestFit="1" customWidth="1"/>
    <col min="13069" max="13069" width="9.85546875" style="156" bestFit="1" customWidth="1"/>
    <col min="13070" max="13312" width="9.140625" style="156"/>
    <col min="13313" max="13313" width="4.7109375" style="156" bestFit="1" customWidth="1"/>
    <col min="13314" max="13314" width="24.28515625" style="156" bestFit="1" customWidth="1"/>
    <col min="13315" max="13315" width="11.85546875" style="156" bestFit="1" customWidth="1"/>
    <col min="13316" max="13316" width="12.28515625" style="156" bestFit="1" customWidth="1"/>
    <col min="13317" max="13317" width="12.5703125" style="156" bestFit="1" customWidth="1"/>
    <col min="13318" max="13318" width="12.28515625" style="156" bestFit="1" customWidth="1"/>
    <col min="13319" max="13319" width="10.7109375" style="156" bestFit="1" customWidth="1"/>
    <col min="13320" max="13321" width="12.42578125" style="156" bestFit="1" customWidth="1"/>
    <col min="13322" max="13322" width="12.140625" style="156" customWidth="1"/>
    <col min="13323" max="13323" width="14.5703125" style="156" bestFit="1" customWidth="1"/>
    <col min="13324" max="13324" width="11.85546875" style="156" bestFit="1" customWidth="1"/>
    <col min="13325" max="13325" width="9.85546875" style="156" bestFit="1" customWidth="1"/>
    <col min="13326" max="13568" width="9.140625" style="156"/>
    <col min="13569" max="13569" width="4.7109375" style="156" bestFit="1" customWidth="1"/>
    <col min="13570" max="13570" width="24.28515625" style="156" bestFit="1" customWidth="1"/>
    <col min="13571" max="13571" width="11.85546875" style="156" bestFit="1" customWidth="1"/>
    <col min="13572" max="13572" width="12.28515625" style="156" bestFit="1" customWidth="1"/>
    <col min="13573" max="13573" width="12.5703125" style="156" bestFit="1" customWidth="1"/>
    <col min="13574" max="13574" width="12.28515625" style="156" bestFit="1" customWidth="1"/>
    <col min="13575" max="13575" width="10.7109375" style="156" bestFit="1" customWidth="1"/>
    <col min="13576" max="13577" width="12.42578125" style="156" bestFit="1" customWidth="1"/>
    <col min="13578" max="13578" width="12.140625" style="156" customWidth="1"/>
    <col min="13579" max="13579" width="14.5703125" style="156" bestFit="1" customWidth="1"/>
    <col min="13580" max="13580" width="11.85546875" style="156" bestFit="1" customWidth="1"/>
    <col min="13581" max="13581" width="9.85546875" style="156" bestFit="1" customWidth="1"/>
    <col min="13582" max="13824" width="9.140625" style="156"/>
    <col min="13825" max="13825" width="4.7109375" style="156" bestFit="1" customWidth="1"/>
    <col min="13826" max="13826" width="24.28515625" style="156" bestFit="1" customWidth="1"/>
    <col min="13827" max="13827" width="11.85546875" style="156" bestFit="1" customWidth="1"/>
    <col min="13828" max="13828" width="12.28515625" style="156" bestFit="1" customWidth="1"/>
    <col min="13829" max="13829" width="12.5703125" style="156" bestFit="1" customWidth="1"/>
    <col min="13830" max="13830" width="12.28515625" style="156" bestFit="1" customWidth="1"/>
    <col min="13831" max="13831" width="10.7109375" style="156" bestFit="1" customWidth="1"/>
    <col min="13832" max="13833" width="12.42578125" style="156" bestFit="1" customWidth="1"/>
    <col min="13834" max="13834" width="12.140625" style="156" customWidth="1"/>
    <col min="13835" max="13835" width="14.5703125" style="156" bestFit="1" customWidth="1"/>
    <col min="13836" max="13836" width="11.85546875" style="156" bestFit="1" customWidth="1"/>
    <col min="13837" max="13837" width="9.85546875" style="156" bestFit="1" customWidth="1"/>
    <col min="13838" max="14080" width="9.140625" style="156"/>
    <col min="14081" max="14081" width="4.7109375" style="156" bestFit="1" customWidth="1"/>
    <col min="14082" max="14082" width="24.28515625" style="156" bestFit="1" customWidth="1"/>
    <col min="14083" max="14083" width="11.85546875" style="156" bestFit="1" customWidth="1"/>
    <col min="14084" max="14084" width="12.28515625" style="156" bestFit="1" customWidth="1"/>
    <col min="14085" max="14085" width="12.5703125" style="156" bestFit="1" customWidth="1"/>
    <col min="14086" max="14086" width="12.28515625" style="156" bestFit="1" customWidth="1"/>
    <col min="14087" max="14087" width="10.7109375" style="156" bestFit="1" customWidth="1"/>
    <col min="14088" max="14089" width="12.42578125" style="156" bestFit="1" customWidth="1"/>
    <col min="14090" max="14090" width="12.140625" style="156" customWidth="1"/>
    <col min="14091" max="14091" width="14.5703125" style="156" bestFit="1" customWidth="1"/>
    <col min="14092" max="14092" width="11.85546875" style="156" bestFit="1" customWidth="1"/>
    <col min="14093" max="14093" width="9.85546875" style="156" bestFit="1" customWidth="1"/>
    <col min="14094" max="14336" width="9.140625" style="156"/>
    <col min="14337" max="14337" width="4.7109375" style="156" bestFit="1" customWidth="1"/>
    <col min="14338" max="14338" width="24.28515625" style="156" bestFit="1" customWidth="1"/>
    <col min="14339" max="14339" width="11.85546875" style="156" bestFit="1" customWidth="1"/>
    <col min="14340" max="14340" width="12.28515625" style="156" bestFit="1" customWidth="1"/>
    <col min="14341" max="14341" width="12.5703125" style="156" bestFit="1" customWidth="1"/>
    <col min="14342" max="14342" width="12.28515625" style="156" bestFit="1" customWidth="1"/>
    <col min="14343" max="14343" width="10.7109375" style="156" bestFit="1" customWidth="1"/>
    <col min="14344" max="14345" width="12.42578125" style="156" bestFit="1" customWidth="1"/>
    <col min="14346" max="14346" width="12.140625" style="156" customWidth="1"/>
    <col min="14347" max="14347" width="14.5703125" style="156" bestFit="1" customWidth="1"/>
    <col min="14348" max="14348" width="11.85546875" style="156" bestFit="1" customWidth="1"/>
    <col min="14349" max="14349" width="9.85546875" style="156" bestFit="1" customWidth="1"/>
    <col min="14350" max="14592" width="9.140625" style="156"/>
    <col min="14593" max="14593" width="4.7109375" style="156" bestFit="1" customWidth="1"/>
    <col min="14594" max="14594" width="24.28515625" style="156" bestFit="1" customWidth="1"/>
    <col min="14595" max="14595" width="11.85546875" style="156" bestFit="1" customWidth="1"/>
    <col min="14596" max="14596" width="12.28515625" style="156" bestFit="1" customWidth="1"/>
    <col min="14597" max="14597" width="12.5703125" style="156" bestFit="1" customWidth="1"/>
    <col min="14598" max="14598" width="12.28515625" style="156" bestFit="1" customWidth="1"/>
    <col min="14599" max="14599" width="10.7109375" style="156" bestFit="1" customWidth="1"/>
    <col min="14600" max="14601" width="12.42578125" style="156" bestFit="1" customWidth="1"/>
    <col min="14602" max="14602" width="12.140625" style="156" customWidth="1"/>
    <col min="14603" max="14603" width="14.5703125" style="156" bestFit="1" customWidth="1"/>
    <col min="14604" max="14604" width="11.85546875" style="156" bestFit="1" customWidth="1"/>
    <col min="14605" max="14605" width="9.85546875" style="156" bestFit="1" customWidth="1"/>
    <col min="14606" max="14848" width="9.140625" style="156"/>
    <col min="14849" max="14849" width="4.7109375" style="156" bestFit="1" customWidth="1"/>
    <col min="14850" max="14850" width="24.28515625" style="156" bestFit="1" customWidth="1"/>
    <col min="14851" max="14851" width="11.85546875" style="156" bestFit="1" customWidth="1"/>
    <col min="14852" max="14852" width="12.28515625" style="156" bestFit="1" customWidth="1"/>
    <col min="14853" max="14853" width="12.5703125" style="156" bestFit="1" customWidth="1"/>
    <col min="14854" max="14854" width="12.28515625" style="156" bestFit="1" customWidth="1"/>
    <col min="14855" max="14855" width="10.7109375" style="156" bestFit="1" customWidth="1"/>
    <col min="14856" max="14857" width="12.42578125" style="156" bestFit="1" customWidth="1"/>
    <col min="14858" max="14858" width="12.140625" style="156" customWidth="1"/>
    <col min="14859" max="14859" width="14.5703125" style="156" bestFit="1" customWidth="1"/>
    <col min="14860" max="14860" width="11.85546875" style="156" bestFit="1" customWidth="1"/>
    <col min="14861" max="14861" width="9.85546875" style="156" bestFit="1" customWidth="1"/>
    <col min="14862" max="15104" width="9.140625" style="156"/>
    <col min="15105" max="15105" width="4.7109375" style="156" bestFit="1" customWidth="1"/>
    <col min="15106" max="15106" width="24.28515625" style="156" bestFit="1" customWidth="1"/>
    <col min="15107" max="15107" width="11.85546875" style="156" bestFit="1" customWidth="1"/>
    <col min="15108" max="15108" width="12.28515625" style="156" bestFit="1" customWidth="1"/>
    <col min="15109" max="15109" width="12.5703125" style="156" bestFit="1" customWidth="1"/>
    <col min="15110" max="15110" width="12.28515625" style="156" bestFit="1" customWidth="1"/>
    <col min="15111" max="15111" width="10.7109375" style="156" bestFit="1" customWidth="1"/>
    <col min="15112" max="15113" width="12.42578125" style="156" bestFit="1" customWidth="1"/>
    <col min="15114" max="15114" width="12.140625" style="156" customWidth="1"/>
    <col min="15115" max="15115" width="14.5703125" style="156" bestFit="1" customWidth="1"/>
    <col min="15116" max="15116" width="11.85546875" style="156" bestFit="1" customWidth="1"/>
    <col min="15117" max="15117" width="9.85546875" style="156" bestFit="1" customWidth="1"/>
    <col min="15118" max="15360" width="9.140625" style="156"/>
    <col min="15361" max="15361" width="4.7109375" style="156" bestFit="1" customWidth="1"/>
    <col min="15362" max="15362" width="24.28515625" style="156" bestFit="1" customWidth="1"/>
    <col min="15363" max="15363" width="11.85546875" style="156" bestFit="1" customWidth="1"/>
    <col min="15364" max="15364" width="12.28515625" style="156" bestFit="1" customWidth="1"/>
    <col min="15365" max="15365" width="12.5703125" style="156" bestFit="1" customWidth="1"/>
    <col min="15366" max="15366" width="12.28515625" style="156" bestFit="1" customWidth="1"/>
    <col min="15367" max="15367" width="10.7109375" style="156" bestFit="1" customWidth="1"/>
    <col min="15368" max="15369" width="12.42578125" style="156" bestFit="1" customWidth="1"/>
    <col min="15370" max="15370" width="12.140625" style="156" customWidth="1"/>
    <col min="15371" max="15371" width="14.5703125" style="156" bestFit="1" customWidth="1"/>
    <col min="15372" max="15372" width="11.85546875" style="156" bestFit="1" customWidth="1"/>
    <col min="15373" max="15373" width="9.85546875" style="156" bestFit="1" customWidth="1"/>
    <col min="15374" max="15616" width="9.140625" style="156"/>
    <col min="15617" max="15617" width="4.7109375" style="156" bestFit="1" customWidth="1"/>
    <col min="15618" max="15618" width="24.28515625" style="156" bestFit="1" customWidth="1"/>
    <col min="15619" max="15619" width="11.85546875" style="156" bestFit="1" customWidth="1"/>
    <col min="15620" max="15620" width="12.28515625" style="156" bestFit="1" customWidth="1"/>
    <col min="15621" max="15621" width="12.5703125" style="156" bestFit="1" customWidth="1"/>
    <col min="15622" max="15622" width="12.28515625" style="156" bestFit="1" customWidth="1"/>
    <col min="15623" max="15623" width="10.7109375" style="156" bestFit="1" customWidth="1"/>
    <col min="15624" max="15625" width="12.42578125" style="156" bestFit="1" customWidth="1"/>
    <col min="15626" max="15626" width="12.140625" style="156" customWidth="1"/>
    <col min="15627" max="15627" width="14.5703125" style="156" bestFit="1" customWidth="1"/>
    <col min="15628" max="15628" width="11.85546875" style="156" bestFit="1" customWidth="1"/>
    <col min="15629" max="15629" width="9.85546875" style="156" bestFit="1" customWidth="1"/>
    <col min="15630" max="15872" width="9.140625" style="156"/>
    <col min="15873" max="15873" width="4.7109375" style="156" bestFit="1" customWidth="1"/>
    <col min="15874" max="15874" width="24.28515625" style="156" bestFit="1" customWidth="1"/>
    <col min="15875" max="15875" width="11.85546875" style="156" bestFit="1" customWidth="1"/>
    <col min="15876" max="15876" width="12.28515625" style="156" bestFit="1" customWidth="1"/>
    <col min="15877" max="15877" width="12.5703125" style="156" bestFit="1" customWidth="1"/>
    <col min="15878" max="15878" width="12.28515625" style="156" bestFit="1" customWidth="1"/>
    <col min="15879" max="15879" width="10.7109375" style="156" bestFit="1" customWidth="1"/>
    <col min="15880" max="15881" width="12.42578125" style="156" bestFit="1" customWidth="1"/>
    <col min="15882" max="15882" width="12.140625" style="156" customWidth="1"/>
    <col min="15883" max="15883" width="14.5703125" style="156" bestFit="1" customWidth="1"/>
    <col min="15884" max="15884" width="11.85546875" style="156" bestFit="1" customWidth="1"/>
    <col min="15885" max="15885" width="9.85546875" style="156" bestFit="1" customWidth="1"/>
    <col min="15886" max="16128" width="9.140625" style="156"/>
    <col min="16129" max="16129" width="4.7109375" style="156" bestFit="1" customWidth="1"/>
    <col min="16130" max="16130" width="24.28515625" style="156" bestFit="1" customWidth="1"/>
    <col min="16131" max="16131" width="11.85546875" style="156" bestFit="1" customWidth="1"/>
    <col min="16132" max="16132" width="12.28515625" style="156" bestFit="1" customWidth="1"/>
    <col min="16133" max="16133" width="12.5703125" style="156" bestFit="1" customWidth="1"/>
    <col min="16134" max="16134" width="12.28515625" style="156" bestFit="1" customWidth="1"/>
    <col min="16135" max="16135" width="10.7109375" style="156" bestFit="1" customWidth="1"/>
    <col min="16136" max="16137" width="12.42578125" style="156" bestFit="1" customWidth="1"/>
    <col min="16138" max="16138" width="12.140625" style="156" customWidth="1"/>
    <col min="16139" max="16139" width="14.5703125" style="156" bestFit="1" customWidth="1"/>
    <col min="16140" max="16140" width="11.85546875" style="156" bestFit="1" customWidth="1"/>
    <col min="16141" max="16141" width="9.85546875" style="156" bestFit="1" customWidth="1"/>
    <col min="16142" max="16384" width="9.140625" style="156"/>
  </cols>
  <sheetData>
    <row r="1" spans="1:12" ht="18.75">
      <c r="B1" s="177" t="s">
        <v>109</v>
      </c>
    </row>
    <row r="2" spans="1:12">
      <c r="B2" s="156" t="s">
        <v>142</v>
      </c>
      <c r="D2" s="158">
        <v>9.11E-2</v>
      </c>
    </row>
    <row r="3" spans="1:12">
      <c r="B3" s="156" t="s">
        <v>143</v>
      </c>
      <c r="D3" s="159">
        <f>D2/12</f>
        <v>7.5916666666666667E-3</v>
      </c>
    </row>
    <row r="4" spans="1:12">
      <c r="B4" s="156" t="s">
        <v>144</v>
      </c>
      <c r="D4" s="160">
        <f>D5/12</f>
        <v>1152868.145</v>
      </c>
    </row>
    <row r="5" spans="1:12">
      <c r="B5" s="156" t="s">
        <v>145</v>
      </c>
      <c r="D5" s="160">
        <v>13834417.74</v>
      </c>
    </row>
    <row r="6" spans="1:12">
      <c r="D6" s="161"/>
    </row>
    <row r="7" spans="1:12">
      <c r="C7" s="162"/>
      <c r="D7" s="163"/>
      <c r="E7" s="164"/>
      <c r="F7" s="165"/>
      <c r="G7" s="165"/>
      <c r="H7" s="165"/>
      <c r="I7" s="165"/>
      <c r="J7" s="166"/>
      <c r="K7" s="166"/>
    </row>
    <row r="8" spans="1:12">
      <c r="C8" s="347"/>
      <c r="D8" s="347"/>
      <c r="E8" s="347"/>
      <c r="F8" s="347"/>
      <c r="G8" s="347"/>
      <c r="H8" s="165"/>
      <c r="I8" s="165"/>
      <c r="J8" s="166"/>
      <c r="K8" s="166"/>
    </row>
    <row r="9" spans="1:12" ht="60">
      <c r="A9" s="164" t="s">
        <v>104</v>
      </c>
      <c r="B9" s="167" t="s">
        <v>146</v>
      </c>
      <c r="C9" s="167" t="s">
        <v>147</v>
      </c>
      <c r="D9" s="167" t="s">
        <v>148</v>
      </c>
      <c r="E9" s="168" t="s">
        <v>149</v>
      </c>
      <c r="F9" s="168" t="s">
        <v>150</v>
      </c>
      <c r="G9" s="168" t="s">
        <v>151</v>
      </c>
      <c r="H9" s="168" t="s">
        <v>152</v>
      </c>
      <c r="I9" s="169" t="s">
        <v>153</v>
      </c>
      <c r="J9" s="167" t="s">
        <v>154</v>
      </c>
      <c r="K9" s="167" t="s">
        <v>155</v>
      </c>
      <c r="L9" s="168" t="s">
        <v>156</v>
      </c>
    </row>
    <row r="10" spans="1:12">
      <c r="A10" s="164"/>
      <c r="B10" s="170"/>
      <c r="C10" s="171"/>
      <c r="D10" s="171"/>
      <c r="E10" s="172"/>
      <c r="F10" s="172">
        <v>0</v>
      </c>
      <c r="G10" s="172"/>
      <c r="H10" s="172">
        <v>0</v>
      </c>
      <c r="I10" s="173">
        <f>L10+H10</f>
        <v>0</v>
      </c>
      <c r="J10" s="171"/>
      <c r="K10" s="171"/>
      <c r="L10" s="172">
        <v>0</v>
      </c>
    </row>
    <row r="11" spans="1:12">
      <c r="A11" s="164">
        <v>1</v>
      </c>
      <c r="B11" s="170">
        <v>43101</v>
      </c>
      <c r="C11" s="174">
        <f>15000000/12</f>
        <v>1250000</v>
      </c>
      <c r="D11" s="171"/>
      <c r="E11" s="172">
        <f>C11-D11</f>
        <v>1250000</v>
      </c>
      <c r="F11" s="172">
        <f>E11+F10</f>
        <v>1250000</v>
      </c>
      <c r="G11" s="172">
        <f>-E11*0.35</f>
        <v>-437500</v>
      </c>
      <c r="H11" s="172">
        <f>G11+H10</f>
        <v>-437500</v>
      </c>
      <c r="I11" s="173">
        <f t="shared" ref="I11:I69" si="0">F11+H11</f>
        <v>812500</v>
      </c>
      <c r="J11" s="171">
        <f t="shared" ref="J11:J69" si="1">I10*$D$3</f>
        <v>0</v>
      </c>
      <c r="K11" s="171"/>
      <c r="L11" s="172">
        <f>L10+E11+J11+K11</f>
        <v>1250000</v>
      </c>
    </row>
    <row r="12" spans="1:12">
      <c r="A12" s="164">
        <v>2</v>
      </c>
      <c r="B12" s="170">
        <v>43132</v>
      </c>
      <c r="C12" s="174">
        <f>C11</f>
        <v>1250000</v>
      </c>
      <c r="D12" s="171"/>
      <c r="E12" s="172">
        <f>C12-D12</f>
        <v>1250000</v>
      </c>
      <c r="F12" s="172">
        <f t="shared" ref="F12:F69" si="2">E12+F11</f>
        <v>2500000</v>
      </c>
      <c r="G12" s="172">
        <f t="shared" ref="G12:G69" si="3">-E12*0.35</f>
        <v>-437500</v>
      </c>
      <c r="H12" s="172">
        <f t="shared" ref="H12:H20" si="4">G12+H11</f>
        <v>-875000</v>
      </c>
      <c r="I12" s="173">
        <f t="shared" si="0"/>
        <v>1625000</v>
      </c>
      <c r="J12" s="171">
        <f t="shared" si="1"/>
        <v>6168.229166666667</v>
      </c>
      <c r="K12" s="171"/>
      <c r="L12" s="172">
        <f t="shared" ref="L12:L75" si="5">L11+E12+J12+K12</f>
        <v>2506168.2291666665</v>
      </c>
    </row>
    <row r="13" spans="1:12">
      <c r="A13" s="164">
        <v>3</v>
      </c>
      <c r="B13" s="170">
        <v>43160</v>
      </c>
      <c r="C13" s="174">
        <f t="shared" ref="C13:C22" si="6">C12</f>
        <v>1250000</v>
      </c>
      <c r="D13" s="171"/>
      <c r="E13" s="172">
        <f t="shared" ref="E13:E77" si="7">C13-D13</f>
        <v>1250000</v>
      </c>
      <c r="F13" s="172">
        <f t="shared" si="2"/>
        <v>3750000</v>
      </c>
      <c r="G13" s="172">
        <f t="shared" si="3"/>
        <v>-437500</v>
      </c>
      <c r="H13" s="172">
        <f>G13+H12</f>
        <v>-1312500</v>
      </c>
      <c r="I13" s="173">
        <f t="shared" si="0"/>
        <v>2437500</v>
      </c>
      <c r="J13" s="171">
        <f t="shared" si="1"/>
        <v>12336.458333333334</v>
      </c>
      <c r="K13" s="171"/>
      <c r="L13" s="172">
        <f t="shared" si="5"/>
        <v>3768504.6875</v>
      </c>
    </row>
    <row r="14" spans="1:12">
      <c r="A14" s="164">
        <v>4</v>
      </c>
      <c r="B14" s="170">
        <v>43191</v>
      </c>
      <c r="C14" s="174">
        <f t="shared" si="6"/>
        <v>1250000</v>
      </c>
      <c r="D14" s="171"/>
      <c r="E14" s="172">
        <f t="shared" si="7"/>
        <v>1250000</v>
      </c>
      <c r="F14" s="172">
        <f t="shared" si="2"/>
        <v>5000000</v>
      </c>
      <c r="G14" s="172">
        <f t="shared" si="3"/>
        <v>-437500</v>
      </c>
      <c r="H14" s="172">
        <f t="shared" si="4"/>
        <v>-1750000</v>
      </c>
      <c r="I14" s="173">
        <f t="shared" si="0"/>
        <v>3250000</v>
      </c>
      <c r="J14" s="171">
        <f t="shared" si="1"/>
        <v>18504.6875</v>
      </c>
      <c r="K14" s="171"/>
      <c r="L14" s="172">
        <f t="shared" si="5"/>
        <v>5037009.375</v>
      </c>
    </row>
    <row r="15" spans="1:12">
      <c r="A15" s="164">
        <v>5</v>
      </c>
      <c r="B15" s="170">
        <v>43221</v>
      </c>
      <c r="C15" s="174">
        <f t="shared" si="6"/>
        <v>1250000</v>
      </c>
      <c r="D15" s="171"/>
      <c r="E15" s="172">
        <f t="shared" si="7"/>
        <v>1250000</v>
      </c>
      <c r="F15" s="172">
        <f t="shared" si="2"/>
        <v>6250000</v>
      </c>
      <c r="G15" s="172">
        <f t="shared" si="3"/>
        <v>-437500</v>
      </c>
      <c r="H15" s="172">
        <f t="shared" si="4"/>
        <v>-2187500</v>
      </c>
      <c r="I15" s="173">
        <f t="shared" si="0"/>
        <v>4062500</v>
      </c>
      <c r="J15" s="171">
        <f t="shared" si="1"/>
        <v>24672.916666666668</v>
      </c>
      <c r="K15" s="171"/>
      <c r="L15" s="172">
        <f t="shared" si="5"/>
        <v>6311682.291666667</v>
      </c>
    </row>
    <row r="16" spans="1:12">
      <c r="A16" s="164">
        <v>6</v>
      </c>
      <c r="B16" s="170">
        <v>43252</v>
      </c>
      <c r="C16" s="174">
        <f t="shared" si="6"/>
        <v>1250000</v>
      </c>
      <c r="D16" s="171"/>
      <c r="E16" s="172">
        <f t="shared" si="7"/>
        <v>1250000</v>
      </c>
      <c r="F16" s="172">
        <f t="shared" si="2"/>
        <v>7500000</v>
      </c>
      <c r="G16" s="172">
        <f t="shared" si="3"/>
        <v>-437500</v>
      </c>
      <c r="H16" s="172">
        <f t="shared" si="4"/>
        <v>-2625000</v>
      </c>
      <c r="I16" s="173">
        <f t="shared" si="0"/>
        <v>4875000</v>
      </c>
      <c r="J16" s="171">
        <f t="shared" si="1"/>
        <v>30841.145833333332</v>
      </c>
      <c r="K16" s="171"/>
      <c r="L16" s="172">
        <f t="shared" si="5"/>
        <v>7592523.4375</v>
      </c>
    </row>
    <row r="17" spans="1:12">
      <c r="A17" s="164">
        <v>7</v>
      </c>
      <c r="B17" s="170">
        <v>43282</v>
      </c>
      <c r="C17" s="174">
        <f t="shared" si="6"/>
        <v>1250000</v>
      </c>
      <c r="D17" s="171"/>
      <c r="E17" s="172">
        <f t="shared" si="7"/>
        <v>1250000</v>
      </c>
      <c r="F17" s="172">
        <f t="shared" si="2"/>
        <v>8750000</v>
      </c>
      <c r="G17" s="172">
        <f t="shared" si="3"/>
        <v>-437500</v>
      </c>
      <c r="H17" s="172">
        <f t="shared" si="4"/>
        <v>-3062500</v>
      </c>
      <c r="I17" s="173">
        <f t="shared" si="0"/>
        <v>5687500</v>
      </c>
      <c r="J17" s="171">
        <f t="shared" si="1"/>
        <v>37009.375</v>
      </c>
      <c r="K17" s="171"/>
      <c r="L17" s="172">
        <f t="shared" si="5"/>
        <v>8879532.8125</v>
      </c>
    </row>
    <row r="18" spans="1:12">
      <c r="A18" s="164">
        <v>8</v>
      </c>
      <c r="B18" s="170">
        <v>43313</v>
      </c>
      <c r="C18" s="174">
        <f t="shared" si="6"/>
        <v>1250000</v>
      </c>
      <c r="D18" s="171"/>
      <c r="E18" s="172">
        <f t="shared" si="7"/>
        <v>1250000</v>
      </c>
      <c r="F18" s="172">
        <f t="shared" si="2"/>
        <v>10000000</v>
      </c>
      <c r="G18" s="172">
        <f t="shared" si="3"/>
        <v>-437500</v>
      </c>
      <c r="H18" s="172">
        <f t="shared" si="4"/>
        <v>-3500000</v>
      </c>
      <c r="I18" s="173">
        <f t="shared" si="0"/>
        <v>6500000</v>
      </c>
      <c r="J18" s="171">
        <f t="shared" si="1"/>
        <v>43177.604166666664</v>
      </c>
      <c r="K18" s="171"/>
      <c r="L18" s="172">
        <f t="shared" si="5"/>
        <v>10172710.416666666</v>
      </c>
    </row>
    <row r="19" spans="1:12">
      <c r="A19" s="164">
        <v>9</v>
      </c>
      <c r="B19" s="170">
        <v>43344</v>
      </c>
      <c r="C19" s="174">
        <f t="shared" si="6"/>
        <v>1250000</v>
      </c>
      <c r="D19" s="171"/>
      <c r="E19" s="172">
        <f t="shared" si="7"/>
        <v>1250000</v>
      </c>
      <c r="F19" s="172">
        <f t="shared" si="2"/>
        <v>11250000</v>
      </c>
      <c r="G19" s="172">
        <f t="shared" si="3"/>
        <v>-437500</v>
      </c>
      <c r="H19" s="172">
        <f t="shared" si="4"/>
        <v>-3937500</v>
      </c>
      <c r="I19" s="173">
        <f t="shared" si="0"/>
        <v>7312500</v>
      </c>
      <c r="J19" s="171">
        <f t="shared" si="1"/>
        <v>49345.833333333336</v>
      </c>
      <c r="K19" s="171"/>
      <c r="L19" s="172">
        <f t="shared" si="5"/>
        <v>11472056.25</v>
      </c>
    </row>
    <row r="20" spans="1:12">
      <c r="A20" s="164">
        <v>10</v>
      </c>
      <c r="B20" s="170">
        <v>43374</v>
      </c>
      <c r="C20" s="174">
        <f t="shared" si="6"/>
        <v>1250000</v>
      </c>
      <c r="D20" s="171"/>
      <c r="E20" s="172">
        <f t="shared" si="7"/>
        <v>1250000</v>
      </c>
      <c r="F20" s="172">
        <f t="shared" si="2"/>
        <v>12500000</v>
      </c>
      <c r="G20" s="172">
        <f t="shared" si="3"/>
        <v>-437500</v>
      </c>
      <c r="H20" s="172">
        <f t="shared" si="4"/>
        <v>-4375000</v>
      </c>
      <c r="I20" s="173">
        <f t="shared" si="0"/>
        <v>8125000</v>
      </c>
      <c r="J20" s="171">
        <f t="shared" si="1"/>
        <v>55514.0625</v>
      </c>
      <c r="K20" s="171"/>
      <c r="L20" s="172">
        <f t="shared" si="5"/>
        <v>12777570.3125</v>
      </c>
    </row>
    <row r="21" spans="1:12">
      <c r="A21" s="164">
        <v>11</v>
      </c>
      <c r="B21" s="170">
        <v>43405</v>
      </c>
      <c r="C21" s="174">
        <f t="shared" si="6"/>
        <v>1250000</v>
      </c>
      <c r="D21" s="171"/>
      <c r="E21" s="172">
        <f t="shared" si="7"/>
        <v>1250000</v>
      </c>
      <c r="F21" s="172">
        <f t="shared" si="2"/>
        <v>13750000</v>
      </c>
      <c r="G21" s="172">
        <f t="shared" si="3"/>
        <v>-437500</v>
      </c>
      <c r="H21" s="172">
        <f>G21+H20</f>
        <v>-4812500</v>
      </c>
      <c r="I21" s="173">
        <f t="shared" si="0"/>
        <v>8937500</v>
      </c>
      <c r="J21" s="171">
        <f t="shared" si="1"/>
        <v>61682.291666666664</v>
      </c>
      <c r="K21" s="171"/>
      <c r="L21" s="172">
        <f t="shared" si="5"/>
        <v>14089252.604166666</v>
      </c>
    </row>
    <row r="22" spans="1:12">
      <c r="A22" s="164">
        <v>12</v>
      </c>
      <c r="B22" s="170">
        <v>43435</v>
      </c>
      <c r="C22" s="174">
        <f t="shared" si="6"/>
        <v>1250000</v>
      </c>
      <c r="D22" s="171"/>
      <c r="E22" s="172">
        <f t="shared" si="7"/>
        <v>1250000</v>
      </c>
      <c r="F22" s="172">
        <f t="shared" si="2"/>
        <v>15000000</v>
      </c>
      <c r="G22" s="172">
        <f t="shared" si="3"/>
        <v>-437500</v>
      </c>
      <c r="H22" s="172">
        <f>G22+H21</f>
        <v>-5250000</v>
      </c>
      <c r="I22" s="173">
        <f t="shared" si="0"/>
        <v>9750000</v>
      </c>
      <c r="J22" s="171">
        <f t="shared" si="1"/>
        <v>67850.520833333328</v>
      </c>
      <c r="K22" s="171"/>
      <c r="L22" s="172">
        <f t="shared" si="5"/>
        <v>15407103.125</v>
      </c>
    </row>
    <row r="23" spans="1:12">
      <c r="A23" s="164">
        <v>13</v>
      </c>
      <c r="B23" s="170">
        <v>43466</v>
      </c>
      <c r="C23" s="174">
        <f>15000000/12</f>
        <v>1250000</v>
      </c>
      <c r="D23" s="171"/>
      <c r="E23" s="172">
        <f t="shared" si="7"/>
        <v>1250000</v>
      </c>
      <c r="F23" s="172">
        <f t="shared" si="2"/>
        <v>16250000</v>
      </c>
      <c r="G23" s="172">
        <f t="shared" si="3"/>
        <v>-437500</v>
      </c>
      <c r="H23" s="172">
        <f t="shared" ref="H23:H86" si="8">G23+H22</f>
        <v>-5687500</v>
      </c>
      <c r="I23" s="173">
        <f t="shared" si="0"/>
        <v>10562500</v>
      </c>
      <c r="J23" s="171">
        <f t="shared" si="1"/>
        <v>74018.75</v>
      </c>
      <c r="K23" s="171"/>
      <c r="L23" s="172">
        <f t="shared" si="5"/>
        <v>16731121.875</v>
      </c>
    </row>
    <row r="24" spans="1:12">
      <c r="A24" s="164">
        <v>14</v>
      </c>
      <c r="B24" s="170">
        <v>43497</v>
      </c>
      <c r="C24" s="174">
        <f>C23</f>
        <v>1250000</v>
      </c>
      <c r="D24" s="171"/>
      <c r="E24" s="172">
        <f t="shared" si="7"/>
        <v>1250000</v>
      </c>
      <c r="F24" s="172">
        <f t="shared" si="2"/>
        <v>17500000</v>
      </c>
      <c r="G24" s="172">
        <f t="shared" si="3"/>
        <v>-437500</v>
      </c>
      <c r="H24" s="172">
        <f t="shared" si="8"/>
        <v>-6125000</v>
      </c>
      <c r="I24" s="173">
        <f t="shared" si="0"/>
        <v>11375000</v>
      </c>
      <c r="J24" s="171">
        <f t="shared" si="1"/>
        <v>80186.979166666672</v>
      </c>
      <c r="K24" s="171"/>
      <c r="L24" s="172">
        <f t="shared" si="5"/>
        <v>18061308.854166668</v>
      </c>
    </row>
    <row r="25" spans="1:12">
      <c r="A25" s="164">
        <v>15</v>
      </c>
      <c r="B25" s="170">
        <v>43525</v>
      </c>
      <c r="C25" s="174">
        <f t="shared" ref="C25:C34" si="9">C24</f>
        <v>1250000</v>
      </c>
      <c r="D25" s="171"/>
      <c r="E25" s="172">
        <f t="shared" si="7"/>
        <v>1250000</v>
      </c>
      <c r="F25" s="172">
        <f t="shared" si="2"/>
        <v>18750000</v>
      </c>
      <c r="G25" s="172">
        <f t="shared" si="3"/>
        <v>-437500</v>
      </c>
      <c r="H25" s="172">
        <f t="shared" si="8"/>
        <v>-6562500</v>
      </c>
      <c r="I25" s="173">
        <f t="shared" si="0"/>
        <v>12187500</v>
      </c>
      <c r="J25" s="171">
        <f t="shared" si="1"/>
        <v>86355.208333333328</v>
      </c>
      <c r="K25" s="171"/>
      <c r="L25" s="172">
        <f t="shared" si="5"/>
        <v>19397664.0625</v>
      </c>
    </row>
    <row r="26" spans="1:12">
      <c r="A26" s="164">
        <v>16</v>
      </c>
      <c r="B26" s="170">
        <v>43556</v>
      </c>
      <c r="C26" s="174">
        <f t="shared" si="9"/>
        <v>1250000</v>
      </c>
      <c r="D26" s="171"/>
      <c r="E26" s="172">
        <f t="shared" si="7"/>
        <v>1250000</v>
      </c>
      <c r="F26" s="172">
        <f t="shared" si="2"/>
        <v>20000000</v>
      </c>
      <c r="G26" s="172">
        <f t="shared" si="3"/>
        <v>-437500</v>
      </c>
      <c r="H26" s="172">
        <f t="shared" si="8"/>
        <v>-7000000</v>
      </c>
      <c r="I26" s="173">
        <f t="shared" si="0"/>
        <v>13000000</v>
      </c>
      <c r="J26" s="171">
        <f t="shared" si="1"/>
        <v>92523.4375</v>
      </c>
      <c r="K26" s="171"/>
      <c r="L26" s="172">
        <f t="shared" si="5"/>
        <v>20740187.5</v>
      </c>
    </row>
    <row r="27" spans="1:12">
      <c r="A27" s="164">
        <v>17</v>
      </c>
      <c r="B27" s="170">
        <v>43586</v>
      </c>
      <c r="C27" s="174">
        <f t="shared" si="9"/>
        <v>1250000</v>
      </c>
      <c r="D27" s="171"/>
      <c r="E27" s="172">
        <f t="shared" si="7"/>
        <v>1250000</v>
      </c>
      <c r="F27" s="172">
        <f t="shared" si="2"/>
        <v>21250000</v>
      </c>
      <c r="G27" s="172">
        <f t="shared" si="3"/>
        <v>-437500</v>
      </c>
      <c r="H27" s="172">
        <f t="shared" si="8"/>
        <v>-7437500</v>
      </c>
      <c r="I27" s="173">
        <f t="shared" si="0"/>
        <v>13812500</v>
      </c>
      <c r="J27" s="171">
        <f t="shared" si="1"/>
        <v>98691.666666666672</v>
      </c>
      <c r="K27" s="171"/>
      <c r="L27" s="172">
        <f t="shared" si="5"/>
        <v>22088879.166666668</v>
      </c>
    </row>
    <row r="28" spans="1:12">
      <c r="A28" s="164">
        <v>18</v>
      </c>
      <c r="B28" s="170">
        <v>43617</v>
      </c>
      <c r="C28" s="174">
        <f t="shared" si="9"/>
        <v>1250000</v>
      </c>
      <c r="D28" s="171"/>
      <c r="E28" s="172">
        <f t="shared" si="7"/>
        <v>1250000</v>
      </c>
      <c r="F28" s="172">
        <f t="shared" si="2"/>
        <v>22500000</v>
      </c>
      <c r="G28" s="172">
        <f t="shared" si="3"/>
        <v>-437500</v>
      </c>
      <c r="H28" s="172">
        <f t="shared" si="8"/>
        <v>-7875000</v>
      </c>
      <c r="I28" s="173">
        <f t="shared" si="0"/>
        <v>14625000</v>
      </c>
      <c r="J28" s="171">
        <f t="shared" si="1"/>
        <v>104859.89583333333</v>
      </c>
      <c r="K28" s="171"/>
      <c r="L28" s="172">
        <f t="shared" si="5"/>
        <v>23443739.0625</v>
      </c>
    </row>
    <row r="29" spans="1:12">
      <c r="A29" s="164">
        <v>19</v>
      </c>
      <c r="B29" s="170">
        <v>43647</v>
      </c>
      <c r="C29" s="174">
        <f t="shared" si="9"/>
        <v>1250000</v>
      </c>
      <c r="D29" s="171"/>
      <c r="E29" s="172">
        <f t="shared" si="7"/>
        <v>1250000</v>
      </c>
      <c r="F29" s="172">
        <f t="shared" si="2"/>
        <v>23750000</v>
      </c>
      <c r="G29" s="172">
        <f t="shared" si="3"/>
        <v>-437500</v>
      </c>
      <c r="H29" s="172">
        <f t="shared" si="8"/>
        <v>-8312500</v>
      </c>
      <c r="I29" s="173">
        <f t="shared" si="0"/>
        <v>15437500</v>
      </c>
      <c r="J29" s="171">
        <f t="shared" si="1"/>
        <v>111028.125</v>
      </c>
      <c r="K29" s="171"/>
      <c r="L29" s="172">
        <f t="shared" si="5"/>
        <v>24804767.1875</v>
      </c>
    </row>
    <row r="30" spans="1:12">
      <c r="A30" s="164">
        <v>20</v>
      </c>
      <c r="B30" s="170">
        <v>43678</v>
      </c>
      <c r="C30" s="174">
        <f t="shared" si="9"/>
        <v>1250000</v>
      </c>
      <c r="D30" s="171"/>
      <c r="E30" s="172">
        <f t="shared" si="7"/>
        <v>1250000</v>
      </c>
      <c r="F30" s="172">
        <f t="shared" si="2"/>
        <v>25000000</v>
      </c>
      <c r="G30" s="172">
        <f t="shared" si="3"/>
        <v>-437500</v>
      </c>
      <c r="H30" s="172">
        <f t="shared" si="8"/>
        <v>-8750000</v>
      </c>
      <c r="I30" s="173">
        <f t="shared" si="0"/>
        <v>16250000</v>
      </c>
      <c r="J30" s="171">
        <f t="shared" si="1"/>
        <v>117196.35416666667</v>
      </c>
      <c r="K30" s="171"/>
      <c r="L30" s="172">
        <f t="shared" si="5"/>
        <v>26171963.541666668</v>
      </c>
    </row>
    <row r="31" spans="1:12">
      <c r="A31" s="164">
        <v>21</v>
      </c>
      <c r="B31" s="170">
        <v>43709</v>
      </c>
      <c r="C31" s="174">
        <f t="shared" si="9"/>
        <v>1250000</v>
      </c>
      <c r="D31" s="171"/>
      <c r="E31" s="172">
        <f t="shared" si="7"/>
        <v>1250000</v>
      </c>
      <c r="F31" s="172">
        <f t="shared" si="2"/>
        <v>26250000</v>
      </c>
      <c r="G31" s="172">
        <f t="shared" si="3"/>
        <v>-437500</v>
      </c>
      <c r="H31" s="172">
        <f t="shared" si="8"/>
        <v>-9187500</v>
      </c>
      <c r="I31" s="173">
        <f t="shared" si="0"/>
        <v>17062500</v>
      </c>
      <c r="J31" s="171">
        <f t="shared" si="1"/>
        <v>123364.58333333333</v>
      </c>
      <c r="K31" s="171"/>
      <c r="L31" s="172">
        <f t="shared" si="5"/>
        <v>27545328.125</v>
      </c>
    </row>
    <row r="32" spans="1:12">
      <c r="A32" s="164">
        <v>22</v>
      </c>
      <c r="B32" s="170">
        <v>43739</v>
      </c>
      <c r="C32" s="174">
        <f t="shared" si="9"/>
        <v>1250000</v>
      </c>
      <c r="D32" s="171"/>
      <c r="E32" s="172">
        <f t="shared" si="7"/>
        <v>1250000</v>
      </c>
      <c r="F32" s="172">
        <f t="shared" si="2"/>
        <v>27500000</v>
      </c>
      <c r="G32" s="172">
        <f t="shared" si="3"/>
        <v>-437500</v>
      </c>
      <c r="H32" s="172">
        <f t="shared" si="8"/>
        <v>-9625000</v>
      </c>
      <c r="I32" s="173">
        <f t="shared" si="0"/>
        <v>17875000</v>
      </c>
      <c r="J32" s="171">
        <f t="shared" si="1"/>
        <v>129532.8125</v>
      </c>
      <c r="K32" s="171"/>
      <c r="L32" s="172">
        <f t="shared" si="5"/>
        <v>28924860.9375</v>
      </c>
    </row>
    <row r="33" spans="1:12">
      <c r="A33" s="164">
        <v>23</v>
      </c>
      <c r="B33" s="170">
        <v>43770</v>
      </c>
      <c r="C33" s="174">
        <f t="shared" si="9"/>
        <v>1250000</v>
      </c>
      <c r="D33" s="171"/>
      <c r="E33" s="172">
        <f t="shared" si="7"/>
        <v>1250000</v>
      </c>
      <c r="F33" s="172">
        <f t="shared" si="2"/>
        <v>28750000</v>
      </c>
      <c r="G33" s="172">
        <f t="shared" si="3"/>
        <v>-437500</v>
      </c>
      <c r="H33" s="172">
        <f t="shared" si="8"/>
        <v>-10062500</v>
      </c>
      <c r="I33" s="173">
        <f t="shared" si="0"/>
        <v>18687500</v>
      </c>
      <c r="J33" s="171">
        <f t="shared" si="1"/>
        <v>135701.04166666666</v>
      </c>
      <c r="K33" s="171"/>
      <c r="L33" s="172">
        <f t="shared" si="5"/>
        <v>30310561.979166668</v>
      </c>
    </row>
    <row r="34" spans="1:12">
      <c r="A34" s="164">
        <v>24</v>
      </c>
      <c r="B34" s="170">
        <v>43800</v>
      </c>
      <c r="C34" s="174">
        <f t="shared" si="9"/>
        <v>1250000</v>
      </c>
      <c r="D34" s="171"/>
      <c r="E34" s="172">
        <f t="shared" si="7"/>
        <v>1250000</v>
      </c>
      <c r="F34" s="172">
        <f t="shared" si="2"/>
        <v>30000000</v>
      </c>
      <c r="G34" s="172">
        <f t="shared" si="3"/>
        <v>-437500</v>
      </c>
      <c r="H34" s="172">
        <f t="shared" si="8"/>
        <v>-10500000</v>
      </c>
      <c r="I34" s="173">
        <f t="shared" si="0"/>
        <v>19500000</v>
      </c>
      <c r="J34" s="171">
        <f t="shared" si="1"/>
        <v>141869.27083333334</v>
      </c>
      <c r="K34" s="171"/>
      <c r="L34" s="172">
        <f t="shared" si="5"/>
        <v>31702431.25</v>
      </c>
    </row>
    <row r="35" spans="1:12">
      <c r="A35" s="164">
        <v>25</v>
      </c>
      <c r="B35" s="170">
        <v>43831</v>
      </c>
      <c r="C35" s="174">
        <f>10000000/12</f>
        <v>833333.33333333337</v>
      </c>
      <c r="D35" s="171"/>
      <c r="E35" s="172">
        <f t="shared" si="7"/>
        <v>833333.33333333337</v>
      </c>
      <c r="F35" s="172">
        <f t="shared" si="2"/>
        <v>30833333.333333332</v>
      </c>
      <c r="G35" s="172">
        <f t="shared" si="3"/>
        <v>-291666.66666666669</v>
      </c>
      <c r="H35" s="172">
        <f t="shared" si="8"/>
        <v>-10791666.666666666</v>
      </c>
      <c r="I35" s="173">
        <f t="shared" si="0"/>
        <v>20041666.666666664</v>
      </c>
      <c r="J35" s="171">
        <f t="shared" si="1"/>
        <v>148037.5</v>
      </c>
      <c r="K35" s="171"/>
      <c r="L35" s="172">
        <f t="shared" si="5"/>
        <v>32683802.083333332</v>
      </c>
    </row>
    <row r="36" spans="1:12">
      <c r="A36" s="164">
        <v>26</v>
      </c>
      <c r="B36" s="170">
        <v>43862</v>
      </c>
      <c r="C36" s="174">
        <f>C35</f>
        <v>833333.33333333337</v>
      </c>
      <c r="D36" s="171"/>
      <c r="E36" s="172">
        <f t="shared" si="7"/>
        <v>833333.33333333337</v>
      </c>
      <c r="F36" s="172">
        <f t="shared" si="2"/>
        <v>31666666.666666664</v>
      </c>
      <c r="G36" s="172">
        <f t="shared" si="3"/>
        <v>-291666.66666666669</v>
      </c>
      <c r="H36" s="172">
        <f t="shared" si="8"/>
        <v>-11083333.333333332</v>
      </c>
      <c r="I36" s="173">
        <f t="shared" si="0"/>
        <v>20583333.333333332</v>
      </c>
      <c r="J36" s="171">
        <f t="shared" si="1"/>
        <v>152149.65277777775</v>
      </c>
      <c r="K36" s="171"/>
      <c r="L36" s="172">
        <f t="shared" si="5"/>
        <v>33669285.06944444</v>
      </c>
    </row>
    <row r="37" spans="1:12">
      <c r="A37" s="164">
        <v>27</v>
      </c>
      <c r="B37" s="170">
        <v>43891</v>
      </c>
      <c r="C37" s="174">
        <f t="shared" ref="C37:C46" si="10">C36</f>
        <v>833333.33333333337</v>
      </c>
      <c r="D37" s="171"/>
      <c r="E37" s="172">
        <f t="shared" si="7"/>
        <v>833333.33333333337</v>
      </c>
      <c r="F37" s="172">
        <f t="shared" si="2"/>
        <v>32499999.999999996</v>
      </c>
      <c r="G37" s="172">
        <f t="shared" si="3"/>
        <v>-291666.66666666669</v>
      </c>
      <c r="H37" s="172">
        <f t="shared" si="8"/>
        <v>-11374999.999999998</v>
      </c>
      <c r="I37" s="173">
        <f t="shared" si="0"/>
        <v>21125000</v>
      </c>
      <c r="J37" s="171">
        <f t="shared" si="1"/>
        <v>156261.80555555553</v>
      </c>
      <c r="K37" s="171"/>
      <c r="L37" s="172">
        <f t="shared" si="5"/>
        <v>34658880.208333328</v>
      </c>
    </row>
    <row r="38" spans="1:12">
      <c r="A38" s="164">
        <v>28</v>
      </c>
      <c r="B38" s="170">
        <v>43922</v>
      </c>
      <c r="C38" s="174">
        <f t="shared" si="10"/>
        <v>833333.33333333337</v>
      </c>
      <c r="D38" s="171"/>
      <c r="E38" s="172">
        <f t="shared" si="7"/>
        <v>833333.33333333337</v>
      </c>
      <c r="F38" s="172">
        <f t="shared" si="2"/>
        <v>33333333.333333328</v>
      </c>
      <c r="G38" s="172">
        <f t="shared" si="3"/>
        <v>-291666.66666666669</v>
      </c>
      <c r="H38" s="172">
        <f t="shared" si="8"/>
        <v>-11666666.666666664</v>
      </c>
      <c r="I38" s="173">
        <f t="shared" si="0"/>
        <v>21666666.666666664</v>
      </c>
      <c r="J38" s="171">
        <f t="shared" si="1"/>
        <v>160373.95833333334</v>
      </c>
      <c r="K38" s="171"/>
      <c r="L38" s="172">
        <f t="shared" si="5"/>
        <v>35652587.5</v>
      </c>
    </row>
    <row r="39" spans="1:12">
      <c r="A39" s="164">
        <v>29</v>
      </c>
      <c r="B39" s="170">
        <v>43952</v>
      </c>
      <c r="C39" s="174">
        <f t="shared" si="10"/>
        <v>833333.33333333337</v>
      </c>
      <c r="D39" s="171"/>
      <c r="E39" s="172">
        <f t="shared" si="7"/>
        <v>833333.33333333337</v>
      </c>
      <c r="F39" s="172">
        <f t="shared" si="2"/>
        <v>34166666.666666664</v>
      </c>
      <c r="G39" s="172">
        <f t="shared" si="3"/>
        <v>-291666.66666666669</v>
      </c>
      <c r="H39" s="172">
        <f t="shared" si="8"/>
        <v>-11958333.33333333</v>
      </c>
      <c r="I39" s="173">
        <f t="shared" si="0"/>
        <v>22208333.333333336</v>
      </c>
      <c r="J39" s="171">
        <f t="shared" si="1"/>
        <v>164486.11111111109</v>
      </c>
      <c r="K39" s="171"/>
      <c r="L39" s="172">
        <f t="shared" si="5"/>
        <v>36650406.944444448</v>
      </c>
    </row>
    <row r="40" spans="1:12">
      <c r="A40" s="164">
        <v>30</v>
      </c>
      <c r="B40" s="170">
        <v>43983</v>
      </c>
      <c r="C40" s="174">
        <f t="shared" si="10"/>
        <v>833333.33333333337</v>
      </c>
      <c r="D40" s="171"/>
      <c r="E40" s="172">
        <f t="shared" si="7"/>
        <v>833333.33333333337</v>
      </c>
      <c r="F40" s="172">
        <f t="shared" si="2"/>
        <v>35000000</v>
      </c>
      <c r="G40" s="172">
        <f t="shared" si="3"/>
        <v>-291666.66666666669</v>
      </c>
      <c r="H40" s="172">
        <f t="shared" si="8"/>
        <v>-12249999.999999996</v>
      </c>
      <c r="I40" s="173">
        <f t="shared" si="0"/>
        <v>22750000.000000004</v>
      </c>
      <c r="J40" s="171">
        <f t="shared" si="1"/>
        <v>168598.26388888891</v>
      </c>
      <c r="K40" s="171"/>
      <c r="L40" s="172">
        <f t="shared" si="5"/>
        <v>37652338.541666672</v>
      </c>
    </row>
    <row r="41" spans="1:12">
      <c r="A41" s="164">
        <v>31</v>
      </c>
      <c r="B41" s="170">
        <v>44013</v>
      </c>
      <c r="C41" s="174">
        <f t="shared" si="10"/>
        <v>833333.33333333337</v>
      </c>
      <c r="D41" s="171"/>
      <c r="E41" s="172">
        <f t="shared" si="7"/>
        <v>833333.33333333337</v>
      </c>
      <c r="F41" s="172">
        <f t="shared" si="2"/>
        <v>35833333.333333336</v>
      </c>
      <c r="G41" s="172">
        <f t="shared" si="3"/>
        <v>-291666.66666666669</v>
      </c>
      <c r="H41" s="172">
        <f t="shared" si="8"/>
        <v>-12541666.666666662</v>
      </c>
      <c r="I41" s="173">
        <f t="shared" si="0"/>
        <v>23291666.666666672</v>
      </c>
      <c r="J41" s="171">
        <f t="shared" si="1"/>
        <v>172710.41666666669</v>
      </c>
      <c r="K41" s="171"/>
      <c r="L41" s="172">
        <f t="shared" si="5"/>
        <v>38658382.291666672</v>
      </c>
    </row>
    <row r="42" spans="1:12">
      <c r="A42" s="164">
        <v>32</v>
      </c>
      <c r="B42" s="170">
        <v>44044</v>
      </c>
      <c r="C42" s="174">
        <f t="shared" si="10"/>
        <v>833333.33333333337</v>
      </c>
      <c r="D42" s="171"/>
      <c r="E42" s="172">
        <f t="shared" si="7"/>
        <v>833333.33333333337</v>
      </c>
      <c r="F42" s="172">
        <f t="shared" si="2"/>
        <v>36666666.666666672</v>
      </c>
      <c r="G42" s="172">
        <f t="shared" si="3"/>
        <v>-291666.66666666669</v>
      </c>
      <c r="H42" s="172">
        <f t="shared" si="8"/>
        <v>-12833333.333333328</v>
      </c>
      <c r="I42" s="173">
        <f t="shared" si="0"/>
        <v>23833333.333333343</v>
      </c>
      <c r="J42" s="171">
        <f t="shared" si="1"/>
        <v>176822.5694444445</v>
      </c>
      <c r="K42" s="171"/>
      <c r="L42" s="172">
        <f t="shared" si="5"/>
        <v>39668538.194444455</v>
      </c>
    </row>
    <row r="43" spans="1:12">
      <c r="A43" s="164">
        <v>33</v>
      </c>
      <c r="B43" s="170">
        <v>44075</v>
      </c>
      <c r="C43" s="174">
        <f t="shared" si="10"/>
        <v>833333.33333333337</v>
      </c>
      <c r="D43" s="171"/>
      <c r="E43" s="172">
        <f t="shared" si="7"/>
        <v>833333.33333333337</v>
      </c>
      <c r="F43" s="172">
        <f t="shared" si="2"/>
        <v>37500000.000000007</v>
      </c>
      <c r="G43" s="172">
        <f t="shared" si="3"/>
        <v>-291666.66666666669</v>
      </c>
      <c r="H43" s="172">
        <f t="shared" si="8"/>
        <v>-13124999.999999994</v>
      </c>
      <c r="I43" s="173">
        <f t="shared" si="0"/>
        <v>24375000.000000015</v>
      </c>
      <c r="J43" s="171">
        <f t="shared" si="1"/>
        <v>180934.72222222231</v>
      </c>
      <c r="K43" s="171"/>
      <c r="L43" s="172">
        <f t="shared" si="5"/>
        <v>40682806.250000015</v>
      </c>
    </row>
    <row r="44" spans="1:12">
      <c r="A44" s="164">
        <v>34</v>
      </c>
      <c r="B44" s="170">
        <v>44105</v>
      </c>
      <c r="C44" s="174">
        <f t="shared" si="10"/>
        <v>833333.33333333337</v>
      </c>
      <c r="D44" s="171"/>
      <c r="E44" s="172">
        <f t="shared" si="7"/>
        <v>833333.33333333337</v>
      </c>
      <c r="F44" s="172">
        <f t="shared" si="2"/>
        <v>38333333.333333343</v>
      </c>
      <c r="G44" s="172">
        <f t="shared" si="3"/>
        <v>-291666.66666666669</v>
      </c>
      <c r="H44" s="172">
        <f t="shared" si="8"/>
        <v>-13416666.66666666</v>
      </c>
      <c r="I44" s="173">
        <f t="shared" si="0"/>
        <v>24916666.666666683</v>
      </c>
      <c r="J44" s="171">
        <f t="shared" si="1"/>
        <v>185046.87500000012</v>
      </c>
      <c r="K44" s="171"/>
      <c r="L44" s="172">
        <f t="shared" si="5"/>
        <v>41701186.458333351</v>
      </c>
    </row>
    <row r="45" spans="1:12">
      <c r="A45" s="164">
        <v>35</v>
      </c>
      <c r="B45" s="170">
        <v>44136</v>
      </c>
      <c r="C45" s="174">
        <f t="shared" si="10"/>
        <v>833333.33333333337</v>
      </c>
      <c r="D45" s="171"/>
      <c r="E45" s="172">
        <f t="shared" si="7"/>
        <v>833333.33333333337</v>
      </c>
      <c r="F45" s="172">
        <f t="shared" si="2"/>
        <v>39166666.666666679</v>
      </c>
      <c r="G45" s="172">
        <f t="shared" si="3"/>
        <v>-291666.66666666669</v>
      </c>
      <c r="H45" s="172">
        <f t="shared" si="8"/>
        <v>-13708333.333333327</v>
      </c>
      <c r="I45" s="173">
        <f t="shared" si="0"/>
        <v>25458333.333333351</v>
      </c>
      <c r="J45" s="171">
        <f t="shared" si="1"/>
        <v>189159.0277777779</v>
      </c>
      <c r="K45" s="171"/>
      <c r="L45" s="172">
        <f t="shared" si="5"/>
        <v>42723678.819444463</v>
      </c>
    </row>
    <row r="46" spans="1:12">
      <c r="A46" s="164">
        <v>36</v>
      </c>
      <c r="B46" s="170">
        <v>44166</v>
      </c>
      <c r="C46" s="174">
        <f t="shared" si="10"/>
        <v>833333.33333333337</v>
      </c>
      <c r="D46" s="171"/>
      <c r="E46" s="172">
        <f t="shared" si="7"/>
        <v>833333.33333333337</v>
      </c>
      <c r="F46" s="172">
        <f t="shared" si="2"/>
        <v>40000000.000000015</v>
      </c>
      <c r="G46" s="172">
        <f t="shared" si="3"/>
        <v>-291666.66666666669</v>
      </c>
      <c r="H46" s="172">
        <f t="shared" si="8"/>
        <v>-13999999.999999993</v>
      </c>
      <c r="I46" s="173">
        <f t="shared" si="0"/>
        <v>26000000.000000022</v>
      </c>
      <c r="J46" s="171">
        <f t="shared" si="1"/>
        <v>193271.18055555568</v>
      </c>
      <c r="K46" s="171"/>
      <c r="L46" s="172">
        <f t="shared" si="5"/>
        <v>43750283.333333351</v>
      </c>
    </row>
    <row r="47" spans="1:12">
      <c r="A47" s="164">
        <v>37</v>
      </c>
      <c r="B47" s="170">
        <v>44197</v>
      </c>
      <c r="C47" s="174">
        <f>5000000/12</f>
        <v>416666.66666666669</v>
      </c>
      <c r="D47" s="171"/>
      <c r="E47" s="172">
        <f t="shared" si="7"/>
        <v>416666.66666666669</v>
      </c>
      <c r="F47" s="172">
        <f t="shared" si="2"/>
        <v>40416666.666666679</v>
      </c>
      <c r="G47" s="172">
        <f t="shared" si="3"/>
        <v>-145833.33333333334</v>
      </c>
      <c r="H47" s="172">
        <f t="shared" si="8"/>
        <v>-14145833.333333327</v>
      </c>
      <c r="I47" s="173">
        <f t="shared" si="0"/>
        <v>26270833.333333351</v>
      </c>
      <c r="J47" s="171">
        <f t="shared" si="1"/>
        <v>197383.33333333352</v>
      </c>
      <c r="K47" s="171"/>
      <c r="L47" s="172">
        <f t="shared" si="5"/>
        <v>44364333.333333351</v>
      </c>
    </row>
    <row r="48" spans="1:12">
      <c r="A48" s="164">
        <v>38</v>
      </c>
      <c r="B48" s="170">
        <v>44228</v>
      </c>
      <c r="C48" s="174">
        <f>C47</f>
        <v>416666.66666666669</v>
      </c>
      <c r="D48" s="171"/>
      <c r="E48" s="172">
        <f t="shared" si="7"/>
        <v>416666.66666666669</v>
      </c>
      <c r="F48" s="172">
        <f t="shared" si="2"/>
        <v>40833333.333333343</v>
      </c>
      <c r="G48" s="172">
        <f t="shared" si="3"/>
        <v>-145833.33333333334</v>
      </c>
      <c r="H48" s="172">
        <f t="shared" si="8"/>
        <v>-14291666.66666666</v>
      </c>
      <c r="I48" s="173">
        <f t="shared" si="0"/>
        <v>26541666.666666683</v>
      </c>
      <c r="J48" s="171">
        <f t="shared" si="1"/>
        <v>199439.40972222236</v>
      </c>
      <c r="K48" s="171"/>
      <c r="L48" s="172">
        <f t="shared" si="5"/>
        <v>44980439.409722239</v>
      </c>
    </row>
    <row r="49" spans="1:12">
      <c r="A49" s="164">
        <v>39</v>
      </c>
      <c r="B49" s="170">
        <v>44256</v>
      </c>
      <c r="C49" s="174">
        <f t="shared" ref="C49:C58" si="11">C48</f>
        <v>416666.66666666669</v>
      </c>
      <c r="D49" s="171"/>
      <c r="E49" s="172">
        <f t="shared" si="7"/>
        <v>416666.66666666669</v>
      </c>
      <c r="F49" s="172">
        <f t="shared" si="2"/>
        <v>41250000.000000007</v>
      </c>
      <c r="G49" s="172">
        <f t="shared" si="3"/>
        <v>-145833.33333333334</v>
      </c>
      <c r="H49" s="172">
        <f t="shared" si="8"/>
        <v>-14437499.999999994</v>
      </c>
      <c r="I49" s="173">
        <f t="shared" si="0"/>
        <v>26812500.000000015</v>
      </c>
      <c r="J49" s="171">
        <f t="shared" si="1"/>
        <v>201495.48611111124</v>
      </c>
      <c r="K49" s="171"/>
      <c r="L49" s="172">
        <f t="shared" si="5"/>
        <v>45598601.562500015</v>
      </c>
    </row>
    <row r="50" spans="1:12">
      <c r="A50" s="164">
        <v>40</v>
      </c>
      <c r="B50" s="170">
        <v>44287</v>
      </c>
      <c r="C50" s="174">
        <f t="shared" si="11"/>
        <v>416666.66666666669</v>
      </c>
      <c r="D50" s="171"/>
      <c r="E50" s="172">
        <f t="shared" si="7"/>
        <v>416666.66666666669</v>
      </c>
      <c r="F50" s="172">
        <f t="shared" si="2"/>
        <v>41666666.666666672</v>
      </c>
      <c r="G50" s="172">
        <f t="shared" si="3"/>
        <v>-145833.33333333334</v>
      </c>
      <c r="H50" s="172">
        <f t="shared" si="8"/>
        <v>-14583333.333333328</v>
      </c>
      <c r="I50" s="173">
        <f t="shared" si="0"/>
        <v>27083333.333333343</v>
      </c>
      <c r="J50" s="171">
        <f t="shared" si="1"/>
        <v>203551.56250000012</v>
      </c>
      <c r="K50" s="171"/>
      <c r="L50" s="172">
        <f t="shared" si="5"/>
        <v>46218819.791666679</v>
      </c>
    </row>
    <row r="51" spans="1:12">
      <c r="A51" s="164">
        <v>41</v>
      </c>
      <c r="B51" s="170">
        <v>44317</v>
      </c>
      <c r="C51" s="174">
        <f t="shared" si="11"/>
        <v>416666.66666666669</v>
      </c>
      <c r="D51" s="171"/>
      <c r="E51" s="172">
        <f t="shared" si="7"/>
        <v>416666.66666666669</v>
      </c>
      <c r="F51" s="172">
        <f t="shared" si="2"/>
        <v>42083333.333333336</v>
      </c>
      <c r="G51" s="172">
        <f t="shared" si="3"/>
        <v>-145833.33333333334</v>
      </c>
      <c r="H51" s="172">
        <f t="shared" si="8"/>
        <v>-14729166.666666662</v>
      </c>
      <c r="I51" s="173">
        <f t="shared" si="0"/>
        <v>27354166.666666672</v>
      </c>
      <c r="J51" s="171">
        <f t="shared" si="1"/>
        <v>205607.63888888896</v>
      </c>
      <c r="K51" s="171"/>
      <c r="L51" s="172">
        <f t="shared" si="5"/>
        <v>46841094.097222231</v>
      </c>
    </row>
    <row r="52" spans="1:12">
      <c r="A52" s="164">
        <v>42</v>
      </c>
      <c r="B52" s="170">
        <v>44348</v>
      </c>
      <c r="C52" s="174">
        <f t="shared" si="11"/>
        <v>416666.66666666669</v>
      </c>
      <c r="D52" s="171"/>
      <c r="E52" s="172">
        <f t="shared" si="7"/>
        <v>416666.66666666669</v>
      </c>
      <c r="F52" s="172">
        <f t="shared" si="2"/>
        <v>42500000</v>
      </c>
      <c r="G52" s="172">
        <f t="shared" si="3"/>
        <v>-145833.33333333334</v>
      </c>
      <c r="H52" s="172">
        <f t="shared" si="8"/>
        <v>-14874999.999999996</v>
      </c>
      <c r="I52" s="173">
        <f t="shared" si="0"/>
        <v>27625000.000000004</v>
      </c>
      <c r="J52" s="171">
        <f t="shared" si="1"/>
        <v>207663.71527777781</v>
      </c>
      <c r="K52" s="171"/>
      <c r="L52" s="172">
        <f t="shared" si="5"/>
        <v>47465424.479166672</v>
      </c>
    </row>
    <row r="53" spans="1:12">
      <c r="A53" s="164">
        <v>43</v>
      </c>
      <c r="B53" s="170">
        <v>44378</v>
      </c>
      <c r="C53" s="174">
        <f t="shared" si="11"/>
        <v>416666.66666666669</v>
      </c>
      <c r="D53" s="171"/>
      <c r="E53" s="172">
        <f t="shared" si="7"/>
        <v>416666.66666666669</v>
      </c>
      <c r="F53" s="172">
        <f t="shared" si="2"/>
        <v>42916666.666666664</v>
      </c>
      <c r="G53" s="172">
        <f t="shared" si="3"/>
        <v>-145833.33333333334</v>
      </c>
      <c r="H53" s="172">
        <f t="shared" si="8"/>
        <v>-15020833.33333333</v>
      </c>
      <c r="I53" s="173">
        <f t="shared" si="0"/>
        <v>27895833.333333336</v>
      </c>
      <c r="J53" s="171">
        <f t="shared" si="1"/>
        <v>209719.79166666669</v>
      </c>
      <c r="K53" s="171"/>
      <c r="L53" s="172">
        <f t="shared" si="5"/>
        <v>48091810.9375</v>
      </c>
    </row>
    <row r="54" spans="1:12">
      <c r="A54" s="164">
        <v>44</v>
      </c>
      <c r="B54" s="170">
        <v>44409</v>
      </c>
      <c r="C54" s="174">
        <f t="shared" si="11"/>
        <v>416666.66666666669</v>
      </c>
      <c r="D54" s="171"/>
      <c r="E54" s="172">
        <f t="shared" si="7"/>
        <v>416666.66666666669</v>
      </c>
      <c r="F54" s="172">
        <f t="shared" si="2"/>
        <v>43333333.333333328</v>
      </c>
      <c r="G54" s="172">
        <f t="shared" si="3"/>
        <v>-145833.33333333334</v>
      </c>
      <c r="H54" s="172">
        <f t="shared" si="8"/>
        <v>-15166666.666666664</v>
      </c>
      <c r="I54" s="173">
        <f t="shared" si="0"/>
        <v>28166666.666666664</v>
      </c>
      <c r="J54" s="171">
        <f t="shared" si="1"/>
        <v>211775.86805555556</v>
      </c>
      <c r="K54" s="171"/>
      <c r="L54" s="172">
        <f t="shared" si="5"/>
        <v>48720253.472222216</v>
      </c>
    </row>
    <row r="55" spans="1:12">
      <c r="A55" s="164">
        <v>45</v>
      </c>
      <c r="B55" s="170">
        <v>44440</v>
      </c>
      <c r="C55" s="174">
        <f t="shared" si="11"/>
        <v>416666.66666666669</v>
      </c>
      <c r="D55" s="171"/>
      <c r="E55" s="172">
        <f t="shared" si="7"/>
        <v>416666.66666666669</v>
      </c>
      <c r="F55" s="172">
        <f t="shared" si="2"/>
        <v>43749999.999999993</v>
      </c>
      <c r="G55" s="172">
        <f t="shared" si="3"/>
        <v>-145833.33333333334</v>
      </c>
      <c r="H55" s="172">
        <f t="shared" si="8"/>
        <v>-15312499.999999998</v>
      </c>
      <c r="I55" s="173">
        <f t="shared" si="0"/>
        <v>28437499.999999993</v>
      </c>
      <c r="J55" s="171">
        <f t="shared" si="1"/>
        <v>213831.94444444444</v>
      </c>
      <c r="K55" s="171"/>
      <c r="L55" s="172">
        <f t="shared" si="5"/>
        <v>49350752.083333328</v>
      </c>
    </row>
    <row r="56" spans="1:12">
      <c r="A56" s="164">
        <v>46</v>
      </c>
      <c r="B56" s="170">
        <v>44470</v>
      </c>
      <c r="C56" s="174">
        <f t="shared" si="11"/>
        <v>416666.66666666669</v>
      </c>
      <c r="D56" s="171"/>
      <c r="E56" s="172">
        <f t="shared" si="7"/>
        <v>416666.66666666669</v>
      </c>
      <c r="F56" s="172">
        <f t="shared" si="2"/>
        <v>44166666.666666657</v>
      </c>
      <c r="G56" s="172">
        <f t="shared" si="3"/>
        <v>-145833.33333333334</v>
      </c>
      <c r="H56" s="172">
        <f t="shared" si="8"/>
        <v>-15458333.333333332</v>
      </c>
      <c r="I56" s="173">
        <f t="shared" si="0"/>
        <v>28708333.333333325</v>
      </c>
      <c r="J56" s="171">
        <f t="shared" si="1"/>
        <v>215888.02083333328</v>
      </c>
      <c r="K56" s="171"/>
      <c r="L56" s="172">
        <f t="shared" si="5"/>
        <v>49983306.770833328</v>
      </c>
    </row>
    <row r="57" spans="1:12">
      <c r="A57" s="164">
        <v>47</v>
      </c>
      <c r="B57" s="170">
        <v>44501</v>
      </c>
      <c r="C57" s="174">
        <f t="shared" si="11"/>
        <v>416666.66666666669</v>
      </c>
      <c r="D57" s="171"/>
      <c r="E57" s="172">
        <f t="shared" si="7"/>
        <v>416666.66666666669</v>
      </c>
      <c r="F57" s="172">
        <f t="shared" si="2"/>
        <v>44583333.333333321</v>
      </c>
      <c r="G57" s="172">
        <f t="shared" si="3"/>
        <v>-145833.33333333334</v>
      </c>
      <c r="H57" s="172">
        <f t="shared" si="8"/>
        <v>-15604166.666666666</v>
      </c>
      <c r="I57" s="173">
        <f t="shared" si="0"/>
        <v>28979166.666666657</v>
      </c>
      <c r="J57" s="171">
        <f t="shared" si="1"/>
        <v>217944.09722222216</v>
      </c>
      <c r="K57" s="171"/>
      <c r="L57" s="172">
        <f t="shared" si="5"/>
        <v>50617917.534722216</v>
      </c>
    </row>
    <row r="58" spans="1:12">
      <c r="A58" s="164">
        <v>48</v>
      </c>
      <c r="B58" s="170">
        <v>44531</v>
      </c>
      <c r="C58" s="174">
        <f t="shared" si="11"/>
        <v>416666.66666666669</v>
      </c>
      <c r="D58" s="171"/>
      <c r="E58" s="172">
        <f t="shared" si="7"/>
        <v>416666.66666666669</v>
      </c>
      <c r="F58" s="172">
        <f t="shared" si="2"/>
        <v>44999999.999999985</v>
      </c>
      <c r="G58" s="172">
        <f t="shared" si="3"/>
        <v>-145833.33333333334</v>
      </c>
      <c r="H58" s="172">
        <f t="shared" si="8"/>
        <v>-15750000</v>
      </c>
      <c r="I58" s="173">
        <f t="shared" si="0"/>
        <v>29249999.999999985</v>
      </c>
      <c r="J58" s="171">
        <f t="shared" si="1"/>
        <v>220000.17361111104</v>
      </c>
      <c r="K58" s="171"/>
      <c r="L58" s="172">
        <f t="shared" si="5"/>
        <v>51254584.374999993</v>
      </c>
    </row>
    <row r="59" spans="1:12">
      <c r="A59" s="164">
        <v>49</v>
      </c>
      <c r="B59" s="170">
        <v>44562</v>
      </c>
      <c r="C59" s="174">
        <v>444126.07</v>
      </c>
      <c r="D59" s="171"/>
      <c r="E59" s="172">
        <f t="shared" si="7"/>
        <v>444126.07</v>
      </c>
      <c r="F59" s="172">
        <f t="shared" si="2"/>
        <v>45444126.069999985</v>
      </c>
      <c r="G59" s="172">
        <f t="shared" si="3"/>
        <v>-155444.12450000001</v>
      </c>
      <c r="H59" s="172">
        <f t="shared" si="8"/>
        <v>-15905444.124500001</v>
      </c>
      <c r="I59" s="173">
        <f t="shared" si="0"/>
        <v>29538681.945499986</v>
      </c>
      <c r="J59" s="171">
        <f t="shared" si="1"/>
        <v>222056.24999999988</v>
      </c>
      <c r="K59" s="171"/>
      <c r="L59" s="172">
        <f t="shared" si="5"/>
        <v>51920766.694999993</v>
      </c>
    </row>
    <row r="60" spans="1:12">
      <c r="A60" s="164">
        <v>50</v>
      </c>
      <c r="B60" s="170">
        <v>44593</v>
      </c>
      <c r="C60" s="174">
        <f>C59</f>
        <v>444126.07</v>
      </c>
      <c r="D60" s="171"/>
      <c r="E60" s="172">
        <f t="shared" si="7"/>
        <v>444126.07</v>
      </c>
      <c r="F60" s="172">
        <f t="shared" si="2"/>
        <v>45888252.139999986</v>
      </c>
      <c r="G60" s="172">
        <f t="shared" si="3"/>
        <v>-155444.12450000001</v>
      </c>
      <c r="H60" s="172">
        <f t="shared" si="8"/>
        <v>-16060888.249000002</v>
      </c>
      <c r="I60" s="173">
        <f t="shared" si="0"/>
        <v>29827363.890999984</v>
      </c>
      <c r="J60" s="171">
        <f t="shared" si="1"/>
        <v>224247.82710292074</v>
      </c>
      <c r="K60" s="171"/>
      <c r="L60" s="172">
        <f t="shared" si="5"/>
        <v>52589140.592102915</v>
      </c>
    </row>
    <row r="61" spans="1:12">
      <c r="A61" s="164">
        <v>51</v>
      </c>
      <c r="B61" s="170">
        <v>44621</v>
      </c>
      <c r="C61" s="174">
        <f t="shared" ref="C61:C69" si="12">C60</f>
        <v>444126.07</v>
      </c>
      <c r="D61" s="171"/>
      <c r="E61" s="172">
        <f t="shared" si="7"/>
        <v>444126.07</v>
      </c>
      <c r="F61" s="172">
        <f t="shared" si="2"/>
        <v>46332378.209999986</v>
      </c>
      <c r="G61" s="172">
        <f t="shared" si="3"/>
        <v>-155444.12450000001</v>
      </c>
      <c r="H61" s="172">
        <f t="shared" si="8"/>
        <v>-16216332.373500003</v>
      </c>
      <c r="I61" s="173">
        <f t="shared" si="0"/>
        <v>30116045.836499982</v>
      </c>
      <c r="J61" s="171">
        <f t="shared" si="1"/>
        <v>226439.40420584154</v>
      </c>
      <c r="K61" s="171"/>
      <c r="L61" s="172">
        <f t="shared" si="5"/>
        <v>53259706.066308759</v>
      </c>
    </row>
    <row r="62" spans="1:12">
      <c r="A62" s="164">
        <v>52</v>
      </c>
      <c r="B62" s="170">
        <v>44652</v>
      </c>
      <c r="C62" s="174">
        <f t="shared" si="12"/>
        <v>444126.07</v>
      </c>
      <c r="D62" s="171"/>
      <c r="E62" s="172">
        <f t="shared" si="7"/>
        <v>444126.07</v>
      </c>
      <c r="F62" s="172">
        <f t="shared" si="2"/>
        <v>46776504.279999986</v>
      </c>
      <c r="G62" s="172">
        <f t="shared" si="3"/>
        <v>-155444.12450000001</v>
      </c>
      <c r="H62" s="172">
        <f t="shared" si="8"/>
        <v>-16371776.498000003</v>
      </c>
      <c r="I62" s="173">
        <f t="shared" si="0"/>
        <v>30404727.781999983</v>
      </c>
      <c r="J62" s="171">
        <f t="shared" si="1"/>
        <v>228630.98130876236</v>
      </c>
      <c r="K62" s="171"/>
      <c r="L62" s="172">
        <f t="shared" si="5"/>
        <v>53932463.117617525</v>
      </c>
    </row>
    <row r="63" spans="1:12">
      <c r="A63" s="164">
        <v>53</v>
      </c>
      <c r="B63" s="170">
        <v>44682</v>
      </c>
      <c r="C63" s="174">
        <f t="shared" si="12"/>
        <v>444126.07</v>
      </c>
      <c r="D63" s="171"/>
      <c r="E63" s="172">
        <f t="shared" si="7"/>
        <v>444126.07</v>
      </c>
      <c r="F63" s="172">
        <f t="shared" si="2"/>
        <v>47220630.349999987</v>
      </c>
      <c r="G63" s="172">
        <f t="shared" si="3"/>
        <v>-155444.12450000001</v>
      </c>
      <c r="H63" s="172">
        <f t="shared" si="8"/>
        <v>-16527220.622500004</v>
      </c>
      <c r="I63" s="173">
        <f t="shared" si="0"/>
        <v>30693409.727499984</v>
      </c>
      <c r="J63" s="171">
        <f t="shared" si="1"/>
        <v>230822.55841168322</v>
      </c>
      <c r="K63" s="171"/>
      <c r="L63" s="172">
        <f t="shared" si="5"/>
        <v>54607411.746029206</v>
      </c>
    </row>
    <row r="64" spans="1:12">
      <c r="A64" s="164">
        <v>54</v>
      </c>
      <c r="B64" s="170">
        <v>44713</v>
      </c>
      <c r="C64" s="174">
        <f t="shared" si="12"/>
        <v>444126.07</v>
      </c>
      <c r="D64" s="171"/>
      <c r="E64" s="172">
        <f t="shared" si="7"/>
        <v>444126.07</v>
      </c>
      <c r="F64" s="172">
        <f t="shared" si="2"/>
        <v>47664756.419999987</v>
      </c>
      <c r="G64" s="172">
        <f t="shared" si="3"/>
        <v>-155444.12450000001</v>
      </c>
      <c r="H64" s="172">
        <f t="shared" si="8"/>
        <v>-16682664.747000005</v>
      </c>
      <c r="I64" s="173">
        <f t="shared" si="0"/>
        <v>30982091.672999982</v>
      </c>
      <c r="J64" s="171">
        <f t="shared" si="1"/>
        <v>233014.13551460404</v>
      </c>
      <c r="K64" s="171"/>
      <c r="L64" s="172">
        <f t="shared" si="5"/>
        <v>55284551.951543808</v>
      </c>
    </row>
    <row r="65" spans="1:12">
      <c r="A65" s="164">
        <v>55</v>
      </c>
      <c r="B65" s="170">
        <v>44743</v>
      </c>
      <c r="C65" s="174">
        <f t="shared" si="12"/>
        <v>444126.07</v>
      </c>
      <c r="D65" s="171"/>
      <c r="E65" s="172">
        <f t="shared" si="7"/>
        <v>444126.07</v>
      </c>
      <c r="F65" s="172">
        <f t="shared" si="2"/>
        <v>48108882.489999987</v>
      </c>
      <c r="G65" s="172">
        <f t="shared" si="3"/>
        <v>-155444.12450000001</v>
      </c>
      <c r="H65" s="172">
        <f t="shared" si="8"/>
        <v>-16838108.871500004</v>
      </c>
      <c r="I65" s="173">
        <f t="shared" si="0"/>
        <v>31270773.618499983</v>
      </c>
      <c r="J65" s="171">
        <f t="shared" si="1"/>
        <v>235205.71261752487</v>
      </c>
      <c r="K65" s="171"/>
      <c r="L65" s="172">
        <f t="shared" si="5"/>
        <v>55963883.734161332</v>
      </c>
    </row>
    <row r="66" spans="1:12">
      <c r="A66" s="164">
        <v>56</v>
      </c>
      <c r="B66" s="170">
        <v>44774</v>
      </c>
      <c r="C66" s="174">
        <f t="shared" si="12"/>
        <v>444126.07</v>
      </c>
      <c r="D66" s="171"/>
      <c r="E66" s="172">
        <f t="shared" si="7"/>
        <v>444126.07</v>
      </c>
      <c r="F66" s="172">
        <f t="shared" si="2"/>
        <v>48553008.559999987</v>
      </c>
      <c r="G66" s="172">
        <f t="shared" si="3"/>
        <v>-155444.12450000001</v>
      </c>
      <c r="H66" s="172">
        <f t="shared" si="8"/>
        <v>-16993552.996000003</v>
      </c>
      <c r="I66" s="173">
        <f t="shared" si="0"/>
        <v>31559455.563999984</v>
      </c>
      <c r="J66" s="171">
        <f t="shared" si="1"/>
        <v>237397.2897204457</v>
      </c>
      <c r="K66" s="171"/>
      <c r="L66" s="172">
        <f t="shared" si="5"/>
        <v>56645407.093881778</v>
      </c>
    </row>
    <row r="67" spans="1:12">
      <c r="A67" s="164">
        <v>57</v>
      </c>
      <c r="B67" s="170">
        <v>44805</v>
      </c>
      <c r="C67" s="174">
        <f t="shared" si="12"/>
        <v>444126.07</v>
      </c>
      <c r="D67" s="171"/>
      <c r="E67" s="172">
        <f t="shared" si="7"/>
        <v>444126.07</v>
      </c>
      <c r="F67" s="172">
        <f t="shared" si="2"/>
        <v>48997134.629999988</v>
      </c>
      <c r="G67" s="172">
        <f t="shared" si="3"/>
        <v>-155444.12450000001</v>
      </c>
      <c r="H67" s="172">
        <f t="shared" si="8"/>
        <v>-17148997.120500002</v>
      </c>
      <c r="I67" s="173">
        <f t="shared" si="0"/>
        <v>31848137.509499986</v>
      </c>
      <c r="J67" s="171">
        <f t="shared" si="1"/>
        <v>239588.86682336655</v>
      </c>
      <c r="K67" s="171"/>
      <c r="L67" s="172">
        <f t="shared" si="5"/>
        <v>57329122.030705146</v>
      </c>
    </row>
    <row r="68" spans="1:12">
      <c r="A68" s="164">
        <v>58</v>
      </c>
      <c r="B68" s="170">
        <v>44835</v>
      </c>
      <c r="C68" s="174">
        <f t="shared" si="12"/>
        <v>444126.07</v>
      </c>
      <c r="D68" s="171"/>
      <c r="E68" s="172">
        <f t="shared" si="7"/>
        <v>444126.07</v>
      </c>
      <c r="F68" s="172">
        <f t="shared" si="2"/>
        <v>49441260.699999988</v>
      </c>
      <c r="G68" s="172">
        <f t="shared" si="3"/>
        <v>-155444.12450000001</v>
      </c>
      <c r="H68" s="172">
        <f t="shared" si="8"/>
        <v>-17304441.245000001</v>
      </c>
      <c r="I68" s="173">
        <f t="shared" si="0"/>
        <v>32136819.454999987</v>
      </c>
      <c r="J68" s="171">
        <f t="shared" si="1"/>
        <v>241780.44392628738</v>
      </c>
      <c r="K68" s="171"/>
      <c r="L68" s="172">
        <f t="shared" si="5"/>
        <v>58015028.544631436</v>
      </c>
    </row>
    <row r="69" spans="1:12">
      <c r="A69" s="164">
        <v>59</v>
      </c>
      <c r="B69" s="170">
        <v>44866</v>
      </c>
      <c r="C69" s="174">
        <f t="shared" si="12"/>
        <v>444126.07</v>
      </c>
      <c r="D69" s="171"/>
      <c r="E69" s="172">
        <f t="shared" si="7"/>
        <v>444126.07</v>
      </c>
      <c r="F69" s="172">
        <f t="shared" si="2"/>
        <v>49885386.769999988</v>
      </c>
      <c r="G69" s="172">
        <f t="shared" si="3"/>
        <v>-155444.12450000001</v>
      </c>
      <c r="H69" s="172">
        <f t="shared" si="8"/>
        <v>-17459885.3695</v>
      </c>
      <c r="I69" s="173">
        <f t="shared" si="0"/>
        <v>32425501.400499988</v>
      </c>
      <c r="J69" s="171">
        <f t="shared" si="1"/>
        <v>243972.02102920823</v>
      </c>
      <c r="K69" s="171"/>
      <c r="L69" s="172">
        <f t="shared" si="5"/>
        <v>58703126.635660648</v>
      </c>
    </row>
    <row r="70" spans="1:12">
      <c r="A70" s="164">
        <v>59</v>
      </c>
      <c r="B70" s="175" t="s">
        <v>195</v>
      </c>
      <c r="C70" s="174">
        <f>ROUND(C69*8/31,2)+0.05</f>
        <v>114613.23</v>
      </c>
      <c r="D70" s="171"/>
      <c r="E70" s="172">
        <f>C70-D70</f>
        <v>114613.23</v>
      </c>
      <c r="F70" s="172">
        <f>E70+F69</f>
        <v>49999999.999999985</v>
      </c>
      <c r="G70" s="172">
        <f>-E70*0.35</f>
        <v>-40114.630499999999</v>
      </c>
      <c r="H70" s="172">
        <f t="shared" si="8"/>
        <v>-17500000</v>
      </c>
      <c r="I70" s="173">
        <f>F70+H70</f>
        <v>32499999.999999985</v>
      </c>
      <c r="J70" s="171">
        <f>I69*$D$3*8/31</f>
        <v>63526.089840549444</v>
      </c>
      <c r="K70" s="171"/>
      <c r="L70" s="172">
        <f t="shared" si="5"/>
        <v>58881265.955501191</v>
      </c>
    </row>
    <row r="71" spans="1:12">
      <c r="A71" s="164">
        <v>60</v>
      </c>
      <c r="B71" s="175" t="s">
        <v>196</v>
      </c>
      <c r="C71" s="174"/>
      <c r="D71" s="171">
        <f>$D$4*23/31</f>
        <v>855353.78500000003</v>
      </c>
      <c r="E71" s="172">
        <f t="shared" si="7"/>
        <v>-855353.78500000003</v>
      </c>
      <c r="F71" s="172"/>
      <c r="G71" s="172">
        <f>-AVERAGE(G$11:G$70)*23/31</f>
        <v>216397.84946236562</v>
      </c>
      <c r="H71" s="172">
        <f t="shared" si="8"/>
        <v>-17283602.150537636</v>
      </c>
      <c r="I71" s="173">
        <f t="shared" ref="I71:I131" si="13">L71+H71</f>
        <v>40975391.112857535</v>
      </c>
      <c r="J71" s="171"/>
      <c r="K71" s="171">
        <f>(L70+H70)*$D$3*23/31</f>
        <v>233081.09289398292</v>
      </c>
      <c r="L71" s="172">
        <f t="shared" si="5"/>
        <v>58258993.263395175</v>
      </c>
    </row>
    <row r="72" spans="1:12">
      <c r="A72" s="164">
        <v>61</v>
      </c>
      <c r="B72" s="170">
        <v>44927</v>
      </c>
      <c r="C72" s="171"/>
      <c r="D72" s="171">
        <f t="shared" ref="D72:D130" si="14">$D$4</f>
        <v>1152868.145</v>
      </c>
      <c r="E72" s="172">
        <f t="shared" si="7"/>
        <v>-1152868.145</v>
      </c>
      <c r="F72" s="172"/>
      <c r="G72" s="172">
        <f>-AVERAGE(G$11:G$70)</f>
        <v>291666.66666666669</v>
      </c>
      <c r="H72" s="172">
        <f t="shared" si="8"/>
        <v>-16991935.483870968</v>
      </c>
      <c r="I72" s="173">
        <f t="shared" si="13"/>
        <v>40425261.145389311</v>
      </c>
      <c r="J72" s="171"/>
      <c r="K72" s="171">
        <f>(L71+H71)*$D$3</f>
        <v>311071.51086511015</v>
      </c>
      <c r="L72" s="172">
        <f t="shared" si="5"/>
        <v>57417196.629260279</v>
      </c>
    </row>
    <row r="73" spans="1:12">
      <c r="A73" s="164">
        <v>62</v>
      </c>
      <c r="B73" s="170">
        <v>44958</v>
      </c>
      <c r="C73" s="171"/>
      <c r="D73" s="171">
        <f t="shared" si="14"/>
        <v>1152868.145</v>
      </c>
      <c r="E73" s="172">
        <f t="shared" si="7"/>
        <v>-1152868.145</v>
      </c>
      <c r="F73" s="172"/>
      <c r="G73" s="172">
        <f t="shared" ref="G73:G130" si="15">-AVERAGE(G$11:G$70)</f>
        <v>291666.66666666669</v>
      </c>
      <c r="H73" s="172">
        <f t="shared" si="8"/>
        <v>-16700268.817204302</v>
      </c>
      <c r="I73" s="173">
        <f t="shared" si="13"/>
        <v>39870954.774584718</v>
      </c>
      <c r="J73" s="171"/>
      <c r="K73" s="171">
        <f t="shared" ref="K73:K130" si="16">(L72+H72)*$D$3</f>
        <v>306895.10752874718</v>
      </c>
      <c r="L73" s="172">
        <f t="shared" si="5"/>
        <v>56571223.591789022</v>
      </c>
    </row>
    <row r="74" spans="1:12">
      <c r="A74" s="164">
        <v>63</v>
      </c>
      <c r="B74" s="170">
        <v>44986</v>
      </c>
      <c r="C74" s="171"/>
      <c r="D74" s="171">
        <f t="shared" si="14"/>
        <v>1152868.145</v>
      </c>
      <c r="E74" s="172">
        <f t="shared" si="7"/>
        <v>-1152868.145</v>
      </c>
      <c r="F74" s="172"/>
      <c r="G74" s="172">
        <f t="shared" si="15"/>
        <v>291666.66666666669</v>
      </c>
      <c r="H74" s="172">
        <f t="shared" si="8"/>
        <v>-16408602.150537636</v>
      </c>
      <c r="I74" s="173">
        <f t="shared" si="13"/>
        <v>39312440.294581771</v>
      </c>
      <c r="J74" s="171"/>
      <c r="K74" s="171">
        <f t="shared" si="16"/>
        <v>302686.99833038897</v>
      </c>
      <c r="L74" s="172">
        <f t="shared" si="5"/>
        <v>55721042.445119411</v>
      </c>
    </row>
    <row r="75" spans="1:12">
      <c r="A75" s="164">
        <v>64</v>
      </c>
      <c r="B75" s="170">
        <v>45017</v>
      </c>
      <c r="C75" s="171"/>
      <c r="D75" s="171">
        <f t="shared" si="14"/>
        <v>1152868.145</v>
      </c>
      <c r="E75" s="172">
        <f t="shared" si="7"/>
        <v>-1152868.145</v>
      </c>
      <c r="F75" s="172"/>
      <c r="G75" s="172">
        <f t="shared" si="15"/>
        <v>291666.66666666669</v>
      </c>
      <c r="H75" s="172">
        <f t="shared" si="8"/>
        <v>-16116935.48387097</v>
      </c>
      <c r="I75" s="173">
        <f t="shared" si="13"/>
        <v>38749685.758818142</v>
      </c>
      <c r="J75" s="171"/>
      <c r="K75" s="171">
        <f t="shared" si="16"/>
        <v>298446.94256969995</v>
      </c>
      <c r="L75" s="172">
        <f t="shared" si="5"/>
        <v>54866621.24268911</v>
      </c>
    </row>
    <row r="76" spans="1:12">
      <c r="A76" s="164">
        <v>65</v>
      </c>
      <c r="B76" s="170">
        <v>45047</v>
      </c>
      <c r="C76" s="171"/>
      <c r="D76" s="171">
        <f t="shared" si="14"/>
        <v>1152868.145</v>
      </c>
      <c r="E76" s="172">
        <f t="shared" si="7"/>
        <v>-1152868.145</v>
      </c>
      <c r="F76" s="172"/>
      <c r="G76" s="172">
        <f t="shared" si="15"/>
        <v>291666.66666666669</v>
      </c>
      <c r="H76" s="172">
        <f t="shared" si="8"/>
        <v>-15825268.817204304</v>
      </c>
      <c r="I76" s="173">
        <f t="shared" si="13"/>
        <v>38182658.978203833</v>
      </c>
      <c r="J76" s="171"/>
      <c r="K76" s="171">
        <f t="shared" si="16"/>
        <v>294174.69771902775</v>
      </c>
      <c r="L76" s="172">
        <f t="shared" ref="L76:L131" si="17">L75+E76+J76+K76</f>
        <v>54007927.795408137</v>
      </c>
    </row>
    <row r="77" spans="1:12">
      <c r="A77" s="164">
        <v>66</v>
      </c>
      <c r="B77" s="170">
        <v>45078</v>
      </c>
      <c r="C77" s="171"/>
      <c r="D77" s="171">
        <f t="shared" si="14"/>
        <v>1152868.145</v>
      </c>
      <c r="E77" s="172">
        <f t="shared" si="7"/>
        <v>-1152868.145</v>
      </c>
      <c r="F77" s="172"/>
      <c r="G77" s="172">
        <f t="shared" si="15"/>
        <v>291666.66666666669</v>
      </c>
      <c r="H77" s="172">
        <f t="shared" si="8"/>
        <v>-15533602.150537638</v>
      </c>
      <c r="I77" s="173">
        <f t="shared" si="13"/>
        <v>37611327.519280024</v>
      </c>
      <c r="J77" s="171"/>
      <c r="K77" s="171">
        <f t="shared" si="16"/>
        <v>289870.0194095308</v>
      </c>
      <c r="L77" s="172">
        <f t="shared" si="17"/>
        <v>53144929.669817664</v>
      </c>
    </row>
    <row r="78" spans="1:12">
      <c r="A78" s="164">
        <v>67</v>
      </c>
      <c r="B78" s="170">
        <v>45108</v>
      </c>
      <c r="C78" s="171"/>
      <c r="D78" s="171">
        <f t="shared" si="14"/>
        <v>1152868.145</v>
      </c>
      <c r="E78" s="172">
        <f t="shared" ref="E78:E131" si="18">C78-D78</f>
        <v>-1152868.145</v>
      </c>
      <c r="F78" s="172"/>
      <c r="G78" s="172">
        <f t="shared" si="15"/>
        <v>291666.66666666669</v>
      </c>
      <c r="H78" s="172">
        <f t="shared" si="8"/>
        <v>-15241935.483870972</v>
      </c>
      <c r="I78" s="173">
        <f t="shared" si="13"/>
        <v>37035658.702363893</v>
      </c>
      <c r="J78" s="171"/>
      <c r="K78" s="171">
        <f t="shared" si="16"/>
        <v>285532.66141720087</v>
      </c>
      <c r="L78" s="172">
        <f t="shared" si="17"/>
        <v>52277594.186234862</v>
      </c>
    </row>
    <row r="79" spans="1:12">
      <c r="A79" s="164">
        <v>68</v>
      </c>
      <c r="B79" s="170">
        <v>45139</v>
      </c>
      <c r="C79" s="171"/>
      <c r="D79" s="171">
        <f t="shared" si="14"/>
        <v>1152868.145</v>
      </c>
      <c r="E79" s="172">
        <f t="shared" si="18"/>
        <v>-1152868.145</v>
      </c>
      <c r="F79" s="172"/>
      <c r="G79" s="172">
        <f t="shared" si="15"/>
        <v>291666.66666666669</v>
      </c>
      <c r="H79" s="172">
        <f t="shared" si="8"/>
        <v>-14950268.817204306</v>
      </c>
      <c r="I79" s="173">
        <f t="shared" si="13"/>
        <v>36455619.599679336</v>
      </c>
      <c r="J79" s="171"/>
      <c r="K79" s="171">
        <f t="shared" si="16"/>
        <v>281162.37564877921</v>
      </c>
      <c r="L79" s="172">
        <f t="shared" si="17"/>
        <v>51405888.41688364</v>
      </c>
    </row>
    <row r="80" spans="1:12" ht="14.45" customHeight="1" outlineLevel="1">
      <c r="A80" s="164">
        <v>69</v>
      </c>
      <c r="B80" s="170">
        <v>45170</v>
      </c>
      <c r="C80" s="171"/>
      <c r="D80" s="171">
        <f t="shared" si="14"/>
        <v>1152868.145</v>
      </c>
      <c r="E80" s="172">
        <f t="shared" si="18"/>
        <v>-1152868.145</v>
      </c>
      <c r="F80" s="172"/>
      <c r="G80" s="172">
        <f t="shared" si="15"/>
        <v>291666.66666666669</v>
      </c>
      <c r="H80" s="172">
        <f t="shared" si="8"/>
        <v>-14658602.15053764</v>
      </c>
      <c r="I80" s="173">
        <f t="shared" si="13"/>
        <v>35871177.033473566</v>
      </c>
      <c r="J80" s="171"/>
      <c r="K80" s="171">
        <f t="shared" si="16"/>
        <v>276758.91212756565</v>
      </c>
      <c r="L80" s="172">
        <f t="shared" si="17"/>
        <v>50529779.184011206</v>
      </c>
    </row>
    <row r="81" spans="1:12" ht="14.45" customHeight="1" outlineLevel="1">
      <c r="A81" s="164">
        <v>70</v>
      </c>
      <c r="B81" s="170">
        <v>45200</v>
      </c>
      <c r="C81" s="171"/>
      <c r="D81" s="171">
        <f t="shared" si="14"/>
        <v>1152868.145</v>
      </c>
      <c r="E81" s="172">
        <f t="shared" si="18"/>
        <v>-1152868.145</v>
      </c>
      <c r="F81" s="172"/>
      <c r="G81" s="172">
        <f t="shared" si="15"/>
        <v>291666.66666666669</v>
      </c>
      <c r="H81" s="172">
        <f t="shared" si="8"/>
        <v>-14366935.483870974</v>
      </c>
      <c r="I81" s="173">
        <f t="shared" si="13"/>
        <v>35282297.574119344</v>
      </c>
      <c r="J81" s="171"/>
      <c r="K81" s="171">
        <f t="shared" si="16"/>
        <v>272322.01897912018</v>
      </c>
      <c r="L81" s="172">
        <f t="shared" si="17"/>
        <v>49649233.05799032</v>
      </c>
    </row>
    <row r="82" spans="1:12" ht="14.45" customHeight="1" outlineLevel="1">
      <c r="A82" s="164">
        <v>71</v>
      </c>
      <c r="B82" s="170">
        <v>45231</v>
      </c>
      <c r="C82" s="171"/>
      <c r="D82" s="171">
        <f t="shared" si="14"/>
        <v>1152868.145</v>
      </c>
      <c r="E82" s="172">
        <f t="shared" si="18"/>
        <v>-1152868.145</v>
      </c>
      <c r="F82" s="172"/>
      <c r="G82" s="172">
        <f t="shared" si="15"/>
        <v>291666.66666666669</v>
      </c>
      <c r="H82" s="172">
        <f t="shared" si="8"/>
        <v>-14075268.817204308</v>
      </c>
      <c r="I82" s="173">
        <f t="shared" si="13"/>
        <v>34688947.538202867</v>
      </c>
      <c r="J82" s="171"/>
      <c r="K82" s="171">
        <f t="shared" si="16"/>
        <v>267851.44241685601</v>
      </c>
      <c r="L82" s="172">
        <f t="shared" si="17"/>
        <v>48764216.355407171</v>
      </c>
    </row>
    <row r="83" spans="1:12" ht="14.45" customHeight="1" outlineLevel="1">
      <c r="A83" s="164">
        <v>72</v>
      </c>
      <c r="B83" s="170">
        <v>45261</v>
      </c>
      <c r="C83" s="171"/>
      <c r="D83" s="171">
        <f t="shared" si="14"/>
        <v>1152868.145</v>
      </c>
      <c r="E83" s="172">
        <f t="shared" si="18"/>
        <v>-1152868.145</v>
      </c>
      <c r="F83" s="172"/>
      <c r="G83" s="172">
        <f t="shared" si="15"/>
        <v>291666.66666666669</v>
      </c>
      <c r="H83" s="172">
        <f t="shared" si="8"/>
        <v>-13783602.150537642</v>
      </c>
      <c r="I83" s="173">
        <f t="shared" si="13"/>
        <v>34091092.986597054</v>
      </c>
      <c r="J83" s="171"/>
      <c r="K83" s="171">
        <f t="shared" si="16"/>
        <v>263346.92672752345</v>
      </c>
      <c r="L83" s="172">
        <f t="shared" si="17"/>
        <v>47874695.137134694</v>
      </c>
    </row>
    <row r="84" spans="1:12" ht="14.45" customHeight="1" outlineLevel="1">
      <c r="A84" s="164">
        <v>73</v>
      </c>
      <c r="B84" s="170">
        <v>45292</v>
      </c>
      <c r="C84" s="171"/>
      <c r="D84" s="171">
        <f t="shared" si="14"/>
        <v>1152868.145</v>
      </c>
      <c r="E84" s="172">
        <f t="shared" si="18"/>
        <v>-1152868.145</v>
      </c>
      <c r="F84" s="172"/>
      <c r="G84" s="172">
        <f t="shared" si="15"/>
        <v>291666.66666666669</v>
      </c>
      <c r="H84" s="172">
        <f t="shared" si="8"/>
        <v>-13491935.483870976</v>
      </c>
      <c r="I84" s="173">
        <f t="shared" si="13"/>
        <v>33488699.722520299</v>
      </c>
      <c r="J84" s="171"/>
      <c r="K84" s="171">
        <f t="shared" si="16"/>
        <v>258808.21425658264</v>
      </c>
      <c r="L84" s="172">
        <f t="shared" si="17"/>
        <v>46980635.206391275</v>
      </c>
    </row>
    <row r="85" spans="1:12" ht="14.45" customHeight="1" outlineLevel="1">
      <c r="A85" s="164">
        <v>74</v>
      </c>
      <c r="B85" s="170">
        <v>45323</v>
      </c>
      <c r="C85" s="171"/>
      <c r="D85" s="171">
        <f t="shared" si="14"/>
        <v>1152868.145</v>
      </c>
      <c r="E85" s="172">
        <f t="shared" si="18"/>
        <v>-1152868.145</v>
      </c>
      <c r="F85" s="172"/>
      <c r="G85" s="172">
        <f t="shared" si="15"/>
        <v>291666.66666666669</v>
      </c>
      <c r="H85" s="172">
        <f t="shared" si="8"/>
        <v>-13200268.81720431</v>
      </c>
      <c r="I85" s="173">
        <f t="shared" si="13"/>
        <v>32881733.289580427</v>
      </c>
      <c r="J85" s="171"/>
      <c r="K85" s="171">
        <f t="shared" si="16"/>
        <v>254235.0453934666</v>
      </c>
      <c r="L85" s="172">
        <f t="shared" si="17"/>
        <v>46082002.106784739</v>
      </c>
    </row>
    <row r="86" spans="1:12" ht="14.45" customHeight="1" outlineLevel="1">
      <c r="A86" s="164">
        <v>75</v>
      </c>
      <c r="B86" s="170">
        <v>45352</v>
      </c>
      <c r="C86" s="171"/>
      <c r="D86" s="171">
        <f t="shared" si="14"/>
        <v>1152868.145</v>
      </c>
      <c r="E86" s="172">
        <f t="shared" si="18"/>
        <v>-1152868.145</v>
      </c>
      <c r="F86" s="172"/>
      <c r="G86" s="172">
        <f t="shared" si="15"/>
        <v>291666.66666666669</v>
      </c>
      <c r="H86" s="172">
        <f t="shared" si="8"/>
        <v>-12908602.150537644</v>
      </c>
      <c r="I86" s="173">
        <f t="shared" si="13"/>
        <v>32270158.969803821</v>
      </c>
      <c r="J86" s="171"/>
      <c r="K86" s="171">
        <f t="shared" si="16"/>
        <v>249627.15855673142</v>
      </c>
      <c r="L86" s="172">
        <f t="shared" si="17"/>
        <v>45178761.120341465</v>
      </c>
    </row>
    <row r="87" spans="1:12" ht="14.45" customHeight="1" outlineLevel="1">
      <c r="A87" s="164">
        <v>76</v>
      </c>
      <c r="B87" s="170">
        <v>45383</v>
      </c>
      <c r="C87" s="171"/>
      <c r="D87" s="171">
        <f t="shared" si="14"/>
        <v>1152868.145</v>
      </c>
      <c r="E87" s="172">
        <f t="shared" si="18"/>
        <v>-1152868.145</v>
      </c>
      <c r="F87" s="172"/>
      <c r="G87" s="172">
        <f t="shared" si="15"/>
        <v>291666.66666666669</v>
      </c>
      <c r="H87" s="172">
        <f t="shared" ref="H87:H131" si="19">G87+H86</f>
        <v>-12616935.483870978</v>
      </c>
      <c r="I87" s="173">
        <f t="shared" si="13"/>
        <v>31653941.781649582</v>
      </c>
      <c r="J87" s="171"/>
      <c r="K87" s="171">
        <f t="shared" si="16"/>
        <v>244984.29017909401</v>
      </c>
      <c r="L87" s="172">
        <f t="shared" si="17"/>
        <v>44270877.265520558</v>
      </c>
    </row>
    <row r="88" spans="1:12" ht="14.45" customHeight="1" outlineLevel="1">
      <c r="A88" s="164">
        <v>77</v>
      </c>
      <c r="B88" s="170">
        <v>45413</v>
      </c>
      <c r="C88" s="171"/>
      <c r="D88" s="171">
        <f t="shared" si="14"/>
        <v>1152868.145</v>
      </c>
      <c r="E88" s="172">
        <f t="shared" si="18"/>
        <v>-1152868.145</v>
      </c>
      <c r="F88" s="172"/>
      <c r="G88" s="172">
        <f t="shared" si="15"/>
        <v>291666.66666666669</v>
      </c>
      <c r="H88" s="172">
        <f t="shared" si="19"/>
        <v>-12325268.817204311</v>
      </c>
      <c r="I88" s="173">
        <f t="shared" si="13"/>
        <v>31033046.478008598</v>
      </c>
      <c r="J88" s="171"/>
      <c r="K88" s="171">
        <f t="shared" si="16"/>
        <v>240306.17469235641</v>
      </c>
      <c r="L88" s="172">
        <f t="shared" si="17"/>
        <v>43358315.29521291</v>
      </c>
    </row>
    <row r="89" spans="1:12" ht="14.45" customHeight="1" outlineLevel="1">
      <c r="A89" s="164">
        <v>78</v>
      </c>
      <c r="B89" s="170">
        <v>45444</v>
      </c>
      <c r="C89" s="171"/>
      <c r="D89" s="171">
        <f t="shared" si="14"/>
        <v>1152868.145</v>
      </c>
      <c r="E89" s="172">
        <f t="shared" si="18"/>
        <v>-1152868.145</v>
      </c>
      <c r="F89" s="172"/>
      <c r="G89" s="172">
        <f t="shared" si="15"/>
        <v>291666.66666666669</v>
      </c>
      <c r="H89" s="172">
        <f t="shared" si="19"/>
        <v>-12033602.150537645</v>
      </c>
      <c r="I89" s="173">
        <f t="shared" si="13"/>
        <v>30407437.544187471</v>
      </c>
      <c r="J89" s="171"/>
      <c r="K89" s="171">
        <f t="shared" si="16"/>
        <v>235592.54451221527</v>
      </c>
      <c r="L89" s="172">
        <f t="shared" si="17"/>
        <v>42441039.694725119</v>
      </c>
    </row>
    <row r="90" spans="1:12" ht="14.45" customHeight="1" outlineLevel="1">
      <c r="A90" s="164">
        <v>79</v>
      </c>
      <c r="B90" s="170">
        <v>45474</v>
      </c>
      <c r="C90" s="171"/>
      <c r="D90" s="171">
        <f t="shared" si="14"/>
        <v>1152868.145</v>
      </c>
      <c r="E90" s="172">
        <f t="shared" si="18"/>
        <v>-1152868.145</v>
      </c>
      <c r="F90" s="172"/>
      <c r="G90" s="172">
        <f t="shared" si="15"/>
        <v>291666.66666666669</v>
      </c>
      <c r="H90" s="172">
        <f t="shared" si="19"/>
        <v>-11741935.483870979</v>
      </c>
      <c r="I90" s="173">
        <f t="shared" si="13"/>
        <v>29777079.195877094</v>
      </c>
      <c r="J90" s="171"/>
      <c r="K90" s="171">
        <f t="shared" si="16"/>
        <v>230843.13002295655</v>
      </c>
      <c r="L90" s="172">
        <f t="shared" si="17"/>
        <v>41519014.679748073</v>
      </c>
    </row>
    <row r="91" spans="1:12" ht="14.45" customHeight="1" outlineLevel="1">
      <c r="A91" s="164">
        <v>80</v>
      </c>
      <c r="B91" s="170">
        <v>45505</v>
      </c>
      <c r="C91" s="171"/>
      <c r="D91" s="171">
        <f t="shared" si="14"/>
        <v>1152868.145</v>
      </c>
      <c r="E91" s="172">
        <f t="shared" si="18"/>
        <v>-1152868.145</v>
      </c>
      <c r="F91" s="172"/>
      <c r="G91" s="172">
        <f t="shared" si="15"/>
        <v>291666.66666666669</v>
      </c>
      <c r="H91" s="172">
        <f t="shared" si="19"/>
        <v>-11450268.817204313</v>
      </c>
      <c r="I91" s="173">
        <f t="shared" si="13"/>
        <v>29141935.377105795</v>
      </c>
      <c r="J91" s="171"/>
      <c r="K91" s="171">
        <f t="shared" si="16"/>
        <v>226057.6595620336</v>
      </c>
      <c r="L91" s="172">
        <f t="shared" si="17"/>
        <v>40592204.194310106</v>
      </c>
    </row>
    <row r="92" spans="1:12" ht="14.45" customHeight="1" outlineLevel="1">
      <c r="A92" s="164">
        <v>81</v>
      </c>
      <c r="B92" s="170">
        <v>45536</v>
      </c>
      <c r="C92" s="171"/>
      <c r="D92" s="171">
        <f t="shared" si="14"/>
        <v>1152868.145</v>
      </c>
      <c r="E92" s="172">
        <f t="shared" si="18"/>
        <v>-1152868.145</v>
      </c>
      <c r="F92" s="172"/>
      <c r="G92" s="172">
        <f t="shared" si="15"/>
        <v>291666.66666666669</v>
      </c>
      <c r="H92" s="172">
        <f t="shared" si="19"/>
        <v>-11158602.150537647</v>
      </c>
      <c r="I92" s="173">
        <f t="shared" si="13"/>
        <v>28501969.758176982</v>
      </c>
      <c r="J92" s="171"/>
      <c r="K92" s="171">
        <f t="shared" si="16"/>
        <v>221235.85940452816</v>
      </c>
      <c r="L92" s="172">
        <f t="shared" si="17"/>
        <v>39660571.90871463</v>
      </c>
    </row>
    <row r="93" spans="1:12" ht="14.45" customHeight="1" outlineLevel="1">
      <c r="A93" s="164">
        <v>82</v>
      </c>
      <c r="B93" s="170">
        <v>45566</v>
      </c>
      <c r="C93" s="171"/>
      <c r="D93" s="171">
        <f t="shared" si="14"/>
        <v>1152868.145</v>
      </c>
      <c r="E93" s="172">
        <f t="shared" si="18"/>
        <v>-1152868.145</v>
      </c>
      <c r="F93" s="172"/>
      <c r="G93" s="172">
        <f t="shared" si="15"/>
        <v>291666.66666666669</v>
      </c>
      <c r="H93" s="172">
        <f t="shared" si="19"/>
        <v>-10866935.483870981</v>
      </c>
      <c r="I93" s="173">
        <f t="shared" si="13"/>
        <v>27857145.733591139</v>
      </c>
      <c r="J93" s="171"/>
      <c r="K93" s="171">
        <f t="shared" si="16"/>
        <v>216377.45374749359</v>
      </c>
      <c r="L93" s="172">
        <f t="shared" si="17"/>
        <v>38724081.217462122</v>
      </c>
    </row>
    <row r="94" spans="1:12" ht="14.45" customHeight="1" outlineLevel="1">
      <c r="A94" s="164">
        <v>83</v>
      </c>
      <c r="B94" s="170">
        <v>45597</v>
      </c>
      <c r="C94" s="171"/>
      <c r="D94" s="171">
        <f t="shared" si="14"/>
        <v>1152868.145</v>
      </c>
      <c r="E94" s="172">
        <f t="shared" si="18"/>
        <v>-1152868.145</v>
      </c>
      <c r="F94" s="172"/>
      <c r="G94" s="172">
        <f t="shared" si="15"/>
        <v>291666.66666666669</v>
      </c>
      <c r="H94" s="172">
        <f t="shared" si="19"/>
        <v>-10575268.817204315</v>
      </c>
      <c r="I94" s="173">
        <f t="shared" si="13"/>
        <v>27207426.419951987</v>
      </c>
      <c r="J94" s="171"/>
      <c r="K94" s="171">
        <f t="shared" si="16"/>
        <v>211482.1646941794</v>
      </c>
      <c r="L94" s="172">
        <f t="shared" si="17"/>
        <v>37782695.237156302</v>
      </c>
    </row>
    <row r="95" spans="1:12" ht="14.45" customHeight="1" outlineLevel="1">
      <c r="A95" s="164">
        <v>84</v>
      </c>
      <c r="B95" s="170">
        <v>45627</v>
      </c>
      <c r="C95" s="171"/>
      <c r="D95" s="171">
        <f t="shared" si="14"/>
        <v>1152868.145</v>
      </c>
      <c r="E95" s="172">
        <f t="shared" si="18"/>
        <v>-1152868.145</v>
      </c>
      <c r="F95" s="172"/>
      <c r="G95" s="172">
        <f t="shared" si="15"/>
        <v>291666.66666666669</v>
      </c>
      <c r="H95" s="172">
        <f t="shared" si="19"/>
        <v>-10283602.150537649</v>
      </c>
      <c r="I95" s="173">
        <f t="shared" si="13"/>
        <v>26552774.653856784</v>
      </c>
      <c r="J95" s="171"/>
      <c r="K95" s="171">
        <f t="shared" si="16"/>
        <v>206549.71223813549</v>
      </c>
      <c r="L95" s="172">
        <f t="shared" si="17"/>
        <v>36836376.804394431</v>
      </c>
    </row>
    <row r="96" spans="1:12" ht="14.45" customHeight="1" outlineLevel="1">
      <c r="A96" s="164">
        <v>85</v>
      </c>
      <c r="B96" s="170">
        <v>45658</v>
      </c>
      <c r="C96" s="171"/>
      <c r="D96" s="171">
        <f t="shared" si="14"/>
        <v>1152868.145</v>
      </c>
      <c r="E96" s="172">
        <f t="shared" si="18"/>
        <v>-1152868.145</v>
      </c>
      <c r="F96" s="172"/>
      <c r="G96" s="172">
        <f t="shared" si="15"/>
        <v>291666.66666666669</v>
      </c>
      <c r="H96" s="172">
        <f t="shared" si="19"/>
        <v>-9991935.4838709831</v>
      </c>
      <c r="I96" s="173">
        <f t="shared" si="13"/>
        <v>25893152.989770643</v>
      </c>
      <c r="J96" s="171"/>
      <c r="K96" s="171">
        <f t="shared" si="16"/>
        <v>201579.81424719607</v>
      </c>
      <c r="L96" s="172">
        <f t="shared" si="17"/>
        <v>35885088.473641627</v>
      </c>
    </row>
    <row r="97" spans="1:12" ht="14.45" customHeight="1" outlineLevel="1">
      <c r="A97" s="164">
        <v>86</v>
      </c>
      <c r="B97" s="170">
        <v>45689</v>
      </c>
      <c r="C97" s="171"/>
      <c r="D97" s="171">
        <f t="shared" si="14"/>
        <v>1152868.145</v>
      </c>
      <c r="E97" s="172">
        <f t="shared" si="18"/>
        <v>-1152868.145</v>
      </c>
      <c r="F97" s="172"/>
      <c r="G97" s="172">
        <f t="shared" si="15"/>
        <v>291666.66666666669</v>
      </c>
      <c r="H97" s="172">
        <f t="shared" si="19"/>
        <v>-9700268.8172043171</v>
      </c>
      <c r="I97" s="173">
        <f t="shared" si="13"/>
        <v>25228523.697884649</v>
      </c>
      <c r="J97" s="171"/>
      <c r="K97" s="171">
        <f t="shared" si="16"/>
        <v>196572.18644734213</v>
      </c>
      <c r="L97" s="172">
        <f t="shared" si="17"/>
        <v>34928792.515088968</v>
      </c>
    </row>
    <row r="98" spans="1:12" ht="14.45" customHeight="1" outlineLevel="1">
      <c r="A98" s="164">
        <v>87</v>
      </c>
      <c r="B98" s="170">
        <v>45717</v>
      </c>
      <c r="C98" s="171"/>
      <c r="D98" s="171">
        <f t="shared" si="14"/>
        <v>1152868.145</v>
      </c>
      <c r="E98" s="172">
        <f t="shared" si="18"/>
        <v>-1152868.145</v>
      </c>
      <c r="F98" s="172"/>
      <c r="G98" s="172">
        <f t="shared" si="15"/>
        <v>291666.66666666669</v>
      </c>
      <c r="H98" s="172">
        <f t="shared" si="19"/>
        <v>-9408602.150537651</v>
      </c>
      <c r="I98" s="173">
        <f t="shared" si="13"/>
        <v>24558848.761957753</v>
      </c>
      <c r="J98" s="171"/>
      <c r="K98" s="171">
        <f t="shared" si="16"/>
        <v>191526.54240644097</v>
      </c>
      <c r="L98" s="172">
        <f t="shared" si="17"/>
        <v>33967450.912495404</v>
      </c>
    </row>
    <row r="99" spans="1:12" ht="14.45" customHeight="1" outlineLevel="1">
      <c r="A99" s="164">
        <v>88</v>
      </c>
      <c r="B99" s="170">
        <v>45748</v>
      </c>
      <c r="C99" s="171"/>
      <c r="D99" s="171">
        <f t="shared" si="14"/>
        <v>1152868.145</v>
      </c>
      <c r="E99" s="172">
        <f t="shared" si="18"/>
        <v>-1152868.145</v>
      </c>
      <c r="F99" s="172"/>
      <c r="G99" s="172">
        <f t="shared" si="15"/>
        <v>291666.66666666669</v>
      </c>
      <c r="H99" s="172">
        <f t="shared" si="19"/>
        <v>-9116935.483870985</v>
      </c>
      <c r="I99" s="173">
        <f t="shared" si="13"/>
        <v>23884089.87714228</v>
      </c>
      <c r="J99" s="171"/>
      <c r="K99" s="171">
        <f t="shared" si="16"/>
        <v>186442.59351786261</v>
      </c>
      <c r="L99" s="172">
        <f t="shared" si="17"/>
        <v>33001025.361013267</v>
      </c>
    </row>
    <row r="100" spans="1:12" ht="14.45" customHeight="1" outlineLevel="1">
      <c r="A100" s="164">
        <v>89</v>
      </c>
      <c r="B100" s="170">
        <v>45778</v>
      </c>
      <c r="C100" s="171"/>
      <c r="D100" s="171">
        <f t="shared" si="14"/>
        <v>1152868.145</v>
      </c>
      <c r="E100" s="172">
        <f t="shared" si="18"/>
        <v>-1152868.145</v>
      </c>
      <c r="F100" s="172"/>
      <c r="G100" s="172">
        <f t="shared" si="15"/>
        <v>291666.66666666669</v>
      </c>
      <c r="H100" s="172">
        <f t="shared" si="19"/>
        <v>-8825268.8172043189</v>
      </c>
      <c r="I100" s="173">
        <f t="shared" si="13"/>
        <v>23204208.447792921</v>
      </c>
      <c r="J100" s="171"/>
      <c r="K100" s="171">
        <f t="shared" si="16"/>
        <v>181320.04898397182</v>
      </c>
      <c r="L100" s="172">
        <f t="shared" si="17"/>
        <v>32029477.26499724</v>
      </c>
    </row>
    <row r="101" spans="1:12" ht="14.45" customHeight="1" outlineLevel="1">
      <c r="A101" s="164">
        <v>90</v>
      </c>
      <c r="B101" s="170">
        <v>45809</v>
      </c>
      <c r="C101" s="171"/>
      <c r="D101" s="171">
        <f t="shared" si="14"/>
        <v>1152868.145</v>
      </c>
      <c r="E101" s="172">
        <f t="shared" si="18"/>
        <v>-1152868.145</v>
      </c>
      <c r="F101" s="172"/>
      <c r="G101" s="172">
        <f t="shared" si="15"/>
        <v>291666.66666666669</v>
      </c>
      <c r="H101" s="172">
        <f t="shared" si="19"/>
        <v>-8533602.1505376529</v>
      </c>
      <c r="I101" s="173">
        <f t="shared" si="13"/>
        <v>22519165.58525908</v>
      </c>
      <c r="J101" s="171"/>
      <c r="K101" s="171">
        <f t="shared" si="16"/>
        <v>176158.61579949458</v>
      </c>
      <c r="L101" s="172">
        <f t="shared" si="17"/>
        <v>31052767.735796735</v>
      </c>
    </row>
    <row r="102" spans="1:12" ht="14.45" customHeight="1" outlineLevel="1">
      <c r="A102" s="164">
        <v>91</v>
      </c>
      <c r="B102" s="170">
        <v>45839</v>
      </c>
      <c r="C102" s="171"/>
      <c r="D102" s="171">
        <f t="shared" si="14"/>
        <v>1152868.145</v>
      </c>
      <c r="E102" s="172">
        <f t="shared" si="18"/>
        <v>-1152868.145</v>
      </c>
      <c r="F102" s="172"/>
      <c r="G102" s="172">
        <f t="shared" si="15"/>
        <v>291666.66666666669</v>
      </c>
      <c r="H102" s="172">
        <f t="shared" si="19"/>
        <v>-8241935.4838709859</v>
      </c>
      <c r="I102" s="173">
        <f t="shared" si="13"/>
        <v>21828922.105660506</v>
      </c>
      <c r="J102" s="171"/>
      <c r="K102" s="171">
        <f t="shared" si="16"/>
        <v>170957.99873475853</v>
      </c>
      <c r="L102" s="172">
        <f t="shared" si="17"/>
        <v>30070857.589531492</v>
      </c>
    </row>
    <row r="103" spans="1:12" ht="14.45" customHeight="1" outlineLevel="1">
      <c r="A103" s="164">
        <v>92</v>
      </c>
      <c r="B103" s="170">
        <v>45870</v>
      </c>
      <c r="C103" s="171"/>
      <c r="D103" s="171">
        <f t="shared" si="14"/>
        <v>1152868.145</v>
      </c>
      <c r="E103" s="172">
        <f t="shared" si="18"/>
        <v>-1152868.145</v>
      </c>
      <c r="F103" s="172"/>
      <c r="G103" s="172">
        <f t="shared" si="15"/>
        <v>291666.66666666669</v>
      </c>
      <c r="H103" s="172">
        <f t="shared" si="19"/>
        <v>-7950268.8172043189</v>
      </c>
      <c r="I103" s="173">
        <f t="shared" si="13"/>
        <v>21133438.527645979</v>
      </c>
      <c r="J103" s="171"/>
      <c r="K103" s="171">
        <f t="shared" si="16"/>
        <v>165717.900318806</v>
      </c>
      <c r="L103" s="172">
        <f t="shared" si="17"/>
        <v>29083707.344850298</v>
      </c>
    </row>
    <row r="104" spans="1:12" ht="14.45" customHeight="1" outlineLevel="1">
      <c r="A104" s="164">
        <v>93</v>
      </c>
      <c r="B104" s="170">
        <v>45901</v>
      </c>
      <c r="C104" s="171"/>
      <c r="D104" s="171">
        <f t="shared" si="14"/>
        <v>1152868.145</v>
      </c>
      <c r="E104" s="172">
        <f t="shared" si="18"/>
        <v>-1152868.145</v>
      </c>
      <c r="F104" s="172"/>
      <c r="G104" s="172">
        <f t="shared" si="15"/>
        <v>291666.66666666669</v>
      </c>
      <c r="H104" s="172">
        <f t="shared" si="19"/>
        <v>-7658602.150537652</v>
      </c>
      <c r="I104" s="173">
        <f t="shared" si="13"/>
        <v>20432675.070135027</v>
      </c>
      <c r="J104" s="171"/>
      <c r="K104" s="171">
        <f t="shared" si="16"/>
        <v>160438.02082237907</v>
      </c>
      <c r="L104" s="172">
        <f t="shared" si="17"/>
        <v>28091277.220672678</v>
      </c>
    </row>
    <row r="105" spans="1:12" ht="14.45" customHeight="1" outlineLevel="1">
      <c r="A105" s="164">
        <v>94</v>
      </c>
      <c r="B105" s="170">
        <v>45931</v>
      </c>
      <c r="C105" s="171"/>
      <c r="D105" s="171">
        <f t="shared" si="14"/>
        <v>1152868.145</v>
      </c>
      <c r="E105" s="172">
        <f t="shared" si="18"/>
        <v>-1152868.145</v>
      </c>
      <c r="F105" s="172"/>
      <c r="G105" s="172">
        <f t="shared" si="15"/>
        <v>291666.66666666669</v>
      </c>
      <c r="H105" s="172">
        <f t="shared" si="19"/>
        <v>-7366935.483870985</v>
      </c>
      <c r="I105" s="173">
        <f t="shared" si="13"/>
        <v>19726591.650042467</v>
      </c>
      <c r="J105" s="171"/>
      <c r="K105" s="171">
        <f t="shared" si="16"/>
        <v>155118.05824077508</v>
      </c>
      <c r="L105" s="172">
        <f t="shared" si="17"/>
        <v>27093527.133913454</v>
      </c>
    </row>
    <row r="106" spans="1:12" ht="14.45" customHeight="1" outlineLevel="1">
      <c r="A106" s="164">
        <v>95</v>
      </c>
      <c r="B106" s="170">
        <v>45962</v>
      </c>
      <c r="C106" s="171"/>
      <c r="D106" s="171">
        <f t="shared" si="14"/>
        <v>1152868.145</v>
      </c>
      <c r="E106" s="172">
        <f t="shared" si="18"/>
        <v>-1152868.145</v>
      </c>
      <c r="F106" s="172"/>
      <c r="G106" s="172">
        <f t="shared" si="15"/>
        <v>291666.66666666669</v>
      </c>
      <c r="H106" s="172">
        <f t="shared" si="19"/>
        <v>-7075268.817204318</v>
      </c>
      <c r="I106" s="173">
        <f t="shared" si="13"/>
        <v>19015147.879985709</v>
      </c>
      <c r="J106" s="171"/>
      <c r="K106" s="171">
        <f t="shared" si="16"/>
        <v>149757.7082765724</v>
      </c>
      <c r="L106" s="172">
        <f t="shared" si="17"/>
        <v>26090416.697190028</v>
      </c>
    </row>
    <row r="107" spans="1:12" ht="14.45" customHeight="1" outlineLevel="1">
      <c r="A107" s="164">
        <v>96</v>
      </c>
      <c r="B107" s="170">
        <v>45992</v>
      </c>
      <c r="C107" s="171"/>
      <c r="D107" s="171">
        <f t="shared" si="14"/>
        <v>1152868.145</v>
      </c>
      <c r="E107" s="172">
        <f t="shared" si="18"/>
        <v>-1152868.145</v>
      </c>
      <c r="F107" s="172"/>
      <c r="G107" s="172">
        <f t="shared" si="15"/>
        <v>291666.66666666669</v>
      </c>
      <c r="H107" s="172">
        <f t="shared" si="19"/>
        <v>-6783602.150537651</v>
      </c>
      <c r="I107" s="173">
        <f t="shared" si="13"/>
        <v>18298303.065974601</v>
      </c>
      <c r="J107" s="171"/>
      <c r="K107" s="171">
        <f t="shared" si="16"/>
        <v>144356.66432222485</v>
      </c>
      <c r="L107" s="172">
        <f t="shared" si="17"/>
        <v>25081905.216512252</v>
      </c>
    </row>
    <row r="108" spans="1:12" ht="14.45" customHeight="1" outlineLevel="1">
      <c r="A108" s="164">
        <v>97</v>
      </c>
      <c r="B108" s="170">
        <v>46023</v>
      </c>
      <c r="C108" s="171"/>
      <c r="D108" s="171">
        <f t="shared" si="14"/>
        <v>1152868.145</v>
      </c>
      <c r="E108" s="172">
        <f t="shared" si="18"/>
        <v>-1152868.145</v>
      </c>
      <c r="F108" s="172"/>
      <c r="G108" s="172">
        <f t="shared" si="15"/>
        <v>291666.66666666669</v>
      </c>
      <c r="H108" s="172">
        <f t="shared" si="19"/>
        <v>-6491935.4838709841</v>
      </c>
      <c r="I108" s="173">
        <f t="shared" si="13"/>
        <v>17576016.205083791</v>
      </c>
      <c r="J108" s="171"/>
      <c r="K108" s="171">
        <f t="shared" si="16"/>
        <v>138914.61744252386</v>
      </c>
      <c r="L108" s="172">
        <f t="shared" si="17"/>
        <v>24067951.688954774</v>
      </c>
    </row>
    <row r="109" spans="1:12" ht="14.45" customHeight="1" outlineLevel="1">
      <c r="A109" s="164">
        <v>98</v>
      </c>
      <c r="B109" s="170">
        <v>46054</v>
      </c>
      <c r="C109" s="171"/>
      <c r="D109" s="171">
        <f t="shared" si="14"/>
        <v>1152868.145</v>
      </c>
      <c r="E109" s="172">
        <f t="shared" si="18"/>
        <v>-1152868.145</v>
      </c>
      <c r="F109" s="172"/>
      <c r="G109" s="172">
        <f t="shared" si="15"/>
        <v>291666.66666666669</v>
      </c>
      <c r="H109" s="172">
        <f t="shared" si="19"/>
        <v>-6200268.8172043171</v>
      </c>
      <c r="I109" s="173">
        <f t="shared" si="13"/>
        <v>16848245.983107388</v>
      </c>
      <c r="J109" s="171"/>
      <c r="K109" s="171">
        <f t="shared" si="16"/>
        <v>133431.25635692777</v>
      </c>
      <c r="L109" s="172">
        <f t="shared" si="17"/>
        <v>23048514.800311703</v>
      </c>
    </row>
    <row r="110" spans="1:12" ht="14.45" customHeight="1" outlineLevel="1">
      <c r="A110" s="164">
        <v>99</v>
      </c>
      <c r="B110" s="170">
        <v>46082</v>
      </c>
      <c r="C110" s="171"/>
      <c r="D110" s="171">
        <f t="shared" si="14"/>
        <v>1152868.145</v>
      </c>
      <c r="E110" s="172">
        <f t="shared" si="18"/>
        <v>-1152868.145</v>
      </c>
      <c r="F110" s="172"/>
      <c r="G110" s="172">
        <f t="shared" si="15"/>
        <v>291666.66666666669</v>
      </c>
      <c r="H110" s="172">
        <f t="shared" si="19"/>
        <v>-5908602.1505376501</v>
      </c>
      <c r="I110" s="173">
        <f t="shared" si="13"/>
        <v>16114950.772195809</v>
      </c>
      <c r="J110" s="171"/>
      <c r="K110" s="171">
        <f t="shared" si="16"/>
        <v>127906.26742175691</v>
      </c>
      <c r="L110" s="172">
        <f t="shared" si="17"/>
        <v>22023552.92273346</v>
      </c>
    </row>
    <row r="111" spans="1:12" ht="14.45" customHeight="1" outlineLevel="1">
      <c r="A111" s="164">
        <v>100</v>
      </c>
      <c r="B111" s="170">
        <v>46113</v>
      </c>
      <c r="C111" s="171"/>
      <c r="D111" s="171">
        <f t="shared" si="14"/>
        <v>1152868.145</v>
      </c>
      <c r="E111" s="172">
        <f t="shared" si="18"/>
        <v>-1152868.145</v>
      </c>
      <c r="F111" s="172"/>
      <c r="G111" s="172">
        <f t="shared" si="15"/>
        <v>291666.66666666669</v>
      </c>
      <c r="H111" s="172">
        <f t="shared" si="19"/>
        <v>-5616935.4838709831</v>
      </c>
      <c r="I111" s="173">
        <f t="shared" si="13"/>
        <v>15376088.628474731</v>
      </c>
      <c r="J111" s="171"/>
      <c r="K111" s="171">
        <f t="shared" si="16"/>
        <v>122339.33461225318</v>
      </c>
      <c r="L111" s="172">
        <f t="shared" si="17"/>
        <v>20993024.112345714</v>
      </c>
    </row>
    <row r="112" spans="1:12" ht="14.45" customHeight="1" outlineLevel="1">
      <c r="A112" s="164">
        <v>101</v>
      </c>
      <c r="B112" s="170">
        <v>46143</v>
      </c>
      <c r="C112" s="171"/>
      <c r="D112" s="171">
        <f t="shared" si="14"/>
        <v>1152868.145</v>
      </c>
      <c r="E112" s="172">
        <f t="shared" si="18"/>
        <v>-1152868.145</v>
      </c>
      <c r="F112" s="172"/>
      <c r="G112" s="172">
        <f t="shared" si="15"/>
        <v>291666.66666666669</v>
      </c>
      <c r="H112" s="172">
        <f t="shared" si="19"/>
        <v>-5325268.8172043161</v>
      </c>
      <c r="I112" s="173">
        <f t="shared" si="13"/>
        <v>14631617.289645903</v>
      </c>
      <c r="J112" s="171"/>
      <c r="K112" s="171">
        <f t="shared" si="16"/>
        <v>116730.139504504</v>
      </c>
      <c r="L112" s="172">
        <f t="shared" si="17"/>
        <v>19956886.106850218</v>
      </c>
    </row>
    <row r="113" spans="1:12" ht="14.45" customHeight="1" outlineLevel="1">
      <c r="A113" s="164">
        <v>102</v>
      </c>
      <c r="B113" s="170">
        <v>46174</v>
      </c>
      <c r="C113" s="171"/>
      <c r="D113" s="171">
        <f t="shared" si="14"/>
        <v>1152868.145</v>
      </c>
      <c r="E113" s="172">
        <f t="shared" si="18"/>
        <v>-1152868.145</v>
      </c>
      <c r="F113" s="172"/>
      <c r="G113" s="172">
        <f t="shared" si="15"/>
        <v>291666.66666666669</v>
      </c>
      <c r="H113" s="172">
        <f t="shared" si="19"/>
        <v>-5033602.1505376492</v>
      </c>
      <c r="I113" s="173">
        <f t="shared" si="13"/>
        <v>13881494.172569798</v>
      </c>
      <c r="J113" s="171"/>
      <c r="K113" s="171">
        <f t="shared" si="16"/>
        <v>111078.36125722848</v>
      </c>
      <c r="L113" s="172">
        <f t="shared" si="17"/>
        <v>18915096.323107447</v>
      </c>
    </row>
    <row r="114" spans="1:12" ht="14.45" customHeight="1" outlineLevel="1">
      <c r="A114" s="164">
        <v>103</v>
      </c>
      <c r="B114" s="170">
        <v>46204</v>
      </c>
      <c r="C114" s="171"/>
      <c r="D114" s="171">
        <f t="shared" si="14"/>
        <v>1152868.145</v>
      </c>
      <c r="E114" s="172">
        <f t="shared" si="18"/>
        <v>-1152868.145</v>
      </c>
      <c r="F114" s="172"/>
      <c r="G114" s="172">
        <f t="shared" si="15"/>
        <v>291666.66666666669</v>
      </c>
      <c r="H114" s="172">
        <f t="shared" si="19"/>
        <v>-4741935.4838709822</v>
      </c>
      <c r="I114" s="173">
        <f t="shared" si="13"/>
        <v>13125676.370829891</v>
      </c>
      <c r="J114" s="171"/>
      <c r="K114" s="171">
        <f t="shared" si="16"/>
        <v>105383.67659342571</v>
      </c>
      <c r="L114" s="172">
        <f t="shared" si="17"/>
        <v>17867611.854700875</v>
      </c>
    </row>
    <row r="115" spans="1:12" ht="14.45" customHeight="1" outlineLevel="1">
      <c r="A115" s="164">
        <v>104</v>
      </c>
      <c r="B115" s="170">
        <v>46235</v>
      </c>
      <c r="C115" s="171"/>
      <c r="D115" s="171">
        <f t="shared" si="14"/>
        <v>1152868.145</v>
      </c>
      <c r="E115" s="172">
        <f t="shared" si="18"/>
        <v>-1152868.145</v>
      </c>
      <c r="F115" s="172"/>
      <c r="G115" s="172">
        <f t="shared" si="15"/>
        <v>291666.66666666669</v>
      </c>
      <c r="H115" s="172">
        <f t="shared" si="19"/>
        <v>-4450268.8172043152</v>
      </c>
      <c r="I115" s="173">
        <f t="shared" si="13"/>
        <v>12364120.652278442</v>
      </c>
      <c r="J115" s="171"/>
      <c r="K115" s="171">
        <f t="shared" si="16"/>
        <v>99645.759781883593</v>
      </c>
      <c r="L115" s="172">
        <f t="shared" si="17"/>
        <v>16814389.469482757</v>
      </c>
    </row>
    <row r="116" spans="1:12" ht="14.45" customHeight="1" outlineLevel="1">
      <c r="A116" s="164">
        <v>105</v>
      </c>
      <c r="B116" s="170">
        <v>46266</v>
      </c>
      <c r="C116" s="171"/>
      <c r="D116" s="171">
        <f t="shared" si="14"/>
        <v>1152868.145</v>
      </c>
      <c r="E116" s="172">
        <f t="shared" si="18"/>
        <v>-1152868.145</v>
      </c>
      <c r="F116" s="172"/>
      <c r="G116" s="172">
        <f t="shared" si="15"/>
        <v>291666.66666666669</v>
      </c>
      <c r="H116" s="172">
        <f t="shared" si="19"/>
        <v>-4158602.1505376487</v>
      </c>
      <c r="I116" s="173">
        <f t="shared" si="13"/>
        <v>11596783.456563655</v>
      </c>
      <c r="J116" s="171"/>
      <c r="K116" s="171">
        <f t="shared" si="16"/>
        <v>93864.282618547179</v>
      </c>
      <c r="L116" s="172">
        <f t="shared" si="17"/>
        <v>15755385.607101304</v>
      </c>
    </row>
    <row r="117" spans="1:12" ht="14.45" customHeight="1" outlineLevel="1">
      <c r="A117" s="164">
        <v>106</v>
      </c>
      <c r="B117" s="170">
        <v>46296</v>
      </c>
      <c r="C117" s="171"/>
      <c r="D117" s="171">
        <f t="shared" si="14"/>
        <v>1152868.145</v>
      </c>
      <c r="E117" s="172">
        <f t="shared" si="18"/>
        <v>-1152868.145</v>
      </c>
      <c r="F117" s="172"/>
      <c r="G117" s="172">
        <f t="shared" si="15"/>
        <v>291666.66666666669</v>
      </c>
      <c r="H117" s="172">
        <f t="shared" si="19"/>
        <v>-3866935.4838709822</v>
      </c>
      <c r="I117" s="173">
        <f t="shared" si="13"/>
        <v>10823620.892638069</v>
      </c>
      <c r="J117" s="171"/>
      <c r="K117" s="171">
        <f t="shared" si="16"/>
        <v>88038.914407745746</v>
      </c>
      <c r="L117" s="172">
        <f t="shared" si="17"/>
        <v>14690556.37650905</v>
      </c>
    </row>
    <row r="118" spans="1:12" ht="14.45" customHeight="1" outlineLevel="1">
      <c r="A118" s="164">
        <v>107</v>
      </c>
      <c r="B118" s="170">
        <v>46327</v>
      </c>
      <c r="C118" s="171"/>
      <c r="D118" s="171">
        <f t="shared" si="14"/>
        <v>1152868.145</v>
      </c>
      <c r="E118" s="172">
        <f t="shared" si="18"/>
        <v>-1152868.145</v>
      </c>
      <c r="F118" s="172"/>
      <c r="G118" s="172">
        <f t="shared" si="15"/>
        <v>291666.66666666669</v>
      </c>
      <c r="H118" s="172">
        <f t="shared" si="19"/>
        <v>-3575268.8172043157</v>
      </c>
      <c r="I118" s="173">
        <f t="shared" si="13"/>
        <v>10044588.736248013</v>
      </c>
      <c r="J118" s="171"/>
      <c r="K118" s="171">
        <f t="shared" si="16"/>
        <v>82169.321943277333</v>
      </c>
      <c r="L118" s="172">
        <f t="shared" si="17"/>
        <v>13619857.553452328</v>
      </c>
    </row>
    <row r="119" spans="1:12" ht="14.45" customHeight="1" outlineLevel="1">
      <c r="A119" s="164">
        <v>108</v>
      </c>
      <c r="B119" s="170">
        <v>46357</v>
      </c>
      <c r="C119" s="171"/>
      <c r="D119" s="171">
        <f t="shared" si="14"/>
        <v>1152868.145</v>
      </c>
      <c r="E119" s="172">
        <f t="shared" si="18"/>
        <v>-1152868.145</v>
      </c>
      <c r="F119" s="172"/>
      <c r="G119" s="172">
        <f t="shared" si="15"/>
        <v>291666.66666666669</v>
      </c>
      <c r="H119" s="172">
        <f t="shared" si="19"/>
        <v>-3283602.1505376492</v>
      </c>
      <c r="I119" s="173">
        <f t="shared" si="13"/>
        <v>9259642.4274040293</v>
      </c>
      <c r="J119" s="171"/>
      <c r="K119" s="171">
        <f t="shared" si="16"/>
        <v>76255.169489349501</v>
      </c>
      <c r="L119" s="172">
        <f t="shared" si="17"/>
        <v>12543244.577941678</v>
      </c>
    </row>
    <row r="120" spans="1:12" ht="14.45" customHeight="1" outlineLevel="1">
      <c r="A120" s="164">
        <v>109</v>
      </c>
      <c r="B120" s="170">
        <v>46388</v>
      </c>
      <c r="C120" s="171"/>
      <c r="D120" s="171">
        <f t="shared" si="14"/>
        <v>1152868.145</v>
      </c>
      <c r="E120" s="172">
        <f t="shared" si="18"/>
        <v>-1152868.145</v>
      </c>
      <c r="F120" s="172"/>
      <c r="G120" s="172">
        <f t="shared" si="15"/>
        <v>291666.66666666669</v>
      </c>
      <c r="H120" s="172">
        <f t="shared" si="19"/>
        <v>-2991935.4838709827</v>
      </c>
      <c r="I120" s="173">
        <f t="shared" si="13"/>
        <v>8468737.0678320713</v>
      </c>
      <c r="J120" s="171"/>
      <c r="K120" s="171">
        <f t="shared" si="16"/>
        <v>70296.11876137559</v>
      </c>
      <c r="L120" s="172">
        <f t="shared" si="17"/>
        <v>11460672.551703054</v>
      </c>
    </row>
    <row r="121" spans="1:12" ht="14.45" customHeight="1" outlineLevel="1">
      <c r="A121" s="164">
        <v>110</v>
      </c>
      <c r="B121" s="170">
        <v>46419</v>
      </c>
      <c r="C121" s="171"/>
      <c r="D121" s="171">
        <f t="shared" si="14"/>
        <v>1152868.145</v>
      </c>
      <c r="E121" s="172">
        <f t="shared" si="18"/>
        <v>-1152868.145</v>
      </c>
      <c r="F121" s="172"/>
      <c r="G121" s="172">
        <f t="shared" si="15"/>
        <v>291666.66666666669</v>
      </c>
      <c r="H121" s="172">
        <f t="shared" si="19"/>
        <v>-2700268.8172043161</v>
      </c>
      <c r="I121" s="173">
        <f t="shared" si="13"/>
        <v>7671827.4184053643</v>
      </c>
      <c r="J121" s="171"/>
      <c r="K121" s="171">
        <f t="shared" si="16"/>
        <v>64291.828906625145</v>
      </c>
      <c r="L121" s="172">
        <f t="shared" si="17"/>
        <v>10372096.23560968</v>
      </c>
    </row>
    <row r="122" spans="1:12" ht="14.45" customHeight="1" outlineLevel="1">
      <c r="A122" s="164">
        <v>111</v>
      </c>
      <c r="B122" s="170">
        <v>46447</v>
      </c>
      <c r="C122" s="171"/>
      <c r="D122" s="171">
        <f t="shared" si="14"/>
        <v>1152868.145</v>
      </c>
      <c r="E122" s="172">
        <f t="shared" si="18"/>
        <v>-1152868.145</v>
      </c>
      <c r="F122" s="172"/>
      <c r="G122" s="172">
        <f t="shared" si="15"/>
        <v>291666.66666666669</v>
      </c>
      <c r="H122" s="172">
        <f t="shared" si="19"/>
        <v>-2408602.1505376496</v>
      </c>
      <c r="I122" s="173">
        <f t="shared" si="13"/>
        <v>6868867.8965567593</v>
      </c>
      <c r="J122" s="171"/>
      <c r="K122" s="171">
        <f t="shared" si="16"/>
        <v>58241.956484727394</v>
      </c>
      <c r="L122" s="172">
        <f t="shared" si="17"/>
        <v>9277470.0470944084</v>
      </c>
    </row>
    <row r="123" spans="1:12" ht="14.45" customHeight="1" outlineLevel="1">
      <c r="A123" s="164">
        <v>112</v>
      </c>
      <c r="B123" s="170">
        <v>46478</v>
      </c>
      <c r="C123" s="171"/>
      <c r="D123" s="171">
        <f t="shared" si="14"/>
        <v>1152868.145</v>
      </c>
      <c r="E123" s="172">
        <f t="shared" si="18"/>
        <v>-1152868.145</v>
      </c>
      <c r="F123" s="172"/>
      <c r="G123" s="172">
        <f t="shared" si="15"/>
        <v>291666.66666666669</v>
      </c>
      <c r="H123" s="172">
        <f t="shared" si="19"/>
        <v>-2116935.4838709831</v>
      </c>
      <c r="I123" s="173">
        <f t="shared" si="13"/>
        <v>6059812.5736714527</v>
      </c>
      <c r="J123" s="171"/>
      <c r="K123" s="171">
        <f t="shared" si="16"/>
        <v>52146.15544802673</v>
      </c>
      <c r="L123" s="172">
        <f t="shared" si="17"/>
        <v>8176748.0575424358</v>
      </c>
    </row>
    <row r="124" spans="1:12" ht="14.45" customHeight="1" outlineLevel="1">
      <c r="A124" s="164">
        <v>113</v>
      </c>
      <c r="B124" s="170">
        <v>46508</v>
      </c>
      <c r="C124" s="171"/>
      <c r="D124" s="171">
        <f t="shared" si="14"/>
        <v>1152868.145</v>
      </c>
      <c r="E124" s="172">
        <f t="shared" si="18"/>
        <v>-1152868.145</v>
      </c>
      <c r="F124" s="172"/>
      <c r="G124" s="172">
        <f t="shared" si="15"/>
        <v>291666.66666666669</v>
      </c>
      <c r="H124" s="172">
        <f t="shared" si="19"/>
        <v>-1825268.8172043164</v>
      </c>
      <c r="I124" s="173">
        <f t="shared" si="13"/>
        <v>5244615.1724599097</v>
      </c>
      <c r="J124" s="171"/>
      <c r="K124" s="171">
        <f t="shared" si="16"/>
        <v>46004.077121789109</v>
      </c>
      <c r="L124" s="172">
        <f t="shared" si="17"/>
        <v>7069883.9896642258</v>
      </c>
    </row>
    <row r="125" spans="1:12" ht="14.45" customHeight="1" outlineLevel="1">
      <c r="A125" s="164">
        <v>114</v>
      </c>
      <c r="B125" s="170">
        <v>46539</v>
      </c>
      <c r="C125" s="171"/>
      <c r="D125" s="171">
        <f t="shared" si="14"/>
        <v>1152868.145</v>
      </c>
      <c r="E125" s="172">
        <f t="shared" si="18"/>
        <v>-1152868.145</v>
      </c>
      <c r="F125" s="172"/>
      <c r="G125" s="172">
        <f t="shared" si="15"/>
        <v>291666.66666666669</v>
      </c>
      <c r="H125" s="172">
        <f t="shared" si="19"/>
        <v>-1533602.1505376496</v>
      </c>
      <c r="I125" s="173">
        <f t="shared" si="13"/>
        <v>4423229.0643108338</v>
      </c>
      <c r="J125" s="171"/>
      <c r="K125" s="171">
        <f t="shared" si="16"/>
        <v>39815.37018425815</v>
      </c>
      <c r="L125" s="172">
        <f t="shared" si="17"/>
        <v>5956831.2148484839</v>
      </c>
    </row>
    <row r="126" spans="1:12" ht="14.45" customHeight="1" outlineLevel="1">
      <c r="A126" s="164">
        <v>115</v>
      </c>
      <c r="B126" s="170">
        <v>46569</v>
      </c>
      <c r="C126" s="171"/>
      <c r="D126" s="171">
        <f t="shared" si="14"/>
        <v>1152868.145</v>
      </c>
      <c r="E126" s="172">
        <f t="shared" si="18"/>
        <v>-1152868.145</v>
      </c>
      <c r="F126" s="172"/>
      <c r="G126" s="172">
        <f t="shared" si="15"/>
        <v>291666.66666666669</v>
      </c>
      <c r="H126" s="172">
        <f t="shared" si="19"/>
        <v>-1241935.4838709829</v>
      </c>
      <c r="I126" s="173">
        <f t="shared" si="13"/>
        <v>3595607.2666240605</v>
      </c>
      <c r="J126" s="171"/>
      <c r="K126" s="171">
        <f t="shared" si="16"/>
        <v>33579.680646559747</v>
      </c>
      <c r="L126" s="172">
        <f t="shared" si="17"/>
        <v>4837542.7504950436</v>
      </c>
    </row>
    <row r="127" spans="1:12" ht="14.45" customHeight="1" outlineLevel="1">
      <c r="A127" s="164">
        <v>116</v>
      </c>
      <c r="B127" s="170">
        <v>46600</v>
      </c>
      <c r="C127" s="171"/>
      <c r="D127" s="171">
        <f t="shared" si="14"/>
        <v>1152868.145</v>
      </c>
      <c r="E127" s="172">
        <f t="shared" si="18"/>
        <v>-1152868.145</v>
      </c>
      <c r="F127" s="172"/>
      <c r="G127" s="172">
        <f t="shared" si="15"/>
        <v>291666.66666666669</v>
      </c>
      <c r="H127" s="172">
        <f t="shared" si="19"/>
        <v>-950268.81720431615</v>
      </c>
      <c r="I127" s="173">
        <f t="shared" si="13"/>
        <v>2761702.4401231818</v>
      </c>
      <c r="J127" s="171"/>
      <c r="K127" s="171">
        <f t="shared" si="16"/>
        <v>27296.651832454325</v>
      </c>
      <c r="L127" s="172">
        <f t="shared" si="17"/>
        <v>3711971.2573274979</v>
      </c>
    </row>
    <row r="128" spans="1:12" ht="14.45" customHeight="1" outlineLevel="1">
      <c r="A128" s="164">
        <v>117</v>
      </c>
      <c r="B128" s="170">
        <v>46631</v>
      </c>
      <c r="C128" s="171"/>
      <c r="D128" s="171">
        <f t="shared" si="14"/>
        <v>1152868.145</v>
      </c>
      <c r="E128" s="172">
        <f t="shared" si="18"/>
        <v>-1152868.145</v>
      </c>
      <c r="F128" s="172"/>
      <c r="G128" s="172">
        <f t="shared" si="15"/>
        <v>291666.66666666669</v>
      </c>
      <c r="H128" s="172">
        <f t="shared" si="19"/>
        <v>-658602.1505376494</v>
      </c>
      <c r="I128" s="173">
        <f t="shared" si="13"/>
        <v>1921466.8861477838</v>
      </c>
      <c r="J128" s="171"/>
      <c r="K128" s="171">
        <f t="shared" si="16"/>
        <v>20965.924357935157</v>
      </c>
      <c r="L128" s="172">
        <f t="shared" si="17"/>
        <v>2580069.0366854332</v>
      </c>
    </row>
    <row r="129" spans="1:12" ht="14.45" customHeight="1" outlineLevel="1">
      <c r="A129" s="164">
        <v>118</v>
      </c>
      <c r="B129" s="170">
        <v>46661</v>
      </c>
      <c r="C129" s="171"/>
      <c r="D129" s="171">
        <f t="shared" si="14"/>
        <v>1152868.145</v>
      </c>
      <c r="E129" s="172">
        <f t="shared" si="18"/>
        <v>-1152868.145</v>
      </c>
      <c r="F129" s="172"/>
      <c r="G129" s="172">
        <f t="shared" si="15"/>
        <v>291666.66666666669</v>
      </c>
      <c r="H129" s="172">
        <f t="shared" si="19"/>
        <v>-366935.48387098272</v>
      </c>
      <c r="I129" s="173">
        <f t="shared" si="13"/>
        <v>1074852.5439251226</v>
      </c>
      <c r="J129" s="171"/>
      <c r="K129" s="171">
        <f t="shared" si="16"/>
        <v>14587.136110671925</v>
      </c>
      <c r="L129" s="172">
        <f t="shared" si="17"/>
        <v>1441788.0277961052</v>
      </c>
    </row>
    <row r="130" spans="1:12" ht="14.45" customHeight="1" outlineLevel="1">
      <c r="A130" s="164">
        <v>119</v>
      </c>
      <c r="B130" s="170">
        <v>46692</v>
      </c>
      <c r="C130" s="171"/>
      <c r="D130" s="171">
        <f t="shared" si="14"/>
        <v>1152868.145</v>
      </c>
      <c r="E130" s="172">
        <f t="shared" si="18"/>
        <v>-1152868.145</v>
      </c>
      <c r="F130" s="172"/>
      <c r="G130" s="172">
        <f t="shared" si="15"/>
        <v>291666.66666666669</v>
      </c>
      <c r="H130" s="172">
        <f t="shared" si="19"/>
        <v>-75268.81720431603</v>
      </c>
      <c r="I130" s="173">
        <f t="shared" si="13"/>
        <v>221810.98782108742</v>
      </c>
      <c r="J130" s="171"/>
      <c r="K130" s="171">
        <f t="shared" si="16"/>
        <v>8159.9222292982222</v>
      </c>
      <c r="L130" s="172">
        <f t="shared" si="17"/>
        <v>297079.80502540345</v>
      </c>
    </row>
    <row r="131" spans="1:12" ht="14.45" customHeight="1" outlineLevel="1">
      <c r="A131" s="164">
        <v>120</v>
      </c>
      <c r="B131" s="175" t="s">
        <v>197</v>
      </c>
      <c r="C131" s="171"/>
      <c r="D131" s="171">
        <f>$D$4*8/31</f>
        <v>297514.36</v>
      </c>
      <c r="E131" s="172">
        <f t="shared" si="18"/>
        <v>-297514.36</v>
      </c>
      <c r="F131" s="172"/>
      <c r="G131" s="172">
        <f>-AVERAGE(G$11:G$70)*8/31</f>
        <v>75268.817204301085</v>
      </c>
      <c r="H131" s="172">
        <f t="shared" si="19"/>
        <v>-1.4944816939532757E-8</v>
      </c>
      <c r="I131" s="173">
        <f t="shared" si="13"/>
        <v>3.7563670326790088E-3</v>
      </c>
      <c r="J131" s="171"/>
      <c r="K131" s="171">
        <f>(L130+H130)*$D$3*8/31</f>
        <v>434.55873097851747</v>
      </c>
      <c r="L131" s="172">
        <f t="shared" si="17"/>
        <v>3.7563819774959484E-3</v>
      </c>
    </row>
    <row r="132" spans="1:12">
      <c r="B132" s="156" t="s">
        <v>157</v>
      </c>
      <c r="C132" s="172">
        <f>SUM(C10:C131)</f>
        <v>49999999.999999985</v>
      </c>
      <c r="D132" s="172">
        <f>SUM(D10:D131)</f>
        <v>69172088.700000077</v>
      </c>
      <c r="E132" s="172">
        <f>SUM(E10:E131)</f>
        <v>-19172088.700000037</v>
      </c>
      <c r="F132" s="172"/>
      <c r="G132" s="172">
        <f>SUM(G10:G131)</f>
        <v>-1.4944816939532757E-8</v>
      </c>
      <c r="H132" s="172"/>
      <c r="I132" s="172"/>
      <c r="J132" s="172">
        <f>SUM(J10:J131)</f>
        <v>8881265.955501195</v>
      </c>
      <c r="K132" s="172">
        <f>SUM(K10:K131)</f>
        <v>10290822.748255257</v>
      </c>
      <c r="L132" s="172"/>
    </row>
  </sheetData>
  <customSheetViews>
    <customSheetView guid="{4EF176FC-448F-4BD8-8859-C810312E84E7}" scale="120" fitToPage="1" hiddenRows="1">
      <pane xSplit="2" ySplit="9" topLeftCell="C10" activePane="bottomRight" state="frozen"/>
      <selection pane="bottomRight" activeCell="K8" sqref="K8"/>
      <pageMargins left="0.25" right="0.25" top="0.25" bottom="0.25" header="0.25" footer="0.25"/>
      <pageSetup scale="67" firstPageNumber="6" fitToHeight="100" orientation="portrait" useFirstPageNumber="1" r:id="rId1"/>
    </customSheetView>
    <customSheetView guid="{567BA860-460A-4CE0-A629-0EA7372574F1}" scale="120" showPageBreaks="1" fitToPage="1" printArea="1" hiddenRows="1">
      <pane xSplit="2" ySplit="9" topLeftCell="C10" activePane="bottomRight" state="frozen"/>
      <selection pane="bottomRight" activeCell="K8" sqref="K8"/>
      <pageMargins left="0.25" right="0.25" top="0.25" bottom="0.25" header="0.25" footer="0.25"/>
      <pageSetup scale="67" firstPageNumber="6" fitToHeight="100" orientation="portrait" useFirstPageNumber="1" r:id="rId2"/>
    </customSheetView>
    <customSheetView guid="{0BD4BC22-E7A2-4140-8384-5A5B3339DEED}" scale="120" fitToPage="1" printArea="1">
      <pane xSplit="2" ySplit="9" topLeftCell="C127" activePane="bottomRight" state="frozen"/>
      <selection pane="bottomRight" activeCell="L79" sqref="L79"/>
      <pageMargins left="0.25" right="0.25" top="0.25" bottom="0.25" header="0.25" footer="0.25"/>
      <pageSetup scale="67" firstPageNumber="6" fitToHeight="100" orientation="portrait" useFirstPageNumber="1" r:id="rId3"/>
    </customSheetView>
  </customSheetViews>
  <mergeCells count="1">
    <mergeCell ref="C8:G8"/>
  </mergeCells>
  <pageMargins left="0.25" right="0.25" top="0.25" bottom="0.25" header="0.25" footer="0.25"/>
  <pageSetup scale="67" firstPageNumber="6" fitToHeight="100" orientation="portrait" useFirstPageNumber="1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D7" sqref="D7"/>
    </sheetView>
  </sheetViews>
  <sheetFormatPr defaultColWidth="9.140625" defaultRowHeight="15"/>
  <cols>
    <col min="1" max="1" width="5.7109375" style="92" customWidth="1"/>
    <col min="2" max="2" width="11.85546875" style="23" customWidth="1"/>
    <col min="3" max="3" width="45.7109375" style="23" customWidth="1"/>
    <col min="4" max="4" width="18" style="23" customWidth="1"/>
    <col min="5" max="5" width="15.28515625" style="23" bestFit="1" customWidth="1"/>
    <col min="6" max="6" width="37" style="23" customWidth="1"/>
    <col min="7" max="7" width="15.85546875" style="23" bestFit="1" customWidth="1"/>
    <col min="8" max="16384" width="9.140625" style="23"/>
  </cols>
  <sheetData>
    <row r="1" spans="1:7" ht="15.75">
      <c r="B1" s="90" t="s">
        <v>172</v>
      </c>
    </row>
    <row r="2" spans="1:7" ht="15.75">
      <c r="B2" s="90" t="s">
        <v>177</v>
      </c>
    </row>
    <row r="3" spans="1:7" ht="18.75">
      <c r="B3" s="176" t="s">
        <v>109</v>
      </c>
    </row>
    <row r="4" spans="1:7" ht="15.75">
      <c r="B4" s="90"/>
    </row>
    <row r="5" spans="1:7" ht="15.75">
      <c r="B5" s="90"/>
    </row>
    <row r="6" spans="1:7" ht="15.75">
      <c r="A6" s="93">
        <v>-1</v>
      </c>
      <c r="B6" s="90" t="s">
        <v>182</v>
      </c>
    </row>
    <row r="7" spans="1:7" ht="15.75">
      <c r="A7" s="93"/>
      <c r="B7" s="90"/>
      <c r="C7" s="23" t="s">
        <v>191</v>
      </c>
      <c r="D7" s="87">
        <v>0</v>
      </c>
    </row>
    <row r="8" spans="1:7" ht="15.75">
      <c r="A8" s="93"/>
      <c r="B8" s="90"/>
    </row>
    <row r="9" spans="1:7" ht="15.75">
      <c r="B9" s="90"/>
    </row>
    <row r="10" spans="1:7" ht="15.75">
      <c r="B10" s="90"/>
    </row>
    <row r="11" spans="1:7" ht="15.75">
      <c r="A11" s="93">
        <f>A6-1</f>
        <v>-2</v>
      </c>
      <c r="B11" s="90" t="s">
        <v>178</v>
      </c>
    </row>
    <row r="12" spans="1:7" ht="15.75">
      <c r="A12" s="93"/>
      <c r="B12" s="90"/>
      <c r="D12" s="348" t="s">
        <v>186</v>
      </c>
      <c r="E12" s="348"/>
    </row>
    <row r="13" spans="1:7">
      <c r="C13" s="89" t="s">
        <v>160</v>
      </c>
      <c r="D13" s="89" t="s">
        <v>184</v>
      </c>
      <c r="E13" s="89" t="s">
        <v>185</v>
      </c>
      <c r="F13" s="88" t="s">
        <v>116</v>
      </c>
      <c r="G13" s="88"/>
    </row>
    <row r="14" spans="1:7">
      <c r="B14" s="72" t="s">
        <v>117</v>
      </c>
      <c r="C14" s="23" t="s">
        <v>181</v>
      </c>
      <c r="D14" s="87">
        <v>97000000</v>
      </c>
      <c r="E14" s="87">
        <v>97100000</v>
      </c>
      <c r="F14" s="23" t="s">
        <v>170</v>
      </c>
    </row>
    <row r="15" spans="1:7">
      <c r="B15" s="72" t="s">
        <v>119</v>
      </c>
      <c r="C15" s="86" t="s">
        <v>171</v>
      </c>
      <c r="D15" s="85">
        <v>1000000000</v>
      </c>
      <c r="E15" s="85">
        <v>1000000000</v>
      </c>
      <c r="F15" s="23" t="s">
        <v>170</v>
      </c>
    </row>
    <row r="16" spans="1:7">
      <c r="B16" s="72" t="s">
        <v>169</v>
      </c>
      <c r="C16" s="23" t="s">
        <v>168</v>
      </c>
      <c r="D16" s="83">
        <f>D14/D15</f>
        <v>9.7000000000000003E-2</v>
      </c>
      <c r="E16" s="83">
        <f>E14/E15</f>
        <v>9.7100000000000006E-2</v>
      </c>
      <c r="F16" s="23" t="s">
        <v>160</v>
      </c>
    </row>
    <row r="17" spans="1:6">
      <c r="B17" s="72"/>
      <c r="D17" s="84"/>
      <c r="E17" s="84"/>
    </row>
    <row r="18" spans="1:6">
      <c r="B18" s="72" t="s">
        <v>125</v>
      </c>
      <c r="C18" s="23" t="s">
        <v>167</v>
      </c>
      <c r="D18" s="83">
        <v>9.7500000000000003E-2</v>
      </c>
      <c r="E18" s="83">
        <v>9.7500000000000003E-2</v>
      </c>
      <c r="F18" s="23" t="s">
        <v>162</v>
      </c>
    </row>
    <row r="19" spans="1:6">
      <c r="B19" s="72"/>
    </row>
    <row r="20" spans="1:6">
      <c r="B20" s="72"/>
      <c r="C20" s="23" t="s">
        <v>166</v>
      </c>
      <c r="D20" s="82"/>
      <c r="E20" s="82"/>
    </row>
    <row r="21" spans="1:6">
      <c r="B21" s="72"/>
      <c r="C21" s="23" t="s">
        <v>165</v>
      </c>
      <c r="D21" s="81"/>
      <c r="E21" s="81"/>
    </row>
    <row r="22" spans="1:6">
      <c r="B22" s="72"/>
      <c r="C22" s="73"/>
      <c r="D22" s="80"/>
      <c r="E22" s="80"/>
    </row>
    <row r="23" spans="1:6" ht="30">
      <c r="B23" s="72" t="s">
        <v>164</v>
      </c>
      <c r="C23" s="79" t="s">
        <v>179</v>
      </c>
      <c r="D23" s="78">
        <f>(D18*D15)-D14</f>
        <v>500000</v>
      </c>
      <c r="E23" s="78">
        <f>(E18*E15)-E14</f>
        <v>400000</v>
      </c>
      <c r="F23" s="23" t="s">
        <v>160</v>
      </c>
    </row>
    <row r="24" spans="1:6">
      <c r="B24" s="72"/>
      <c r="C24" s="73"/>
      <c r="D24" s="77"/>
      <c r="E24" s="77"/>
    </row>
    <row r="25" spans="1:6">
      <c r="B25" s="72" t="s">
        <v>130</v>
      </c>
      <c r="C25" s="73" t="s">
        <v>163</v>
      </c>
      <c r="D25" s="76">
        <v>1.64334</v>
      </c>
      <c r="E25" s="76">
        <v>1.64334</v>
      </c>
      <c r="F25" s="23" t="s">
        <v>180</v>
      </c>
    </row>
    <row r="26" spans="1:6">
      <c r="B26" s="70"/>
      <c r="C26" s="75"/>
      <c r="D26" s="74"/>
      <c r="E26" s="74"/>
    </row>
    <row r="27" spans="1:6">
      <c r="B27" s="72" t="s">
        <v>161</v>
      </c>
      <c r="C27" s="23" t="s">
        <v>186</v>
      </c>
      <c r="D27" s="71">
        <f>D25*D23</f>
        <v>821670</v>
      </c>
      <c r="E27" s="95">
        <f>E25*E23</f>
        <v>657336</v>
      </c>
      <c r="F27" s="23" t="s">
        <v>160</v>
      </c>
    </row>
    <row r="29" spans="1:6">
      <c r="B29" s="70" t="s">
        <v>159</v>
      </c>
      <c r="C29" s="69" t="s">
        <v>158</v>
      </c>
      <c r="D29" s="68">
        <f>D27</f>
        <v>821670</v>
      </c>
      <c r="E29" s="94"/>
    </row>
    <row r="31" spans="1:6">
      <c r="A31" s="93">
        <v>-3</v>
      </c>
      <c r="B31" s="91" t="s">
        <v>187</v>
      </c>
      <c r="D31" s="87"/>
      <c r="E31" s="95">
        <f>E27-D29</f>
        <v>-164334</v>
      </c>
    </row>
    <row r="33" spans="4:4">
      <c r="D33" s="23" t="s">
        <v>45</v>
      </c>
    </row>
  </sheetData>
  <customSheetViews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3"/>
    </customSheetView>
  </customSheetViews>
  <mergeCells count="1">
    <mergeCell ref="D12:E12"/>
  </mergeCells>
  <pageMargins left="0.7" right="0.7" top="0.75" bottom="0.75" header="0.3" footer="0.3"/>
  <pageSetup scale="77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CA86C5AD-8350-4521-B65E-78C70E8DE5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PPA Form 1.0</vt:lpstr>
      <vt:lpstr>PPA Form 2.0</vt:lpstr>
      <vt:lpstr>PPA Form 3.0</vt:lpstr>
      <vt:lpstr>PPA Form 3.0a</vt:lpstr>
      <vt:lpstr>PPA Form 4.0</vt:lpstr>
      <vt:lpstr>PPA Form 5.0</vt:lpstr>
      <vt:lpstr>Retail vs TO</vt:lpstr>
      <vt:lpstr>Rockport Deferral</vt:lpstr>
      <vt:lpstr>Rockport Savings-Offset</vt:lpstr>
      <vt:lpstr>Input Sheet</vt:lpstr>
      <vt:lpstr>GRCF</vt:lpstr>
      <vt:lpstr>GRCF!Print_Area</vt:lpstr>
      <vt:lpstr>'Input Sheet'!Print_Area</vt:lpstr>
      <vt:lpstr>'PPA Form 1.0'!Print_Area</vt:lpstr>
      <vt:lpstr>'PPA Form 2.0'!Print_Area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s007506</cp:lastModifiedBy>
  <cp:lastPrinted>2019-08-13T18:34:04Z</cp:lastPrinted>
  <dcterms:created xsi:type="dcterms:W3CDTF">2015-03-17T12:16:01Z</dcterms:created>
  <dcterms:modified xsi:type="dcterms:W3CDTF">2019-10-01T13:49:13Z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415ad8b0-fc24-44c7-b820-f4b1ae6920ec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